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BÁO CÁO TUẦN 29\"/>
    </mc:Choice>
  </mc:AlternateContent>
  <xr:revisionPtr revIDLastSave="0" documentId="13_ncr:1_{239EF681-2501-4F41-B16E-CC8A3A51F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" sheetId="1" r:id="rId1"/>
    <sheet name="Thay đổi" sheetId="2" r:id="rId2"/>
    <sheet name="KQ đo kiểm Speedtest" sheetId="3" state="hidden" r:id="rId3"/>
    <sheet name="Tổ Bến Lức" sheetId="4" r:id="rId4"/>
    <sheet name="Tổ Gò Dầu" sheetId="5" r:id="rId5"/>
    <sheet name="Tổ Đức Hòa" sheetId="6" r:id="rId6"/>
    <sheet name="Tổ Kiến Tường" sheetId="7" r:id="rId7"/>
    <sheet name="Tổ Tân An" sheetId="8" r:id="rId8"/>
    <sheet name="Tổ Tân Châu" sheetId="9" r:id="rId9"/>
    <sheet name="Tổ Tân Ninh" sheetId="10" r:id="rId10"/>
    <sheet name="DS nhân viên Speedtest" sheetId="11" r:id="rId11"/>
    <sheet name="SUM" sheetId="12" r:id="rId12"/>
  </sheets>
  <definedNames>
    <definedName name="_xlnm._FilterDatabase" localSheetId="10" hidden="1">'DS nhân viên Speedtest'!$A$1:$AB$133</definedName>
    <definedName name="_xlnm._FilterDatabase" localSheetId="1" hidden="1">'Thay đổi'!$A$1:$K$3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02" i="12" l="1"/>
  <c r="N1702" i="12"/>
  <c r="M1702" i="12"/>
  <c r="K1702" i="12"/>
  <c r="J1702" i="12"/>
  <c r="I1702" i="12"/>
  <c r="H1702" i="12"/>
  <c r="G1702" i="12"/>
  <c r="F1702" i="12"/>
  <c r="E1702" i="12"/>
  <c r="D1702" i="12"/>
  <c r="C1702" i="12"/>
  <c r="B1702" i="12"/>
  <c r="O1701" i="12"/>
  <c r="N1701" i="12"/>
  <c r="M1701" i="12"/>
  <c r="K1701" i="12"/>
  <c r="J1701" i="12"/>
  <c r="I1701" i="12"/>
  <c r="H1701" i="12"/>
  <c r="G1701" i="12"/>
  <c r="F1701" i="12"/>
  <c r="E1701" i="12"/>
  <c r="D1701" i="12"/>
  <c r="C1701" i="12"/>
  <c r="B1701" i="12"/>
  <c r="O1700" i="12"/>
  <c r="N1700" i="12"/>
  <c r="M1700" i="12"/>
  <c r="K1700" i="12"/>
  <c r="J1700" i="12"/>
  <c r="I1700" i="12"/>
  <c r="H1700" i="12"/>
  <c r="G1700" i="12"/>
  <c r="F1700" i="12"/>
  <c r="E1700" i="12"/>
  <c r="D1700" i="12"/>
  <c r="C1700" i="12"/>
  <c r="B1700" i="12"/>
  <c r="O1699" i="12"/>
  <c r="N1699" i="12"/>
  <c r="M1699" i="12"/>
  <c r="K1699" i="12"/>
  <c r="J1699" i="12"/>
  <c r="I1699" i="12"/>
  <c r="H1699" i="12"/>
  <c r="G1699" i="12"/>
  <c r="F1699" i="12"/>
  <c r="E1699" i="12"/>
  <c r="D1699" i="12"/>
  <c r="C1699" i="12"/>
  <c r="B1699" i="12"/>
  <c r="O1698" i="12"/>
  <c r="N1698" i="12"/>
  <c r="M1698" i="12"/>
  <c r="K1698" i="12"/>
  <c r="J1698" i="12"/>
  <c r="I1698" i="12"/>
  <c r="H1698" i="12"/>
  <c r="G1698" i="12"/>
  <c r="F1698" i="12"/>
  <c r="E1698" i="12"/>
  <c r="D1698" i="12"/>
  <c r="C1698" i="12"/>
  <c r="B1698" i="12"/>
  <c r="O1697" i="12"/>
  <c r="N1697" i="12"/>
  <c r="M1697" i="12"/>
  <c r="K1697" i="12"/>
  <c r="J1697" i="12"/>
  <c r="I1697" i="12"/>
  <c r="H1697" i="12"/>
  <c r="G1697" i="12"/>
  <c r="F1697" i="12"/>
  <c r="E1697" i="12"/>
  <c r="D1697" i="12"/>
  <c r="C1697" i="12"/>
  <c r="B1697" i="12"/>
  <c r="O1696" i="12"/>
  <c r="N1696" i="12"/>
  <c r="M1696" i="12"/>
  <c r="K1696" i="12"/>
  <c r="J1696" i="12"/>
  <c r="I1696" i="12"/>
  <c r="H1696" i="12"/>
  <c r="G1696" i="12"/>
  <c r="F1696" i="12"/>
  <c r="E1696" i="12"/>
  <c r="D1696" i="12"/>
  <c r="C1696" i="12"/>
  <c r="B1696" i="12"/>
  <c r="O1695" i="12"/>
  <c r="N1695" i="12"/>
  <c r="M1695" i="12"/>
  <c r="K1695" i="12"/>
  <c r="J1695" i="12"/>
  <c r="I1695" i="12"/>
  <c r="H1695" i="12"/>
  <c r="G1695" i="12"/>
  <c r="F1695" i="12"/>
  <c r="E1695" i="12"/>
  <c r="D1695" i="12"/>
  <c r="C1695" i="12"/>
  <c r="B1695" i="12"/>
  <c r="O1694" i="12"/>
  <c r="N1694" i="12"/>
  <c r="M1694" i="12"/>
  <c r="K1694" i="12"/>
  <c r="J1694" i="12"/>
  <c r="I1694" i="12"/>
  <c r="H1694" i="12"/>
  <c r="G1694" i="12"/>
  <c r="F1694" i="12"/>
  <c r="E1694" i="12"/>
  <c r="D1694" i="12"/>
  <c r="C1694" i="12"/>
  <c r="B1694" i="12"/>
  <c r="O1693" i="12"/>
  <c r="N1693" i="12"/>
  <c r="M1693" i="12"/>
  <c r="K1693" i="12"/>
  <c r="J1693" i="12"/>
  <c r="I1693" i="12"/>
  <c r="H1693" i="12"/>
  <c r="G1693" i="12"/>
  <c r="F1693" i="12"/>
  <c r="E1693" i="12"/>
  <c r="D1693" i="12"/>
  <c r="C1693" i="12"/>
  <c r="B1693" i="12"/>
  <c r="O1692" i="12"/>
  <c r="N1692" i="12"/>
  <c r="M1692" i="12"/>
  <c r="K1692" i="12"/>
  <c r="J1692" i="12"/>
  <c r="I1692" i="12"/>
  <c r="H1692" i="12"/>
  <c r="G1692" i="12"/>
  <c r="F1692" i="12"/>
  <c r="E1692" i="12"/>
  <c r="D1692" i="12"/>
  <c r="C1692" i="12"/>
  <c r="B1692" i="12"/>
  <c r="O1691" i="12"/>
  <c r="N1691" i="12"/>
  <c r="M1691" i="12"/>
  <c r="K1691" i="12"/>
  <c r="J1691" i="12"/>
  <c r="I1691" i="12"/>
  <c r="H1691" i="12"/>
  <c r="G1691" i="12"/>
  <c r="F1691" i="12"/>
  <c r="E1691" i="12"/>
  <c r="D1691" i="12"/>
  <c r="C1691" i="12"/>
  <c r="B1691" i="12"/>
  <c r="O1690" i="12"/>
  <c r="N1690" i="12"/>
  <c r="M1690" i="12"/>
  <c r="K1690" i="12"/>
  <c r="J1690" i="12"/>
  <c r="I1690" i="12"/>
  <c r="H1690" i="12"/>
  <c r="G1690" i="12"/>
  <c r="F1690" i="12"/>
  <c r="E1690" i="12"/>
  <c r="D1690" i="12"/>
  <c r="C1690" i="12"/>
  <c r="B1690" i="12"/>
  <c r="O1689" i="12"/>
  <c r="N1689" i="12"/>
  <c r="M1689" i="12"/>
  <c r="K1689" i="12"/>
  <c r="J1689" i="12"/>
  <c r="I1689" i="12"/>
  <c r="H1689" i="12"/>
  <c r="G1689" i="12"/>
  <c r="F1689" i="12"/>
  <c r="E1689" i="12"/>
  <c r="D1689" i="12"/>
  <c r="C1689" i="12"/>
  <c r="B1689" i="12"/>
  <c r="O1688" i="12"/>
  <c r="N1688" i="12"/>
  <c r="M1688" i="12"/>
  <c r="K1688" i="12"/>
  <c r="J1688" i="12"/>
  <c r="I1688" i="12"/>
  <c r="H1688" i="12"/>
  <c r="G1688" i="12"/>
  <c r="F1688" i="12"/>
  <c r="E1688" i="12"/>
  <c r="D1688" i="12"/>
  <c r="C1688" i="12"/>
  <c r="B1688" i="12"/>
  <c r="O1687" i="12"/>
  <c r="N1687" i="12"/>
  <c r="M1687" i="12"/>
  <c r="K1687" i="12"/>
  <c r="J1687" i="12"/>
  <c r="I1687" i="12"/>
  <c r="H1687" i="12"/>
  <c r="G1687" i="12"/>
  <c r="F1687" i="12"/>
  <c r="E1687" i="12"/>
  <c r="D1687" i="12"/>
  <c r="C1687" i="12"/>
  <c r="B1687" i="12"/>
  <c r="O1686" i="12"/>
  <c r="N1686" i="12"/>
  <c r="M1686" i="12"/>
  <c r="K1686" i="12"/>
  <c r="J1686" i="12"/>
  <c r="I1686" i="12"/>
  <c r="H1686" i="12"/>
  <c r="G1686" i="12"/>
  <c r="F1686" i="12"/>
  <c r="E1686" i="12"/>
  <c r="D1686" i="12"/>
  <c r="C1686" i="12"/>
  <c r="B1686" i="12"/>
  <c r="O1685" i="12"/>
  <c r="N1685" i="12"/>
  <c r="M1685" i="12"/>
  <c r="K1685" i="12"/>
  <c r="J1685" i="12"/>
  <c r="I1685" i="12"/>
  <c r="H1685" i="12"/>
  <c r="G1685" i="12"/>
  <c r="F1685" i="12"/>
  <c r="E1685" i="12"/>
  <c r="D1685" i="12"/>
  <c r="C1685" i="12"/>
  <c r="B1685" i="12"/>
  <c r="O1684" i="12"/>
  <c r="N1684" i="12"/>
  <c r="M1684" i="12"/>
  <c r="K1684" i="12"/>
  <c r="J1684" i="12"/>
  <c r="I1684" i="12"/>
  <c r="H1684" i="12"/>
  <c r="G1684" i="12"/>
  <c r="F1684" i="12"/>
  <c r="E1684" i="12"/>
  <c r="D1684" i="12"/>
  <c r="C1684" i="12"/>
  <c r="B1684" i="12"/>
  <c r="O1683" i="12"/>
  <c r="N1683" i="12"/>
  <c r="M1683" i="12"/>
  <c r="K1683" i="12"/>
  <c r="J1683" i="12"/>
  <c r="I1683" i="12"/>
  <c r="H1683" i="12"/>
  <c r="G1683" i="12"/>
  <c r="F1683" i="12"/>
  <c r="E1683" i="12"/>
  <c r="D1683" i="12"/>
  <c r="C1683" i="12"/>
  <c r="B1683" i="12"/>
  <c r="O1682" i="12"/>
  <c r="N1682" i="12"/>
  <c r="M1682" i="12"/>
  <c r="K1682" i="12"/>
  <c r="J1682" i="12"/>
  <c r="I1682" i="12"/>
  <c r="H1682" i="12"/>
  <c r="G1682" i="12"/>
  <c r="F1682" i="12"/>
  <c r="E1682" i="12"/>
  <c r="D1682" i="12"/>
  <c r="C1682" i="12"/>
  <c r="B1682" i="12"/>
  <c r="O1681" i="12"/>
  <c r="N1681" i="12"/>
  <c r="M1681" i="12"/>
  <c r="K1681" i="12"/>
  <c r="J1681" i="12"/>
  <c r="I1681" i="12"/>
  <c r="H1681" i="12"/>
  <c r="G1681" i="12"/>
  <c r="F1681" i="12"/>
  <c r="E1681" i="12"/>
  <c r="D1681" i="12"/>
  <c r="C1681" i="12"/>
  <c r="B1681" i="12"/>
  <c r="O1680" i="12"/>
  <c r="N1680" i="12"/>
  <c r="M1680" i="12"/>
  <c r="K1680" i="12"/>
  <c r="J1680" i="12"/>
  <c r="I1680" i="12"/>
  <c r="H1680" i="12"/>
  <c r="G1680" i="12"/>
  <c r="F1680" i="12"/>
  <c r="E1680" i="12"/>
  <c r="D1680" i="12"/>
  <c r="C1680" i="12"/>
  <c r="B1680" i="12"/>
  <c r="O1679" i="12"/>
  <c r="N1679" i="12"/>
  <c r="M1679" i="12"/>
  <c r="K1679" i="12"/>
  <c r="J1679" i="12"/>
  <c r="I1679" i="12"/>
  <c r="H1679" i="12"/>
  <c r="G1679" i="12"/>
  <c r="F1679" i="12"/>
  <c r="E1679" i="12"/>
  <c r="D1679" i="12"/>
  <c r="C1679" i="12"/>
  <c r="B1679" i="12"/>
  <c r="O1678" i="12"/>
  <c r="N1678" i="12"/>
  <c r="M1678" i="12"/>
  <c r="K1678" i="12"/>
  <c r="J1678" i="12"/>
  <c r="I1678" i="12"/>
  <c r="H1678" i="12"/>
  <c r="G1678" i="12"/>
  <c r="F1678" i="12"/>
  <c r="E1678" i="12"/>
  <c r="D1678" i="12"/>
  <c r="C1678" i="12"/>
  <c r="B1678" i="12"/>
  <c r="O1677" i="12"/>
  <c r="N1677" i="12"/>
  <c r="M1677" i="12"/>
  <c r="K1677" i="12"/>
  <c r="J1677" i="12"/>
  <c r="I1677" i="12"/>
  <c r="H1677" i="12"/>
  <c r="G1677" i="12"/>
  <c r="F1677" i="12"/>
  <c r="E1677" i="12"/>
  <c r="D1677" i="12"/>
  <c r="C1677" i="12"/>
  <c r="B1677" i="12"/>
  <c r="O1676" i="12"/>
  <c r="N1676" i="12"/>
  <c r="M1676" i="12"/>
  <c r="K1676" i="12"/>
  <c r="J1676" i="12"/>
  <c r="I1676" i="12"/>
  <c r="H1676" i="12"/>
  <c r="G1676" i="12"/>
  <c r="F1676" i="12"/>
  <c r="E1676" i="12"/>
  <c r="D1676" i="12"/>
  <c r="C1676" i="12"/>
  <c r="B1676" i="12"/>
  <c r="O1675" i="12"/>
  <c r="N1675" i="12"/>
  <c r="M1675" i="12"/>
  <c r="K1675" i="12"/>
  <c r="J1675" i="12"/>
  <c r="I1675" i="12"/>
  <c r="H1675" i="12"/>
  <c r="G1675" i="12"/>
  <c r="F1675" i="12"/>
  <c r="E1675" i="12"/>
  <c r="D1675" i="12"/>
  <c r="C1675" i="12"/>
  <c r="B1675" i="12"/>
  <c r="O1674" i="12"/>
  <c r="N1674" i="12"/>
  <c r="M1674" i="12"/>
  <c r="K1674" i="12"/>
  <c r="J1674" i="12"/>
  <c r="I1674" i="12"/>
  <c r="H1674" i="12"/>
  <c r="G1674" i="12"/>
  <c r="F1674" i="12"/>
  <c r="E1674" i="12"/>
  <c r="D1674" i="12"/>
  <c r="C1674" i="12"/>
  <c r="B1674" i="12"/>
  <c r="O1673" i="12"/>
  <c r="N1673" i="12"/>
  <c r="M1673" i="12"/>
  <c r="K1673" i="12"/>
  <c r="J1673" i="12"/>
  <c r="I1673" i="12"/>
  <c r="H1673" i="12"/>
  <c r="G1673" i="12"/>
  <c r="F1673" i="12"/>
  <c r="E1673" i="12"/>
  <c r="D1673" i="12"/>
  <c r="C1673" i="12"/>
  <c r="B1673" i="12"/>
  <c r="O1672" i="12"/>
  <c r="N1672" i="12"/>
  <c r="M1672" i="12"/>
  <c r="K1672" i="12"/>
  <c r="J1672" i="12"/>
  <c r="I1672" i="12"/>
  <c r="H1672" i="12"/>
  <c r="G1672" i="12"/>
  <c r="F1672" i="12"/>
  <c r="E1672" i="12"/>
  <c r="D1672" i="12"/>
  <c r="C1672" i="12"/>
  <c r="B1672" i="12"/>
  <c r="O1671" i="12"/>
  <c r="N1671" i="12"/>
  <c r="M1671" i="12"/>
  <c r="K1671" i="12"/>
  <c r="J1671" i="12"/>
  <c r="I1671" i="12"/>
  <c r="H1671" i="12"/>
  <c r="G1671" i="12"/>
  <c r="F1671" i="12"/>
  <c r="E1671" i="12"/>
  <c r="D1671" i="12"/>
  <c r="C1671" i="12"/>
  <c r="B1671" i="12"/>
  <c r="O1670" i="12"/>
  <c r="N1670" i="12"/>
  <c r="M1670" i="12"/>
  <c r="F1670" i="12"/>
  <c r="E1670" i="12"/>
  <c r="D1670" i="12"/>
  <c r="C1670" i="12"/>
  <c r="B1670" i="12"/>
  <c r="O1669" i="12"/>
  <c r="N1669" i="12"/>
  <c r="M1669" i="12"/>
  <c r="F1669" i="12"/>
  <c r="E1669" i="12"/>
  <c r="D1669" i="12"/>
  <c r="C1669" i="12"/>
  <c r="B1669" i="12"/>
  <c r="O1668" i="12"/>
  <c r="N1668" i="12"/>
  <c r="M1668" i="12"/>
  <c r="F1668" i="12"/>
  <c r="E1668" i="12"/>
  <c r="D1668" i="12"/>
  <c r="C1668" i="12"/>
  <c r="B1668" i="12"/>
  <c r="O1667" i="12"/>
  <c r="N1667" i="12"/>
  <c r="M1667" i="12"/>
  <c r="F1667" i="12"/>
  <c r="E1667" i="12"/>
  <c r="D1667" i="12"/>
  <c r="C1667" i="12"/>
  <c r="B1667" i="12"/>
  <c r="O1666" i="12"/>
  <c r="N1666" i="12"/>
  <c r="M1666" i="12"/>
  <c r="F1666" i="12"/>
  <c r="E1666" i="12"/>
  <c r="D1666" i="12"/>
  <c r="C1666" i="12"/>
  <c r="B1666" i="12"/>
  <c r="O1665" i="12"/>
  <c r="N1665" i="12"/>
  <c r="M1665" i="12"/>
  <c r="F1665" i="12"/>
  <c r="E1665" i="12"/>
  <c r="D1665" i="12"/>
  <c r="C1665" i="12"/>
  <c r="B1665" i="12"/>
  <c r="O1664" i="12"/>
  <c r="N1664" i="12"/>
  <c r="M1664" i="12"/>
  <c r="F1664" i="12"/>
  <c r="E1664" i="12"/>
  <c r="D1664" i="12"/>
  <c r="C1664" i="12"/>
  <c r="B1664" i="12"/>
  <c r="O1663" i="12"/>
  <c r="N1663" i="12"/>
  <c r="M1663" i="12"/>
  <c r="F1663" i="12"/>
  <c r="E1663" i="12"/>
  <c r="D1663" i="12"/>
  <c r="C1663" i="12"/>
  <c r="B1663" i="12"/>
  <c r="O1662" i="12"/>
  <c r="N1662" i="12"/>
  <c r="M1662" i="12"/>
  <c r="F1662" i="12"/>
  <c r="E1662" i="12"/>
  <c r="D1662" i="12"/>
  <c r="C1662" i="12"/>
  <c r="B1662" i="12"/>
  <c r="O1661" i="12"/>
  <c r="N1661" i="12"/>
  <c r="M1661" i="12"/>
  <c r="F1661" i="12"/>
  <c r="E1661" i="12"/>
  <c r="D1661" i="12"/>
  <c r="C1661" i="12"/>
  <c r="B1661" i="12"/>
  <c r="O1660" i="12"/>
  <c r="N1660" i="12"/>
  <c r="M1660" i="12"/>
  <c r="F1660" i="12"/>
  <c r="E1660" i="12"/>
  <c r="D1660" i="12"/>
  <c r="C1660" i="12"/>
  <c r="B1660" i="12"/>
  <c r="O1659" i="12"/>
  <c r="N1659" i="12"/>
  <c r="M1659" i="12"/>
  <c r="F1659" i="12"/>
  <c r="E1659" i="12"/>
  <c r="D1659" i="12"/>
  <c r="C1659" i="12"/>
  <c r="B1659" i="12"/>
  <c r="O1658" i="12"/>
  <c r="N1658" i="12"/>
  <c r="M1658" i="12"/>
  <c r="F1658" i="12"/>
  <c r="E1658" i="12"/>
  <c r="D1658" i="12"/>
  <c r="C1658" i="12"/>
  <c r="B1658" i="12"/>
  <c r="O1657" i="12"/>
  <c r="N1657" i="12"/>
  <c r="M1657" i="12"/>
  <c r="F1657" i="12"/>
  <c r="E1657" i="12"/>
  <c r="D1657" i="12"/>
  <c r="C1657" i="12"/>
  <c r="B1657" i="12"/>
  <c r="O1656" i="12"/>
  <c r="N1656" i="12"/>
  <c r="M1656" i="12"/>
  <c r="F1656" i="12"/>
  <c r="E1656" i="12"/>
  <c r="D1656" i="12"/>
  <c r="C1656" i="12"/>
  <c r="B1656" i="12"/>
  <c r="O1655" i="12"/>
  <c r="N1655" i="12"/>
  <c r="M1655" i="12"/>
  <c r="F1655" i="12"/>
  <c r="E1655" i="12"/>
  <c r="D1655" i="12"/>
  <c r="C1655" i="12"/>
  <c r="B1655" i="12"/>
  <c r="O1654" i="12"/>
  <c r="N1654" i="12"/>
  <c r="M1654" i="12"/>
  <c r="K1654" i="12"/>
  <c r="J1654" i="12"/>
  <c r="I1654" i="12"/>
  <c r="H1654" i="12"/>
  <c r="F1654" i="12"/>
  <c r="E1654" i="12"/>
  <c r="D1654" i="12"/>
  <c r="C1654" i="12"/>
  <c r="B1654" i="12"/>
  <c r="O1653" i="12"/>
  <c r="N1653" i="12"/>
  <c r="M1653" i="12"/>
  <c r="K1653" i="12"/>
  <c r="J1653" i="12"/>
  <c r="I1653" i="12"/>
  <c r="H1653" i="12"/>
  <c r="F1653" i="12"/>
  <c r="E1653" i="12"/>
  <c r="D1653" i="12"/>
  <c r="C1653" i="12"/>
  <c r="B1653" i="12"/>
  <c r="O1652" i="12"/>
  <c r="N1652" i="12"/>
  <c r="M1652" i="12"/>
  <c r="K1652" i="12"/>
  <c r="J1652" i="12"/>
  <c r="I1652" i="12"/>
  <c r="H1652" i="12"/>
  <c r="F1652" i="12"/>
  <c r="E1652" i="12"/>
  <c r="D1652" i="12"/>
  <c r="C1652" i="12"/>
  <c r="B1652" i="12"/>
  <c r="O1651" i="12"/>
  <c r="N1651" i="12"/>
  <c r="M1651" i="12"/>
  <c r="K1651" i="12"/>
  <c r="J1651" i="12"/>
  <c r="I1651" i="12"/>
  <c r="H1651" i="12"/>
  <c r="F1651" i="12"/>
  <c r="E1651" i="12"/>
  <c r="D1651" i="12"/>
  <c r="C1651" i="12"/>
  <c r="B1651" i="12"/>
  <c r="O1650" i="12"/>
  <c r="N1650" i="12"/>
  <c r="M1650" i="12"/>
  <c r="K1650" i="12"/>
  <c r="J1650" i="12"/>
  <c r="I1650" i="12"/>
  <c r="H1650" i="12"/>
  <c r="F1650" i="12"/>
  <c r="E1650" i="12"/>
  <c r="D1650" i="12"/>
  <c r="C1650" i="12"/>
  <c r="B1650" i="12"/>
  <c r="O1649" i="12"/>
  <c r="N1649" i="12"/>
  <c r="M1649" i="12"/>
  <c r="K1649" i="12"/>
  <c r="J1649" i="12"/>
  <c r="I1649" i="12"/>
  <c r="H1649" i="12"/>
  <c r="F1649" i="12"/>
  <c r="E1649" i="12"/>
  <c r="D1649" i="12"/>
  <c r="C1649" i="12"/>
  <c r="B1649" i="12"/>
  <c r="O1648" i="12"/>
  <c r="N1648" i="12"/>
  <c r="M1648" i="12"/>
  <c r="K1648" i="12"/>
  <c r="J1648" i="12"/>
  <c r="I1648" i="12"/>
  <c r="H1648" i="12"/>
  <c r="F1648" i="12"/>
  <c r="E1648" i="12"/>
  <c r="D1648" i="12"/>
  <c r="C1648" i="12"/>
  <c r="B1648" i="12"/>
  <c r="O1647" i="12"/>
  <c r="N1647" i="12"/>
  <c r="M1647" i="12"/>
  <c r="K1647" i="12"/>
  <c r="J1647" i="12"/>
  <c r="I1647" i="12"/>
  <c r="H1647" i="12"/>
  <c r="F1647" i="12"/>
  <c r="E1647" i="12"/>
  <c r="D1647" i="12"/>
  <c r="C1647" i="12"/>
  <c r="B1647" i="12"/>
  <c r="O1646" i="12"/>
  <c r="N1646" i="12"/>
  <c r="M1646" i="12"/>
  <c r="K1646" i="12"/>
  <c r="J1646" i="12"/>
  <c r="I1646" i="12"/>
  <c r="H1646" i="12"/>
  <c r="F1646" i="12"/>
  <c r="E1646" i="12"/>
  <c r="D1646" i="12"/>
  <c r="C1646" i="12"/>
  <c r="B1646" i="12"/>
  <c r="O1645" i="12"/>
  <c r="N1645" i="12"/>
  <c r="M1645" i="12"/>
  <c r="K1645" i="12"/>
  <c r="J1645" i="12"/>
  <c r="I1645" i="12"/>
  <c r="H1645" i="12"/>
  <c r="F1645" i="12"/>
  <c r="E1645" i="12"/>
  <c r="D1645" i="12"/>
  <c r="C1645" i="12"/>
  <c r="B1645" i="12"/>
  <c r="O1644" i="12"/>
  <c r="N1644" i="12"/>
  <c r="M1644" i="12"/>
  <c r="K1644" i="12"/>
  <c r="J1644" i="12"/>
  <c r="I1644" i="12"/>
  <c r="H1644" i="12"/>
  <c r="F1644" i="12"/>
  <c r="E1644" i="12"/>
  <c r="D1644" i="12"/>
  <c r="C1644" i="12"/>
  <c r="B1644" i="12"/>
  <c r="O1643" i="12"/>
  <c r="N1643" i="12"/>
  <c r="M1643" i="12"/>
  <c r="K1643" i="12"/>
  <c r="J1643" i="12"/>
  <c r="I1643" i="12"/>
  <c r="H1643" i="12"/>
  <c r="F1643" i="12"/>
  <c r="E1643" i="12"/>
  <c r="D1643" i="12"/>
  <c r="C1643" i="12"/>
  <c r="B1643" i="12"/>
  <c r="O1642" i="12"/>
  <c r="N1642" i="12"/>
  <c r="M1642" i="12"/>
  <c r="K1642" i="12"/>
  <c r="J1642" i="12"/>
  <c r="I1642" i="12"/>
  <c r="H1642" i="12"/>
  <c r="F1642" i="12"/>
  <c r="E1642" i="12"/>
  <c r="D1642" i="12"/>
  <c r="C1642" i="12"/>
  <c r="B1642" i="12"/>
  <c r="O1641" i="12"/>
  <c r="N1641" i="12"/>
  <c r="M1641" i="12"/>
  <c r="K1641" i="12"/>
  <c r="J1641" i="12"/>
  <c r="I1641" i="12"/>
  <c r="H1641" i="12"/>
  <c r="F1641" i="12"/>
  <c r="E1641" i="12"/>
  <c r="D1641" i="12"/>
  <c r="C1641" i="12"/>
  <c r="B1641" i="12"/>
  <c r="O1640" i="12"/>
  <c r="N1640" i="12"/>
  <c r="M1640" i="12"/>
  <c r="K1640" i="12"/>
  <c r="J1640" i="12"/>
  <c r="I1640" i="12"/>
  <c r="H1640" i="12"/>
  <c r="F1640" i="12"/>
  <c r="E1640" i="12"/>
  <c r="D1640" i="12"/>
  <c r="C1640" i="12"/>
  <c r="B1640" i="12"/>
  <c r="O1639" i="12"/>
  <c r="N1639" i="12"/>
  <c r="M1639" i="12"/>
  <c r="K1639" i="12"/>
  <c r="J1639" i="12"/>
  <c r="I1639" i="12"/>
  <c r="H1639" i="12"/>
  <c r="F1639" i="12"/>
  <c r="E1639" i="12"/>
  <c r="D1639" i="12"/>
  <c r="C1639" i="12"/>
  <c r="B1639" i="12"/>
  <c r="O1638" i="12"/>
  <c r="N1638" i="12"/>
  <c r="M1638" i="12"/>
  <c r="F1638" i="12"/>
  <c r="E1638" i="12"/>
  <c r="D1638" i="12"/>
  <c r="C1638" i="12"/>
  <c r="B1638" i="12"/>
  <c r="O1637" i="12"/>
  <c r="N1637" i="12"/>
  <c r="M1637" i="12"/>
  <c r="F1637" i="12"/>
  <c r="E1637" i="12"/>
  <c r="D1637" i="12"/>
  <c r="C1637" i="12"/>
  <c r="B1637" i="12"/>
  <c r="O1636" i="12"/>
  <c r="N1636" i="12"/>
  <c r="M1636" i="12"/>
  <c r="F1636" i="12"/>
  <c r="E1636" i="12"/>
  <c r="D1636" i="12"/>
  <c r="C1636" i="12"/>
  <c r="B1636" i="12"/>
  <c r="O1635" i="12"/>
  <c r="N1635" i="12"/>
  <c r="M1635" i="12"/>
  <c r="F1635" i="12"/>
  <c r="E1635" i="12"/>
  <c r="D1635" i="12"/>
  <c r="C1635" i="12"/>
  <c r="B1635" i="12"/>
  <c r="O1634" i="12"/>
  <c r="N1634" i="12"/>
  <c r="M1634" i="12"/>
  <c r="F1634" i="12"/>
  <c r="E1634" i="12"/>
  <c r="D1634" i="12"/>
  <c r="C1634" i="12"/>
  <c r="B1634" i="12"/>
  <c r="O1633" i="12"/>
  <c r="N1633" i="12"/>
  <c r="M1633" i="12"/>
  <c r="F1633" i="12"/>
  <c r="E1633" i="12"/>
  <c r="D1633" i="12"/>
  <c r="C1633" i="12"/>
  <c r="B1633" i="12"/>
  <c r="O1632" i="12"/>
  <c r="N1632" i="12"/>
  <c r="M1632" i="12"/>
  <c r="F1632" i="12"/>
  <c r="E1632" i="12"/>
  <c r="D1632" i="12"/>
  <c r="C1632" i="12"/>
  <c r="B1632" i="12"/>
  <c r="O1631" i="12"/>
  <c r="N1631" i="12"/>
  <c r="M1631" i="12"/>
  <c r="F1631" i="12"/>
  <c r="E1631" i="12"/>
  <c r="D1631" i="12"/>
  <c r="C1631" i="12"/>
  <c r="B1631" i="12"/>
  <c r="O1630" i="12"/>
  <c r="N1630" i="12"/>
  <c r="M1630" i="12"/>
  <c r="F1630" i="12"/>
  <c r="E1630" i="12"/>
  <c r="D1630" i="12"/>
  <c r="C1630" i="12"/>
  <c r="B1630" i="12"/>
  <c r="O1629" i="12"/>
  <c r="N1629" i="12"/>
  <c r="M1629" i="12"/>
  <c r="F1629" i="12"/>
  <c r="E1629" i="12"/>
  <c r="D1629" i="12"/>
  <c r="C1629" i="12"/>
  <c r="B1629" i="12"/>
  <c r="O1628" i="12"/>
  <c r="N1628" i="12"/>
  <c r="M1628" i="12"/>
  <c r="F1628" i="12"/>
  <c r="E1628" i="12"/>
  <c r="D1628" i="12"/>
  <c r="C1628" i="12"/>
  <c r="B1628" i="12"/>
  <c r="O1627" i="12"/>
  <c r="N1627" i="12"/>
  <c r="M1627" i="12"/>
  <c r="F1627" i="12"/>
  <c r="E1627" i="12"/>
  <c r="D1627" i="12"/>
  <c r="C1627" i="12"/>
  <c r="B1627" i="12"/>
  <c r="O1626" i="12"/>
  <c r="N1626" i="12"/>
  <c r="M1626" i="12"/>
  <c r="F1626" i="12"/>
  <c r="E1626" i="12"/>
  <c r="D1626" i="12"/>
  <c r="C1626" i="12"/>
  <c r="B1626" i="12"/>
  <c r="O1625" i="12"/>
  <c r="N1625" i="12"/>
  <c r="M1625" i="12"/>
  <c r="F1625" i="12"/>
  <c r="E1625" i="12"/>
  <c r="D1625" i="12"/>
  <c r="C1625" i="12"/>
  <c r="B1625" i="12"/>
  <c r="O1624" i="12"/>
  <c r="N1624" i="12"/>
  <c r="M1624" i="12"/>
  <c r="F1624" i="12"/>
  <c r="E1624" i="12"/>
  <c r="D1624" i="12"/>
  <c r="C1624" i="12"/>
  <c r="B1624" i="12"/>
  <c r="O1623" i="12"/>
  <c r="N1623" i="12"/>
  <c r="M1623" i="12"/>
  <c r="F1623" i="12"/>
  <c r="E1623" i="12"/>
  <c r="D1623" i="12"/>
  <c r="C1623" i="12"/>
  <c r="B1623" i="12"/>
  <c r="O1622" i="12"/>
  <c r="N1622" i="12"/>
  <c r="M1622" i="12"/>
  <c r="K1622" i="12"/>
  <c r="J1622" i="12"/>
  <c r="I1622" i="12"/>
  <c r="H1622" i="12"/>
  <c r="G1622" i="12"/>
  <c r="F1622" i="12"/>
  <c r="E1622" i="12"/>
  <c r="D1622" i="12"/>
  <c r="C1622" i="12"/>
  <c r="B1622" i="12"/>
  <c r="O1621" i="12"/>
  <c r="N1621" i="12"/>
  <c r="M1621" i="12"/>
  <c r="K1621" i="12"/>
  <c r="J1621" i="12"/>
  <c r="I1621" i="12"/>
  <c r="H1621" i="12"/>
  <c r="G1621" i="12"/>
  <c r="F1621" i="12"/>
  <c r="E1621" i="12"/>
  <c r="D1621" i="12"/>
  <c r="C1621" i="12"/>
  <c r="B1621" i="12"/>
  <c r="O1620" i="12"/>
  <c r="N1620" i="12"/>
  <c r="M1620" i="12"/>
  <c r="K1620" i="12"/>
  <c r="J1620" i="12"/>
  <c r="I1620" i="12"/>
  <c r="H1620" i="12"/>
  <c r="G1620" i="12"/>
  <c r="F1620" i="12"/>
  <c r="E1620" i="12"/>
  <c r="D1620" i="12"/>
  <c r="C1620" i="12"/>
  <c r="B1620" i="12"/>
  <c r="O1619" i="12"/>
  <c r="N1619" i="12"/>
  <c r="M1619" i="12"/>
  <c r="K1619" i="12"/>
  <c r="J1619" i="12"/>
  <c r="I1619" i="12"/>
  <c r="H1619" i="12"/>
  <c r="G1619" i="12"/>
  <c r="F1619" i="12"/>
  <c r="E1619" i="12"/>
  <c r="D1619" i="12"/>
  <c r="C1619" i="12"/>
  <c r="B1619" i="12"/>
  <c r="O1618" i="12"/>
  <c r="N1618" i="12"/>
  <c r="M1618" i="12"/>
  <c r="K1618" i="12"/>
  <c r="J1618" i="12"/>
  <c r="I1618" i="12"/>
  <c r="H1618" i="12"/>
  <c r="G1618" i="12"/>
  <c r="F1618" i="12"/>
  <c r="E1618" i="12"/>
  <c r="D1618" i="12"/>
  <c r="C1618" i="12"/>
  <c r="B1618" i="12"/>
  <c r="O1617" i="12"/>
  <c r="N1617" i="12"/>
  <c r="M1617" i="12"/>
  <c r="K1617" i="12"/>
  <c r="J1617" i="12"/>
  <c r="I1617" i="12"/>
  <c r="H1617" i="12"/>
  <c r="G1617" i="12"/>
  <c r="F1617" i="12"/>
  <c r="E1617" i="12"/>
  <c r="D1617" i="12"/>
  <c r="C1617" i="12"/>
  <c r="B1617" i="12"/>
  <c r="O1616" i="12"/>
  <c r="N1616" i="12"/>
  <c r="M1616" i="12"/>
  <c r="K1616" i="12"/>
  <c r="J1616" i="12"/>
  <c r="I1616" i="12"/>
  <c r="H1616" i="12"/>
  <c r="G1616" i="12"/>
  <c r="F1616" i="12"/>
  <c r="E1616" i="12"/>
  <c r="D1616" i="12"/>
  <c r="C1616" i="12"/>
  <c r="B1616" i="12"/>
  <c r="O1615" i="12"/>
  <c r="N1615" i="12"/>
  <c r="M1615" i="12"/>
  <c r="K1615" i="12"/>
  <c r="J1615" i="12"/>
  <c r="I1615" i="12"/>
  <c r="H1615" i="12"/>
  <c r="G1615" i="12"/>
  <c r="F1615" i="12"/>
  <c r="E1615" i="12"/>
  <c r="D1615" i="12"/>
  <c r="C1615" i="12"/>
  <c r="B1615" i="12"/>
  <c r="O1614" i="12"/>
  <c r="N1614" i="12"/>
  <c r="M1614" i="12"/>
  <c r="K1614" i="12"/>
  <c r="J1614" i="12"/>
  <c r="I1614" i="12"/>
  <c r="H1614" i="12"/>
  <c r="G1614" i="12"/>
  <c r="F1614" i="12"/>
  <c r="E1614" i="12"/>
  <c r="D1614" i="12"/>
  <c r="C1614" i="12"/>
  <c r="B1614" i="12"/>
  <c r="O1613" i="12"/>
  <c r="N1613" i="12"/>
  <c r="M1613" i="12"/>
  <c r="K1613" i="12"/>
  <c r="J1613" i="12"/>
  <c r="I1613" i="12"/>
  <c r="H1613" i="12"/>
  <c r="G1613" i="12"/>
  <c r="F1613" i="12"/>
  <c r="E1613" i="12"/>
  <c r="D1613" i="12"/>
  <c r="C1613" i="12"/>
  <c r="B1613" i="12"/>
  <c r="O1612" i="12"/>
  <c r="N1612" i="12"/>
  <c r="M1612" i="12"/>
  <c r="K1612" i="12"/>
  <c r="J1612" i="12"/>
  <c r="I1612" i="12"/>
  <c r="H1612" i="12"/>
  <c r="G1612" i="12"/>
  <c r="F1612" i="12"/>
  <c r="E1612" i="12"/>
  <c r="D1612" i="12"/>
  <c r="C1612" i="12"/>
  <c r="B1612" i="12"/>
  <c r="O1611" i="12"/>
  <c r="N1611" i="12"/>
  <c r="M1611" i="12"/>
  <c r="K1611" i="12"/>
  <c r="J1611" i="12"/>
  <c r="I1611" i="12"/>
  <c r="H1611" i="12"/>
  <c r="G1611" i="12"/>
  <c r="F1611" i="12"/>
  <c r="E1611" i="12"/>
  <c r="D1611" i="12"/>
  <c r="C1611" i="12"/>
  <c r="B1611" i="12"/>
  <c r="O1610" i="12"/>
  <c r="N1610" i="12"/>
  <c r="M1610" i="12"/>
  <c r="K1610" i="12"/>
  <c r="J1610" i="12"/>
  <c r="I1610" i="12"/>
  <c r="H1610" i="12"/>
  <c r="G1610" i="12"/>
  <c r="F1610" i="12"/>
  <c r="E1610" i="12"/>
  <c r="D1610" i="12"/>
  <c r="C1610" i="12"/>
  <c r="B1610" i="12"/>
  <c r="O1609" i="12"/>
  <c r="N1609" i="12"/>
  <c r="M1609" i="12"/>
  <c r="K1609" i="12"/>
  <c r="J1609" i="12"/>
  <c r="I1609" i="12"/>
  <c r="H1609" i="12"/>
  <c r="G1609" i="12"/>
  <c r="F1609" i="12"/>
  <c r="E1609" i="12"/>
  <c r="D1609" i="12"/>
  <c r="C1609" i="12"/>
  <c r="B1609" i="12"/>
  <c r="O1608" i="12"/>
  <c r="N1608" i="12"/>
  <c r="M1608" i="12"/>
  <c r="K1608" i="12"/>
  <c r="J1608" i="12"/>
  <c r="I1608" i="12"/>
  <c r="H1608" i="12"/>
  <c r="G1608" i="12"/>
  <c r="F1608" i="12"/>
  <c r="E1608" i="12"/>
  <c r="D1608" i="12"/>
  <c r="C1608" i="12"/>
  <c r="B1608" i="12"/>
  <c r="O1607" i="12"/>
  <c r="N1607" i="12"/>
  <c r="M1607" i="12"/>
  <c r="K1607" i="12"/>
  <c r="J1607" i="12"/>
  <c r="I1607" i="12"/>
  <c r="H1607" i="12"/>
  <c r="G1607" i="12"/>
  <c r="F1607" i="12"/>
  <c r="E1607" i="12"/>
  <c r="D1607" i="12"/>
  <c r="C1607" i="12"/>
  <c r="B1607" i="12"/>
  <c r="O1606" i="12"/>
  <c r="N1606" i="12"/>
  <c r="M1606" i="12"/>
  <c r="F1606" i="12"/>
  <c r="E1606" i="12"/>
  <c r="D1606" i="12"/>
  <c r="C1606" i="12"/>
  <c r="B1606" i="12"/>
  <c r="O1605" i="12"/>
  <c r="N1605" i="12"/>
  <c r="M1605" i="12"/>
  <c r="F1605" i="12"/>
  <c r="E1605" i="12"/>
  <c r="D1605" i="12"/>
  <c r="C1605" i="12"/>
  <c r="B1605" i="12"/>
  <c r="O1604" i="12"/>
  <c r="N1604" i="12"/>
  <c r="M1604" i="12"/>
  <c r="F1604" i="12"/>
  <c r="E1604" i="12"/>
  <c r="D1604" i="12"/>
  <c r="C1604" i="12"/>
  <c r="B1604" i="12"/>
  <c r="O1603" i="12"/>
  <c r="N1603" i="12"/>
  <c r="M1603" i="12"/>
  <c r="F1603" i="12"/>
  <c r="E1603" i="12"/>
  <c r="D1603" i="12"/>
  <c r="C1603" i="12"/>
  <c r="B1603" i="12"/>
  <c r="O1602" i="12"/>
  <c r="N1602" i="12"/>
  <c r="M1602" i="12"/>
  <c r="F1602" i="12"/>
  <c r="E1602" i="12"/>
  <c r="D1602" i="12"/>
  <c r="C1602" i="12"/>
  <c r="B1602" i="12"/>
  <c r="O1601" i="12"/>
  <c r="N1601" i="12"/>
  <c r="M1601" i="12"/>
  <c r="F1601" i="12"/>
  <c r="E1601" i="12"/>
  <c r="D1601" i="12"/>
  <c r="C1601" i="12"/>
  <c r="B1601" i="12"/>
  <c r="O1600" i="12"/>
  <c r="N1600" i="12"/>
  <c r="M1600" i="12"/>
  <c r="F1600" i="12"/>
  <c r="E1600" i="12"/>
  <c r="D1600" i="12"/>
  <c r="C1600" i="12"/>
  <c r="B1600" i="12"/>
  <c r="O1599" i="12"/>
  <c r="N1599" i="12"/>
  <c r="M1599" i="12"/>
  <c r="F1599" i="12"/>
  <c r="E1599" i="12"/>
  <c r="D1599" i="12"/>
  <c r="C1599" i="12"/>
  <c r="B1599" i="12"/>
  <c r="O1598" i="12"/>
  <c r="N1598" i="12"/>
  <c r="M1598" i="12"/>
  <c r="K1598" i="12"/>
  <c r="J1598" i="12"/>
  <c r="I1598" i="12"/>
  <c r="H1598" i="12"/>
  <c r="G1598" i="12"/>
  <c r="F1598" i="12"/>
  <c r="E1598" i="12"/>
  <c r="D1598" i="12"/>
  <c r="C1598" i="12"/>
  <c r="B1598" i="12"/>
  <c r="O1597" i="12"/>
  <c r="N1597" i="12"/>
  <c r="M1597" i="12"/>
  <c r="K1597" i="12"/>
  <c r="J1597" i="12"/>
  <c r="I1597" i="12"/>
  <c r="H1597" i="12"/>
  <c r="G1597" i="12"/>
  <c r="F1597" i="12"/>
  <c r="E1597" i="12"/>
  <c r="D1597" i="12"/>
  <c r="C1597" i="12"/>
  <c r="B1597" i="12"/>
  <c r="O1596" i="12"/>
  <c r="N1596" i="12"/>
  <c r="M1596" i="12"/>
  <c r="K1596" i="12"/>
  <c r="J1596" i="12"/>
  <c r="I1596" i="12"/>
  <c r="H1596" i="12"/>
  <c r="G1596" i="12"/>
  <c r="F1596" i="12"/>
  <c r="E1596" i="12"/>
  <c r="D1596" i="12"/>
  <c r="C1596" i="12"/>
  <c r="B1596" i="12"/>
  <c r="O1595" i="12"/>
  <c r="N1595" i="12"/>
  <c r="M1595" i="12"/>
  <c r="K1595" i="12"/>
  <c r="J1595" i="12"/>
  <c r="I1595" i="12"/>
  <c r="H1595" i="12"/>
  <c r="G1595" i="12"/>
  <c r="F1595" i="12"/>
  <c r="E1595" i="12"/>
  <c r="D1595" i="12"/>
  <c r="C1595" i="12"/>
  <c r="B1595" i="12"/>
  <c r="O1594" i="12"/>
  <c r="N1594" i="12"/>
  <c r="M1594" i="12"/>
  <c r="K1594" i="12"/>
  <c r="J1594" i="12"/>
  <c r="I1594" i="12"/>
  <c r="H1594" i="12"/>
  <c r="G1594" i="12"/>
  <c r="F1594" i="12"/>
  <c r="E1594" i="12"/>
  <c r="D1594" i="12"/>
  <c r="C1594" i="12"/>
  <c r="B1594" i="12"/>
  <c r="O1593" i="12"/>
  <c r="N1593" i="12"/>
  <c r="M1593" i="12"/>
  <c r="K1593" i="12"/>
  <c r="J1593" i="12"/>
  <c r="I1593" i="12"/>
  <c r="H1593" i="12"/>
  <c r="G1593" i="12"/>
  <c r="F1593" i="12"/>
  <c r="E1593" i="12"/>
  <c r="D1593" i="12"/>
  <c r="C1593" i="12"/>
  <c r="B1593" i="12"/>
  <c r="O1592" i="12"/>
  <c r="N1592" i="12"/>
  <c r="M1592" i="12"/>
  <c r="K1592" i="12"/>
  <c r="J1592" i="12"/>
  <c r="I1592" i="12"/>
  <c r="H1592" i="12"/>
  <c r="G1592" i="12"/>
  <c r="F1592" i="12"/>
  <c r="E1592" i="12"/>
  <c r="D1592" i="12"/>
  <c r="C1592" i="12"/>
  <c r="B1592" i="12"/>
  <c r="O1591" i="12"/>
  <c r="N1591" i="12"/>
  <c r="M1591" i="12"/>
  <c r="K1591" i="12"/>
  <c r="J1591" i="12"/>
  <c r="I1591" i="12"/>
  <c r="H1591" i="12"/>
  <c r="G1591" i="12"/>
  <c r="F1591" i="12"/>
  <c r="E1591" i="12"/>
  <c r="D1591" i="12"/>
  <c r="C1591" i="12"/>
  <c r="B1591" i="12"/>
  <c r="O1590" i="12"/>
  <c r="N1590" i="12"/>
  <c r="M1590" i="12"/>
  <c r="K1590" i="12"/>
  <c r="J1590" i="12"/>
  <c r="I1590" i="12"/>
  <c r="H1590" i="12"/>
  <c r="G1590" i="12"/>
  <c r="F1590" i="12"/>
  <c r="E1590" i="12"/>
  <c r="D1590" i="12"/>
  <c r="C1590" i="12"/>
  <c r="B1590" i="12"/>
  <c r="O1589" i="12"/>
  <c r="N1589" i="12"/>
  <c r="M1589" i="12"/>
  <c r="K1589" i="12"/>
  <c r="J1589" i="12"/>
  <c r="I1589" i="12"/>
  <c r="H1589" i="12"/>
  <c r="G1589" i="12"/>
  <c r="F1589" i="12"/>
  <c r="E1589" i="12"/>
  <c r="D1589" i="12"/>
  <c r="C1589" i="12"/>
  <c r="B1589" i="12"/>
  <c r="O1588" i="12"/>
  <c r="N1588" i="12"/>
  <c r="M1588" i="12"/>
  <c r="K1588" i="12"/>
  <c r="J1588" i="12"/>
  <c r="I1588" i="12"/>
  <c r="H1588" i="12"/>
  <c r="G1588" i="12"/>
  <c r="F1588" i="12"/>
  <c r="E1588" i="12"/>
  <c r="D1588" i="12"/>
  <c r="C1588" i="12"/>
  <c r="B1588" i="12"/>
  <c r="O1587" i="12"/>
  <c r="N1587" i="12"/>
  <c r="M1587" i="12"/>
  <c r="K1587" i="12"/>
  <c r="J1587" i="12"/>
  <c r="I1587" i="12"/>
  <c r="H1587" i="12"/>
  <c r="G1587" i="12"/>
  <c r="F1587" i="12"/>
  <c r="E1587" i="12"/>
  <c r="D1587" i="12"/>
  <c r="C1587" i="12"/>
  <c r="B1587" i="12"/>
  <c r="O1586" i="12"/>
  <c r="N1586" i="12"/>
  <c r="M1586" i="12"/>
  <c r="K1586" i="12"/>
  <c r="J1586" i="12"/>
  <c r="I1586" i="12"/>
  <c r="H1586" i="12"/>
  <c r="G1586" i="12"/>
  <c r="F1586" i="12"/>
  <c r="E1586" i="12"/>
  <c r="D1586" i="12"/>
  <c r="C1586" i="12"/>
  <c r="B1586" i="12"/>
  <c r="O1585" i="12"/>
  <c r="N1585" i="12"/>
  <c r="M1585" i="12"/>
  <c r="K1585" i="12"/>
  <c r="J1585" i="12"/>
  <c r="I1585" i="12"/>
  <c r="H1585" i="12"/>
  <c r="G1585" i="12"/>
  <c r="F1585" i="12"/>
  <c r="E1585" i="12"/>
  <c r="D1585" i="12"/>
  <c r="C1585" i="12"/>
  <c r="B1585" i="12"/>
  <c r="O1584" i="12"/>
  <c r="N1584" i="12"/>
  <c r="M1584" i="12"/>
  <c r="K1584" i="12"/>
  <c r="J1584" i="12"/>
  <c r="I1584" i="12"/>
  <c r="H1584" i="12"/>
  <c r="G1584" i="12"/>
  <c r="F1584" i="12"/>
  <c r="E1584" i="12"/>
  <c r="D1584" i="12"/>
  <c r="C1584" i="12"/>
  <c r="B1584" i="12"/>
  <c r="O1583" i="12"/>
  <c r="N1583" i="12"/>
  <c r="M1583" i="12"/>
  <c r="K1583" i="12"/>
  <c r="J1583" i="12"/>
  <c r="I1583" i="12"/>
  <c r="H1583" i="12"/>
  <c r="G1583" i="12"/>
  <c r="F1583" i="12"/>
  <c r="E1583" i="12"/>
  <c r="D1583" i="12"/>
  <c r="C1583" i="12"/>
  <c r="B1583" i="12"/>
  <c r="O1582" i="12"/>
  <c r="N1582" i="12"/>
  <c r="M1582" i="12"/>
  <c r="K1582" i="12"/>
  <c r="J1582" i="12"/>
  <c r="I1582" i="12"/>
  <c r="H1582" i="12"/>
  <c r="G1582" i="12"/>
  <c r="F1582" i="12"/>
  <c r="E1582" i="12"/>
  <c r="D1582" i="12"/>
  <c r="C1582" i="12"/>
  <c r="B1582" i="12"/>
  <c r="O1581" i="12"/>
  <c r="N1581" i="12"/>
  <c r="M1581" i="12"/>
  <c r="K1581" i="12"/>
  <c r="J1581" i="12"/>
  <c r="I1581" i="12"/>
  <c r="H1581" i="12"/>
  <c r="G1581" i="12"/>
  <c r="F1581" i="12"/>
  <c r="E1581" i="12"/>
  <c r="D1581" i="12"/>
  <c r="C1581" i="12"/>
  <c r="B1581" i="12"/>
  <c r="O1580" i="12"/>
  <c r="N1580" i="12"/>
  <c r="M1580" i="12"/>
  <c r="K1580" i="12"/>
  <c r="J1580" i="12"/>
  <c r="I1580" i="12"/>
  <c r="H1580" i="12"/>
  <c r="G1580" i="12"/>
  <c r="F1580" i="12"/>
  <c r="E1580" i="12"/>
  <c r="D1580" i="12"/>
  <c r="C1580" i="12"/>
  <c r="B1580" i="12"/>
  <c r="O1579" i="12"/>
  <c r="N1579" i="12"/>
  <c r="M1579" i="12"/>
  <c r="K1579" i="12"/>
  <c r="J1579" i="12"/>
  <c r="I1579" i="12"/>
  <c r="H1579" i="12"/>
  <c r="G1579" i="12"/>
  <c r="F1579" i="12"/>
  <c r="E1579" i="12"/>
  <c r="D1579" i="12"/>
  <c r="C1579" i="12"/>
  <c r="B1579" i="12"/>
  <c r="O1578" i="12"/>
  <c r="N1578" i="12"/>
  <c r="M1578" i="12"/>
  <c r="K1578" i="12"/>
  <c r="J1578" i="12"/>
  <c r="I1578" i="12"/>
  <c r="H1578" i="12"/>
  <c r="G1578" i="12"/>
  <c r="F1578" i="12"/>
  <c r="E1578" i="12"/>
  <c r="D1578" i="12"/>
  <c r="C1578" i="12"/>
  <c r="B1578" i="12"/>
  <c r="O1577" i="12"/>
  <c r="N1577" i="12"/>
  <c r="M1577" i="12"/>
  <c r="K1577" i="12"/>
  <c r="J1577" i="12"/>
  <c r="I1577" i="12"/>
  <c r="H1577" i="12"/>
  <c r="G1577" i="12"/>
  <c r="F1577" i="12"/>
  <c r="E1577" i="12"/>
  <c r="D1577" i="12"/>
  <c r="C1577" i="12"/>
  <c r="B1577" i="12"/>
  <c r="O1576" i="12"/>
  <c r="N1576" i="12"/>
  <c r="M1576" i="12"/>
  <c r="K1576" i="12"/>
  <c r="J1576" i="12"/>
  <c r="I1576" i="12"/>
  <c r="H1576" i="12"/>
  <c r="G1576" i="12"/>
  <c r="F1576" i="12"/>
  <c r="E1576" i="12"/>
  <c r="D1576" i="12"/>
  <c r="C1576" i="12"/>
  <c r="B1576" i="12"/>
  <c r="O1575" i="12"/>
  <c r="N1575" i="12"/>
  <c r="M1575" i="12"/>
  <c r="K1575" i="12"/>
  <c r="J1575" i="12"/>
  <c r="I1575" i="12"/>
  <c r="H1575" i="12"/>
  <c r="G1575" i="12"/>
  <c r="F1575" i="12"/>
  <c r="E1575" i="12"/>
  <c r="D1575" i="12"/>
  <c r="C1575" i="12"/>
  <c r="B1575" i="12"/>
  <c r="O1574" i="12"/>
  <c r="N1574" i="12"/>
  <c r="M1574" i="12"/>
  <c r="F1574" i="12"/>
  <c r="E1574" i="12"/>
  <c r="D1574" i="12"/>
  <c r="C1574" i="12"/>
  <c r="B1574" i="12"/>
  <c r="O1573" i="12"/>
  <c r="N1573" i="12"/>
  <c r="M1573" i="12"/>
  <c r="F1573" i="12"/>
  <c r="E1573" i="12"/>
  <c r="D1573" i="12"/>
  <c r="C1573" i="12"/>
  <c r="B1573" i="12"/>
  <c r="O1572" i="12"/>
  <c r="N1572" i="12"/>
  <c r="M1572" i="12"/>
  <c r="F1572" i="12"/>
  <c r="E1572" i="12"/>
  <c r="D1572" i="12"/>
  <c r="C1572" i="12"/>
  <c r="B1572" i="12"/>
  <c r="O1571" i="12"/>
  <c r="N1571" i="12"/>
  <c r="M1571" i="12"/>
  <c r="F1571" i="12"/>
  <c r="E1571" i="12"/>
  <c r="D1571" i="12"/>
  <c r="C1571" i="12"/>
  <c r="B1571" i="12"/>
  <c r="O1570" i="12"/>
  <c r="N1570" i="12"/>
  <c r="M1570" i="12"/>
  <c r="F1570" i="12"/>
  <c r="E1570" i="12"/>
  <c r="D1570" i="12"/>
  <c r="C1570" i="12"/>
  <c r="B1570" i="12"/>
  <c r="O1569" i="12"/>
  <c r="N1569" i="12"/>
  <c r="M1569" i="12"/>
  <c r="F1569" i="12"/>
  <c r="E1569" i="12"/>
  <c r="D1569" i="12"/>
  <c r="C1569" i="12"/>
  <c r="B1569" i="12"/>
  <c r="O1568" i="12"/>
  <c r="N1568" i="12"/>
  <c r="M1568" i="12"/>
  <c r="F1568" i="12"/>
  <c r="E1568" i="12"/>
  <c r="D1568" i="12"/>
  <c r="C1568" i="12"/>
  <c r="B1568" i="12"/>
  <c r="O1567" i="12"/>
  <c r="N1567" i="12"/>
  <c r="M1567" i="12"/>
  <c r="F1567" i="12"/>
  <c r="E1567" i="12"/>
  <c r="D1567" i="12"/>
  <c r="C1567" i="12"/>
  <c r="B1567" i="12"/>
  <c r="O1566" i="12"/>
  <c r="N1566" i="12"/>
  <c r="M1566" i="12"/>
  <c r="F1566" i="12"/>
  <c r="E1566" i="12"/>
  <c r="D1566" i="12"/>
  <c r="C1566" i="12"/>
  <c r="B1566" i="12"/>
  <c r="O1565" i="12"/>
  <c r="N1565" i="12"/>
  <c r="M1565" i="12"/>
  <c r="F1565" i="12"/>
  <c r="E1565" i="12"/>
  <c r="D1565" i="12"/>
  <c r="C1565" i="12"/>
  <c r="B1565" i="12"/>
  <c r="O1564" i="12"/>
  <c r="N1564" i="12"/>
  <c r="M1564" i="12"/>
  <c r="F1564" i="12"/>
  <c r="E1564" i="12"/>
  <c r="D1564" i="12"/>
  <c r="C1564" i="12"/>
  <c r="B1564" i="12"/>
  <c r="O1563" i="12"/>
  <c r="N1563" i="12"/>
  <c r="M1563" i="12"/>
  <c r="F1563" i="12"/>
  <c r="E1563" i="12"/>
  <c r="D1563" i="12"/>
  <c r="C1563" i="12"/>
  <c r="B1563" i="12"/>
  <c r="O1562" i="12"/>
  <c r="N1562" i="12"/>
  <c r="M1562" i="12"/>
  <c r="F1562" i="12"/>
  <c r="E1562" i="12"/>
  <c r="D1562" i="12"/>
  <c r="C1562" i="12"/>
  <c r="B1562" i="12"/>
  <c r="O1561" i="12"/>
  <c r="N1561" i="12"/>
  <c r="M1561" i="12"/>
  <c r="F1561" i="12"/>
  <c r="E1561" i="12"/>
  <c r="D1561" i="12"/>
  <c r="C1561" i="12"/>
  <c r="B1561" i="12"/>
  <c r="O1560" i="12"/>
  <c r="N1560" i="12"/>
  <c r="M1560" i="12"/>
  <c r="F1560" i="12"/>
  <c r="E1560" i="12"/>
  <c r="D1560" i="12"/>
  <c r="C1560" i="12"/>
  <c r="B1560" i="12"/>
  <c r="O1559" i="12"/>
  <c r="N1559" i="12"/>
  <c r="M1559" i="12"/>
  <c r="F1559" i="12"/>
  <c r="E1559" i="12"/>
  <c r="D1559" i="12"/>
  <c r="C1559" i="12"/>
  <c r="B1559" i="12"/>
  <c r="O1558" i="12"/>
  <c r="N1558" i="12"/>
  <c r="M1558" i="12"/>
  <c r="F1558" i="12"/>
  <c r="E1558" i="12"/>
  <c r="D1558" i="12"/>
  <c r="C1558" i="12"/>
  <c r="B1558" i="12"/>
  <c r="O1557" i="12"/>
  <c r="N1557" i="12"/>
  <c r="M1557" i="12"/>
  <c r="F1557" i="12"/>
  <c r="E1557" i="12"/>
  <c r="D1557" i="12"/>
  <c r="C1557" i="12"/>
  <c r="B1557" i="12"/>
  <c r="O1556" i="12"/>
  <c r="N1556" i="12"/>
  <c r="M1556" i="12"/>
  <c r="F1556" i="12"/>
  <c r="E1556" i="12"/>
  <c r="D1556" i="12"/>
  <c r="C1556" i="12"/>
  <c r="B1556" i="12"/>
  <c r="O1555" i="12"/>
  <c r="N1555" i="12"/>
  <c r="M1555" i="12"/>
  <c r="F1555" i="12"/>
  <c r="E1555" i="12"/>
  <c r="D1555" i="12"/>
  <c r="C1555" i="12"/>
  <c r="B1555" i="12"/>
  <c r="O1554" i="12"/>
  <c r="N1554" i="12"/>
  <c r="M1554" i="12"/>
  <c r="F1554" i="12"/>
  <c r="E1554" i="12"/>
  <c r="D1554" i="12"/>
  <c r="C1554" i="12"/>
  <c r="B1554" i="12"/>
  <c r="O1553" i="12"/>
  <c r="N1553" i="12"/>
  <c r="M1553" i="12"/>
  <c r="F1553" i="12"/>
  <c r="E1553" i="12"/>
  <c r="D1553" i="12"/>
  <c r="C1553" i="12"/>
  <c r="B1553" i="12"/>
  <c r="O1552" i="12"/>
  <c r="N1552" i="12"/>
  <c r="M1552" i="12"/>
  <c r="F1552" i="12"/>
  <c r="E1552" i="12"/>
  <c r="D1552" i="12"/>
  <c r="C1552" i="12"/>
  <c r="B1552" i="12"/>
  <c r="O1551" i="12"/>
  <c r="N1551" i="12"/>
  <c r="M1551" i="12"/>
  <c r="F1551" i="12"/>
  <c r="E1551" i="12"/>
  <c r="D1551" i="12"/>
  <c r="C1551" i="12"/>
  <c r="B1551" i="12"/>
  <c r="O1550" i="12"/>
  <c r="N1550" i="12"/>
  <c r="M1550" i="12"/>
  <c r="F1550" i="12"/>
  <c r="E1550" i="12"/>
  <c r="D1550" i="12"/>
  <c r="C1550" i="12"/>
  <c r="B1550" i="12"/>
  <c r="O1549" i="12"/>
  <c r="N1549" i="12"/>
  <c r="M1549" i="12"/>
  <c r="F1549" i="12"/>
  <c r="E1549" i="12"/>
  <c r="D1549" i="12"/>
  <c r="C1549" i="12"/>
  <c r="B1549" i="12"/>
  <c r="O1548" i="12"/>
  <c r="N1548" i="12"/>
  <c r="M1548" i="12"/>
  <c r="F1548" i="12"/>
  <c r="E1548" i="12"/>
  <c r="D1548" i="12"/>
  <c r="C1548" i="12"/>
  <c r="B1548" i="12"/>
  <c r="O1547" i="12"/>
  <c r="N1547" i="12"/>
  <c r="M1547" i="12"/>
  <c r="F1547" i="12"/>
  <c r="E1547" i="12"/>
  <c r="D1547" i="12"/>
  <c r="C1547" i="12"/>
  <c r="B1547" i="12"/>
  <c r="O1546" i="12"/>
  <c r="N1546" i="12"/>
  <c r="M1546" i="12"/>
  <c r="F1546" i="12"/>
  <c r="E1546" i="12"/>
  <c r="D1546" i="12"/>
  <c r="C1546" i="12"/>
  <c r="B1546" i="12"/>
  <c r="O1545" i="12"/>
  <c r="N1545" i="12"/>
  <c r="M1545" i="12"/>
  <c r="F1545" i="12"/>
  <c r="E1545" i="12"/>
  <c r="D1545" i="12"/>
  <c r="C1545" i="12"/>
  <c r="B1545" i="12"/>
  <c r="O1544" i="12"/>
  <c r="N1544" i="12"/>
  <c r="M1544" i="12"/>
  <c r="F1544" i="12"/>
  <c r="E1544" i="12"/>
  <c r="D1544" i="12"/>
  <c r="C1544" i="12"/>
  <c r="B1544" i="12"/>
  <c r="O1543" i="12"/>
  <c r="N1543" i="12"/>
  <c r="M1543" i="12"/>
  <c r="F1543" i="12"/>
  <c r="E1543" i="12"/>
  <c r="D1543" i="12"/>
  <c r="C1543" i="12"/>
  <c r="B1543" i="12"/>
  <c r="O1542" i="12"/>
  <c r="N1542" i="12"/>
  <c r="M1542" i="12"/>
  <c r="K1542" i="12"/>
  <c r="J1542" i="12"/>
  <c r="I1542" i="12"/>
  <c r="H1542" i="12"/>
  <c r="G1542" i="12"/>
  <c r="F1542" i="12"/>
  <c r="E1542" i="12"/>
  <c r="D1542" i="12"/>
  <c r="C1542" i="12"/>
  <c r="B1542" i="12"/>
  <c r="O1541" i="12"/>
  <c r="N1541" i="12"/>
  <c r="M1541" i="12"/>
  <c r="K1541" i="12"/>
  <c r="J1541" i="12"/>
  <c r="I1541" i="12"/>
  <c r="H1541" i="12"/>
  <c r="G1541" i="12"/>
  <c r="F1541" i="12"/>
  <c r="E1541" i="12"/>
  <c r="D1541" i="12"/>
  <c r="C1541" i="12"/>
  <c r="B1541" i="12"/>
  <c r="O1540" i="12"/>
  <c r="N1540" i="12"/>
  <c r="M1540" i="12"/>
  <c r="K1540" i="12"/>
  <c r="J1540" i="12"/>
  <c r="I1540" i="12"/>
  <c r="H1540" i="12"/>
  <c r="G1540" i="12"/>
  <c r="F1540" i="12"/>
  <c r="E1540" i="12"/>
  <c r="D1540" i="12"/>
  <c r="C1540" i="12"/>
  <c r="B1540" i="12"/>
  <c r="O1539" i="12"/>
  <c r="N1539" i="12"/>
  <c r="M1539" i="12"/>
  <c r="K1539" i="12"/>
  <c r="J1539" i="12"/>
  <c r="I1539" i="12"/>
  <c r="H1539" i="12"/>
  <c r="G1539" i="12"/>
  <c r="F1539" i="12"/>
  <c r="E1539" i="12"/>
  <c r="D1539" i="12"/>
  <c r="C1539" i="12"/>
  <c r="B1539" i="12"/>
  <c r="O1538" i="12"/>
  <c r="N1538" i="12"/>
  <c r="M1538" i="12"/>
  <c r="K1538" i="12"/>
  <c r="J1538" i="12"/>
  <c r="I1538" i="12"/>
  <c r="H1538" i="12"/>
  <c r="G1538" i="12"/>
  <c r="F1538" i="12"/>
  <c r="E1538" i="12"/>
  <c r="D1538" i="12"/>
  <c r="C1538" i="12"/>
  <c r="B1538" i="12"/>
  <c r="O1537" i="12"/>
  <c r="N1537" i="12"/>
  <c r="M1537" i="12"/>
  <c r="K1537" i="12"/>
  <c r="J1537" i="12"/>
  <c r="I1537" i="12"/>
  <c r="H1537" i="12"/>
  <c r="G1537" i="12"/>
  <c r="F1537" i="12"/>
  <c r="E1537" i="12"/>
  <c r="D1537" i="12"/>
  <c r="C1537" i="12"/>
  <c r="B1537" i="12"/>
  <c r="O1536" i="12"/>
  <c r="N1536" i="12"/>
  <c r="M1536" i="12"/>
  <c r="K1536" i="12"/>
  <c r="J1536" i="12"/>
  <c r="I1536" i="12"/>
  <c r="H1536" i="12"/>
  <c r="G1536" i="12"/>
  <c r="F1536" i="12"/>
  <c r="E1536" i="12"/>
  <c r="D1536" i="12"/>
  <c r="C1536" i="12"/>
  <c r="B1536" i="12"/>
  <c r="O1535" i="12"/>
  <c r="N1535" i="12"/>
  <c r="M1535" i="12"/>
  <c r="K1535" i="12"/>
  <c r="J1535" i="12"/>
  <c r="I1535" i="12"/>
  <c r="H1535" i="12"/>
  <c r="G1535" i="12"/>
  <c r="F1535" i="12"/>
  <c r="E1535" i="12"/>
  <c r="D1535" i="12"/>
  <c r="C1535" i="12"/>
  <c r="B1535" i="12"/>
  <c r="O1534" i="12"/>
  <c r="N1534" i="12"/>
  <c r="M1534" i="12"/>
  <c r="K1534" i="12"/>
  <c r="J1534" i="12"/>
  <c r="I1534" i="12"/>
  <c r="H1534" i="12"/>
  <c r="G1534" i="12"/>
  <c r="F1534" i="12"/>
  <c r="E1534" i="12"/>
  <c r="D1534" i="12"/>
  <c r="C1534" i="12"/>
  <c r="B1534" i="12"/>
  <c r="O1533" i="12"/>
  <c r="N1533" i="12"/>
  <c r="M1533" i="12"/>
  <c r="K1533" i="12"/>
  <c r="J1533" i="12"/>
  <c r="I1533" i="12"/>
  <c r="H1533" i="12"/>
  <c r="G1533" i="12"/>
  <c r="F1533" i="12"/>
  <c r="E1533" i="12"/>
  <c r="D1533" i="12"/>
  <c r="C1533" i="12"/>
  <c r="B1533" i="12"/>
  <c r="O1532" i="12"/>
  <c r="N1532" i="12"/>
  <c r="M1532" i="12"/>
  <c r="K1532" i="12"/>
  <c r="J1532" i="12"/>
  <c r="I1532" i="12"/>
  <c r="H1532" i="12"/>
  <c r="G1532" i="12"/>
  <c r="F1532" i="12"/>
  <c r="E1532" i="12"/>
  <c r="D1532" i="12"/>
  <c r="C1532" i="12"/>
  <c r="B1532" i="12"/>
  <c r="O1531" i="12"/>
  <c r="N1531" i="12"/>
  <c r="M1531" i="12"/>
  <c r="K1531" i="12"/>
  <c r="J1531" i="12"/>
  <c r="I1531" i="12"/>
  <c r="H1531" i="12"/>
  <c r="G1531" i="12"/>
  <c r="F1531" i="12"/>
  <c r="E1531" i="12"/>
  <c r="D1531" i="12"/>
  <c r="C1531" i="12"/>
  <c r="B1531" i="12"/>
  <c r="O1530" i="12"/>
  <c r="N1530" i="12"/>
  <c r="M1530" i="12"/>
  <c r="K1530" i="12"/>
  <c r="J1530" i="12"/>
  <c r="I1530" i="12"/>
  <c r="H1530" i="12"/>
  <c r="G1530" i="12"/>
  <c r="F1530" i="12"/>
  <c r="E1530" i="12"/>
  <c r="D1530" i="12"/>
  <c r="C1530" i="12"/>
  <c r="B1530" i="12"/>
  <c r="O1529" i="12"/>
  <c r="N1529" i="12"/>
  <c r="M1529" i="12"/>
  <c r="K1529" i="12"/>
  <c r="J1529" i="12"/>
  <c r="I1529" i="12"/>
  <c r="H1529" i="12"/>
  <c r="G1529" i="12"/>
  <c r="F1529" i="12"/>
  <c r="E1529" i="12"/>
  <c r="D1529" i="12"/>
  <c r="C1529" i="12"/>
  <c r="B1529" i="12"/>
  <c r="O1528" i="12"/>
  <c r="N1528" i="12"/>
  <c r="M1528" i="12"/>
  <c r="K1528" i="12"/>
  <c r="J1528" i="12"/>
  <c r="I1528" i="12"/>
  <c r="H1528" i="12"/>
  <c r="G1528" i="12"/>
  <c r="F1528" i="12"/>
  <c r="E1528" i="12"/>
  <c r="D1528" i="12"/>
  <c r="C1528" i="12"/>
  <c r="B1528" i="12"/>
  <c r="O1527" i="12"/>
  <c r="N1527" i="12"/>
  <c r="M1527" i="12"/>
  <c r="K1527" i="12"/>
  <c r="J1527" i="12"/>
  <c r="I1527" i="12"/>
  <c r="H1527" i="12"/>
  <c r="G1527" i="12"/>
  <c r="F1527" i="12"/>
  <c r="E1527" i="12"/>
  <c r="D1527" i="12"/>
  <c r="C1527" i="12"/>
  <c r="B1527" i="12"/>
  <c r="O1526" i="12"/>
  <c r="N1526" i="12"/>
  <c r="M1526" i="12"/>
  <c r="F1526" i="12"/>
  <c r="E1526" i="12"/>
  <c r="D1526" i="12"/>
  <c r="C1526" i="12"/>
  <c r="B1526" i="12"/>
  <c r="O1525" i="12"/>
  <c r="N1525" i="12"/>
  <c r="M1525" i="12"/>
  <c r="F1525" i="12"/>
  <c r="E1525" i="12"/>
  <c r="D1525" i="12"/>
  <c r="C1525" i="12"/>
  <c r="B1525" i="12"/>
  <c r="O1524" i="12"/>
  <c r="N1524" i="12"/>
  <c r="M1524" i="12"/>
  <c r="F1524" i="12"/>
  <c r="E1524" i="12"/>
  <c r="D1524" i="12"/>
  <c r="C1524" i="12"/>
  <c r="B1524" i="12"/>
  <c r="O1523" i="12"/>
  <c r="N1523" i="12"/>
  <c r="M1523" i="12"/>
  <c r="F1523" i="12"/>
  <c r="E1523" i="12"/>
  <c r="D1523" i="12"/>
  <c r="C1523" i="12"/>
  <c r="B1523" i="12"/>
  <c r="O1522" i="12"/>
  <c r="N1522" i="12"/>
  <c r="M1522" i="12"/>
  <c r="F1522" i="12"/>
  <c r="E1522" i="12"/>
  <c r="D1522" i="12"/>
  <c r="C1522" i="12"/>
  <c r="B1522" i="12"/>
  <c r="O1521" i="12"/>
  <c r="N1521" i="12"/>
  <c r="M1521" i="12"/>
  <c r="F1521" i="12"/>
  <c r="E1521" i="12"/>
  <c r="D1521" i="12"/>
  <c r="C1521" i="12"/>
  <c r="B1521" i="12"/>
  <c r="O1520" i="12"/>
  <c r="N1520" i="12"/>
  <c r="M1520" i="12"/>
  <c r="F1520" i="12"/>
  <c r="E1520" i="12"/>
  <c r="D1520" i="12"/>
  <c r="C1520" i="12"/>
  <c r="B1520" i="12"/>
  <c r="O1519" i="12"/>
  <c r="N1519" i="12"/>
  <c r="M1519" i="12"/>
  <c r="F1519" i="12"/>
  <c r="E1519" i="12"/>
  <c r="D1519" i="12"/>
  <c r="C1519" i="12"/>
  <c r="B1519" i="12"/>
  <c r="O1518" i="12"/>
  <c r="N1518" i="12"/>
  <c r="M1518" i="12"/>
  <c r="F1518" i="12"/>
  <c r="E1518" i="12"/>
  <c r="D1518" i="12"/>
  <c r="C1518" i="12"/>
  <c r="B1518" i="12"/>
  <c r="O1517" i="12"/>
  <c r="N1517" i="12"/>
  <c r="M1517" i="12"/>
  <c r="F1517" i="12"/>
  <c r="E1517" i="12"/>
  <c r="D1517" i="12"/>
  <c r="C1517" i="12"/>
  <c r="B1517" i="12"/>
  <c r="O1516" i="12"/>
  <c r="N1516" i="12"/>
  <c r="M1516" i="12"/>
  <c r="F1516" i="12"/>
  <c r="E1516" i="12"/>
  <c r="D1516" i="12"/>
  <c r="C1516" i="12"/>
  <c r="B1516" i="12"/>
  <c r="O1515" i="12"/>
  <c r="N1515" i="12"/>
  <c r="M1515" i="12"/>
  <c r="F1515" i="12"/>
  <c r="E1515" i="12"/>
  <c r="D1515" i="12"/>
  <c r="C1515" i="12"/>
  <c r="B1515" i="12"/>
  <c r="O1514" i="12"/>
  <c r="N1514" i="12"/>
  <c r="M1514" i="12"/>
  <c r="F1514" i="12"/>
  <c r="E1514" i="12"/>
  <c r="D1514" i="12"/>
  <c r="C1514" i="12"/>
  <c r="B1514" i="12"/>
  <c r="O1513" i="12"/>
  <c r="N1513" i="12"/>
  <c r="M1513" i="12"/>
  <c r="F1513" i="12"/>
  <c r="E1513" i="12"/>
  <c r="D1513" i="12"/>
  <c r="C1513" i="12"/>
  <c r="B1513" i="12"/>
  <c r="O1512" i="12"/>
  <c r="N1512" i="12"/>
  <c r="M1512" i="12"/>
  <c r="F1512" i="12"/>
  <c r="E1512" i="12"/>
  <c r="D1512" i="12"/>
  <c r="C1512" i="12"/>
  <c r="B1512" i="12"/>
  <c r="O1511" i="12"/>
  <c r="N1511" i="12"/>
  <c r="M1511" i="12"/>
  <c r="F1511" i="12"/>
  <c r="E1511" i="12"/>
  <c r="D1511" i="12"/>
  <c r="C1511" i="12"/>
  <c r="B1511" i="12"/>
  <c r="O1510" i="12"/>
  <c r="N1510" i="12"/>
  <c r="M1510" i="12"/>
  <c r="F1510" i="12"/>
  <c r="E1510" i="12"/>
  <c r="D1510" i="12"/>
  <c r="C1510" i="12"/>
  <c r="B1510" i="12"/>
  <c r="O1509" i="12"/>
  <c r="N1509" i="12"/>
  <c r="M1509" i="12"/>
  <c r="F1509" i="12"/>
  <c r="E1509" i="12"/>
  <c r="D1509" i="12"/>
  <c r="C1509" i="12"/>
  <c r="B1509" i="12"/>
  <c r="O1508" i="12"/>
  <c r="N1508" i="12"/>
  <c r="M1508" i="12"/>
  <c r="F1508" i="12"/>
  <c r="E1508" i="12"/>
  <c r="D1508" i="12"/>
  <c r="C1508" i="12"/>
  <c r="B1508" i="12"/>
  <c r="O1507" i="12"/>
  <c r="N1507" i="12"/>
  <c r="M1507" i="12"/>
  <c r="F1507" i="12"/>
  <c r="E1507" i="12"/>
  <c r="D1507" i="12"/>
  <c r="C1507" i="12"/>
  <c r="B1507" i="12"/>
  <c r="O1506" i="12"/>
  <c r="N1506" i="12"/>
  <c r="M1506" i="12"/>
  <c r="F1506" i="12"/>
  <c r="E1506" i="12"/>
  <c r="D1506" i="12"/>
  <c r="C1506" i="12"/>
  <c r="B1506" i="12"/>
  <c r="O1505" i="12"/>
  <c r="N1505" i="12"/>
  <c r="M1505" i="12"/>
  <c r="F1505" i="12"/>
  <c r="E1505" i="12"/>
  <c r="D1505" i="12"/>
  <c r="C1505" i="12"/>
  <c r="B1505" i="12"/>
  <c r="O1504" i="12"/>
  <c r="N1504" i="12"/>
  <c r="M1504" i="12"/>
  <c r="F1504" i="12"/>
  <c r="E1504" i="12"/>
  <c r="D1504" i="12"/>
  <c r="C1504" i="12"/>
  <c r="B1504" i="12"/>
  <c r="O1503" i="12"/>
  <c r="N1503" i="12"/>
  <c r="M1503" i="12"/>
  <c r="F1503" i="12"/>
  <c r="E1503" i="12"/>
  <c r="D1503" i="12"/>
  <c r="C1503" i="12"/>
  <c r="B1503" i="12"/>
  <c r="O1502" i="12"/>
  <c r="N1502" i="12"/>
  <c r="M1502" i="12"/>
  <c r="F1502" i="12"/>
  <c r="E1502" i="12"/>
  <c r="D1502" i="12"/>
  <c r="C1502" i="12"/>
  <c r="B1502" i="12"/>
  <c r="O1501" i="12"/>
  <c r="N1501" i="12"/>
  <c r="M1501" i="12"/>
  <c r="F1501" i="12"/>
  <c r="E1501" i="12"/>
  <c r="D1501" i="12"/>
  <c r="C1501" i="12"/>
  <c r="B1501" i="12"/>
  <c r="O1500" i="12"/>
  <c r="N1500" i="12"/>
  <c r="M1500" i="12"/>
  <c r="F1500" i="12"/>
  <c r="E1500" i="12"/>
  <c r="D1500" i="12"/>
  <c r="C1500" i="12"/>
  <c r="B1500" i="12"/>
  <c r="O1499" i="12"/>
  <c r="N1499" i="12"/>
  <c r="M1499" i="12"/>
  <c r="K1499" i="12"/>
  <c r="J1499" i="12"/>
  <c r="I1499" i="12"/>
  <c r="H1499" i="12"/>
  <c r="G1499" i="12"/>
  <c r="F1499" i="12"/>
  <c r="E1499" i="12"/>
  <c r="D1499" i="12"/>
  <c r="C1499" i="12"/>
  <c r="B1499" i="12"/>
  <c r="O1498" i="12"/>
  <c r="N1498" i="12"/>
  <c r="M1498" i="12"/>
  <c r="K1498" i="12"/>
  <c r="J1498" i="12"/>
  <c r="I1498" i="12"/>
  <c r="H1498" i="12"/>
  <c r="G1498" i="12"/>
  <c r="F1498" i="12"/>
  <c r="E1498" i="12"/>
  <c r="D1498" i="12"/>
  <c r="C1498" i="12"/>
  <c r="B1498" i="12"/>
  <c r="O1497" i="12"/>
  <c r="N1497" i="12"/>
  <c r="M1497" i="12"/>
  <c r="K1497" i="12"/>
  <c r="J1497" i="12"/>
  <c r="I1497" i="12"/>
  <c r="H1497" i="12"/>
  <c r="G1497" i="12"/>
  <c r="F1497" i="12"/>
  <c r="E1497" i="12"/>
  <c r="D1497" i="12"/>
  <c r="C1497" i="12"/>
  <c r="B1497" i="12"/>
  <c r="O1496" i="12"/>
  <c r="N1496" i="12"/>
  <c r="M1496" i="12"/>
  <c r="K1496" i="12"/>
  <c r="J1496" i="12"/>
  <c r="I1496" i="12"/>
  <c r="H1496" i="12"/>
  <c r="G1496" i="12"/>
  <c r="F1496" i="12"/>
  <c r="E1496" i="12"/>
  <c r="D1496" i="12"/>
  <c r="C1496" i="12"/>
  <c r="B1496" i="12"/>
  <c r="O1495" i="12"/>
  <c r="N1495" i="12"/>
  <c r="M1495" i="12"/>
  <c r="K1495" i="12"/>
  <c r="J1495" i="12"/>
  <c r="I1495" i="12"/>
  <c r="H1495" i="12"/>
  <c r="G1495" i="12"/>
  <c r="F1495" i="12"/>
  <c r="E1495" i="12"/>
  <c r="D1495" i="12"/>
  <c r="C1495" i="12"/>
  <c r="B1495" i="12"/>
  <c r="O1494" i="12"/>
  <c r="N1494" i="12"/>
  <c r="M1494" i="12"/>
  <c r="K1494" i="12"/>
  <c r="J1494" i="12"/>
  <c r="I1494" i="12"/>
  <c r="H1494" i="12"/>
  <c r="G1494" i="12"/>
  <c r="F1494" i="12"/>
  <c r="E1494" i="12"/>
  <c r="D1494" i="12"/>
  <c r="C1494" i="12"/>
  <c r="B1494" i="12"/>
  <c r="O1493" i="12"/>
  <c r="N1493" i="12"/>
  <c r="M1493" i="12"/>
  <c r="K1493" i="12"/>
  <c r="J1493" i="12"/>
  <c r="I1493" i="12"/>
  <c r="H1493" i="12"/>
  <c r="G1493" i="12"/>
  <c r="F1493" i="12"/>
  <c r="E1493" i="12"/>
  <c r="D1493" i="12"/>
  <c r="C1493" i="12"/>
  <c r="B1493" i="12"/>
  <c r="O1492" i="12"/>
  <c r="N1492" i="12"/>
  <c r="M1492" i="12"/>
  <c r="K1492" i="12"/>
  <c r="J1492" i="12"/>
  <c r="I1492" i="12"/>
  <c r="H1492" i="12"/>
  <c r="G1492" i="12"/>
  <c r="F1492" i="12"/>
  <c r="E1492" i="12"/>
  <c r="D1492" i="12"/>
  <c r="C1492" i="12"/>
  <c r="B1492" i="12"/>
  <c r="O1491" i="12"/>
  <c r="N1491" i="12"/>
  <c r="M1491" i="12"/>
  <c r="K1491" i="12"/>
  <c r="J1491" i="12"/>
  <c r="I1491" i="12"/>
  <c r="H1491" i="12"/>
  <c r="G1491" i="12"/>
  <c r="F1491" i="12"/>
  <c r="E1491" i="12"/>
  <c r="D1491" i="12"/>
  <c r="C1491" i="12"/>
  <c r="B1491" i="12"/>
  <c r="O1490" i="12"/>
  <c r="N1490" i="12"/>
  <c r="M1490" i="12"/>
  <c r="K1490" i="12"/>
  <c r="J1490" i="12"/>
  <c r="I1490" i="12"/>
  <c r="H1490" i="12"/>
  <c r="G1490" i="12"/>
  <c r="F1490" i="12"/>
  <c r="E1490" i="12"/>
  <c r="D1490" i="12"/>
  <c r="C1490" i="12"/>
  <c r="B1490" i="12"/>
  <c r="O1489" i="12"/>
  <c r="N1489" i="12"/>
  <c r="M1489" i="12"/>
  <c r="K1489" i="12"/>
  <c r="J1489" i="12"/>
  <c r="I1489" i="12"/>
  <c r="H1489" i="12"/>
  <c r="G1489" i="12"/>
  <c r="F1489" i="12"/>
  <c r="E1489" i="12"/>
  <c r="D1489" i="12"/>
  <c r="C1489" i="12"/>
  <c r="B1489" i="12"/>
  <c r="O1488" i="12"/>
  <c r="N1488" i="12"/>
  <c r="M1488" i="12"/>
  <c r="K1488" i="12"/>
  <c r="J1488" i="12"/>
  <c r="I1488" i="12"/>
  <c r="H1488" i="12"/>
  <c r="G1488" i="12"/>
  <c r="F1488" i="12"/>
  <c r="E1488" i="12"/>
  <c r="D1488" i="12"/>
  <c r="C1488" i="12"/>
  <c r="B1488" i="12"/>
  <c r="O1487" i="12"/>
  <c r="N1487" i="12"/>
  <c r="M1487" i="12"/>
  <c r="K1487" i="12"/>
  <c r="J1487" i="12"/>
  <c r="I1487" i="12"/>
  <c r="H1487" i="12"/>
  <c r="G1487" i="12"/>
  <c r="F1487" i="12"/>
  <c r="E1487" i="12"/>
  <c r="D1487" i="12"/>
  <c r="C1487" i="12"/>
  <c r="B1487" i="12"/>
  <c r="O1486" i="12"/>
  <c r="N1486" i="12"/>
  <c r="M1486" i="12"/>
  <c r="K1486" i="12"/>
  <c r="J1486" i="12"/>
  <c r="I1486" i="12"/>
  <c r="H1486" i="12"/>
  <c r="G1486" i="12"/>
  <c r="F1486" i="12"/>
  <c r="E1486" i="12"/>
  <c r="D1486" i="12"/>
  <c r="C1486" i="12"/>
  <c r="B1486" i="12"/>
  <c r="O1485" i="12"/>
  <c r="N1485" i="12"/>
  <c r="M1485" i="12"/>
  <c r="K1485" i="12"/>
  <c r="J1485" i="12"/>
  <c r="I1485" i="12"/>
  <c r="H1485" i="12"/>
  <c r="G1485" i="12"/>
  <c r="F1485" i="12"/>
  <c r="E1485" i="12"/>
  <c r="D1485" i="12"/>
  <c r="C1485" i="12"/>
  <c r="B1485" i="12"/>
  <c r="O1484" i="12"/>
  <c r="N1484" i="12"/>
  <c r="M1484" i="12"/>
  <c r="K1484" i="12"/>
  <c r="J1484" i="12"/>
  <c r="I1484" i="12"/>
  <c r="H1484" i="12"/>
  <c r="G1484" i="12"/>
  <c r="F1484" i="12"/>
  <c r="E1484" i="12"/>
  <c r="D1484" i="12"/>
  <c r="C1484" i="12"/>
  <c r="B1484" i="12"/>
  <c r="O1483" i="12"/>
  <c r="N1483" i="12"/>
  <c r="M1483" i="12"/>
  <c r="K1483" i="12"/>
  <c r="J1483" i="12"/>
  <c r="I1483" i="12"/>
  <c r="H1483" i="12"/>
  <c r="G1483" i="12"/>
  <c r="F1483" i="12"/>
  <c r="E1483" i="12"/>
  <c r="D1483" i="12"/>
  <c r="C1483" i="12"/>
  <c r="B1483" i="12"/>
  <c r="O1482" i="12"/>
  <c r="N1482" i="12"/>
  <c r="M1482" i="12"/>
  <c r="K1482" i="12"/>
  <c r="J1482" i="12"/>
  <c r="I1482" i="12"/>
  <c r="H1482" i="12"/>
  <c r="G1482" i="12"/>
  <c r="F1482" i="12"/>
  <c r="E1482" i="12"/>
  <c r="D1482" i="12"/>
  <c r="C1482" i="12"/>
  <c r="B1482" i="12"/>
  <c r="O1481" i="12"/>
  <c r="N1481" i="12"/>
  <c r="M1481" i="12"/>
  <c r="K1481" i="12"/>
  <c r="J1481" i="12"/>
  <c r="I1481" i="12"/>
  <c r="H1481" i="12"/>
  <c r="G1481" i="12"/>
  <c r="F1481" i="12"/>
  <c r="E1481" i="12"/>
  <c r="D1481" i="12"/>
  <c r="C1481" i="12"/>
  <c r="B1481" i="12"/>
  <c r="O1480" i="12"/>
  <c r="N1480" i="12"/>
  <c r="M1480" i="12"/>
  <c r="K1480" i="12"/>
  <c r="J1480" i="12"/>
  <c r="I1480" i="12"/>
  <c r="H1480" i="12"/>
  <c r="G1480" i="12"/>
  <c r="F1480" i="12"/>
  <c r="E1480" i="12"/>
  <c r="D1480" i="12"/>
  <c r="C1480" i="12"/>
  <c r="B1480" i="12"/>
  <c r="O1479" i="12"/>
  <c r="N1479" i="12"/>
  <c r="M1479" i="12"/>
  <c r="K1479" i="12"/>
  <c r="J1479" i="12"/>
  <c r="I1479" i="12"/>
  <c r="H1479" i="12"/>
  <c r="G1479" i="12"/>
  <c r="F1479" i="12"/>
  <c r="E1479" i="12"/>
  <c r="D1479" i="12"/>
  <c r="C1479" i="12"/>
  <c r="B1479" i="12"/>
  <c r="O1478" i="12"/>
  <c r="N1478" i="12"/>
  <c r="M1478" i="12"/>
  <c r="K1478" i="12"/>
  <c r="J1478" i="12"/>
  <c r="I1478" i="12"/>
  <c r="H1478" i="12"/>
  <c r="G1478" i="12"/>
  <c r="F1478" i="12"/>
  <c r="E1478" i="12"/>
  <c r="D1478" i="12"/>
  <c r="C1478" i="12"/>
  <c r="B1478" i="12"/>
  <c r="O1477" i="12"/>
  <c r="N1477" i="12"/>
  <c r="M1477" i="12"/>
  <c r="K1477" i="12"/>
  <c r="J1477" i="12"/>
  <c r="I1477" i="12"/>
  <c r="H1477" i="12"/>
  <c r="G1477" i="12"/>
  <c r="F1477" i="12"/>
  <c r="E1477" i="12"/>
  <c r="D1477" i="12"/>
  <c r="C1477" i="12"/>
  <c r="B1477" i="12"/>
  <c r="O1476" i="12"/>
  <c r="N1476" i="12"/>
  <c r="M1476" i="12"/>
  <c r="K1476" i="12"/>
  <c r="J1476" i="12"/>
  <c r="I1476" i="12"/>
  <c r="H1476" i="12"/>
  <c r="G1476" i="12"/>
  <c r="F1476" i="12"/>
  <c r="E1476" i="12"/>
  <c r="D1476" i="12"/>
  <c r="C1476" i="12"/>
  <c r="B1476" i="12"/>
  <c r="O1475" i="12"/>
  <c r="N1475" i="12"/>
  <c r="M1475" i="12"/>
  <c r="K1475" i="12"/>
  <c r="J1475" i="12"/>
  <c r="I1475" i="12"/>
  <c r="H1475" i="12"/>
  <c r="G1475" i="12"/>
  <c r="F1475" i="12"/>
  <c r="E1475" i="12"/>
  <c r="D1475" i="12"/>
  <c r="C1475" i="12"/>
  <c r="B1475" i="12"/>
  <c r="O1474" i="12"/>
  <c r="N1474" i="12"/>
  <c r="M1474" i="12"/>
  <c r="K1474" i="12"/>
  <c r="J1474" i="12"/>
  <c r="I1474" i="12"/>
  <c r="H1474" i="12"/>
  <c r="G1474" i="12"/>
  <c r="F1474" i="12"/>
  <c r="E1474" i="12"/>
  <c r="D1474" i="12"/>
  <c r="C1474" i="12"/>
  <c r="B1474" i="12"/>
  <c r="O1473" i="12"/>
  <c r="N1473" i="12"/>
  <c r="M1473" i="12"/>
  <c r="K1473" i="12"/>
  <c r="J1473" i="12"/>
  <c r="I1473" i="12"/>
  <c r="H1473" i="12"/>
  <c r="G1473" i="12"/>
  <c r="F1473" i="12"/>
  <c r="E1473" i="12"/>
  <c r="D1473" i="12"/>
  <c r="C1473" i="12"/>
  <c r="B1473" i="12"/>
  <c r="O1472" i="12"/>
  <c r="N1472" i="12"/>
  <c r="M1472" i="12"/>
  <c r="K1472" i="12"/>
  <c r="J1472" i="12"/>
  <c r="I1472" i="12"/>
  <c r="H1472" i="12"/>
  <c r="G1472" i="12"/>
  <c r="F1472" i="12"/>
  <c r="E1472" i="12"/>
  <c r="D1472" i="12"/>
  <c r="C1472" i="12"/>
  <c r="B1472" i="12"/>
  <c r="O1471" i="12"/>
  <c r="N1471" i="12"/>
  <c r="M1471" i="12"/>
  <c r="K1471" i="12"/>
  <c r="J1471" i="12"/>
  <c r="I1471" i="12"/>
  <c r="H1471" i="12"/>
  <c r="G1471" i="12"/>
  <c r="F1471" i="12"/>
  <c r="E1471" i="12"/>
  <c r="D1471" i="12"/>
  <c r="C1471" i="12"/>
  <c r="B1471" i="12"/>
  <c r="O1470" i="12"/>
  <c r="N1470" i="12"/>
  <c r="M1470" i="12"/>
  <c r="K1470" i="12"/>
  <c r="J1470" i="12"/>
  <c r="I1470" i="12"/>
  <c r="H1470" i="12"/>
  <c r="G1470" i="12"/>
  <c r="F1470" i="12"/>
  <c r="E1470" i="12"/>
  <c r="D1470" i="12"/>
  <c r="C1470" i="12"/>
  <c r="B1470" i="12"/>
  <c r="O1469" i="12"/>
  <c r="N1469" i="12"/>
  <c r="M1469" i="12"/>
  <c r="K1469" i="12"/>
  <c r="J1469" i="12"/>
  <c r="I1469" i="12"/>
  <c r="H1469" i="12"/>
  <c r="G1469" i="12"/>
  <c r="F1469" i="12"/>
  <c r="E1469" i="12"/>
  <c r="D1469" i="12"/>
  <c r="C1469" i="12"/>
  <c r="B1469" i="12"/>
  <c r="O1468" i="12"/>
  <c r="N1468" i="12"/>
  <c r="M1468" i="12"/>
  <c r="K1468" i="12"/>
  <c r="J1468" i="12"/>
  <c r="I1468" i="12"/>
  <c r="H1468" i="12"/>
  <c r="G1468" i="12"/>
  <c r="F1468" i="12"/>
  <c r="E1468" i="12"/>
  <c r="D1468" i="12"/>
  <c r="C1468" i="12"/>
  <c r="B1468" i="12"/>
  <c r="O1467" i="12"/>
  <c r="N1467" i="12"/>
  <c r="M1467" i="12"/>
  <c r="K1467" i="12"/>
  <c r="J1467" i="12"/>
  <c r="I1467" i="12"/>
  <c r="H1467" i="12"/>
  <c r="G1467" i="12"/>
  <c r="F1467" i="12"/>
  <c r="E1467" i="12"/>
  <c r="D1467" i="12"/>
  <c r="C1467" i="12"/>
  <c r="B1467" i="12"/>
  <c r="O1466" i="12"/>
  <c r="N1466" i="12"/>
  <c r="M1466" i="12"/>
  <c r="K1466" i="12"/>
  <c r="J1466" i="12"/>
  <c r="I1466" i="12"/>
  <c r="H1466" i="12"/>
  <c r="G1466" i="12"/>
  <c r="F1466" i="12"/>
  <c r="E1466" i="12"/>
  <c r="D1466" i="12"/>
  <c r="C1466" i="12"/>
  <c r="B1466" i="12"/>
  <c r="O1465" i="12"/>
  <c r="N1465" i="12"/>
  <c r="M1465" i="12"/>
  <c r="K1465" i="12"/>
  <c r="J1465" i="12"/>
  <c r="I1465" i="12"/>
  <c r="H1465" i="12"/>
  <c r="G1465" i="12"/>
  <c r="F1465" i="12"/>
  <c r="E1465" i="12"/>
  <c r="D1465" i="12"/>
  <c r="C1465" i="12"/>
  <c r="B1465" i="12"/>
  <c r="O1464" i="12"/>
  <c r="N1464" i="12"/>
  <c r="M1464" i="12"/>
  <c r="K1464" i="12"/>
  <c r="J1464" i="12"/>
  <c r="I1464" i="12"/>
  <c r="H1464" i="12"/>
  <c r="G1464" i="12"/>
  <c r="F1464" i="12"/>
  <c r="E1464" i="12"/>
  <c r="D1464" i="12"/>
  <c r="C1464" i="12"/>
  <c r="B1464" i="12"/>
  <c r="O1463" i="12"/>
  <c r="N1463" i="12"/>
  <c r="M1463" i="12"/>
  <c r="K1463" i="12"/>
  <c r="J1463" i="12"/>
  <c r="I1463" i="12"/>
  <c r="H1463" i="12"/>
  <c r="G1463" i="12"/>
  <c r="F1463" i="12"/>
  <c r="E1463" i="12"/>
  <c r="D1463" i="12"/>
  <c r="C1463" i="12"/>
  <c r="B1463" i="12"/>
  <c r="O1462" i="12"/>
  <c r="N1462" i="12"/>
  <c r="M1462" i="12"/>
  <c r="F1462" i="12"/>
  <c r="E1462" i="12"/>
  <c r="D1462" i="12"/>
  <c r="C1462" i="12"/>
  <c r="B1462" i="12"/>
  <c r="O1461" i="12"/>
  <c r="N1461" i="12"/>
  <c r="M1461" i="12"/>
  <c r="F1461" i="12"/>
  <c r="E1461" i="12"/>
  <c r="D1461" i="12"/>
  <c r="C1461" i="12"/>
  <c r="B1461" i="12"/>
  <c r="O1460" i="12"/>
  <c r="N1460" i="12"/>
  <c r="M1460" i="12"/>
  <c r="F1460" i="12"/>
  <c r="E1460" i="12"/>
  <c r="D1460" i="12"/>
  <c r="C1460" i="12"/>
  <c r="B1460" i="12"/>
  <c r="O1459" i="12"/>
  <c r="N1459" i="12"/>
  <c r="M1459" i="12"/>
  <c r="F1459" i="12"/>
  <c r="E1459" i="12"/>
  <c r="D1459" i="12"/>
  <c r="C1459" i="12"/>
  <c r="B1459" i="12"/>
  <c r="O1458" i="12"/>
  <c r="N1458" i="12"/>
  <c r="M1458" i="12"/>
  <c r="F1458" i="12"/>
  <c r="E1458" i="12"/>
  <c r="D1458" i="12"/>
  <c r="C1458" i="12"/>
  <c r="B1458" i="12"/>
  <c r="O1457" i="12"/>
  <c r="N1457" i="12"/>
  <c r="M1457" i="12"/>
  <c r="F1457" i="12"/>
  <c r="E1457" i="12"/>
  <c r="D1457" i="12"/>
  <c r="C1457" i="12"/>
  <c r="B1457" i="12"/>
  <c r="O1456" i="12"/>
  <c r="N1456" i="12"/>
  <c r="M1456" i="12"/>
  <c r="F1456" i="12"/>
  <c r="E1456" i="12"/>
  <c r="D1456" i="12"/>
  <c r="C1456" i="12"/>
  <c r="B1456" i="12"/>
  <c r="O1455" i="12"/>
  <c r="N1455" i="12"/>
  <c r="M1455" i="12"/>
  <c r="F1455" i="12"/>
  <c r="E1455" i="12"/>
  <c r="D1455" i="12"/>
  <c r="C1455" i="12"/>
  <c r="B1455" i="12"/>
  <c r="O1454" i="12"/>
  <c r="N1454" i="12"/>
  <c r="M1454" i="12"/>
  <c r="F1454" i="12"/>
  <c r="E1454" i="12"/>
  <c r="D1454" i="12"/>
  <c r="C1454" i="12"/>
  <c r="B1454" i="12"/>
  <c r="O1453" i="12"/>
  <c r="N1453" i="12"/>
  <c r="M1453" i="12"/>
  <c r="F1453" i="12"/>
  <c r="E1453" i="12"/>
  <c r="D1453" i="12"/>
  <c r="C1453" i="12"/>
  <c r="B1453" i="12"/>
  <c r="O1452" i="12"/>
  <c r="N1452" i="12"/>
  <c r="M1452" i="12"/>
  <c r="F1452" i="12"/>
  <c r="E1452" i="12"/>
  <c r="D1452" i="12"/>
  <c r="C1452" i="12"/>
  <c r="B1452" i="12"/>
  <c r="O1451" i="12"/>
  <c r="N1451" i="12"/>
  <c r="M1451" i="12"/>
  <c r="F1451" i="12"/>
  <c r="E1451" i="12"/>
  <c r="D1451" i="12"/>
  <c r="C1451" i="12"/>
  <c r="B1451" i="12"/>
  <c r="O1450" i="12"/>
  <c r="N1450" i="12"/>
  <c r="M1450" i="12"/>
  <c r="F1450" i="12"/>
  <c r="E1450" i="12"/>
  <c r="D1450" i="12"/>
  <c r="C1450" i="12"/>
  <c r="B1450" i="12"/>
  <c r="O1449" i="12"/>
  <c r="N1449" i="12"/>
  <c r="M1449" i="12"/>
  <c r="F1449" i="12"/>
  <c r="E1449" i="12"/>
  <c r="D1449" i="12"/>
  <c r="C1449" i="12"/>
  <c r="B1449" i="12"/>
  <c r="O1448" i="12"/>
  <c r="N1448" i="12"/>
  <c r="M1448" i="12"/>
  <c r="F1448" i="12"/>
  <c r="E1448" i="12"/>
  <c r="D1448" i="12"/>
  <c r="C1448" i="12"/>
  <c r="B1448" i="12"/>
  <c r="O1447" i="12"/>
  <c r="N1447" i="12"/>
  <c r="M1447" i="12"/>
  <c r="F1447" i="12"/>
  <c r="E1447" i="12"/>
  <c r="D1447" i="12"/>
  <c r="C1447" i="12"/>
  <c r="B1447" i="12"/>
  <c r="O1446" i="12"/>
  <c r="N1446" i="12"/>
  <c r="M1446" i="12"/>
  <c r="F1446" i="12"/>
  <c r="E1446" i="12"/>
  <c r="D1446" i="12"/>
  <c r="C1446" i="12"/>
  <c r="B1446" i="12"/>
  <c r="O1445" i="12"/>
  <c r="N1445" i="12"/>
  <c r="M1445" i="12"/>
  <c r="F1445" i="12"/>
  <c r="E1445" i="12"/>
  <c r="D1445" i="12"/>
  <c r="C1445" i="12"/>
  <c r="B1445" i="12"/>
  <c r="O1444" i="12"/>
  <c r="N1444" i="12"/>
  <c r="M1444" i="12"/>
  <c r="F1444" i="12"/>
  <c r="E1444" i="12"/>
  <c r="D1444" i="12"/>
  <c r="C1444" i="12"/>
  <c r="B1444" i="12"/>
  <c r="O1443" i="12"/>
  <c r="N1443" i="12"/>
  <c r="M1443" i="12"/>
  <c r="F1443" i="12"/>
  <c r="E1443" i="12"/>
  <c r="D1443" i="12"/>
  <c r="C1443" i="12"/>
  <c r="B1443" i="12"/>
  <c r="O1442" i="12"/>
  <c r="N1442" i="12"/>
  <c r="M1442" i="12"/>
  <c r="F1442" i="12"/>
  <c r="E1442" i="12"/>
  <c r="D1442" i="12"/>
  <c r="C1442" i="12"/>
  <c r="B1442" i="12"/>
  <c r="O1441" i="12"/>
  <c r="N1441" i="12"/>
  <c r="M1441" i="12"/>
  <c r="F1441" i="12"/>
  <c r="E1441" i="12"/>
  <c r="D1441" i="12"/>
  <c r="C1441" i="12"/>
  <c r="B1441" i="12"/>
  <c r="O1440" i="12"/>
  <c r="N1440" i="12"/>
  <c r="M1440" i="12"/>
  <c r="F1440" i="12"/>
  <c r="E1440" i="12"/>
  <c r="D1440" i="12"/>
  <c r="C1440" i="12"/>
  <c r="B1440" i="12"/>
  <c r="O1439" i="12"/>
  <c r="N1439" i="12"/>
  <c r="M1439" i="12"/>
  <c r="F1439" i="12"/>
  <c r="E1439" i="12"/>
  <c r="D1439" i="12"/>
  <c r="C1439" i="12"/>
  <c r="B1439" i="12"/>
  <c r="O1438" i="12"/>
  <c r="N1438" i="12"/>
  <c r="M1438" i="12"/>
  <c r="F1438" i="12"/>
  <c r="E1438" i="12"/>
  <c r="D1438" i="12"/>
  <c r="C1438" i="12"/>
  <c r="B1438" i="12"/>
  <c r="O1437" i="12"/>
  <c r="N1437" i="12"/>
  <c r="M1437" i="12"/>
  <c r="F1437" i="12"/>
  <c r="E1437" i="12"/>
  <c r="D1437" i="12"/>
  <c r="C1437" i="12"/>
  <c r="B1437" i="12"/>
  <c r="O1436" i="12"/>
  <c r="N1436" i="12"/>
  <c r="M1436" i="12"/>
  <c r="F1436" i="12"/>
  <c r="E1436" i="12"/>
  <c r="D1436" i="12"/>
  <c r="C1436" i="12"/>
  <c r="B1436" i="12"/>
  <c r="O1435" i="12"/>
  <c r="N1435" i="12"/>
  <c r="M1435" i="12"/>
  <c r="F1435" i="12"/>
  <c r="E1435" i="12"/>
  <c r="D1435" i="12"/>
  <c r="C1435" i="12"/>
  <c r="B1435" i="12"/>
  <c r="O1434" i="12"/>
  <c r="N1434" i="12"/>
  <c r="M1434" i="12"/>
  <c r="F1434" i="12"/>
  <c r="E1434" i="12"/>
  <c r="D1434" i="12"/>
  <c r="C1434" i="12"/>
  <c r="B1434" i="12"/>
  <c r="O1433" i="12"/>
  <c r="N1433" i="12"/>
  <c r="M1433" i="12"/>
  <c r="F1433" i="12"/>
  <c r="E1433" i="12"/>
  <c r="D1433" i="12"/>
  <c r="C1433" i="12"/>
  <c r="B1433" i="12"/>
  <c r="O1432" i="12"/>
  <c r="N1432" i="12"/>
  <c r="M1432" i="12"/>
  <c r="F1432" i="12"/>
  <c r="E1432" i="12"/>
  <c r="D1432" i="12"/>
  <c r="C1432" i="12"/>
  <c r="B1432" i="12"/>
  <c r="O1431" i="12"/>
  <c r="N1431" i="12"/>
  <c r="M1431" i="12"/>
  <c r="F1431" i="12"/>
  <c r="E1431" i="12"/>
  <c r="D1431" i="12"/>
  <c r="C1431" i="12"/>
  <c r="B1431" i="12"/>
  <c r="O1430" i="12"/>
  <c r="N1430" i="12"/>
  <c r="M1430" i="12"/>
  <c r="F1430" i="12"/>
  <c r="E1430" i="12"/>
  <c r="D1430" i="12"/>
  <c r="C1430" i="12"/>
  <c r="B1430" i="12"/>
  <c r="O1429" i="12"/>
  <c r="N1429" i="12"/>
  <c r="M1429" i="12"/>
  <c r="F1429" i="12"/>
  <c r="E1429" i="12"/>
  <c r="D1429" i="12"/>
  <c r="C1429" i="12"/>
  <c r="B1429" i="12"/>
  <c r="O1428" i="12"/>
  <c r="N1428" i="12"/>
  <c r="M1428" i="12"/>
  <c r="F1428" i="12"/>
  <c r="E1428" i="12"/>
  <c r="D1428" i="12"/>
  <c r="C1428" i="12"/>
  <c r="B1428" i="12"/>
  <c r="O1427" i="12"/>
  <c r="N1427" i="12"/>
  <c r="M1427" i="12"/>
  <c r="F1427" i="12"/>
  <c r="E1427" i="12"/>
  <c r="D1427" i="12"/>
  <c r="C1427" i="12"/>
  <c r="B1427" i="12"/>
  <c r="O1426" i="12"/>
  <c r="N1426" i="12"/>
  <c r="M1426" i="12"/>
  <c r="F1426" i="12"/>
  <c r="E1426" i="12"/>
  <c r="D1426" i="12"/>
  <c r="C1426" i="12"/>
  <c r="B1426" i="12"/>
  <c r="O1425" i="12"/>
  <c r="N1425" i="12"/>
  <c r="M1425" i="12"/>
  <c r="F1425" i="12"/>
  <c r="E1425" i="12"/>
  <c r="D1425" i="12"/>
  <c r="C1425" i="12"/>
  <c r="B1425" i="12"/>
  <c r="O1424" i="12"/>
  <c r="N1424" i="12"/>
  <c r="M1424" i="12"/>
  <c r="F1424" i="12"/>
  <c r="E1424" i="12"/>
  <c r="D1424" i="12"/>
  <c r="C1424" i="12"/>
  <c r="B1424" i="12"/>
  <c r="O1423" i="12"/>
  <c r="N1423" i="12"/>
  <c r="M1423" i="12"/>
  <c r="F1423" i="12"/>
  <c r="E1423" i="12"/>
  <c r="D1423" i="12"/>
  <c r="C1423" i="12"/>
  <c r="B1423" i="12"/>
  <c r="O1422" i="12"/>
  <c r="N1422" i="12"/>
  <c r="M1422" i="12"/>
  <c r="F1422" i="12"/>
  <c r="E1422" i="12"/>
  <c r="D1422" i="12"/>
  <c r="C1422" i="12"/>
  <c r="B1422" i="12"/>
  <c r="O1421" i="12"/>
  <c r="N1421" i="12"/>
  <c r="M1421" i="12"/>
  <c r="F1421" i="12"/>
  <c r="E1421" i="12"/>
  <c r="D1421" i="12"/>
  <c r="C1421" i="12"/>
  <c r="B1421" i="12"/>
  <c r="O1420" i="12"/>
  <c r="N1420" i="12"/>
  <c r="M1420" i="12"/>
  <c r="F1420" i="12"/>
  <c r="E1420" i="12"/>
  <c r="D1420" i="12"/>
  <c r="C1420" i="12"/>
  <c r="B1420" i="12"/>
  <c r="O1419" i="12"/>
  <c r="N1419" i="12"/>
  <c r="M1419" i="12"/>
  <c r="F1419" i="12"/>
  <c r="E1419" i="12"/>
  <c r="D1419" i="12"/>
  <c r="C1419" i="12"/>
  <c r="B1419" i="12"/>
  <c r="O1418" i="12"/>
  <c r="N1418" i="12"/>
  <c r="M1418" i="12"/>
  <c r="F1418" i="12"/>
  <c r="E1418" i="12"/>
  <c r="D1418" i="12"/>
  <c r="C1418" i="12"/>
  <c r="B1418" i="12"/>
  <c r="O1417" i="12"/>
  <c r="N1417" i="12"/>
  <c r="M1417" i="12"/>
  <c r="F1417" i="12"/>
  <c r="E1417" i="12"/>
  <c r="D1417" i="12"/>
  <c r="C1417" i="12"/>
  <c r="B1417" i="12"/>
  <c r="O1416" i="12"/>
  <c r="N1416" i="12"/>
  <c r="M1416" i="12"/>
  <c r="F1416" i="12"/>
  <c r="E1416" i="12"/>
  <c r="D1416" i="12"/>
  <c r="C1416" i="12"/>
  <c r="B1416" i="12"/>
  <c r="O1415" i="12"/>
  <c r="N1415" i="12"/>
  <c r="M1415" i="12"/>
  <c r="F1415" i="12"/>
  <c r="E1415" i="12"/>
  <c r="D1415" i="12"/>
  <c r="C1415" i="12"/>
  <c r="B1415" i="12"/>
  <c r="O1414" i="12"/>
  <c r="N1414" i="12"/>
  <c r="M1414" i="12"/>
  <c r="F1414" i="12"/>
  <c r="E1414" i="12"/>
  <c r="D1414" i="12"/>
  <c r="C1414" i="12"/>
  <c r="B1414" i="12"/>
  <c r="O1413" i="12"/>
  <c r="N1413" i="12"/>
  <c r="M1413" i="12"/>
  <c r="F1413" i="12"/>
  <c r="E1413" i="12"/>
  <c r="D1413" i="12"/>
  <c r="C1413" i="12"/>
  <c r="B1413" i="12"/>
  <c r="O1412" i="12"/>
  <c r="N1412" i="12"/>
  <c r="M1412" i="12"/>
  <c r="F1412" i="12"/>
  <c r="E1412" i="12"/>
  <c r="D1412" i="12"/>
  <c r="C1412" i="12"/>
  <c r="B1412" i="12"/>
  <c r="O1411" i="12"/>
  <c r="N1411" i="12"/>
  <c r="M1411" i="12"/>
  <c r="F1411" i="12"/>
  <c r="E1411" i="12"/>
  <c r="D1411" i="12"/>
  <c r="C1411" i="12"/>
  <c r="B1411" i="12"/>
  <c r="O1410" i="12"/>
  <c r="N1410" i="12"/>
  <c r="M1410" i="12"/>
  <c r="F1410" i="12"/>
  <c r="E1410" i="12"/>
  <c r="D1410" i="12"/>
  <c r="C1410" i="12"/>
  <c r="B1410" i="12"/>
  <c r="O1409" i="12"/>
  <c r="N1409" i="12"/>
  <c r="M1409" i="12"/>
  <c r="F1409" i="12"/>
  <c r="E1409" i="12"/>
  <c r="D1409" i="12"/>
  <c r="C1409" i="12"/>
  <c r="B1409" i="12"/>
  <c r="O1408" i="12"/>
  <c r="N1408" i="12"/>
  <c r="M1408" i="12"/>
  <c r="F1408" i="12"/>
  <c r="E1408" i="12"/>
  <c r="D1408" i="12"/>
  <c r="C1408" i="12"/>
  <c r="B1408" i="12"/>
  <c r="O1407" i="12"/>
  <c r="N1407" i="12"/>
  <c r="M1407" i="12"/>
  <c r="F1407" i="12"/>
  <c r="E1407" i="12"/>
  <c r="D1407" i="12"/>
  <c r="C1407" i="12"/>
  <c r="B1407" i="12"/>
  <c r="O1406" i="12"/>
  <c r="N1406" i="12"/>
  <c r="M1406" i="12"/>
  <c r="F1406" i="12"/>
  <c r="E1406" i="12"/>
  <c r="D1406" i="12"/>
  <c r="C1406" i="12"/>
  <c r="B1406" i="12"/>
  <c r="O1405" i="12"/>
  <c r="N1405" i="12"/>
  <c r="M1405" i="12"/>
  <c r="F1405" i="12"/>
  <c r="E1405" i="12"/>
  <c r="D1405" i="12"/>
  <c r="C1405" i="12"/>
  <c r="B1405" i="12"/>
  <c r="O1404" i="12"/>
  <c r="N1404" i="12"/>
  <c r="M1404" i="12"/>
  <c r="F1404" i="12"/>
  <c r="E1404" i="12"/>
  <c r="D1404" i="12"/>
  <c r="C1404" i="12"/>
  <c r="B1404" i="12"/>
  <c r="O1403" i="12"/>
  <c r="N1403" i="12"/>
  <c r="M1403" i="12"/>
  <c r="F1403" i="12"/>
  <c r="E1403" i="12"/>
  <c r="D1403" i="12"/>
  <c r="C1403" i="12"/>
  <c r="B1403" i="12"/>
  <c r="O1402" i="12"/>
  <c r="N1402" i="12"/>
  <c r="M1402" i="12"/>
  <c r="F1402" i="12"/>
  <c r="E1402" i="12"/>
  <c r="D1402" i="12"/>
  <c r="C1402" i="12"/>
  <c r="B1402" i="12"/>
  <c r="O1401" i="12"/>
  <c r="N1401" i="12"/>
  <c r="M1401" i="12"/>
  <c r="F1401" i="12"/>
  <c r="E1401" i="12"/>
  <c r="D1401" i="12"/>
  <c r="C1401" i="12"/>
  <c r="B1401" i="12"/>
  <c r="O1400" i="12"/>
  <c r="N1400" i="12"/>
  <c r="M1400" i="12"/>
  <c r="F1400" i="12"/>
  <c r="E1400" i="12"/>
  <c r="D1400" i="12"/>
  <c r="C1400" i="12"/>
  <c r="B1400" i="12"/>
  <c r="O1399" i="12"/>
  <c r="N1399" i="12"/>
  <c r="M1399" i="12"/>
  <c r="F1399" i="12"/>
  <c r="E1399" i="12"/>
  <c r="D1399" i="12"/>
  <c r="C1399" i="12"/>
  <c r="B1399" i="12"/>
  <c r="O1398" i="12"/>
  <c r="N1398" i="12"/>
  <c r="M1398" i="12"/>
  <c r="F1398" i="12"/>
  <c r="E1398" i="12"/>
  <c r="D1398" i="12"/>
  <c r="C1398" i="12"/>
  <c r="B1398" i="12"/>
  <c r="O1397" i="12"/>
  <c r="N1397" i="12"/>
  <c r="M1397" i="12"/>
  <c r="F1397" i="12"/>
  <c r="E1397" i="12"/>
  <c r="D1397" i="12"/>
  <c r="C1397" i="12"/>
  <c r="B1397" i="12"/>
  <c r="O1396" i="12"/>
  <c r="N1396" i="12"/>
  <c r="M1396" i="12"/>
  <c r="F1396" i="12"/>
  <c r="E1396" i="12"/>
  <c r="D1396" i="12"/>
  <c r="C1396" i="12"/>
  <c r="B1396" i="12"/>
  <c r="O1395" i="12"/>
  <c r="N1395" i="12"/>
  <c r="M1395" i="12"/>
  <c r="F1395" i="12"/>
  <c r="E1395" i="12"/>
  <c r="D1395" i="12"/>
  <c r="C1395" i="12"/>
  <c r="B1395" i="12"/>
  <c r="O1394" i="12"/>
  <c r="N1394" i="12"/>
  <c r="M1394" i="12"/>
  <c r="F1394" i="12"/>
  <c r="E1394" i="12"/>
  <c r="D1394" i="12"/>
  <c r="C1394" i="12"/>
  <c r="B1394" i="12"/>
  <c r="O1393" i="12"/>
  <c r="N1393" i="12"/>
  <c r="M1393" i="12"/>
  <c r="F1393" i="12"/>
  <c r="E1393" i="12"/>
  <c r="D1393" i="12"/>
  <c r="C1393" i="12"/>
  <c r="B1393" i="12"/>
  <c r="O1392" i="12"/>
  <c r="N1392" i="12"/>
  <c r="M1392" i="12"/>
  <c r="F1392" i="12"/>
  <c r="E1392" i="12"/>
  <c r="D1392" i="12"/>
  <c r="C1392" i="12"/>
  <c r="B1392" i="12"/>
  <c r="O1391" i="12"/>
  <c r="N1391" i="12"/>
  <c r="M1391" i="12"/>
  <c r="F1391" i="12"/>
  <c r="E1391" i="12"/>
  <c r="D1391" i="12"/>
  <c r="C1391" i="12"/>
  <c r="B1391" i="12"/>
  <c r="O1390" i="12"/>
  <c r="N1390" i="12"/>
  <c r="M1390" i="12"/>
  <c r="F1390" i="12"/>
  <c r="E1390" i="12"/>
  <c r="D1390" i="12"/>
  <c r="C1390" i="12"/>
  <c r="B1390" i="12"/>
  <c r="O1389" i="12"/>
  <c r="N1389" i="12"/>
  <c r="M1389" i="12"/>
  <c r="F1389" i="12"/>
  <c r="E1389" i="12"/>
  <c r="D1389" i="12"/>
  <c r="C1389" i="12"/>
  <c r="B1389" i="12"/>
  <c r="O1388" i="12"/>
  <c r="N1388" i="12"/>
  <c r="M1388" i="12"/>
  <c r="F1388" i="12"/>
  <c r="E1388" i="12"/>
  <c r="D1388" i="12"/>
  <c r="C1388" i="12"/>
  <c r="B1388" i="12"/>
  <c r="O1387" i="12"/>
  <c r="N1387" i="12"/>
  <c r="M1387" i="12"/>
  <c r="K1387" i="12"/>
  <c r="J1387" i="12"/>
  <c r="I1387" i="12"/>
  <c r="H1387" i="12"/>
  <c r="G1387" i="12"/>
  <c r="F1387" i="12"/>
  <c r="E1387" i="12"/>
  <c r="D1387" i="12"/>
  <c r="C1387" i="12"/>
  <c r="B1387" i="12"/>
  <c r="O1386" i="12"/>
  <c r="N1386" i="12"/>
  <c r="M1386" i="12"/>
  <c r="K1386" i="12"/>
  <c r="J1386" i="12"/>
  <c r="I1386" i="12"/>
  <c r="H1386" i="12"/>
  <c r="G1386" i="12"/>
  <c r="F1386" i="12"/>
  <c r="E1386" i="12"/>
  <c r="D1386" i="12"/>
  <c r="C1386" i="12"/>
  <c r="B1386" i="12"/>
  <c r="O1385" i="12"/>
  <c r="N1385" i="12"/>
  <c r="M1385" i="12"/>
  <c r="K1385" i="12"/>
  <c r="J1385" i="12"/>
  <c r="I1385" i="12"/>
  <c r="H1385" i="12"/>
  <c r="G1385" i="12"/>
  <c r="F1385" i="12"/>
  <c r="E1385" i="12"/>
  <c r="D1385" i="12"/>
  <c r="C1385" i="12"/>
  <c r="B1385" i="12"/>
  <c r="O1384" i="12"/>
  <c r="N1384" i="12"/>
  <c r="M1384" i="12"/>
  <c r="K1384" i="12"/>
  <c r="J1384" i="12"/>
  <c r="I1384" i="12"/>
  <c r="H1384" i="12"/>
  <c r="G1384" i="12"/>
  <c r="F1384" i="12"/>
  <c r="E1384" i="12"/>
  <c r="D1384" i="12"/>
  <c r="C1384" i="12"/>
  <c r="B1384" i="12"/>
  <c r="O1383" i="12"/>
  <c r="N1383" i="12"/>
  <c r="M1383" i="12"/>
  <c r="K1383" i="12"/>
  <c r="J1383" i="12"/>
  <c r="I1383" i="12"/>
  <c r="H1383" i="12"/>
  <c r="G1383" i="12"/>
  <c r="F1383" i="12"/>
  <c r="E1383" i="12"/>
  <c r="D1383" i="12"/>
  <c r="C1383" i="12"/>
  <c r="B1383" i="12"/>
  <c r="O1382" i="12"/>
  <c r="N1382" i="12"/>
  <c r="M1382" i="12"/>
  <c r="F1382" i="12"/>
  <c r="E1382" i="12"/>
  <c r="D1382" i="12"/>
  <c r="C1382" i="12"/>
  <c r="B1382" i="12"/>
  <c r="O1381" i="12"/>
  <c r="N1381" i="12"/>
  <c r="M1381" i="12"/>
  <c r="F1381" i="12"/>
  <c r="E1381" i="12"/>
  <c r="D1381" i="12"/>
  <c r="C1381" i="12"/>
  <c r="B1381" i="12"/>
  <c r="O1380" i="12"/>
  <c r="N1380" i="12"/>
  <c r="M1380" i="12"/>
  <c r="F1380" i="12"/>
  <c r="E1380" i="12"/>
  <c r="D1380" i="12"/>
  <c r="C1380" i="12"/>
  <c r="B1380" i="12"/>
  <c r="O1379" i="12"/>
  <c r="N1379" i="12"/>
  <c r="M1379" i="12"/>
  <c r="F1379" i="12"/>
  <c r="E1379" i="12"/>
  <c r="D1379" i="12"/>
  <c r="C1379" i="12"/>
  <c r="B1379" i="12"/>
  <c r="O1378" i="12"/>
  <c r="N1378" i="12"/>
  <c r="M1378" i="12"/>
  <c r="F1378" i="12"/>
  <c r="E1378" i="12"/>
  <c r="D1378" i="12"/>
  <c r="C1378" i="12"/>
  <c r="B1378" i="12"/>
  <c r="O1377" i="12"/>
  <c r="N1377" i="12"/>
  <c r="M1377" i="12"/>
  <c r="F1377" i="12"/>
  <c r="E1377" i="12"/>
  <c r="D1377" i="12"/>
  <c r="C1377" i="12"/>
  <c r="B1377" i="12"/>
  <c r="O1376" i="12"/>
  <c r="N1376" i="12"/>
  <c r="M1376" i="12"/>
  <c r="F1376" i="12"/>
  <c r="E1376" i="12"/>
  <c r="D1376" i="12"/>
  <c r="C1376" i="12"/>
  <c r="B1376" i="12"/>
  <c r="O1375" i="12"/>
  <c r="N1375" i="12"/>
  <c r="M1375" i="12"/>
  <c r="F1375" i="12"/>
  <c r="E1375" i="12"/>
  <c r="D1375" i="12"/>
  <c r="C1375" i="12"/>
  <c r="B1375" i="12"/>
  <c r="O1374" i="12"/>
  <c r="N1374" i="12"/>
  <c r="M1374" i="12"/>
  <c r="F1374" i="12"/>
  <c r="E1374" i="12"/>
  <c r="D1374" i="12"/>
  <c r="C1374" i="12"/>
  <c r="B1374" i="12"/>
  <c r="O1373" i="12"/>
  <c r="N1373" i="12"/>
  <c r="M1373" i="12"/>
  <c r="F1373" i="12"/>
  <c r="E1373" i="12"/>
  <c r="D1373" i="12"/>
  <c r="C1373" i="12"/>
  <c r="B1373" i="12"/>
  <c r="O1372" i="12"/>
  <c r="N1372" i="12"/>
  <c r="M1372" i="12"/>
  <c r="F1372" i="12"/>
  <c r="E1372" i="12"/>
  <c r="D1372" i="12"/>
  <c r="C1372" i="12"/>
  <c r="B1372" i="12"/>
  <c r="O1371" i="12"/>
  <c r="N1371" i="12"/>
  <c r="M1371" i="12"/>
  <c r="F1371" i="12"/>
  <c r="E1371" i="12"/>
  <c r="D1371" i="12"/>
  <c r="C1371" i="12"/>
  <c r="B1371" i="12"/>
  <c r="O1370" i="12"/>
  <c r="N1370" i="12"/>
  <c r="M1370" i="12"/>
  <c r="F1370" i="12"/>
  <c r="E1370" i="12"/>
  <c r="D1370" i="12"/>
  <c r="C1370" i="12"/>
  <c r="B1370" i="12"/>
  <c r="O1369" i="12"/>
  <c r="N1369" i="12"/>
  <c r="M1369" i="12"/>
  <c r="F1369" i="12"/>
  <c r="E1369" i="12"/>
  <c r="D1369" i="12"/>
  <c r="C1369" i="12"/>
  <c r="B1369" i="12"/>
  <c r="O1368" i="12"/>
  <c r="N1368" i="12"/>
  <c r="M1368" i="12"/>
  <c r="F1368" i="12"/>
  <c r="E1368" i="12"/>
  <c r="D1368" i="12"/>
  <c r="C1368" i="12"/>
  <c r="B1368" i="12"/>
  <c r="O1367" i="12"/>
  <c r="N1367" i="12"/>
  <c r="M1367" i="12"/>
  <c r="F1367" i="12"/>
  <c r="E1367" i="12"/>
  <c r="D1367" i="12"/>
  <c r="C1367" i="12"/>
  <c r="B1367" i="12"/>
  <c r="O1366" i="12"/>
  <c r="N1366" i="12"/>
  <c r="M1366" i="12"/>
  <c r="F1366" i="12"/>
  <c r="E1366" i="12"/>
  <c r="D1366" i="12"/>
  <c r="C1366" i="12"/>
  <c r="B1366" i="12"/>
  <c r="O1365" i="12"/>
  <c r="N1365" i="12"/>
  <c r="M1365" i="12"/>
  <c r="F1365" i="12"/>
  <c r="E1365" i="12"/>
  <c r="D1365" i="12"/>
  <c r="C1365" i="12"/>
  <c r="B1365" i="12"/>
  <c r="O1364" i="12"/>
  <c r="N1364" i="12"/>
  <c r="M1364" i="12"/>
  <c r="F1364" i="12"/>
  <c r="E1364" i="12"/>
  <c r="D1364" i="12"/>
  <c r="C1364" i="12"/>
  <c r="B1364" i="12"/>
  <c r="O1363" i="12"/>
  <c r="N1363" i="12"/>
  <c r="M1363" i="12"/>
  <c r="F1363" i="12"/>
  <c r="E1363" i="12"/>
  <c r="D1363" i="12"/>
  <c r="C1363" i="12"/>
  <c r="B1363" i="12"/>
  <c r="O1362" i="12"/>
  <c r="N1362" i="12"/>
  <c r="M1362" i="12"/>
  <c r="F1362" i="12"/>
  <c r="E1362" i="12"/>
  <c r="D1362" i="12"/>
  <c r="C1362" i="12"/>
  <c r="B1362" i="12"/>
  <c r="O1361" i="12"/>
  <c r="N1361" i="12"/>
  <c r="M1361" i="12"/>
  <c r="F1361" i="12"/>
  <c r="E1361" i="12"/>
  <c r="D1361" i="12"/>
  <c r="C1361" i="12"/>
  <c r="B1361" i="12"/>
  <c r="O1360" i="12"/>
  <c r="N1360" i="12"/>
  <c r="M1360" i="12"/>
  <c r="F1360" i="12"/>
  <c r="E1360" i="12"/>
  <c r="D1360" i="12"/>
  <c r="C1360" i="12"/>
  <c r="B1360" i="12"/>
  <c r="O1359" i="12"/>
  <c r="N1359" i="12"/>
  <c r="M1359" i="12"/>
  <c r="F1359" i="12"/>
  <c r="E1359" i="12"/>
  <c r="D1359" i="12"/>
  <c r="C1359" i="12"/>
  <c r="B1359" i="12"/>
  <c r="O1358" i="12"/>
  <c r="N1358" i="12"/>
  <c r="M1358" i="12"/>
  <c r="K1358" i="12"/>
  <c r="J1358" i="12"/>
  <c r="I1358" i="12"/>
  <c r="H1358" i="12"/>
  <c r="G1358" i="12"/>
  <c r="F1358" i="12"/>
  <c r="E1358" i="12"/>
  <c r="D1358" i="12"/>
  <c r="C1358" i="12"/>
  <c r="B1358" i="12"/>
  <c r="O1357" i="12"/>
  <c r="N1357" i="12"/>
  <c r="M1357" i="12"/>
  <c r="K1357" i="12"/>
  <c r="J1357" i="12"/>
  <c r="I1357" i="12"/>
  <c r="H1357" i="12"/>
  <c r="G1357" i="12"/>
  <c r="F1357" i="12"/>
  <c r="E1357" i="12"/>
  <c r="D1357" i="12"/>
  <c r="C1357" i="12"/>
  <c r="B1357" i="12"/>
  <c r="O1356" i="12"/>
  <c r="N1356" i="12"/>
  <c r="M1356" i="12"/>
  <c r="K1356" i="12"/>
  <c r="J1356" i="12"/>
  <c r="I1356" i="12"/>
  <c r="H1356" i="12"/>
  <c r="G1356" i="12"/>
  <c r="F1356" i="12"/>
  <c r="E1356" i="12"/>
  <c r="D1356" i="12"/>
  <c r="C1356" i="12"/>
  <c r="B1356" i="12"/>
  <c r="O1355" i="12"/>
  <c r="N1355" i="12"/>
  <c r="M1355" i="12"/>
  <c r="K1355" i="12"/>
  <c r="J1355" i="12"/>
  <c r="I1355" i="12"/>
  <c r="H1355" i="12"/>
  <c r="G1355" i="12"/>
  <c r="F1355" i="12"/>
  <c r="E1355" i="12"/>
  <c r="D1355" i="12"/>
  <c r="C1355" i="12"/>
  <c r="B1355" i="12"/>
  <c r="O1354" i="12"/>
  <c r="N1354" i="12"/>
  <c r="M1354" i="12"/>
  <c r="K1354" i="12"/>
  <c r="J1354" i="12"/>
  <c r="I1354" i="12"/>
  <c r="H1354" i="12"/>
  <c r="G1354" i="12"/>
  <c r="F1354" i="12"/>
  <c r="E1354" i="12"/>
  <c r="D1354" i="12"/>
  <c r="C1354" i="12"/>
  <c r="B1354" i="12"/>
  <c r="O1353" i="12"/>
  <c r="N1353" i="12"/>
  <c r="M1353" i="12"/>
  <c r="K1353" i="12"/>
  <c r="J1353" i="12"/>
  <c r="I1353" i="12"/>
  <c r="H1353" i="12"/>
  <c r="G1353" i="12"/>
  <c r="F1353" i="12"/>
  <c r="E1353" i="12"/>
  <c r="D1353" i="12"/>
  <c r="C1353" i="12"/>
  <c r="B1353" i="12"/>
  <c r="O1352" i="12"/>
  <c r="N1352" i="12"/>
  <c r="M1352" i="12"/>
  <c r="K1352" i="12"/>
  <c r="J1352" i="12"/>
  <c r="I1352" i="12"/>
  <c r="H1352" i="12"/>
  <c r="G1352" i="12"/>
  <c r="F1352" i="12"/>
  <c r="E1352" i="12"/>
  <c r="D1352" i="12"/>
  <c r="C1352" i="12"/>
  <c r="B1352" i="12"/>
  <c r="O1351" i="12"/>
  <c r="N1351" i="12"/>
  <c r="M1351" i="12"/>
  <c r="K1351" i="12"/>
  <c r="J1351" i="12"/>
  <c r="I1351" i="12"/>
  <c r="H1351" i="12"/>
  <c r="G1351" i="12"/>
  <c r="F1351" i="12"/>
  <c r="E1351" i="12"/>
  <c r="D1351" i="12"/>
  <c r="C1351" i="12"/>
  <c r="B1351" i="12"/>
  <c r="O1350" i="12"/>
  <c r="N1350" i="12"/>
  <c r="M1350" i="12"/>
  <c r="F1350" i="12"/>
  <c r="E1350" i="12"/>
  <c r="D1350" i="12"/>
  <c r="C1350" i="12"/>
  <c r="B1350" i="12"/>
  <c r="O1349" i="12"/>
  <c r="N1349" i="12"/>
  <c r="M1349" i="12"/>
  <c r="F1349" i="12"/>
  <c r="E1349" i="12"/>
  <c r="D1349" i="12"/>
  <c r="C1349" i="12"/>
  <c r="B1349" i="12"/>
  <c r="O1348" i="12"/>
  <c r="N1348" i="12"/>
  <c r="M1348" i="12"/>
  <c r="F1348" i="12"/>
  <c r="E1348" i="12"/>
  <c r="D1348" i="12"/>
  <c r="C1348" i="12"/>
  <c r="B1348" i="12"/>
  <c r="O1347" i="12"/>
  <c r="N1347" i="12"/>
  <c r="M1347" i="12"/>
  <c r="F1347" i="12"/>
  <c r="E1347" i="12"/>
  <c r="D1347" i="12"/>
  <c r="C1347" i="12"/>
  <c r="B1347" i="12"/>
  <c r="O1346" i="12"/>
  <c r="N1346" i="12"/>
  <c r="M1346" i="12"/>
  <c r="F1346" i="12"/>
  <c r="E1346" i="12"/>
  <c r="D1346" i="12"/>
  <c r="C1346" i="12"/>
  <c r="B1346" i="12"/>
  <c r="O1345" i="12"/>
  <c r="N1345" i="12"/>
  <c r="M1345" i="12"/>
  <c r="F1345" i="12"/>
  <c r="E1345" i="12"/>
  <c r="D1345" i="12"/>
  <c r="C1345" i="12"/>
  <c r="B1345" i="12"/>
  <c r="O1344" i="12"/>
  <c r="N1344" i="12"/>
  <c r="M1344" i="12"/>
  <c r="F1344" i="12"/>
  <c r="E1344" i="12"/>
  <c r="D1344" i="12"/>
  <c r="C1344" i="12"/>
  <c r="B1344" i="12"/>
  <c r="O1343" i="12"/>
  <c r="N1343" i="12"/>
  <c r="M1343" i="12"/>
  <c r="F1343" i="12"/>
  <c r="E1343" i="12"/>
  <c r="D1343" i="12"/>
  <c r="C1343" i="12"/>
  <c r="B1343" i="12"/>
  <c r="O1342" i="12"/>
  <c r="N1342" i="12"/>
  <c r="M1342" i="12"/>
  <c r="F1342" i="12"/>
  <c r="E1342" i="12"/>
  <c r="D1342" i="12"/>
  <c r="C1342" i="12"/>
  <c r="B1342" i="12"/>
  <c r="O1341" i="12"/>
  <c r="N1341" i="12"/>
  <c r="M1341" i="12"/>
  <c r="F1341" i="12"/>
  <c r="E1341" i="12"/>
  <c r="D1341" i="12"/>
  <c r="C1341" i="12"/>
  <c r="B1341" i="12"/>
  <c r="O1340" i="12"/>
  <c r="N1340" i="12"/>
  <c r="M1340" i="12"/>
  <c r="F1340" i="12"/>
  <c r="E1340" i="12"/>
  <c r="D1340" i="12"/>
  <c r="C1340" i="12"/>
  <c r="B1340" i="12"/>
  <c r="O1339" i="12"/>
  <c r="N1339" i="12"/>
  <c r="M1339" i="12"/>
  <c r="F1339" i="12"/>
  <c r="E1339" i="12"/>
  <c r="D1339" i="12"/>
  <c r="C1339" i="12"/>
  <c r="B1339" i="12"/>
  <c r="O1338" i="12"/>
  <c r="N1338" i="12"/>
  <c r="M1338" i="12"/>
  <c r="F1338" i="12"/>
  <c r="E1338" i="12"/>
  <c r="D1338" i="12"/>
  <c r="C1338" i="12"/>
  <c r="B1338" i="12"/>
  <c r="O1337" i="12"/>
  <c r="N1337" i="12"/>
  <c r="M1337" i="12"/>
  <c r="F1337" i="12"/>
  <c r="E1337" i="12"/>
  <c r="D1337" i="12"/>
  <c r="C1337" i="12"/>
  <c r="B1337" i="12"/>
  <c r="O1336" i="12"/>
  <c r="N1336" i="12"/>
  <c r="M1336" i="12"/>
  <c r="F1336" i="12"/>
  <c r="E1336" i="12"/>
  <c r="D1336" i="12"/>
  <c r="C1336" i="12"/>
  <c r="B1336" i="12"/>
  <c r="O1335" i="12"/>
  <c r="N1335" i="12"/>
  <c r="M1335" i="12"/>
  <c r="F1335" i="12"/>
  <c r="E1335" i="12"/>
  <c r="D1335" i="12"/>
  <c r="C1335" i="12"/>
  <c r="B1335" i="12"/>
  <c r="O1334" i="12"/>
  <c r="N1334" i="12"/>
  <c r="M1334" i="12"/>
  <c r="F1334" i="12"/>
  <c r="E1334" i="12"/>
  <c r="D1334" i="12"/>
  <c r="C1334" i="12"/>
  <c r="B1334" i="12"/>
  <c r="O1333" i="12"/>
  <c r="N1333" i="12"/>
  <c r="M1333" i="12"/>
  <c r="F1333" i="12"/>
  <c r="E1333" i="12"/>
  <c r="D1333" i="12"/>
  <c r="C1333" i="12"/>
  <c r="B1333" i="12"/>
  <c r="O1332" i="12"/>
  <c r="N1332" i="12"/>
  <c r="M1332" i="12"/>
  <c r="F1332" i="12"/>
  <c r="E1332" i="12"/>
  <c r="D1332" i="12"/>
  <c r="C1332" i="12"/>
  <c r="B1332" i="12"/>
  <c r="O1331" i="12"/>
  <c r="N1331" i="12"/>
  <c r="M1331" i="12"/>
  <c r="F1331" i="12"/>
  <c r="E1331" i="12"/>
  <c r="D1331" i="12"/>
  <c r="C1331" i="12"/>
  <c r="B1331" i="12"/>
  <c r="O1330" i="12"/>
  <c r="N1330" i="12"/>
  <c r="M1330" i="12"/>
  <c r="F1330" i="12"/>
  <c r="E1330" i="12"/>
  <c r="D1330" i="12"/>
  <c r="C1330" i="12"/>
  <c r="B1330" i="12"/>
  <c r="O1329" i="12"/>
  <c r="N1329" i="12"/>
  <c r="M1329" i="12"/>
  <c r="F1329" i="12"/>
  <c r="E1329" i="12"/>
  <c r="D1329" i="12"/>
  <c r="C1329" i="12"/>
  <c r="B1329" i="12"/>
  <c r="O1328" i="12"/>
  <c r="N1328" i="12"/>
  <c r="M1328" i="12"/>
  <c r="F1328" i="12"/>
  <c r="E1328" i="12"/>
  <c r="D1328" i="12"/>
  <c r="C1328" i="12"/>
  <c r="B1328" i="12"/>
  <c r="O1327" i="12"/>
  <c r="N1327" i="12"/>
  <c r="M1327" i="12"/>
  <c r="F1327" i="12"/>
  <c r="E1327" i="12"/>
  <c r="D1327" i="12"/>
  <c r="C1327" i="12"/>
  <c r="B1327" i="12"/>
  <c r="O1326" i="12"/>
  <c r="N1326" i="12"/>
  <c r="M1326" i="12"/>
  <c r="F1326" i="12"/>
  <c r="E1326" i="12"/>
  <c r="D1326" i="12"/>
  <c r="C1326" i="12"/>
  <c r="B1326" i="12"/>
  <c r="O1325" i="12"/>
  <c r="N1325" i="12"/>
  <c r="M1325" i="12"/>
  <c r="F1325" i="12"/>
  <c r="E1325" i="12"/>
  <c r="D1325" i="12"/>
  <c r="C1325" i="12"/>
  <c r="B1325" i="12"/>
  <c r="O1324" i="12"/>
  <c r="N1324" i="12"/>
  <c r="M1324" i="12"/>
  <c r="F1324" i="12"/>
  <c r="E1324" i="12"/>
  <c r="D1324" i="12"/>
  <c r="C1324" i="12"/>
  <c r="B1324" i="12"/>
  <c r="O1323" i="12"/>
  <c r="N1323" i="12"/>
  <c r="M1323" i="12"/>
  <c r="F1323" i="12"/>
  <c r="E1323" i="12"/>
  <c r="D1323" i="12"/>
  <c r="C1323" i="12"/>
  <c r="B1323" i="12"/>
  <c r="O1322" i="12"/>
  <c r="N1322" i="12"/>
  <c r="M1322" i="12"/>
  <c r="F1322" i="12"/>
  <c r="E1322" i="12"/>
  <c r="D1322" i="12"/>
  <c r="C1322" i="12"/>
  <c r="B1322" i="12"/>
  <c r="O1321" i="12"/>
  <c r="N1321" i="12"/>
  <c r="M1321" i="12"/>
  <c r="F1321" i="12"/>
  <c r="E1321" i="12"/>
  <c r="D1321" i="12"/>
  <c r="C1321" i="12"/>
  <c r="B1321" i="12"/>
  <c r="O1320" i="12"/>
  <c r="N1320" i="12"/>
  <c r="M1320" i="12"/>
  <c r="F1320" i="12"/>
  <c r="E1320" i="12"/>
  <c r="D1320" i="12"/>
  <c r="C1320" i="12"/>
  <c r="B1320" i="12"/>
  <c r="O1319" i="12"/>
  <c r="N1319" i="12"/>
  <c r="M1319" i="12"/>
  <c r="F1319" i="12"/>
  <c r="E1319" i="12"/>
  <c r="D1319" i="12"/>
  <c r="C1319" i="12"/>
  <c r="B1319" i="12"/>
  <c r="O1318" i="12"/>
  <c r="N1318" i="12"/>
  <c r="M1318" i="12"/>
  <c r="F1318" i="12"/>
  <c r="E1318" i="12"/>
  <c r="D1318" i="12"/>
  <c r="C1318" i="12"/>
  <c r="B1318" i="12"/>
  <c r="O1317" i="12"/>
  <c r="N1317" i="12"/>
  <c r="M1317" i="12"/>
  <c r="F1317" i="12"/>
  <c r="E1317" i="12"/>
  <c r="D1317" i="12"/>
  <c r="C1317" i="12"/>
  <c r="B1317" i="12"/>
  <c r="O1316" i="12"/>
  <c r="N1316" i="12"/>
  <c r="M1316" i="12"/>
  <c r="F1316" i="12"/>
  <c r="E1316" i="12"/>
  <c r="D1316" i="12"/>
  <c r="C1316" i="12"/>
  <c r="B1316" i="12"/>
  <c r="O1315" i="12"/>
  <c r="N1315" i="12"/>
  <c r="M1315" i="12"/>
  <c r="F1315" i="12"/>
  <c r="E1315" i="12"/>
  <c r="D1315" i="12"/>
  <c r="C1315" i="12"/>
  <c r="B1315" i="12"/>
  <c r="O1314" i="12"/>
  <c r="N1314" i="12"/>
  <c r="M1314" i="12"/>
  <c r="F1314" i="12"/>
  <c r="E1314" i="12"/>
  <c r="D1314" i="12"/>
  <c r="C1314" i="12"/>
  <c r="B1314" i="12"/>
  <c r="O1313" i="12"/>
  <c r="N1313" i="12"/>
  <c r="M1313" i="12"/>
  <c r="F1313" i="12"/>
  <c r="E1313" i="12"/>
  <c r="D1313" i="12"/>
  <c r="C1313" i="12"/>
  <c r="B1313" i="12"/>
  <c r="O1312" i="12"/>
  <c r="N1312" i="12"/>
  <c r="M1312" i="12"/>
  <c r="F1312" i="12"/>
  <c r="E1312" i="12"/>
  <c r="D1312" i="12"/>
  <c r="C1312" i="12"/>
  <c r="B1312" i="12"/>
  <c r="O1311" i="12"/>
  <c r="N1311" i="12"/>
  <c r="M1311" i="12"/>
  <c r="F1311" i="12"/>
  <c r="E1311" i="12"/>
  <c r="D1311" i="12"/>
  <c r="C1311" i="12"/>
  <c r="B1311" i="12"/>
  <c r="O1310" i="12"/>
  <c r="N1310" i="12"/>
  <c r="M1310" i="12"/>
  <c r="F1310" i="12"/>
  <c r="E1310" i="12"/>
  <c r="D1310" i="12"/>
  <c r="C1310" i="12"/>
  <c r="B1310" i="12"/>
  <c r="O1309" i="12"/>
  <c r="N1309" i="12"/>
  <c r="M1309" i="12"/>
  <c r="F1309" i="12"/>
  <c r="E1309" i="12"/>
  <c r="D1309" i="12"/>
  <c r="C1309" i="12"/>
  <c r="B1309" i="12"/>
  <c r="O1308" i="12"/>
  <c r="N1308" i="12"/>
  <c r="M1308" i="12"/>
  <c r="F1308" i="12"/>
  <c r="E1308" i="12"/>
  <c r="D1308" i="12"/>
  <c r="C1308" i="12"/>
  <c r="B1308" i="12"/>
  <c r="O1307" i="12"/>
  <c r="N1307" i="12"/>
  <c r="M1307" i="12"/>
  <c r="F1307" i="12"/>
  <c r="E1307" i="12"/>
  <c r="D1307" i="12"/>
  <c r="C1307" i="12"/>
  <c r="B1307" i="12"/>
  <c r="O1306" i="12"/>
  <c r="N1306" i="12"/>
  <c r="M1306" i="12"/>
  <c r="F1306" i="12"/>
  <c r="E1306" i="12"/>
  <c r="D1306" i="12"/>
  <c r="C1306" i="12"/>
  <c r="B1306" i="12"/>
  <c r="O1305" i="12"/>
  <c r="N1305" i="12"/>
  <c r="M1305" i="12"/>
  <c r="F1305" i="12"/>
  <c r="E1305" i="12"/>
  <c r="D1305" i="12"/>
  <c r="C1305" i="12"/>
  <c r="B1305" i="12"/>
  <c r="O1304" i="12"/>
  <c r="N1304" i="12"/>
  <c r="M1304" i="12"/>
  <c r="F1304" i="12"/>
  <c r="E1304" i="12"/>
  <c r="D1304" i="12"/>
  <c r="C1304" i="12"/>
  <c r="B1304" i="12"/>
  <c r="O1303" i="12"/>
  <c r="N1303" i="12"/>
  <c r="M1303" i="12"/>
  <c r="F1303" i="12"/>
  <c r="E1303" i="12"/>
  <c r="D1303" i="12"/>
  <c r="C1303" i="12"/>
  <c r="B1303" i="12"/>
  <c r="O1302" i="12"/>
  <c r="N1302" i="12"/>
  <c r="M1302" i="12"/>
  <c r="F1302" i="12"/>
  <c r="E1302" i="12"/>
  <c r="D1302" i="12"/>
  <c r="C1302" i="12"/>
  <c r="B1302" i="12"/>
  <c r="O1301" i="12"/>
  <c r="N1301" i="12"/>
  <c r="M1301" i="12"/>
  <c r="F1301" i="12"/>
  <c r="E1301" i="12"/>
  <c r="D1301" i="12"/>
  <c r="C1301" i="12"/>
  <c r="B1301" i="12"/>
  <c r="O1300" i="12"/>
  <c r="N1300" i="12"/>
  <c r="M1300" i="12"/>
  <c r="F1300" i="12"/>
  <c r="E1300" i="12"/>
  <c r="D1300" i="12"/>
  <c r="C1300" i="12"/>
  <c r="B1300" i="12"/>
  <c r="O1299" i="12"/>
  <c r="N1299" i="12"/>
  <c r="M1299" i="12"/>
  <c r="F1299" i="12"/>
  <c r="E1299" i="12"/>
  <c r="D1299" i="12"/>
  <c r="C1299" i="12"/>
  <c r="B1299" i="12"/>
  <c r="O1298" i="12"/>
  <c r="N1298" i="12"/>
  <c r="M1298" i="12"/>
  <c r="F1298" i="12"/>
  <c r="E1298" i="12"/>
  <c r="D1298" i="12"/>
  <c r="C1298" i="12"/>
  <c r="B1298" i="12"/>
  <c r="O1297" i="12"/>
  <c r="N1297" i="12"/>
  <c r="M1297" i="12"/>
  <c r="F1297" i="12"/>
  <c r="E1297" i="12"/>
  <c r="D1297" i="12"/>
  <c r="C1297" i="12"/>
  <c r="B1297" i="12"/>
  <c r="O1296" i="12"/>
  <c r="N1296" i="12"/>
  <c r="M1296" i="12"/>
  <c r="F1296" i="12"/>
  <c r="E1296" i="12"/>
  <c r="D1296" i="12"/>
  <c r="C1296" i="12"/>
  <c r="B1296" i="12"/>
  <c r="O1295" i="12"/>
  <c r="N1295" i="12"/>
  <c r="M1295" i="12"/>
  <c r="F1295" i="12"/>
  <c r="E1295" i="12"/>
  <c r="D1295" i="12"/>
  <c r="C1295" i="12"/>
  <c r="B1295" i="12"/>
  <c r="O1294" i="12"/>
  <c r="N1294" i="12"/>
  <c r="M1294" i="12"/>
  <c r="F1294" i="12"/>
  <c r="E1294" i="12"/>
  <c r="D1294" i="12"/>
  <c r="C1294" i="12"/>
  <c r="B1294" i="12"/>
  <c r="O1293" i="12"/>
  <c r="N1293" i="12"/>
  <c r="M1293" i="12"/>
  <c r="F1293" i="12"/>
  <c r="E1293" i="12"/>
  <c r="D1293" i="12"/>
  <c r="C1293" i="12"/>
  <c r="B1293" i="12"/>
  <c r="O1292" i="12"/>
  <c r="N1292" i="12"/>
  <c r="M1292" i="12"/>
  <c r="F1292" i="12"/>
  <c r="E1292" i="12"/>
  <c r="D1292" i="12"/>
  <c r="C1292" i="12"/>
  <c r="B1292" i="12"/>
  <c r="O1291" i="12"/>
  <c r="N1291" i="12"/>
  <c r="M1291" i="12"/>
  <c r="F1291" i="12"/>
  <c r="E1291" i="12"/>
  <c r="D1291" i="12"/>
  <c r="C1291" i="12"/>
  <c r="B1291" i="12"/>
  <c r="O1290" i="12"/>
  <c r="N1290" i="12"/>
  <c r="M1290" i="12"/>
  <c r="F1290" i="12"/>
  <c r="E1290" i="12"/>
  <c r="D1290" i="12"/>
  <c r="C1290" i="12"/>
  <c r="B1290" i="12"/>
  <c r="O1289" i="12"/>
  <c r="N1289" i="12"/>
  <c r="M1289" i="12"/>
  <c r="F1289" i="12"/>
  <c r="E1289" i="12"/>
  <c r="D1289" i="12"/>
  <c r="C1289" i="12"/>
  <c r="B1289" i="12"/>
  <c r="O1288" i="12"/>
  <c r="N1288" i="12"/>
  <c r="M1288" i="12"/>
  <c r="F1288" i="12"/>
  <c r="E1288" i="12"/>
  <c r="D1288" i="12"/>
  <c r="C1288" i="12"/>
  <c r="B1288" i="12"/>
  <c r="O1287" i="12"/>
  <c r="N1287" i="12"/>
  <c r="M1287" i="12"/>
  <c r="F1287" i="12"/>
  <c r="E1287" i="12"/>
  <c r="D1287" i="12"/>
  <c r="C1287" i="12"/>
  <c r="B1287" i="12"/>
  <c r="O1286" i="12"/>
  <c r="N1286" i="12"/>
  <c r="M1286" i="12"/>
  <c r="K1286" i="12"/>
  <c r="J1286" i="12"/>
  <c r="I1286" i="12"/>
  <c r="H1286" i="12"/>
  <c r="G1286" i="12"/>
  <c r="F1286" i="12"/>
  <c r="D1286" i="12"/>
  <c r="C1286" i="12"/>
  <c r="B1286" i="12"/>
  <c r="O1285" i="12"/>
  <c r="N1285" i="12"/>
  <c r="M1285" i="12"/>
  <c r="K1285" i="12"/>
  <c r="J1285" i="12"/>
  <c r="I1285" i="12"/>
  <c r="H1285" i="12"/>
  <c r="G1285" i="12"/>
  <c r="F1285" i="12"/>
  <c r="D1285" i="12"/>
  <c r="C1285" i="12"/>
  <c r="B1285" i="12"/>
  <c r="O1284" i="12"/>
  <c r="N1284" i="12"/>
  <c r="M1284" i="12"/>
  <c r="K1284" i="12"/>
  <c r="J1284" i="12"/>
  <c r="I1284" i="12"/>
  <c r="H1284" i="12"/>
  <c r="G1284" i="12"/>
  <c r="F1284" i="12"/>
  <c r="D1284" i="12"/>
  <c r="C1284" i="12"/>
  <c r="B1284" i="12"/>
  <c r="O1283" i="12"/>
  <c r="N1283" i="12"/>
  <c r="M1283" i="12"/>
  <c r="K1283" i="12"/>
  <c r="J1283" i="12"/>
  <c r="I1283" i="12"/>
  <c r="H1283" i="12"/>
  <c r="G1283" i="12"/>
  <c r="F1283" i="12"/>
  <c r="D1283" i="12"/>
  <c r="C1283" i="12"/>
  <c r="B1283" i="12"/>
  <c r="O1282" i="12"/>
  <c r="N1282" i="12"/>
  <c r="M1282" i="12"/>
  <c r="K1282" i="12"/>
  <c r="J1282" i="12"/>
  <c r="I1282" i="12"/>
  <c r="H1282" i="12"/>
  <c r="G1282" i="12"/>
  <c r="F1282" i="12"/>
  <c r="D1282" i="12"/>
  <c r="C1282" i="12"/>
  <c r="B1282" i="12"/>
  <c r="O1281" i="12"/>
  <c r="N1281" i="12"/>
  <c r="M1281" i="12"/>
  <c r="K1281" i="12"/>
  <c r="J1281" i="12"/>
  <c r="I1281" i="12"/>
  <c r="H1281" i="12"/>
  <c r="G1281" i="12"/>
  <c r="F1281" i="12"/>
  <c r="D1281" i="12"/>
  <c r="C1281" i="12"/>
  <c r="B1281" i="12"/>
  <c r="O1280" i="12"/>
  <c r="N1280" i="12"/>
  <c r="M1280" i="12"/>
  <c r="K1280" i="12"/>
  <c r="J1280" i="12"/>
  <c r="I1280" i="12"/>
  <c r="H1280" i="12"/>
  <c r="G1280" i="12"/>
  <c r="F1280" i="12"/>
  <c r="D1280" i="12"/>
  <c r="C1280" i="12"/>
  <c r="B1280" i="12"/>
  <c r="O1279" i="12"/>
  <c r="N1279" i="12"/>
  <c r="M1279" i="12"/>
  <c r="K1279" i="12"/>
  <c r="J1279" i="12"/>
  <c r="I1279" i="12"/>
  <c r="H1279" i="12"/>
  <c r="G1279" i="12"/>
  <c r="F1279" i="12"/>
  <c r="D1279" i="12"/>
  <c r="C1279" i="12"/>
  <c r="B1279" i="12"/>
  <c r="O1278" i="12"/>
  <c r="N1278" i="12"/>
  <c r="M1278" i="12"/>
  <c r="K1278" i="12"/>
  <c r="J1278" i="12"/>
  <c r="I1278" i="12"/>
  <c r="H1278" i="12"/>
  <c r="G1278" i="12"/>
  <c r="F1278" i="12"/>
  <c r="D1278" i="12"/>
  <c r="C1278" i="12"/>
  <c r="B1278" i="12"/>
  <c r="O1277" i="12"/>
  <c r="N1277" i="12"/>
  <c r="M1277" i="12"/>
  <c r="K1277" i="12"/>
  <c r="J1277" i="12"/>
  <c r="I1277" i="12"/>
  <c r="H1277" i="12"/>
  <c r="G1277" i="12"/>
  <c r="F1277" i="12"/>
  <c r="D1277" i="12"/>
  <c r="C1277" i="12"/>
  <c r="B1277" i="12"/>
  <c r="O1276" i="12"/>
  <c r="N1276" i="12"/>
  <c r="M1276" i="12"/>
  <c r="K1276" i="12"/>
  <c r="J1276" i="12"/>
  <c r="I1276" i="12"/>
  <c r="H1276" i="12"/>
  <c r="G1276" i="12"/>
  <c r="F1276" i="12"/>
  <c r="D1276" i="12"/>
  <c r="C1276" i="12"/>
  <c r="B1276" i="12"/>
  <c r="O1275" i="12"/>
  <c r="N1275" i="12"/>
  <c r="M1275" i="12"/>
  <c r="K1275" i="12"/>
  <c r="J1275" i="12"/>
  <c r="I1275" i="12"/>
  <c r="H1275" i="12"/>
  <c r="G1275" i="12"/>
  <c r="F1275" i="12"/>
  <c r="D1275" i="12"/>
  <c r="C1275" i="12"/>
  <c r="B1275" i="12"/>
  <c r="O1274" i="12"/>
  <c r="N1274" i="12"/>
  <c r="M1274" i="12"/>
  <c r="K1274" i="12"/>
  <c r="J1274" i="12"/>
  <c r="I1274" i="12"/>
  <c r="H1274" i="12"/>
  <c r="G1274" i="12"/>
  <c r="F1274" i="12"/>
  <c r="D1274" i="12"/>
  <c r="C1274" i="12"/>
  <c r="B1274" i="12"/>
  <c r="O1273" i="12"/>
  <c r="N1273" i="12"/>
  <c r="M1273" i="12"/>
  <c r="K1273" i="12"/>
  <c r="J1273" i="12"/>
  <c r="I1273" i="12"/>
  <c r="H1273" i="12"/>
  <c r="G1273" i="12"/>
  <c r="F1273" i="12"/>
  <c r="D1273" i="12"/>
  <c r="C1273" i="12"/>
  <c r="B1273" i="12"/>
  <c r="O1272" i="12"/>
  <c r="N1272" i="12"/>
  <c r="M1272" i="12"/>
  <c r="K1272" i="12"/>
  <c r="J1272" i="12"/>
  <c r="I1272" i="12"/>
  <c r="H1272" i="12"/>
  <c r="G1272" i="12"/>
  <c r="F1272" i="12"/>
  <c r="D1272" i="12"/>
  <c r="C1272" i="12"/>
  <c r="B1272" i="12"/>
  <c r="O1271" i="12"/>
  <c r="N1271" i="12"/>
  <c r="M1271" i="12"/>
  <c r="K1271" i="12"/>
  <c r="J1271" i="12"/>
  <c r="I1271" i="12"/>
  <c r="H1271" i="12"/>
  <c r="G1271" i="12"/>
  <c r="F1271" i="12"/>
  <c r="D1271" i="12"/>
  <c r="C1271" i="12"/>
  <c r="B1271" i="12"/>
  <c r="O1270" i="12"/>
  <c r="N1270" i="12"/>
  <c r="M1270" i="12"/>
  <c r="K1270" i="12"/>
  <c r="J1270" i="12"/>
  <c r="I1270" i="12"/>
  <c r="H1270" i="12"/>
  <c r="G1270" i="12"/>
  <c r="F1270" i="12"/>
  <c r="E1270" i="12"/>
  <c r="D1270" i="12"/>
  <c r="C1270" i="12"/>
  <c r="B1270" i="12"/>
  <c r="O1269" i="12"/>
  <c r="N1269" i="12"/>
  <c r="M1269" i="12"/>
  <c r="K1269" i="12"/>
  <c r="J1269" i="12"/>
  <c r="I1269" i="12"/>
  <c r="H1269" i="12"/>
  <c r="G1269" i="12"/>
  <c r="F1269" i="12"/>
  <c r="E1269" i="12"/>
  <c r="D1269" i="12"/>
  <c r="C1269" i="12"/>
  <c r="B1269" i="12"/>
  <c r="O1268" i="12"/>
  <c r="N1268" i="12"/>
  <c r="M1268" i="12"/>
  <c r="K1268" i="12"/>
  <c r="J1268" i="12"/>
  <c r="I1268" i="12"/>
  <c r="H1268" i="12"/>
  <c r="G1268" i="12"/>
  <c r="F1268" i="12"/>
  <c r="E1268" i="12"/>
  <c r="D1268" i="12"/>
  <c r="C1268" i="12"/>
  <c r="B1268" i="12"/>
  <c r="O1267" i="12"/>
  <c r="N1267" i="12"/>
  <c r="M1267" i="12"/>
  <c r="K1267" i="12"/>
  <c r="J1267" i="12"/>
  <c r="I1267" i="12"/>
  <c r="H1267" i="12"/>
  <c r="G1267" i="12"/>
  <c r="F1267" i="12"/>
  <c r="E1267" i="12"/>
  <c r="D1267" i="12"/>
  <c r="C1267" i="12"/>
  <c r="B1267" i="12"/>
  <c r="O1266" i="12"/>
  <c r="N1266" i="12"/>
  <c r="M1266" i="12"/>
  <c r="K1266" i="12"/>
  <c r="J1266" i="12"/>
  <c r="I1266" i="12"/>
  <c r="H1266" i="12"/>
  <c r="G1266" i="12"/>
  <c r="F1266" i="12"/>
  <c r="E1266" i="12"/>
  <c r="D1266" i="12"/>
  <c r="C1266" i="12"/>
  <c r="B1266" i="12"/>
  <c r="O1265" i="12"/>
  <c r="N1265" i="12"/>
  <c r="M1265" i="12"/>
  <c r="K1265" i="12"/>
  <c r="J1265" i="12"/>
  <c r="I1265" i="12"/>
  <c r="H1265" i="12"/>
  <c r="G1265" i="12"/>
  <c r="F1265" i="12"/>
  <c r="E1265" i="12"/>
  <c r="D1265" i="12"/>
  <c r="C1265" i="12"/>
  <c r="B1265" i="12"/>
  <c r="O1264" i="12"/>
  <c r="N1264" i="12"/>
  <c r="M1264" i="12"/>
  <c r="K1264" i="12"/>
  <c r="J1264" i="12"/>
  <c r="I1264" i="12"/>
  <c r="H1264" i="12"/>
  <c r="G1264" i="12"/>
  <c r="F1264" i="12"/>
  <c r="E1264" i="12"/>
  <c r="D1264" i="12"/>
  <c r="C1264" i="12"/>
  <c r="B1264" i="12"/>
  <c r="O1263" i="12"/>
  <c r="N1263" i="12"/>
  <c r="M1263" i="12"/>
  <c r="K1263" i="12"/>
  <c r="J1263" i="12"/>
  <c r="I1263" i="12"/>
  <c r="H1263" i="12"/>
  <c r="G1263" i="12"/>
  <c r="F1263" i="12"/>
  <c r="E1263" i="12"/>
  <c r="D1263" i="12"/>
  <c r="C1263" i="12"/>
  <c r="B1263" i="12"/>
  <c r="O1262" i="12"/>
  <c r="N1262" i="12"/>
  <c r="M1262" i="12"/>
  <c r="K1262" i="12"/>
  <c r="J1262" i="12"/>
  <c r="I1262" i="12"/>
  <c r="H1262" i="12"/>
  <c r="G1262" i="12"/>
  <c r="F1262" i="12"/>
  <c r="E1262" i="12"/>
  <c r="D1262" i="12"/>
  <c r="C1262" i="12"/>
  <c r="B1262" i="12"/>
  <c r="O1261" i="12"/>
  <c r="N1261" i="12"/>
  <c r="M1261" i="12"/>
  <c r="K1261" i="12"/>
  <c r="J1261" i="12"/>
  <c r="I1261" i="12"/>
  <c r="H1261" i="12"/>
  <c r="G1261" i="12"/>
  <c r="F1261" i="12"/>
  <c r="E1261" i="12"/>
  <c r="D1261" i="12"/>
  <c r="C1261" i="12"/>
  <c r="B1261" i="12"/>
  <c r="O1260" i="12"/>
  <c r="N1260" i="12"/>
  <c r="M1260" i="12"/>
  <c r="K1260" i="12"/>
  <c r="J1260" i="12"/>
  <c r="I1260" i="12"/>
  <c r="H1260" i="12"/>
  <c r="G1260" i="12"/>
  <c r="F1260" i="12"/>
  <c r="E1260" i="12"/>
  <c r="D1260" i="12"/>
  <c r="C1260" i="12"/>
  <c r="B1260" i="12"/>
  <c r="O1259" i="12"/>
  <c r="N1259" i="12"/>
  <c r="M1259" i="12"/>
  <c r="K1259" i="12"/>
  <c r="J1259" i="12"/>
  <c r="I1259" i="12"/>
  <c r="H1259" i="12"/>
  <c r="G1259" i="12"/>
  <c r="F1259" i="12"/>
  <c r="E1259" i="12"/>
  <c r="D1259" i="12"/>
  <c r="C1259" i="12"/>
  <c r="B1259" i="12"/>
  <c r="O1258" i="12"/>
  <c r="N1258" i="12"/>
  <c r="M1258" i="12"/>
  <c r="K1258" i="12"/>
  <c r="J1258" i="12"/>
  <c r="I1258" i="12"/>
  <c r="H1258" i="12"/>
  <c r="G1258" i="12"/>
  <c r="F1258" i="12"/>
  <c r="E1258" i="12"/>
  <c r="D1258" i="12"/>
  <c r="C1258" i="12"/>
  <c r="B1258" i="12"/>
  <c r="O1257" i="12"/>
  <c r="N1257" i="12"/>
  <c r="M1257" i="12"/>
  <c r="K1257" i="12"/>
  <c r="J1257" i="12"/>
  <c r="I1257" i="12"/>
  <c r="H1257" i="12"/>
  <c r="G1257" i="12"/>
  <c r="F1257" i="12"/>
  <c r="E1257" i="12"/>
  <c r="D1257" i="12"/>
  <c r="C1257" i="12"/>
  <c r="B1257" i="12"/>
  <c r="O1256" i="12"/>
  <c r="N1256" i="12"/>
  <c r="M1256" i="12"/>
  <c r="K1256" i="12"/>
  <c r="J1256" i="12"/>
  <c r="I1256" i="12"/>
  <c r="H1256" i="12"/>
  <c r="G1256" i="12"/>
  <c r="F1256" i="12"/>
  <c r="E1256" i="12"/>
  <c r="D1256" i="12"/>
  <c r="C1256" i="12"/>
  <c r="B1256" i="12"/>
  <c r="O1255" i="12"/>
  <c r="N1255" i="12"/>
  <c r="M1255" i="12"/>
  <c r="K1255" i="12"/>
  <c r="J1255" i="12"/>
  <c r="I1255" i="12"/>
  <c r="H1255" i="12"/>
  <c r="G1255" i="12"/>
  <c r="F1255" i="12"/>
  <c r="E1255" i="12"/>
  <c r="D1255" i="12"/>
  <c r="C1255" i="12"/>
  <c r="B1255" i="12"/>
  <c r="O1254" i="12"/>
  <c r="N1254" i="12"/>
  <c r="M1254" i="12"/>
  <c r="F1254" i="12"/>
  <c r="E1254" i="12"/>
  <c r="D1254" i="12"/>
  <c r="C1254" i="12"/>
  <c r="B1254" i="12"/>
  <c r="O1253" i="12"/>
  <c r="N1253" i="12"/>
  <c r="M1253" i="12"/>
  <c r="F1253" i="12"/>
  <c r="E1253" i="12"/>
  <c r="D1253" i="12"/>
  <c r="C1253" i="12"/>
  <c r="B1253" i="12"/>
  <c r="O1252" i="12"/>
  <c r="N1252" i="12"/>
  <c r="M1252" i="12"/>
  <c r="F1252" i="12"/>
  <c r="E1252" i="12"/>
  <c r="D1252" i="12"/>
  <c r="C1252" i="12"/>
  <c r="B1252" i="12"/>
  <c r="O1251" i="12"/>
  <c r="N1251" i="12"/>
  <c r="M1251" i="12"/>
  <c r="F1251" i="12"/>
  <c r="E1251" i="12"/>
  <c r="D1251" i="12"/>
  <c r="C1251" i="12"/>
  <c r="B1251" i="12"/>
  <c r="O1250" i="12"/>
  <c r="N1250" i="12"/>
  <c r="M1250" i="12"/>
  <c r="F1250" i="12"/>
  <c r="E1250" i="12"/>
  <c r="D1250" i="12"/>
  <c r="C1250" i="12"/>
  <c r="B1250" i="12"/>
  <c r="O1249" i="12"/>
  <c r="N1249" i="12"/>
  <c r="M1249" i="12"/>
  <c r="F1249" i="12"/>
  <c r="E1249" i="12"/>
  <c r="D1249" i="12"/>
  <c r="C1249" i="12"/>
  <c r="B1249" i="12"/>
  <c r="O1248" i="12"/>
  <c r="N1248" i="12"/>
  <c r="M1248" i="12"/>
  <c r="F1248" i="12"/>
  <c r="E1248" i="12"/>
  <c r="D1248" i="12"/>
  <c r="C1248" i="12"/>
  <c r="B1248" i="12"/>
  <c r="O1247" i="12"/>
  <c r="N1247" i="12"/>
  <c r="M1247" i="12"/>
  <c r="F1247" i="12"/>
  <c r="E1247" i="12"/>
  <c r="D1247" i="12"/>
  <c r="C1247" i="12"/>
  <c r="B1247" i="12"/>
  <c r="O1246" i="12"/>
  <c r="N1246" i="12"/>
  <c r="M1246" i="12"/>
  <c r="F1246" i="12"/>
  <c r="E1246" i="12"/>
  <c r="D1246" i="12"/>
  <c r="C1246" i="12"/>
  <c r="B1246" i="12"/>
  <c r="O1245" i="12"/>
  <c r="N1245" i="12"/>
  <c r="M1245" i="12"/>
  <c r="F1245" i="12"/>
  <c r="E1245" i="12"/>
  <c r="D1245" i="12"/>
  <c r="C1245" i="12"/>
  <c r="B1245" i="12"/>
  <c r="O1244" i="12"/>
  <c r="N1244" i="12"/>
  <c r="M1244" i="12"/>
  <c r="F1244" i="12"/>
  <c r="E1244" i="12"/>
  <c r="D1244" i="12"/>
  <c r="C1244" i="12"/>
  <c r="B1244" i="12"/>
  <c r="O1243" i="12"/>
  <c r="N1243" i="12"/>
  <c r="M1243" i="12"/>
  <c r="F1243" i="12"/>
  <c r="E1243" i="12"/>
  <c r="D1243" i="12"/>
  <c r="C1243" i="12"/>
  <c r="B1243" i="12"/>
  <c r="O1242" i="12"/>
  <c r="N1242" i="12"/>
  <c r="M1242" i="12"/>
  <c r="F1242" i="12"/>
  <c r="E1242" i="12"/>
  <c r="D1242" i="12"/>
  <c r="C1242" i="12"/>
  <c r="B1242" i="12"/>
  <c r="O1241" i="12"/>
  <c r="N1241" i="12"/>
  <c r="M1241" i="12"/>
  <c r="F1241" i="12"/>
  <c r="E1241" i="12"/>
  <c r="D1241" i="12"/>
  <c r="C1241" i="12"/>
  <c r="B1241" i="12"/>
  <c r="O1240" i="12"/>
  <c r="N1240" i="12"/>
  <c r="M1240" i="12"/>
  <c r="F1240" i="12"/>
  <c r="E1240" i="12"/>
  <c r="D1240" i="12"/>
  <c r="C1240" i="12"/>
  <c r="B1240" i="12"/>
  <c r="O1239" i="12"/>
  <c r="N1239" i="12"/>
  <c r="M1239" i="12"/>
  <c r="F1239" i="12"/>
  <c r="E1239" i="12"/>
  <c r="D1239" i="12"/>
  <c r="C1239" i="12"/>
  <c r="B1239" i="12"/>
  <c r="O1238" i="12"/>
  <c r="N1238" i="12"/>
  <c r="M1238" i="12"/>
  <c r="F1238" i="12"/>
  <c r="E1238" i="12"/>
  <c r="D1238" i="12"/>
  <c r="C1238" i="12"/>
  <c r="B1238" i="12"/>
  <c r="O1237" i="12"/>
  <c r="N1237" i="12"/>
  <c r="M1237" i="12"/>
  <c r="F1237" i="12"/>
  <c r="E1237" i="12"/>
  <c r="D1237" i="12"/>
  <c r="C1237" i="12"/>
  <c r="B1237" i="12"/>
  <c r="O1236" i="12"/>
  <c r="N1236" i="12"/>
  <c r="M1236" i="12"/>
  <c r="F1236" i="12"/>
  <c r="E1236" i="12"/>
  <c r="D1236" i="12"/>
  <c r="C1236" i="12"/>
  <c r="B1236" i="12"/>
  <c r="O1235" i="12"/>
  <c r="N1235" i="12"/>
  <c r="M1235" i="12"/>
  <c r="F1235" i="12"/>
  <c r="E1235" i="12"/>
  <c r="D1235" i="12"/>
  <c r="C1235" i="12"/>
  <c r="B1235" i="12"/>
  <c r="O1234" i="12"/>
  <c r="N1234" i="12"/>
  <c r="M1234" i="12"/>
  <c r="F1234" i="12"/>
  <c r="E1234" i="12"/>
  <c r="D1234" i="12"/>
  <c r="C1234" i="12"/>
  <c r="B1234" i="12"/>
  <c r="O1233" i="12"/>
  <c r="N1233" i="12"/>
  <c r="M1233" i="12"/>
  <c r="F1233" i="12"/>
  <c r="E1233" i="12"/>
  <c r="D1233" i="12"/>
  <c r="C1233" i="12"/>
  <c r="B1233" i="12"/>
  <c r="O1232" i="12"/>
  <c r="N1232" i="12"/>
  <c r="M1232" i="12"/>
  <c r="F1232" i="12"/>
  <c r="E1232" i="12"/>
  <c r="D1232" i="12"/>
  <c r="C1232" i="12"/>
  <c r="B1232" i="12"/>
  <c r="O1231" i="12"/>
  <c r="N1231" i="12"/>
  <c r="M1231" i="12"/>
  <c r="F1231" i="12"/>
  <c r="E1231" i="12"/>
  <c r="D1231" i="12"/>
  <c r="C1231" i="12"/>
  <c r="B1231" i="12"/>
  <c r="O1230" i="12"/>
  <c r="N1230" i="12"/>
  <c r="M1230" i="12"/>
  <c r="F1230" i="12"/>
  <c r="E1230" i="12"/>
  <c r="D1230" i="12"/>
  <c r="C1230" i="12"/>
  <c r="B1230" i="12"/>
  <c r="O1229" i="12"/>
  <c r="N1229" i="12"/>
  <c r="M1229" i="12"/>
  <c r="K1229" i="12"/>
  <c r="J1229" i="12"/>
  <c r="H1229" i="12"/>
  <c r="G1229" i="12"/>
  <c r="F1229" i="12"/>
  <c r="E1229" i="12"/>
  <c r="D1229" i="12"/>
  <c r="C1229" i="12"/>
  <c r="B1229" i="12"/>
  <c r="O1228" i="12"/>
  <c r="N1228" i="12"/>
  <c r="M1228" i="12"/>
  <c r="K1228" i="12"/>
  <c r="J1228" i="12"/>
  <c r="I1228" i="12"/>
  <c r="H1228" i="12"/>
  <c r="G1228" i="12"/>
  <c r="F1228" i="12"/>
  <c r="E1228" i="12"/>
  <c r="D1228" i="12"/>
  <c r="C1228" i="12"/>
  <c r="B1228" i="12"/>
  <c r="O1227" i="12"/>
  <c r="N1227" i="12"/>
  <c r="M1227" i="12"/>
  <c r="K1227" i="12"/>
  <c r="J1227" i="12"/>
  <c r="I1227" i="12"/>
  <c r="H1227" i="12"/>
  <c r="G1227" i="12"/>
  <c r="F1227" i="12"/>
  <c r="E1227" i="12"/>
  <c r="D1227" i="12"/>
  <c r="C1227" i="12"/>
  <c r="B1227" i="12"/>
  <c r="O1226" i="12"/>
  <c r="N1226" i="12"/>
  <c r="M1226" i="12"/>
  <c r="K1226" i="12"/>
  <c r="J1226" i="12"/>
  <c r="I1226" i="12"/>
  <c r="H1226" i="12"/>
  <c r="G1226" i="12"/>
  <c r="F1226" i="12"/>
  <c r="E1226" i="12"/>
  <c r="D1226" i="12"/>
  <c r="C1226" i="12"/>
  <c r="B1226" i="12"/>
  <c r="O1225" i="12"/>
  <c r="N1225" i="12"/>
  <c r="M1225" i="12"/>
  <c r="K1225" i="12"/>
  <c r="J1225" i="12"/>
  <c r="I1225" i="12"/>
  <c r="H1225" i="12"/>
  <c r="G1225" i="12"/>
  <c r="F1225" i="12"/>
  <c r="E1225" i="12"/>
  <c r="D1225" i="12"/>
  <c r="C1225" i="12"/>
  <c r="B1225" i="12"/>
  <c r="O1224" i="12"/>
  <c r="N1224" i="12"/>
  <c r="M1224" i="12"/>
  <c r="K1224" i="12"/>
  <c r="J1224" i="12"/>
  <c r="I1224" i="12"/>
  <c r="H1224" i="12"/>
  <c r="G1224" i="12"/>
  <c r="F1224" i="12"/>
  <c r="E1224" i="12"/>
  <c r="D1224" i="12"/>
  <c r="C1224" i="12"/>
  <c r="B1224" i="12"/>
  <c r="O1223" i="12"/>
  <c r="N1223" i="12"/>
  <c r="M1223" i="12"/>
  <c r="K1223" i="12"/>
  <c r="J1223" i="12"/>
  <c r="I1223" i="12"/>
  <c r="H1223" i="12"/>
  <c r="G1223" i="12"/>
  <c r="F1223" i="12"/>
  <c r="E1223" i="12"/>
  <c r="D1223" i="12"/>
  <c r="C1223" i="12"/>
  <c r="B1223" i="12"/>
  <c r="O1222" i="12"/>
  <c r="N1222" i="12"/>
  <c r="M1222" i="12"/>
  <c r="K1222" i="12"/>
  <c r="J1222" i="12"/>
  <c r="I1222" i="12"/>
  <c r="H1222" i="12"/>
  <c r="G1222" i="12"/>
  <c r="F1222" i="12"/>
  <c r="E1222" i="12"/>
  <c r="D1222" i="12"/>
  <c r="C1222" i="12"/>
  <c r="B1222" i="12"/>
  <c r="O1221" i="12"/>
  <c r="N1221" i="12"/>
  <c r="M1221" i="12"/>
  <c r="K1221" i="12"/>
  <c r="J1221" i="12"/>
  <c r="I1221" i="12"/>
  <c r="H1221" i="12"/>
  <c r="G1221" i="12"/>
  <c r="F1221" i="12"/>
  <c r="E1221" i="12"/>
  <c r="D1221" i="12"/>
  <c r="C1221" i="12"/>
  <c r="B1221" i="12"/>
  <c r="O1220" i="12"/>
  <c r="N1220" i="12"/>
  <c r="M1220" i="12"/>
  <c r="K1220" i="12"/>
  <c r="J1220" i="12"/>
  <c r="I1220" i="12"/>
  <c r="H1220" i="12"/>
  <c r="G1220" i="12"/>
  <c r="F1220" i="12"/>
  <c r="E1220" i="12"/>
  <c r="D1220" i="12"/>
  <c r="C1220" i="12"/>
  <c r="B1220" i="12"/>
  <c r="O1219" i="12"/>
  <c r="N1219" i="12"/>
  <c r="M1219" i="12"/>
  <c r="K1219" i="12"/>
  <c r="J1219" i="12"/>
  <c r="I1219" i="12"/>
  <c r="H1219" i="12"/>
  <c r="G1219" i="12"/>
  <c r="F1219" i="12"/>
  <c r="E1219" i="12"/>
  <c r="D1219" i="12"/>
  <c r="C1219" i="12"/>
  <c r="B1219" i="12"/>
  <c r="O1218" i="12"/>
  <c r="N1218" i="12"/>
  <c r="M1218" i="12"/>
  <c r="K1218" i="12"/>
  <c r="J1218" i="12"/>
  <c r="I1218" i="12"/>
  <c r="H1218" i="12"/>
  <c r="G1218" i="12"/>
  <c r="F1218" i="12"/>
  <c r="E1218" i="12"/>
  <c r="D1218" i="12"/>
  <c r="C1218" i="12"/>
  <c r="B1218" i="12"/>
  <c r="O1217" i="12"/>
  <c r="N1217" i="12"/>
  <c r="M1217" i="12"/>
  <c r="K1217" i="12"/>
  <c r="J1217" i="12"/>
  <c r="I1217" i="12"/>
  <c r="H1217" i="12"/>
  <c r="G1217" i="12"/>
  <c r="F1217" i="12"/>
  <c r="E1217" i="12"/>
  <c r="D1217" i="12"/>
  <c r="C1217" i="12"/>
  <c r="B1217" i="12"/>
  <c r="O1216" i="12"/>
  <c r="N1216" i="12"/>
  <c r="M1216" i="12"/>
  <c r="K1216" i="12"/>
  <c r="J1216" i="12"/>
  <c r="I1216" i="12"/>
  <c r="H1216" i="12"/>
  <c r="G1216" i="12"/>
  <c r="F1216" i="12"/>
  <c r="E1216" i="12"/>
  <c r="D1216" i="12"/>
  <c r="C1216" i="12"/>
  <c r="B1216" i="12"/>
  <c r="O1215" i="12"/>
  <c r="N1215" i="12"/>
  <c r="M1215" i="12"/>
  <c r="K1215" i="12"/>
  <c r="J1215" i="12"/>
  <c r="I1215" i="12"/>
  <c r="H1215" i="12"/>
  <c r="G1215" i="12"/>
  <c r="F1215" i="12"/>
  <c r="E1215" i="12"/>
  <c r="D1215" i="12"/>
  <c r="C1215" i="12"/>
  <c r="B1215" i="12"/>
  <c r="O1214" i="12"/>
  <c r="N1214" i="12"/>
  <c r="M1214" i="12"/>
  <c r="K1214" i="12"/>
  <c r="J1214" i="12"/>
  <c r="I1214" i="12"/>
  <c r="H1214" i="12"/>
  <c r="G1214" i="12"/>
  <c r="F1214" i="12"/>
  <c r="E1214" i="12"/>
  <c r="D1214" i="12"/>
  <c r="C1214" i="12"/>
  <c r="B1214" i="12"/>
  <c r="O1213" i="12"/>
  <c r="N1213" i="12"/>
  <c r="M1213" i="12"/>
  <c r="K1213" i="12"/>
  <c r="J1213" i="12"/>
  <c r="I1213" i="12"/>
  <c r="H1213" i="12"/>
  <c r="G1213" i="12"/>
  <c r="F1213" i="12"/>
  <c r="E1213" i="12"/>
  <c r="D1213" i="12"/>
  <c r="C1213" i="12"/>
  <c r="B1213" i="12"/>
  <c r="O1212" i="12"/>
  <c r="N1212" i="12"/>
  <c r="M1212" i="12"/>
  <c r="K1212" i="12"/>
  <c r="J1212" i="12"/>
  <c r="I1212" i="12"/>
  <c r="H1212" i="12"/>
  <c r="G1212" i="12"/>
  <c r="F1212" i="12"/>
  <c r="E1212" i="12"/>
  <c r="D1212" i="12"/>
  <c r="C1212" i="12"/>
  <c r="B1212" i="12"/>
  <c r="O1211" i="12"/>
  <c r="N1211" i="12"/>
  <c r="M1211" i="12"/>
  <c r="K1211" i="12"/>
  <c r="J1211" i="12"/>
  <c r="I1211" i="12"/>
  <c r="H1211" i="12"/>
  <c r="G1211" i="12"/>
  <c r="F1211" i="12"/>
  <c r="E1211" i="12"/>
  <c r="D1211" i="12"/>
  <c r="C1211" i="12"/>
  <c r="B1211" i="12"/>
  <c r="O1210" i="12"/>
  <c r="N1210" i="12"/>
  <c r="M1210" i="12"/>
  <c r="K1210" i="12"/>
  <c r="J1210" i="12"/>
  <c r="I1210" i="12"/>
  <c r="H1210" i="12"/>
  <c r="G1210" i="12"/>
  <c r="F1210" i="12"/>
  <c r="E1210" i="12"/>
  <c r="D1210" i="12"/>
  <c r="C1210" i="12"/>
  <c r="B1210" i="12"/>
  <c r="O1209" i="12"/>
  <c r="N1209" i="12"/>
  <c r="M1209" i="12"/>
  <c r="K1209" i="12"/>
  <c r="J1209" i="12"/>
  <c r="I1209" i="12"/>
  <c r="H1209" i="12"/>
  <c r="G1209" i="12"/>
  <c r="F1209" i="12"/>
  <c r="E1209" i="12"/>
  <c r="D1209" i="12"/>
  <c r="C1209" i="12"/>
  <c r="B1209" i="12"/>
  <c r="O1208" i="12"/>
  <c r="N1208" i="12"/>
  <c r="M1208" i="12"/>
  <c r="K1208" i="12"/>
  <c r="J1208" i="12"/>
  <c r="I1208" i="12"/>
  <c r="H1208" i="12"/>
  <c r="G1208" i="12"/>
  <c r="F1208" i="12"/>
  <c r="E1208" i="12"/>
  <c r="D1208" i="12"/>
  <c r="C1208" i="12"/>
  <c r="B1208" i="12"/>
  <c r="O1207" i="12"/>
  <c r="N1207" i="12"/>
  <c r="M1207" i="12"/>
  <c r="K1207" i="12"/>
  <c r="J1207" i="12"/>
  <c r="I1207" i="12"/>
  <c r="H1207" i="12"/>
  <c r="G1207" i="12"/>
  <c r="F1207" i="12"/>
  <c r="E1207" i="12"/>
  <c r="D1207" i="12"/>
  <c r="C1207" i="12"/>
  <c r="B1207" i="12"/>
  <c r="O1206" i="12"/>
  <c r="N1206" i="12"/>
  <c r="M1206" i="12"/>
  <c r="F1206" i="12"/>
  <c r="E1206" i="12"/>
  <c r="D1206" i="12"/>
  <c r="C1206" i="12"/>
  <c r="B1206" i="12"/>
  <c r="O1205" i="12"/>
  <c r="N1205" i="12"/>
  <c r="M1205" i="12"/>
  <c r="F1205" i="12"/>
  <c r="E1205" i="12"/>
  <c r="D1205" i="12"/>
  <c r="C1205" i="12"/>
  <c r="B1205" i="12"/>
  <c r="O1204" i="12"/>
  <c r="N1204" i="12"/>
  <c r="M1204" i="12"/>
  <c r="F1204" i="12"/>
  <c r="E1204" i="12"/>
  <c r="D1204" i="12"/>
  <c r="C1204" i="12"/>
  <c r="B1204" i="12"/>
  <c r="O1203" i="12"/>
  <c r="N1203" i="12"/>
  <c r="M1203" i="12"/>
  <c r="F1203" i="12"/>
  <c r="E1203" i="12"/>
  <c r="D1203" i="12"/>
  <c r="C1203" i="12"/>
  <c r="B1203" i="12"/>
  <c r="O1202" i="12"/>
  <c r="N1202" i="12"/>
  <c r="M1202" i="12"/>
  <c r="F1202" i="12"/>
  <c r="E1202" i="12"/>
  <c r="D1202" i="12"/>
  <c r="C1202" i="12"/>
  <c r="B1202" i="12"/>
  <c r="O1201" i="12"/>
  <c r="N1201" i="12"/>
  <c r="M1201" i="12"/>
  <c r="F1201" i="12"/>
  <c r="E1201" i="12"/>
  <c r="D1201" i="12"/>
  <c r="C1201" i="12"/>
  <c r="B1201" i="12"/>
  <c r="O1200" i="12"/>
  <c r="N1200" i="12"/>
  <c r="M1200" i="12"/>
  <c r="F1200" i="12"/>
  <c r="E1200" i="12"/>
  <c r="D1200" i="12"/>
  <c r="C1200" i="12"/>
  <c r="B1200" i="12"/>
  <c r="O1199" i="12"/>
  <c r="N1199" i="12"/>
  <c r="M1199" i="12"/>
  <c r="F1199" i="12"/>
  <c r="E1199" i="12"/>
  <c r="D1199" i="12"/>
  <c r="C1199" i="12"/>
  <c r="B1199" i="12"/>
  <c r="O1198" i="12"/>
  <c r="N1198" i="12"/>
  <c r="M1198" i="12"/>
  <c r="F1198" i="12"/>
  <c r="E1198" i="12"/>
  <c r="D1198" i="12"/>
  <c r="C1198" i="12"/>
  <c r="B1198" i="12"/>
  <c r="O1197" i="12"/>
  <c r="N1197" i="12"/>
  <c r="M1197" i="12"/>
  <c r="F1197" i="12"/>
  <c r="E1197" i="12"/>
  <c r="D1197" i="12"/>
  <c r="C1197" i="12"/>
  <c r="B1197" i="12"/>
  <c r="O1196" i="12"/>
  <c r="N1196" i="12"/>
  <c r="M1196" i="12"/>
  <c r="F1196" i="12"/>
  <c r="E1196" i="12"/>
  <c r="D1196" i="12"/>
  <c r="C1196" i="12"/>
  <c r="B1196" i="12"/>
  <c r="O1195" i="12"/>
  <c r="N1195" i="12"/>
  <c r="M1195" i="12"/>
  <c r="F1195" i="12"/>
  <c r="E1195" i="12"/>
  <c r="D1195" i="12"/>
  <c r="C1195" i="12"/>
  <c r="B1195" i="12"/>
  <c r="O1194" i="12"/>
  <c r="N1194" i="12"/>
  <c r="M1194" i="12"/>
  <c r="F1194" i="12"/>
  <c r="E1194" i="12"/>
  <c r="D1194" i="12"/>
  <c r="C1194" i="12"/>
  <c r="B1194" i="12"/>
  <c r="O1193" i="12"/>
  <c r="N1193" i="12"/>
  <c r="M1193" i="12"/>
  <c r="F1193" i="12"/>
  <c r="E1193" i="12"/>
  <c r="D1193" i="12"/>
  <c r="C1193" i="12"/>
  <c r="B1193" i="12"/>
  <c r="O1192" i="12"/>
  <c r="N1192" i="12"/>
  <c r="M1192" i="12"/>
  <c r="F1192" i="12"/>
  <c r="E1192" i="12"/>
  <c r="D1192" i="12"/>
  <c r="C1192" i="12"/>
  <c r="B1192" i="12"/>
  <c r="O1191" i="12"/>
  <c r="N1191" i="12"/>
  <c r="M1191" i="12"/>
  <c r="F1191" i="12"/>
  <c r="E1191" i="12"/>
  <c r="D1191" i="12"/>
  <c r="C1191" i="12"/>
  <c r="B1191" i="12"/>
  <c r="O1190" i="12"/>
  <c r="N1190" i="12"/>
  <c r="M1190" i="12"/>
  <c r="F1190" i="12"/>
  <c r="E1190" i="12"/>
  <c r="D1190" i="12"/>
  <c r="C1190" i="12"/>
  <c r="B1190" i="12"/>
  <c r="O1189" i="12"/>
  <c r="N1189" i="12"/>
  <c r="M1189" i="12"/>
  <c r="F1189" i="12"/>
  <c r="E1189" i="12"/>
  <c r="D1189" i="12"/>
  <c r="C1189" i="12"/>
  <c r="B1189" i="12"/>
  <c r="O1188" i="12"/>
  <c r="N1188" i="12"/>
  <c r="M1188" i="12"/>
  <c r="F1188" i="12"/>
  <c r="E1188" i="12"/>
  <c r="D1188" i="12"/>
  <c r="C1188" i="12"/>
  <c r="B1188" i="12"/>
  <c r="O1187" i="12"/>
  <c r="N1187" i="12"/>
  <c r="M1187" i="12"/>
  <c r="K1187" i="12"/>
  <c r="J1187" i="12"/>
  <c r="I1187" i="12"/>
  <c r="H1187" i="12"/>
  <c r="G1187" i="12"/>
  <c r="F1187" i="12"/>
  <c r="E1187" i="12"/>
  <c r="D1187" i="12"/>
  <c r="C1187" i="12"/>
  <c r="B1187" i="12"/>
  <c r="O1186" i="12"/>
  <c r="N1186" i="12"/>
  <c r="M1186" i="12"/>
  <c r="K1186" i="12"/>
  <c r="J1186" i="12"/>
  <c r="I1186" i="12"/>
  <c r="H1186" i="12"/>
  <c r="G1186" i="12"/>
  <c r="F1186" i="12"/>
  <c r="E1186" i="12"/>
  <c r="D1186" i="12"/>
  <c r="C1186" i="12"/>
  <c r="B1186" i="12"/>
  <c r="O1185" i="12"/>
  <c r="N1185" i="12"/>
  <c r="M1185" i="12"/>
  <c r="K1185" i="12"/>
  <c r="J1185" i="12"/>
  <c r="I1185" i="12"/>
  <c r="H1185" i="12"/>
  <c r="G1185" i="12"/>
  <c r="F1185" i="12"/>
  <c r="E1185" i="12"/>
  <c r="D1185" i="12"/>
  <c r="C1185" i="12"/>
  <c r="B1185" i="12"/>
  <c r="O1184" i="12"/>
  <c r="N1184" i="12"/>
  <c r="M1184" i="12"/>
  <c r="K1184" i="12"/>
  <c r="J1184" i="12"/>
  <c r="I1184" i="12"/>
  <c r="H1184" i="12"/>
  <c r="G1184" i="12"/>
  <c r="F1184" i="12"/>
  <c r="E1184" i="12"/>
  <c r="D1184" i="12"/>
  <c r="C1184" i="12"/>
  <c r="B1184" i="12"/>
  <c r="O1183" i="12"/>
  <c r="N1183" i="12"/>
  <c r="M1183" i="12"/>
  <c r="K1183" i="12"/>
  <c r="J1183" i="12"/>
  <c r="I1183" i="12"/>
  <c r="H1183" i="12"/>
  <c r="G1183" i="12"/>
  <c r="F1183" i="12"/>
  <c r="E1183" i="12"/>
  <c r="D1183" i="12"/>
  <c r="C1183" i="12"/>
  <c r="B1183" i="12"/>
  <c r="O1182" i="12"/>
  <c r="N1182" i="12"/>
  <c r="M1182" i="12"/>
  <c r="K1182" i="12"/>
  <c r="J1182" i="12"/>
  <c r="I1182" i="12"/>
  <c r="H1182" i="12"/>
  <c r="G1182" i="12"/>
  <c r="F1182" i="12"/>
  <c r="E1182" i="12"/>
  <c r="D1182" i="12"/>
  <c r="C1182" i="12"/>
  <c r="B1182" i="12"/>
  <c r="O1181" i="12"/>
  <c r="N1181" i="12"/>
  <c r="M1181" i="12"/>
  <c r="K1181" i="12"/>
  <c r="J1181" i="12"/>
  <c r="I1181" i="12"/>
  <c r="H1181" i="12"/>
  <c r="G1181" i="12"/>
  <c r="F1181" i="12"/>
  <c r="E1181" i="12"/>
  <c r="D1181" i="12"/>
  <c r="C1181" i="12"/>
  <c r="B1181" i="12"/>
  <c r="O1180" i="12"/>
  <c r="N1180" i="12"/>
  <c r="M1180" i="12"/>
  <c r="K1180" i="12"/>
  <c r="J1180" i="12"/>
  <c r="I1180" i="12"/>
  <c r="H1180" i="12"/>
  <c r="G1180" i="12"/>
  <c r="F1180" i="12"/>
  <c r="E1180" i="12"/>
  <c r="D1180" i="12"/>
  <c r="C1180" i="12"/>
  <c r="B1180" i="12"/>
  <c r="O1179" i="12"/>
  <c r="N1179" i="12"/>
  <c r="M1179" i="12"/>
  <c r="K1179" i="12"/>
  <c r="J1179" i="12"/>
  <c r="I1179" i="12"/>
  <c r="H1179" i="12"/>
  <c r="G1179" i="12"/>
  <c r="F1179" i="12"/>
  <c r="E1179" i="12"/>
  <c r="D1179" i="12"/>
  <c r="C1179" i="12"/>
  <c r="B1179" i="12"/>
  <c r="O1178" i="12"/>
  <c r="N1178" i="12"/>
  <c r="M1178" i="12"/>
  <c r="K1178" i="12"/>
  <c r="J1178" i="12"/>
  <c r="I1178" i="12"/>
  <c r="H1178" i="12"/>
  <c r="G1178" i="12"/>
  <c r="F1178" i="12"/>
  <c r="E1178" i="12"/>
  <c r="D1178" i="12"/>
  <c r="C1178" i="12"/>
  <c r="B1178" i="12"/>
  <c r="O1177" i="12"/>
  <c r="N1177" i="12"/>
  <c r="M1177" i="12"/>
  <c r="K1177" i="12"/>
  <c r="J1177" i="12"/>
  <c r="I1177" i="12"/>
  <c r="H1177" i="12"/>
  <c r="G1177" i="12"/>
  <c r="F1177" i="12"/>
  <c r="E1177" i="12"/>
  <c r="D1177" i="12"/>
  <c r="C1177" i="12"/>
  <c r="B1177" i="12"/>
  <c r="O1176" i="12"/>
  <c r="N1176" i="12"/>
  <c r="M1176" i="12"/>
  <c r="K1176" i="12"/>
  <c r="J1176" i="12"/>
  <c r="I1176" i="12"/>
  <c r="H1176" i="12"/>
  <c r="G1176" i="12"/>
  <c r="F1176" i="12"/>
  <c r="E1176" i="12"/>
  <c r="D1176" i="12"/>
  <c r="C1176" i="12"/>
  <c r="B1176" i="12"/>
  <c r="O1175" i="12"/>
  <c r="N1175" i="12"/>
  <c r="M1175" i="12"/>
  <c r="K1175" i="12"/>
  <c r="J1175" i="12"/>
  <c r="I1175" i="12"/>
  <c r="H1175" i="12"/>
  <c r="G1175" i="12"/>
  <c r="F1175" i="12"/>
  <c r="E1175" i="12"/>
  <c r="D1175" i="12"/>
  <c r="C1175" i="12"/>
  <c r="B1175" i="12"/>
  <c r="O1174" i="12"/>
  <c r="N1174" i="12"/>
  <c r="M1174" i="12"/>
  <c r="K1174" i="12"/>
  <c r="J1174" i="12"/>
  <c r="I1174" i="12"/>
  <c r="H1174" i="12"/>
  <c r="G1174" i="12"/>
  <c r="F1174" i="12"/>
  <c r="E1174" i="12"/>
  <c r="D1174" i="12"/>
  <c r="C1174" i="12"/>
  <c r="B1174" i="12"/>
  <c r="O1173" i="12"/>
  <c r="N1173" i="12"/>
  <c r="M1173" i="12"/>
  <c r="K1173" i="12"/>
  <c r="J1173" i="12"/>
  <c r="I1173" i="12"/>
  <c r="H1173" i="12"/>
  <c r="G1173" i="12"/>
  <c r="F1173" i="12"/>
  <c r="E1173" i="12"/>
  <c r="D1173" i="12"/>
  <c r="C1173" i="12"/>
  <c r="B1173" i="12"/>
  <c r="O1172" i="12"/>
  <c r="N1172" i="12"/>
  <c r="M1172" i="12"/>
  <c r="K1172" i="12"/>
  <c r="J1172" i="12"/>
  <c r="I1172" i="12"/>
  <c r="H1172" i="12"/>
  <c r="G1172" i="12"/>
  <c r="F1172" i="12"/>
  <c r="E1172" i="12"/>
  <c r="D1172" i="12"/>
  <c r="C1172" i="12"/>
  <c r="B1172" i="12"/>
  <c r="O1171" i="12"/>
  <c r="N1171" i="12"/>
  <c r="M1171" i="12"/>
  <c r="K1171" i="12"/>
  <c r="J1171" i="12"/>
  <c r="I1171" i="12"/>
  <c r="H1171" i="12"/>
  <c r="G1171" i="12"/>
  <c r="F1171" i="12"/>
  <c r="E1171" i="12"/>
  <c r="D1171" i="12"/>
  <c r="C1171" i="12"/>
  <c r="B1171" i="12"/>
  <c r="O1170" i="12"/>
  <c r="N1170" i="12"/>
  <c r="M1170" i="12"/>
  <c r="K1170" i="12"/>
  <c r="J1170" i="12"/>
  <c r="I1170" i="12"/>
  <c r="H1170" i="12"/>
  <c r="G1170" i="12"/>
  <c r="F1170" i="12"/>
  <c r="E1170" i="12"/>
  <c r="D1170" i="12"/>
  <c r="C1170" i="12"/>
  <c r="B1170" i="12"/>
  <c r="O1169" i="12"/>
  <c r="N1169" i="12"/>
  <c r="M1169" i="12"/>
  <c r="K1169" i="12"/>
  <c r="J1169" i="12"/>
  <c r="I1169" i="12"/>
  <c r="H1169" i="12"/>
  <c r="G1169" i="12"/>
  <c r="F1169" i="12"/>
  <c r="E1169" i="12"/>
  <c r="D1169" i="12"/>
  <c r="C1169" i="12"/>
  <c r="B1169" i="12"/>
  <c r="O1168" i="12"/>
  <c r="N1168" i="12"/>
  <c r="M1168" i="12"/>
  <c r="K1168" i="12"/>
  <c r="J1168" i="12"/>
  <c r="I1168" i="12"/>
  <c r="H1168" i="12"/>
  <c r="G1168" i="12"/>
  <c r="F1168" i="12"/>
  <c r="E1168" i="12"/>
  <c r="D1168" i="12"/>
  <c r="C1168" i="12"/>
  <c r="B1168" i="12"/>
  <c r="O1167" i="12"/>
  <c r="N1167" i="12"/>
  <c r="M1167" i="12"/>
  <c r="K1167" i="12"/>
  <c r="J1167" i="12"/>
  <c r="I1167" i="12"/>
  <c r="H1167" i="12"/>
  <c r="G1167" i="12"/>
  <c r="F1167" i="12"/>
  <c r="E1167" i="12"/>
  <c r="D1167" i="12"/>
  <c r="C1167" i="12"/>
  <c r="B1167" i="12"/>
  <c r="O1166" i="12"/>
  <c r="N1166" i="12"/>
  <c r="M1166" i="12"/>
  <c r="K1166" i="12"/>
  <c r="J1166" i="12"/>
  <c r="I1166" i="12"/>
  <c r="H1166" i="12"/>
  <c r="G1166" i="12"/>
  <c r="F1166" i="12"/>
  <c r="E1166" i="12"/>
  <c r="D1166" i="12"/>
  <c r="C1166" i="12"/>
  <c r="B1166" i="12"/>
  <c r="O1165" i="12"/>
  <c r="N1165" i="12"/>
  <c r="M1165" i="12"/>
  <c r="K1165" i="12"/>
  <c r="J1165" i="12"/>
  <c r="I1165" i="12"/>
  <c r="H1165" i="12"/>
  <c r="G1165" i="12"/>
  <c r="F1165" i="12"/>
  <c r="E1165" i="12"/>
  <c r="D1165" i="12"/>
  <c r="C1165" i="12"/>
  <c r="B1165" i="12"/>
  <c r="O1164" i="12"/>
  <c r="N1164" i="12"/>
  <c r="M1164" i="12"/>
  <c r="K1164" i="12"/>
  <c r="J1164" i="12"/>
  <c r="I1164" i="12"/>
  <c r="H1164" i="12"/>
  <c r="G1164" i="12"/>
  <c r="F1164" i="12"/>
  <c r="E1164" i="12"/>
  <c r="D1164" i="12"/>
  <c r="C1164" i="12"/>
  <c r="B1164" i="12"/>
  <c r="O1163" i="12"/>
  <c r="N1163" i="12"/>
  <c r="M1163" i="12"/>
  <c r="K1163" i="12"/>
  <c r="J1163" i="12"/>
  <c r="I1163" i="12"/>
  <c r="H1163" i="12"/>
  <c r="G1163" i="12"/>
  <c r="F1163" i="12"/>
  <c r="E1163" i="12"/>
  <c r="D1163" i="12"/>
  <c r="C1163" i="12"/>
  <c r="B1163" i="12"/>
  <c r="O1162" i="12"/>
  <c r="N1162" i="12"/>
  <c r="M1162" i="12"/>
  <c r="K1162" i="12"/>
  <c r="J1162" i="12"/>
  <c r="I1162" i="12"/>
  <c r="H1162" i="12"/>
  <c r="G1162" i="12"/>
  <c r="F1162" i="12"/>
  <c r="E1162" i="12"/>
  <c r="D1162" i="12"/>
  <c r="C1162" i="12"/>
  <c r="B1162" i="12"/>
  <c r="O1161" i="12"/>
  <c r="N1161" i="12"/>
  <c r="M1161" i="12"/>
  <c r="K1161" i="12"/>
  <c r="J1161" i="12"/>
  <c r="I1161" i="12"/>
  <c r="H1161" i="12"/>
  <c r="G1161" i="12"/>
  <c r="F1161" i="12"/>
  <c r="E1161" i="12"/>
  <c r="D1161" i="12"/>
  <c r="C1161" i="12"/>
  <c r="B1161" i="12"/>
  <c r="O1160" i="12"/>
  <c r="N1160" i="12"/>
  <c r="M1160" i="12"/>
  <c r="K1160" i="12"/>
  <c r="J1160" i="12"/>
  <c r="I1160" i="12"/>
  <c r="H1160" i="12"/>
  <c r="G1160" i="12"/>
  <c r="F1160" i="12"/>
  <c r="E1160" i="12"/>
  <c r="D1160" i="12"/>
  <c r="C1160" i="12"/>
  <c r="B1160" i="12"/>
  <c r="O1159" i="12"/>
  <c r="N1159" i="12"/>
  <c r="M1159" i="12"/>
  <c r="K1159" i="12"/>
  <c r="J1159" i="12"/>
  <c r="I1159" i="12"/>
  <c r="H1159" i="12"/>
  <c r="G1159" i="12"/>
  <c r="F1159" i="12"/>
  <c r="E1159" i="12"/>
  <c r="D1159" i="12"/>
  <c r="C1159" i="12"/>
  <c r="B1159" i="12"/>
  <c r="O1158" i="12"/>
  <c r="N1158" i="12"/>
  <c r="M1158" i="12"/>
  <c r="F1158" i="12"/>
  <c r="E1158" i="12"/>
  <c r="D1158" i="12"/>
  <c r="C1158" i="12"/>
  <c r="B1158" i="12"/>
  <c r="O1157" i="12"/>
  <c r="N1157" i="12"/>
  <c r="M1157" i="12"/>
  <c r="F1157" i="12"/>
  <c r="E1157" i="12"/>
  <c r="D1157" i="12"/>
  <c r="C1157" i="12"/>
  <c r="B1157" i="12"/>
  <c r="O1156" i="12"/>
  <c r="N1156" i="12"/>
  <c r="M1156" i="12"/>
  <c r="F1156" i="12"/>
  <c r="E1156" i="12"/>
  <c r="D1156" i="12"/>
  <c r="C1156" i="12"/>
  <c r="B1156" i="12"/>
  <c r="O1155" i="12"/>
  <c r="N1155" i="12"/>
  <c r="M1155" i="12"/>
  <c r="F1155" i="12"/>
  <c r="E1155" i="12"/>
  <c r="D1155" i="12"/>
  <c r="C1155" i="12"/>
  <c r="B1155" i="12"/>
  <c r="O1154" i="12"/>
  <c r="N1154" i="12"/>
  <c r="M1154" i="12"/>
  <c r="F1154" i="12"/>
  <c r="E1154" i="12"/>
  <c r="D1154" i="12"/>
  <c r="C1154" i="12"/>
  <c r="B1154" i="12"/>
  <c r="O1153" i="12"/>
  <c r="N1153" i="12"/>
  <c r="M1153" i="12"/>
  <c r="F1153" i="12"/>
  <c r="E1153" i="12"/>
  <c r="D1153" i="12"/>
  <c r="C1153" i="12"/>
  <c r="B1153" i="12"/>
  <c r="O1152" i="12"/>
  <c r="N1152" i="12"/>
  <c r="M1152" i="12"/>
  <c r="F1152" i="12"/>
  <c r="E1152" i="12"/>
  <c r="D1152" i="12"/>
  <c r="C1152" i="12"/>
  <c r="B1152" i="12"/>
  <c r="O1151" i="12"/>
  <c r="N1151" i="12"/>
  <c r="M1151" i="12"/>
  <c r="F1151" i="12"/>
  <c r="E1151" i="12"/>
  <c r="D1151" i="12"/>
  <c r="C1151" i="12"/>
  <c r="B1151" i="12"/>
  <c r="O1150" i="12"/>
  <c r="N1150" i="12"/>
  <c r="M1150" i="12"/>
  <c r="F1150" i="12"/>
  <c r="E1150" i="12"/>
  <c r="D1150" i="12"/>
  <c r="C1150" i="12"/>
  <c r="B1150" i="12"/>
  <c r="O1149" i="12"/>
  <c r="N1149" i="12"/>
  <c r="M1149" i="12"/>
  <c r="F1149" i="12"/>
  <c r="E1149" i="12"/>
  <c r="D1149" i="12"/>
  <c r="C1149" i="12"/>
  <c r="B1149" i="12"/>
  <c r="O1148" i="12"/>
  <c r="N1148" i="12"/>
  <c r="M1148" i="12"/>
  <c r="F1148" i="12"/>
  <c r="E1148" i="12"/>
  <c r="D1148" i="12"/>
  <c r="C1148" i="12"/>
  <c r="B1148" i="12"/>
  <c r="O1147" i="12"/>
  <c r="N1147" i="12"/>
  <c r="M1147" i="12"/>
  <c r="F1147" i="12"/>
  <c r="E1147" i="12"/>
  <c r="D1147" i="12"/>
  <c r="C1147" i="12"/>
  <c r="B1147" i="12"/>
  <c r="O1146" i="12"/>
  <c r="N1146" i="12"/>
  <c r="M1146" i="12"/>
  <c r="F1146" i="12"/>
  <c r="E1146" i="12"/>
  <c r="D1146" i="12"/>
  <c r="C1146" i="12"/>
  <c r="B1146" i="12"/>
  <c r="O1145" i="12"/>
  <c r="N1145" i="12"/>
  <c r="M1145" i="12"/>
  <c r="F1145" i="12"/>
  <c r="E1145" i="12"/>
  <c r="D1145" i="12"/>
  <c r="C1145" i="12"/>
  <c r="B1145" i="12"/>
  <c r="O1144" i="12"/>
  <c r="N1144" i="12"/>
  <c r="M1144" i="12"/>
  <c r="F1144" i="12"/>
  <c r="E1144" i="12"/>
  <c r="D1144" i="12"/>
  <c r="C1144" i="12"/>
  <c r="B1144" i="12"/>
  <c r="O1143" i="12"/>
  <c r="N1143" i="12"/>
  <c r="M1143" i="12"/>
  <c r="F1143" i="12"/>
  <c r="E1143" i="12"/>
  <c r="D1143" i="12"/>
  <c r="C1143" i="12"/>
  <c r="B1143" i="12"/>
  <c r="O1142" i="12"/>
  <c r="N1142" i="12"/>
  <c r="M1142" i="12"/>
  <c r="F1142" i="12"/>
  <c r="E1142" i="12"/>
  <c r="D1142" i="12"/>
  <c r="C1142" i="12"/>
  <c r="B1142" i="12"/>
  <c r="O1141" i="12"/>
  <c r="N1141" i="12"/>
  <c r="M1141" i="12"/>
  <c r="F1141" i="12"/>
  <c r="E1141" i="12"/>
  <c r="D1141" i="12"/>
  <c r="C1141" i="12"/>
  <c r="B1141" i="12"/>
  <c r="O1140" i="12"/>
  <c r="N1140" i="12"/>
  <c r="M1140" i="12"/>
  <c r="F1140" i="12"/>
  <c r="E1140" i="12"/>
  <c r="D1140" i="12"/>
  <c r="C1140" i="12"/>
  <c r="B1140" i="12"/>
  <c r="O1139" i="12"/>
  <c r="N1139" i="12"/>
  <c r="M1139" i="12"/>
  <c r="F1139" i="12"/>
  <c r="E1139" i="12"/>
  <c r="D1139" i="12"/>
  <c r="C1139" i="12"/>
  <c r="B1139" i="12"/>
  <c r="O1138" i="12"/>
  <c r="N1138" i="12"/>
  <c r="M1138" i="12"/>
  <c r="F1138" i="12"/>
  <c r="E1138" i="12"/>
  <c r="D1138" i="12"/>
  <c r="C1138" i="12"/>
  <c r="B1138" i="12"/>
  <c r="O1137" i="12"/>
  <c r="N1137" i="12"/>
  <c r="M1137" i="12"/>
  <c r="F1137" i="12"/>
  <c r="E1137" i="12"/>
  <c r="D1137" i="12"/>
  <c r="C1137" i="12"/>
  <c r="B1137" i="12"/>
  <c r="O1136" i="12"/>
  <c r="N1136" i="12"/>
  <c r="M1136" i="12"/>
  <c r="F1136" i="12"/>
  <c r="E1136" i="12"/>
  <c r="D1136" i="12"/>
  <c r="C1136" i="12"/>
  <c r="B1136" i="12"/>
  <c r="O1135" i="12"/>
  <c r="N1135" i="12"/>
  <c r="M1135" i="12"/>
  <c r="F1135" i="12"/>
  <c r="E1135" i="12"/>
  <c r="D1135" i="12"/>
  <c r="C1135" i="12"/>
  <c r="B1135" i="12"/>
  <c r="O1134" i="12"/>
  <c r="N1134" i="12"/>
  <c r="M1134" i="12"/>
  <c r="K1134" i="12"/>
  <c r="J1134" i="12"/>
  <c r="I1134" i="12"/>
  <c r="H1134" i="12"/>
  <c r="G1134" i="12"/>
  <c r="F1134" i="12"/>
  <c r="E1134" i="12"/>
  <c r="D1134" i="12"/>
  <c r="C1134" i="12"/>
  <c r="B1134" i="12"/>
  <c r="O1133" i="12"/>
  <c r="N1133" i="12"/>
  <c r="M1133" i="12"/>
  <c r="K1133" i="12"/>
  <c r="J1133" i="12"/>
  <c r="I1133" i="12"/>
  <c r="H1133" i="12"/>
  <c r="G1133" i="12"/>
  <c r="F1133" i="12"/>
  <c r="E1133" i="12"/>
  <c r="D1133" i="12"/>
  <c r="C1133" i="12"/>
  <c r="B1133" i="12"/>
  <c r="O1132" i="12"/>
  <c r="N1132" i="12"/>
  <c r="M1132" i="12"/>
  <c r="K1132" i="12"/>
  <c r="J1132" i="12"/>
  <c r="I1132" i="12"/>
  <c r="H1132" i="12"/>
  <c r="G1132" i="12"/>
  <c r="F1132" i="12"/>
  <c r="E1132" i="12"/>
  <c r="D1132" i="12"/>
  <c r="C1132" i="12"/>
  <c r="B1132" i="12"/>
  <c r="O1131" i="12"/>
  <c r="N1131" i="12"/>
  <c r="M1131" i="12"/>
  <c r="K1131" i="12"/>
  <c r="J1131" i="12"/>
  <c r="I1131" i="12"/>
  <c r="H1131" i="12"/>
  <c r="G1131" i="12"/>
  <c r="F1131" i="12"/>
  <c r="E1131" i="12"/>
  <c r="D1131" i="12"/>
  <c r="C1131" i="12"/>
  <c r="B1131" i="12"/>
  <c r="O1130" i="12"/>
  <c r="N1130" i="12"/>
  <c r="M1130" i="12"/>
  <c r="K1130" i="12"/>
  <c r="J1130" i="12"/>
  <c r="I1130" i="12"/>
  <c r="H1130" i="12"/>
  <c r="G1130" i="12"/>
  <c r="F1130" i="12"/>
  <c r="E1130" i="12"/>
  <c r="D1130" i="12"/>
  <c r="C1130" i="12"/>
  <c r="B1130" i="12"/>
  <c r="O1129" i="12"/>
  <c r="N1129" i="12"/>
  <c r="M1129" i="12"/>
  <c r="K1129" i="12"/>
  <c r="J1129" i="12"/>
  <c r="I1129" i="12"/>
  <c r="H1129" i="12"/>
  <c r="G1129" i="12"/>
  <c r="F1129" i="12"/>
  <c r="E1129" i="12"/>
  <c r="D1129" i="12"/>
  <c r="C1129" i="12"/>
  <c r="B1129" i="12"/>
  <c r="O1128" i="12"/>
  <c r="N1128" i="12"/>
  <c r="M1128" i="12"/>
  <c r="K1128" i="12"/>
  <c r="J1128" i="12"/>
  <c r="I1128" i="12"/>
  <c r="H1128" i="12"/>
  <c r="G1128" i="12"/>
  <c r="F1128" i="12"/>
  <c r="E1128" i="12"/>
  <c r="D1128" i="12"/>
  <c r="C1128" i="12"/>
  <c r="B1128" i="12"/>
  <c r="O1127" i="12"/>
  <c r="N1127" i="12"/>
  <c r="M1127" i="12"/>
  <c r="K1127" i="12"/>
  <c r="J1127" i="12"/>
  <c r="I1127" i="12"/>
  <c r="H1127" i="12"/>
  <c r="G1127" i="12"/>
  <c r="F1127" i="12"/>
  <c r="E1127" i="12"/>
  <c r="D1127" i="12"/>
  <c r="C1127" i="12"/>
  <c r="B1127" i="12"/>
  <c r="O1126" i="12"/>
  <c r="N1126" i="12"/>
  <c r="M1126" i="12"/>
  <c r="F1126" i="12"/>
  <c r="E1126" i="12"/>
  <c r="D1126" i="12"/>
  <c r="C1126" i="12"/>
  <c r="B1126" i="12"/>
  <c r="O1125" i="12"/>
  <c r="N1125" i="12"/>
  <c r="M1125" i="12"/>
  <c r="F1125" i="12"/>
  <c r="E1125" i="12"/>
  <c r="D1125" i="12"/>
  <c r="C1125" i="12"/>
  <c r="B1125" i="12"/>
  <c r="O1124" i="12"/>
  <c r="N1124" i="12"/>
  <c r="M1124" i="12"/>
  <c r="F1124" i="12"/>
  <c r="E1124" i="12"/>
  <c r="D1124" i="12"/>
  <c r="C1124" i="12"/>
  <c r="B1124" i="12"/>
  <c r="O1123" i="12"/>
  <c r="N1123" i="12"/>
  <c r="M1123" i="12"/>
  <c r="F1123" i="12"/>
  <c r="E1123" i="12"/>
  <c r="D1123" i="12"/>
  <c r="C1123" i="12"/>
  <c r="B1123" i="12"/>
  <c r="O1122" i="12"/>
  <c r="N1122" i="12"/>
  <c r="M1122" i="12"/>
  <c r="F1122" i="12"/>
  <c r="E1122" i="12"/>
  <c r="D1122" i="12"/>
  <c r="C1122" i="12"/>
  <c r="B1122" i="12"/>
  <c r="O1121" i="12"/>
  <c r="N1121" i="12"/>
  <c r="M1121" i="12"/>
  <c r="F1121" i="12"/>
  <c r="E1121" i="12"/>
  <c r="D1121" i="12"/>
  <c r="C1121" i="12"/>
  <c r="B1121" i="12"/>
  <c r="O1120" i="12"/>
  <c r="N1120" i="12"/>
  <c r="M1120" i="12"/>
  <c r="K1120" i="12"/>
  <c r="J1120" i="12"/>
  <c r="I1120" i="12"/>
  <c r="H1120" i="12"/>
  <c r="G1120" i="12"/>
  <c r="F1120" i="12"/>
  <c r="E1120" i="12"/>
  <c r="D1120" i="12"/>
  <c r="C1120" i="12"/>
  <c r="B1120" i="12"/>
  <c r="O1119" i="12"/>
  <c r="N1119" i="12"/>
  <c r="M1119" i="12"/>
  <c r="K1119" i="12"/>
  <c r="J1119" i="12"/>
  <c r="I1119" i="12"/>
  <c r="H1119" i="12"/>
  <c r="G1119" i="12"/>
  <c r="F1119" i="12"/>
  <c r="E1119" i="12"/>
  <c r="D1119" i="12"/>
  <c r="C1119" i="12"/>
  <c r="B1119" i="12"/>
  <c r="O1118" i="12"/>
  <c r="N1118" i="12"/>
  <c r="M1118" i="12"/>
  <c r="K1118" i="12"/>
  <c r="J1118" i="12"/>
  <c r="I1118" i="12"/>
  <c r="H1118" i="12"/>
  <c r="G1118" i="12"/>
  <c r="F1118" i="12"/>
  <c r="E1118" i="12"/>
  <c r="D1118" i="12"/>
  <c r="C1118" i="12"/>
  <c r="B1118" i="12"/>
  <c r="O1117" i="12"/>
  <c r="N1117" i="12"/>
  <c r="M1117" i="12"/>
  <c r="K1117" i="12"/>
  <c r="J1117" i="12"/>
  <c r="I1117" i="12"/>
  <c r="H1117" i="12"/>
  <c r="G1117" i="12"/>
  <c r="F1117" i="12"/>
  <c r="E1117" i="12"/>
  <c r="D1117" i="12"/>
  <c r="C1117" i="12"/>
  <c r="B1117" i="12"/>
  <c r="O1116" i="12"/>
  <c r="N1116" i="12"/>
  <c r="M1116" i="12"/>
  <c r="K1116" i="12"/>
  <c r="J1116" i="12"/>
  <c r="I1116" i="12"/>
  <c r="H1116" i="12"/>
  <c r="G1116" i="12"/>
  <c r="F1116" i="12"/>
  <c r="E1116" i="12"/>
  <c r="D1116" i="12"/>
  <c r="C1116" i="12"/>
  <c r="B1116" i="12"/>
  <c r="O1115" i="12"/>
  <c r="N1115" i="12"/>
  <c r="M1115" i="12"/>
  <c r="K1115" i="12"/>
  <c r="J1115" i="12"/>
  <c r="I1115" i="12"/>
  <c r="H1115" i="12"/>
  <c r="G1115" i="12"/>
  <c r="F1115" i="12"/>
  <c r="E1115" i="12"/>
  <c r="D1115" i="12"/>
  <c r="C1115" i="12"/>
  <c r="B1115" i="12"/>
  <c r="O1114" i="12"/>
  <c r="N1114" i="12"/>
  <c r="M1114" i="12"/>
  <c r="K1114" i="12"/>
  <c r="J1114" i="12"/>
  <c r="I1114" i="12"/>
  <c r="H1114" i="12"/>
  <c r="G1114" i="12"/>
  <c r="F1114" i="12"/>
  <c r="E1114" i="12"/>
  <c r="D1114" i="12"/>
  <c r="C1114" i="12"/>
  <c r="B1114" i="12"/>
  <c r="O1113" i="12"/>
  <c r="N1113" i="12"/>
  <c r="M1113" i="12"/>
  <c r="K1113" i="12"/>
  <c r="J1113" i="12"/>
  <c r="I1113" i="12"/>
  <c r="H1113" i="12"/>
  <c r="G1113" i="12"/>
  <c r="F1113" i="12"/>
  <c r="E1113" i="12"/>
  <c r="D1113" i="12"/>
  <c r="C1113" i="12"/>
  <c r="B1113" i="12"/>
  <c r="O1112" i="12"/>
  <c r="N1112" i="12"/>
  <c r="M1112" i="12"/>
  <c r="K1112" i="12"/>
  <c r="J1112" i="12"/>
  <c r="I1112" i="12"/>
  <c r="H1112" i="12"/>
  <c r="G1112" i="12"/>
  <c r="F1112" i="12"/>
  <c r="E1112" i="12"/>
  <c r="D1112" i="12"/>
  <c r="C1112" i="12"/>
  <c r="B1112" i="12"/>
  <c r="O1111" i="12"/>
  <c r="N1111" i="12"/>
  <c r="M1111" i="12"/>
  <c r="K1111" i="12"/>
  <c r="J1111" i="12"/>
  <c r="I1111" i="12"/>
  <c r="H1111" i="12"/>
  <c r="G1111" i="12"/>
  <c r="F1111" i="12"/>
  <c r="E1111" i="12"/>
  <c r="D1111" i="12"/>
  <c r="C1111" i="12"/>
  <c r="B1111" i="12"/>
  <c r="O1110" i="12"/>
  <c r="N1110" i="12"/>
  <c r="M1110" i="12"/>
  <c r="F1110" i="12"/>
  <c r="E1110" i="12"/>
  <c r="D1110" i="12"/>
  <c r="C1110" i="12"/>
  <c r="B1110" i="12"/>
  <c r="O1109" i="12"/>
  <c r="N1109" i="12"/>
  <c r="M1109" i="12"/>
  <c r="F1109" i="12"/>
  <c r="E1109" i="12"/>
  <c r="D1109" i="12"/>
  <c r="C1109" i="12"/>
  <c r="B1109" i="12"/>
  <c r="O1108" i="12"/>
  <c r="N1108" i="12"/>
  <c r="M1108" i="12"/>
  <c r="F1108" i="12"/>
  <c r="E1108" i="12"/>
  <c r="D1108" i="12"/>
  <c r="C1108" i="12"/>
  <c r="B1108" i="12"/>
  <c r="O1107" i="12"/>
  <c r="N1107" i="12"/>
  <c r="M1107" i="12"/>
  <c r="F1107" i="12"/>
  <c r="E1107" i="12"/>
  <c r="D1107" i="12"/>
  <c r="C1107" i="12"/>
  <c r="B1107" i="12"/>
  <c r="O1106" i="12"/>
  <c r="N1106" i="12"/>
  <c r="M1106" i="12"/>
  <c r="F1106" i="12"/>
  <c r="E1106" i="12"/>
  <c r="D1106" i="12"/>
  <c r="C1106" i="12"/>
  <c r="B1106" i="12"/>
  <c r="O1105" i="12"/>
  <c r="N1105" i="12"/>
  <c r="M1105" i="12"/>
  <c r="F1105" i="12"/>
  <c r="E1105" i="12"/>
  <c r="D1105" i="12"/>
  <c r="C1105" i="12"/>
  <c r="B1105" i="12"/>
  <c r="O1104" i="12"/>
  <c r="N1104" i="12"/>
  <c r="M1104" i="12"/>
  <c r="F1104" i="12"/>
  <c r="E1104" i="12"/>
  <c r="D1104" i="12"/>
  <c r="C1104" i="12"/>
  <c r="B1104" i="12"/>
  <c r="O1103" i="12"/>
  <c r="N1103" i="12"/>
  <c r="M1103" i="12"/>
  <c r="F1103" i="12"/>
  <c r="E1103" i="12"/>
  <c r="D1103" i="12"/>
  <c r="C1103" i="12"/>
  <c r="B1103" i="12"/>
  <c r="O1102" i="12"/>
  <c r="N1102" i="12"/>
  <c r="M1102" i="12"/>
  <c r="F1102" i="12"/>
  <c r="E1102" i="12"/>
  <c r="D1102" i="12"/>
  <c r="C1102" i="12"/>
  <c r="B1102" i="12"/>
  <c r="O1101" i="12"/>
  <c r="N1101" i="12"/>
  <c r="M1101" i="12"/>
  <c r="F1101" i="12"/>
  <c r="E1101" i="12"/>
  <c r="D1101" i="12"/>
  <c r="C1101" i="12"/>
  <c r="B1101" i="12"/>
  <c r="O1100" i="12"/>
  <c r="N1100" i="12"/>
  <c r="M1100" i="12"/>
  <c r="F1100" i="12"/>
  <c r="E1100" i="12"/>
  <c r="D1100" i="12"/>
  <c r="C1100" i="12"/>
  <c r="B1100" i="12"/>
  <c r="O1099" i="12"/>
  <c r="N1099" i="12"/>
  <c r="M1099" i="12"/>
  <c r="F1099" i="12"/>
  <c r="E1099" i="12"/>
  <c r="D1099" i="12"/>
  <c r="C1099" i="12"/>
  <c r="B1099" i="12"/>
  <c r="O1098" i="12"/>
  <c r="N1098" i="12"/>
  <c r="M1098" i="12"/>
  <c r="F1098" i="12"/>
  <c r="E1098" i="12"/>
  <c r="D1098" i="12"/>
  <c r="C1098" i="12"/>
  <c r="B1098" i="12"/>
  <c r="O1097" i="12"/>
  <c r="N1097" i="12"/>
  <c r="M1097" i="12"/>
  <c r="F1097" i="12"/>
  <c r="E1097" i="12"/>
  <c r="D1097" i="12"/>
  <c r="C1097" i="12"/>
  <c r="B1097" i="12"/>
  <c r="O1096" i="12"/>
  <c r="N1096" i="12"/>
  <c r="M1096" i="12"/>
  <c r="F1096" i="12"/>
  <c r="E1096" i="12"/>
  <c r="D1096" i="12"/>
  <c r="C1096" i="12"/>
  <c r="B1096" i="12"/>
  <c r="O1095" i="12"/>
  <c r="N1095" i="12"/>
  <c r="M1095" i="12"/>
  <c r="F1095" i="12"/>
  <c r="E1095" i="12"/>
  <c r="D1095" i="12"/>
  <c r="C1095" i="12"/>
  <c r="B1095" i="12"/>
  <c r="O1094" i="12"/>
  <c r="N1094" i="12"/>
  <c r="M1094" i="12"/>
  <c r="F1094" i="12"/>
  <c r="E1094" i="12"/>
  <c r="D1094" i="12"/>
  <c r="C1094" i="12"/>
  <c r="B1094" i="12"/>
  <c r="O1093" i="12"/>
  <c r="N1093" i="12"/>
  <c r="M1093" i="12"/>
  <c r="F1093" i="12"/>
  <c r="E1093" i="12"/>
  <c r="D1093" i="12"/>
  <c r="C1093" i="12"/>
  <c r="B1093" i="12"/>
  <c r="O1092" i="12"/>
  <c r="N1092" i="12"/>
  <c r="M1092" i="12"/>
  <c r="F1092" i="12"/>
  <c r="E1092" i="12"/>
  <c r="D1092" i="12"/>
  <c r="C1092" i="12"/>
  <c r="B1092" i="12"/>
  <c r="O1091" i="12"/>
  <c r="N1091" i="12"/>
  <c r="M1091" i="12"/>
  <c r="F1091" i="12"/>
  <c r="E1091" i="12"/>
  <c r="D1091" i="12"/>
  <c r="C1091" i="12"/>
  <c r="B1091" i="12"/>
  <c r="O1090" i="12"/>
  <c r="N1090" i="12"/>
  <c r="M1090" i="12"/>
  <c r="F1090" i="12"/>
  <c r="E1090" i="12"/>
  <c r="D1090" i="12"/>
  <c r="C1090" i="12"/>
  <c r="B1090" i="12"/>
  <c r="O1089" i="12"/>
  <c r="N1089" i="12"/>
  <c r="M1089" i="12"/>
  <c r="F1089" i="12"/>
  <c r="E1089" i="12"/>
  <c r="D1089" i="12"/>
  <c r="C1089" i="12"/>
  <c r="B1089" i="12"/>
  <c r="O1088" i="12"/>
  <c r="N1088" i="12"/>
  <c r="M1088" i="12"/>
  <c r="F1088" i="12"/>
  <c r="E1088" i="12"/>
  <c r="D1088" i="12"/>
  <c r="C1088" i="12"/>
  <c r="B1088" i="12"/>
  <c r="O1087" i="12"/>
  <c r="N1087" i="12"/>
  <c r="M1087" i="12"/>
  <c r="F1087" i="12"/>
  <c r="E1087" i="12"/>
  <c r="D1087" i="12"/>
  <c r="C1087" i="12"/>
  <c r="B1087" i="12"/>
  <c r="O1086" i="12"/>
  <c r="N1086" i="12"/>
  <c r="M1086" i="12"/>
  <c r="F1086" i="12"/>
  <c r="E1086" i="12"/>
  <c r="D1086" i="12"/>
  <c r="C1086" i="12"/>
  <c r="B1086" i="12"/>
  <c r="O1085" i="12"/>
  <c r="N1085" i="12"/>
  <c r="M1085" i="12"/>
  <c r="F1085" i="12"/>
  <c r="E1085" i="12"/>
  <c r="D1085" i="12"/>
  <c r="C1085" i="12"/>
  <c r="B1085" i="12"/>
  <c r="O1084" i="12"/>
  <c r="N1084" i="12"/>
  <c r="M1084" i="12"/>
  <c r="F1084" i="12"/>
  <c r="E1084" i="12"/>
  <c r="D1084" i="12"/>
  <c r="C1084" i="12"/>
  <c r="B1084" i="12"/>
  <c r="O1083" i="12"/>
  <c r="N1083" i="12"/>
  <c r="M1083" i="12"/>
  <c r="F1083" i="12"/>
  <c r="E1083" i="12"/>
  <c r="D1083" i="12"/>
  <c r="C1083" i="12"/>
  <c r="B1083" i="12"/>
  <c r="O1082" i="12"/>
  <c r="N1082" i="12"/>
  <c r="M1082" i="12"/>
  <c r="F1082" i="12"/>
  <c r="E1082" i="12"/>
  <c r="D1082" i="12"/>
  <c r="C1082" i="12"/>
  <c r="B1082" i="12"/>
  <c r="O1081" i="12"/>
  <c r="N1081" i="12"/>
  <c r="M1081" i="12"/>
  <c r="F1081" i="12"/>
  <c r="E1081" i="12"/>
  <c r="D1081" i="12"/>
  <c r="C1081" i="12"/>
  <c r="B1081" i="12"/>
  <c r="O1080" i="12"/>
  <c r="N1080" i="12"/>
  <c r="M1080" i="12"/>
  <c r="F1080" i="12"/>
  <c r="E1080" i="12"/>
  <c r="D1080" i="12"/>
  <c r="C1080" i="12"/>
  <c r="B1080" i="12"/>
  <c r="O1079" i="12"/>
  <c r="N1079" i="12"/>
  <c r="M1079" i="12"/>
  <c r="F1079" i="12"/>
  <c r="E1079" i="12"/>
  <c r="D1079" i="12"/>
  <c r="C1079" i="12"/>
  <c r="B1079" i="12"/>
  <c r="O1078" i="12"/>
  <c r="N1078" i="12"/>
  <c r="M1078" i="12"/>
  <c r="F1078" i="12"/>
  <c r="E1078" i="12"/>
  <c r="D1078" i="12"/>
  <c r="C1078" i="12"/>
  <c r="B1078" i="12"/>
  <c r="O1077" i="12"/>
  <c r="N1077" i="12"/>
  <c r="M1077" i="12"/>
  <c r="F1077" i="12"/>
  <c r="E1077" i="12"/>
  <c r="D1077" i="12"/>
  <c r="C1077" i="12"/>
  <c r="B1077" i="12"/>
  <c r="O1076" i="12"/>
  <c r="N1076" i="12"/>
  <c r="M1076" i="12"/>
  <c r="F1076" i="12"/>
  <c r="E1076" i="12"/>
  <c r="D1076" i="12"/>
  <c r="C1076" i="12"/>
  <c r="B1076" i="12"/>
  <c r="O1075" i="12"/>
  <c r="N1075" i="12"/>
  <c r="M1075" i="12"/>
  <c r="F1075" i="12"/>
  <c r="E1075" i="12"/>
  <c r="D1075" i="12"/>
  <c r="C1075" i="12"/>
  <c r="B1075" i="12"/>
  <c r="O1074" i="12"/>
  <c r="N1074" i="12"/>
  <c r="M1074" i="12"/>
  <c r="F1074" i="12"/>
  <c r="E1074" i="12"/>
  <c r="D1074" i="12"/>
  <c r="C1074" i="12"/>
  <c r="B1074" i="12"/>
  <c r="O1073" i="12"/>
  <c r="N1073" i="12"/>
  <c r="M1073" i="12"/>
  <c r="F1073" i="12"/>
  <c r="E1073" i="12"/>
  <c r="D1073" i="12"/>
  <c r="C1073" i="12"/>
  <c r="B1073" i="12"/>
  <c r="O1072" i="12"/>
  <c r="N1072" i="12"/>
  <c r="M1072" i="12"/>
  <c r="F1072" i="12"/>
  <c r="E1072" i="12"/>
  <c r="D1072" i="12"/>
  <c r="C1072" i="12"/>
  <c r="B1072" i="12"/>
  <c r="O1071" i="12"/>
  <c r="N1071" i="12"/>
  <c r="M1071" i="12"/>
  <c r="F1071" i="12"/>
  <c r="E1071" i="12"/>
  <c r="D1071" i="12"/>
  <c r="C1071" i="12"/>
  <c r="B1071" i="12"/>
  <c r="O1070" i="12"/>
  <c r="N1070" i="12"/>
  <c r="M1070" i="12"/>
  <c r="F1070" i="12"/>
  <c r="E1070" i="12"/>
  <c r="D1070" i="12"/>
  <c r="C1070" i="12"/>
  <c r="B1070" i="12"/>
  <c r="O1069" i="12"/>
  <c r="N1069" i="12"/>
  <c r="M1069" i="12"/>
  <c r="F1069" i="12"/>
  <c r="E1069" i="12"/>
  <c r="D1069" i="12"/>
  <c r="C1069" i="12"/>
  <c r="B1069" i="12"/>
  <c r="O1068" i="12"/>
  <c r="N1068" i="12"/>
  <c r="M1068" i="12"/>
  <c r="K1068" i="12"/>
  <c r="J1068" i="12"/>
  <c r="I1068" i="12"/>
  <c r="H1068" i="12"/>
  <c r="G1068" i="12"/>
  <c r="F1068" i="12"/>
  <c r="E1068" i="12"/>
  <c r="D1068" i="12"/>
  <c r="C1068" i="12"/>
  <c r="B1068" i="12"/>
  <c r="O1067" i="12"/>
  <c r="N1067" i="12"/>
  <c r="M1067" i="12"/>
  <c r="K1067" i="12"/>
  <c r="J1067" i="12"/>
  <c r="I1067" i="12"/>
  <c r="H1067" i="12"/>
  <c r="G1067" i="12"/>
  <c r="F1067" i="12"/>
  <c r="E1067" i="12"/>
  <c r="D1067" i="12"/>
  <c r="C1067" i="12"/>
  <c r="B1067" i="12"/>
  <c r="O1066" i="12"/>
  <c r="N1066" i="12"/>
  <c r="M1066" i="12"/>
  <c r="K1066" i="12"/>
  <c r="J1066" i="12"/>
  <c r="I1066" i="12"/>
  <c r="H1066" i="12"/>
  <c r="G1066" i="12"/>
  <c r="F1066" i="12"/>
  <c r="E1066" i="12"/>
  <c r="D1066" i="12"/>
  <c r="C1066" i="12"/>
  <c r="B1066" i="12"/>
  <c r="O1065" i="12"/>
  <c r="N1065" i="12"/>
  <c r="M1065" i="12"/>
  <c r="K1065" i="12"/>
  <c r="J1065" i="12"/>
  <c r="I1065" i="12"/>
  <c r="H1065" i="12"/>
  <c r="G1065" i="12"/>
  <c r="F1065" i="12"/>
  <c r="E1065" i="12"/>
  <c r="D1065" i="12"/>
  <c r="C1065" i="12"/>
  <c r="B1065" i="12"/>
  <c r="O1064" i="12"/>
  <c r="N1064" i="12"/>
  <c r="M1064" i="12"/>
  <c r="K1064" i="12"/>
  <c r="J1064" i="12"/>
  <c r="I1064" i="12"/>
  <c r="H1064" i="12"/>
  <c r="G1064" i="12"/>
  <c r="F1064" i="12"/>
  <c r="E1064" i="12"/>
  <c r="D1064" i="12"/>
  <c r="C1064" i="12"/>
  <c r="B1064" i="12"/>
  <c r="O1063" i="12"/>
  <c r="N1063" i="12"/>
  <c r="M1063" i="12"/>
  <c r="K1063" i="12"/>
  <c r="J1063" i="12"/>
  <c r="I1063" i="12"/>
  <c r="H1063" i="12"/>
  <c r="G1063" i="12"/>
  <c r="F1063" i="12"/>
  <c r="E1063" i="12"/>
  <c r="D1063" i="12"/>
  <c r="C1063" i="12"/>
  <c r="B1063" i="12"/>
  <c r="O1062" i="12"/>
  <c r="N1062" i="12"/>
  <c r="M1062" i="12"/>
  <c r="K1062" i="12"/>
  <c r="J1062" i="12"/>
  <c r="I1062" i="12"/>
  <c r="H1062" i="12"/>
  <c r="G1062" i="12"/>
  <c r="F1062" i="12"/>
  <c r="E1062" i="12"/>
  <c r="D1062" i="12"/>
  <c r="C1062" i="12"/>
  <c r="B1062" i="12"/>
  <c r="O1061" i="12"/>
  <c r="N1061" i="12"/>
  <c r="M1061" i="12"/>
  <c r="K1061" i="12"/>
  <c r="J1061" i="12"/>
  <c r="I1061" i="12"/>
  <c r="H1061" i="12"/>
  <c r="G1061" i="12"/>
  <c r="F1061" i="12"/>
  <c r="E1061" i="12"/>
  <c r="D1061" i="12"/>
  <c r="C1061" i="12"/>
  <c r="B1061" i="12"/>
  <c r="O1060" i="12"/>
  <c r="N1060" i="12"/>
  <c r="M1060" i="12"/>
  <c r="K1060" i="12"/>
  <c r="J1060" i="12"/>
  <c r="I1060" i="12"/>
  <c r="H1060" i="12"/>
  <c r="G1060" i="12"/>
  <c r="F1060" i="12"/>
  <c r="E1060" i="12"/>
  <c r="D1060" i="12"/>
  <c r="C1060" i="12"/>
  <c r="B1060" i="12"/>
  <c r="O1059" i="12"/>
  <c r="N1059" i="12"/>
  <c r="M1059" i="12"/>
  <c r="K1059" i="12"/>
  <c r="J1059" i="12"/>
  <c r="I1059" i="12"/>
  <c r="H1059" i="12"/>
  <c r="G1059" i="12"/>
  <c r="F1059" i="12"/>
  <c r="E1059" i="12"/>
  <c r="D1059" i="12"/>
  <c r="C1059" i="12"/>
  <c r="B1059" i="12"/>
  <c r="O1058" i="12"/>
  <c r="N1058" i="12"/>
  <c r="M1058" i="12"/>
  <c r="K1058" i="12"/>
  <c r="J1058" i="12"/>
  <c r="I1058" i="12"/>
  <c r="H1058" i="12"/>
  <c r="G1058" i="12"/>
  <c r="F1058" i="12"/>
  <c r="E1058" i="12"/>
  <c r="D1058" i="12"/>
  <c r="C1058" i="12"/>
  <c r="B1058" i="12"/>
  <c r="O1057" i="12"/>
  <c r="N1057" i="12"/>
  <c r="M1057" i="12"/>
  <c r="K1057" i="12"/>
  <c r="J1057" i="12"/>
  <c r="I1057" i="12"/>
  <c r="H1057" i="12"/>
  <c r="G1057" i="12"/>
  <c r="F1057" i="12"/>
  <c r="E1057" i="12"/>
  <c r="D1057" i="12"/>
  <c r="C1057" i="12"/>
  <c r="B1057" i="12"/>
  <c r="O1056" i="12"/>
  <c r="N1056" i="12"/>
  <c r="M1056" i="12"/>
  <c r="K1056" i="12"/>
  <c r="J1056" i="12"/>
  <c r="I1056" i="12"/>
  <c r="H1056" i="12"/>
  <c r="G1056" i="12"/>
  <c r="F1056" i="12"/>
  <c r="E1056" i="12"/>
  <c r="D1056" i="12"/>
  <c r="C1056" i="12"/>
  <c r="B1056" i="12"/>
  <c r="O1055" i="12"/>
  <c r="N1055" i="12"/>
  <c r="M1055" i="12"/>
  <c r="K1055" i="12"/>
  <c r="J1055" i="12"/>
  <c r="I1055" i="12"/>
  <c r="H1055" i="12"/>
  <c r="G1055" i="12"/>
  <c r="F1055" i="12"/>
  <c r="E1055" i="12"/>
  <c r="D1055" i="12"/>
  <c r="C1055" i="12"/>
  <c r="B1055" i="12"/>
  <c r="O1054" i="12"/>
  <c r="N1054" i="12"/>
  <c r="M1054" i="12"/>
  <c r="K1054" i="12"/>
  <c r="J1054" i="12"/>
  <c r="I1054" i="12"/>
  <c r="H1054" i="12"/>
  <c r="G1054" i="12"/>
  <c r="F1054" i="12"/>
  <c r="E1054" i="12"/>
  <c r="D1054" i="12"/>
  <c r="C1054" i="12"/>
  <c r="B1054" i="12"/>
  <c r="O1053" i="12"/>
  <c r="N1053" i="12"/>
  <c r="M1053" i="12"/>
  <c r="K1053" i="12"/>
  <c r="J1053" i="12"/>
  <c r="I1053" i="12"/>
  <c r="H1053" i="12"/>
  <c r="G1053" i="12"/>
  <c r="F1053" i="12"/>
  <c r="E1053" i="12"/>
  <c r="D1053" i="12"/>
  <c r="C1053" i="12"/>
  <c r="B1053" i="12"/>
  <c r="O1052" i="12"/>
  <c r="N1052" i="12"/>
  <c r="M1052" i="12"/>
  <c r="K1052" i="12"/>
  <c r="J1052" i="12"/>
  <c r="I1052" i="12"/>
  <c r="H1052" i="12"/>
  <c r="G1052" i="12"/>
  <c r="F1052" i="12"/>
  <c r="E1052" i="12"/>
  <c r="D1052" i="12"/>
  <c r="C1052" i="12"/>
  <c r="B1052" i="12"/>
  <c r="O1051" i="12"/>
  <c r="N1051" i="12"/>
  <c r="M1051" i="12"/>
  <c r="K1051" i="12"/>
  <c r="J1051" i="12"/>
  <c r="I1051" i="12"/>
  <c r="H1051" i="12"/>
  <c r="G1051" i="12"/>
  <c r="F1051" i="12"/>
  <c r="E1051" i="12"/>
  <c r="D1051" i="12"/>
  <c r="C1051" i="12"/>
  <c r="B1051" i="12"/>
  <c r="O1050" i="12"/>
  <c r="N1050" i="12"/>
  <c r="M1050" i="12"/>
  <c r="K1050" i="12"/>
  <c r="J1050" i="12"/>
  <c r="I1050" i="12"/>
  <c r="H1050" i="12"/>
  <c r="G1050" i="12"/>
  <c r="F1050" i="12"/>
  <c r="E1050" i="12"/>
  <c r="D1050" i="12"/>
  <c r="C1050" i="12"/>
  <c r="B1050" i="12"/>
  <c r="O1049" i="12"/>
  <c r="N1049" i="12"/>
  <c r="M1049" i="12"/>
  <c r="K1049" i="12"/>
  <c r="J1049" i="12"/>
  <c r="I1049" i="12"/>
  <c r="H1049" i="12"/>
  <c r="G1049" i="12"/>
  <c r="F1049" i="12"/>
  <c r="E1049" i="12"/>
  <c r="D1049" i="12"/>
  <c r="C1049" i="12"/>
  <c r="B1049" i="12"/>
  <c r="O1048" i="12"/>
  <c r="N1048" i="12"/>
  <c r="M1048" i="12"/>
  <c r="K1048" i="12"/>
  <c r="J1048" i="12"/>
  <c r="I1048" i="12"/>
  <c r="H1048" i="12"/>
  <c r="G1048" i="12"/>
  <c r="F1048" i="12"/>
  <c r="E1048" i="12"/>
  <c r="D1048" i="12"/>
  <c r="C1048" i="12"/>
  <c r="B1048" i="12"/>
  <c r="O1047" i="12"/>
  <c r="N1047" i="12"/>
  <c r="M1047" i="12"/>
  <c r="K1047" i="12"/>
  <c r="J1047" i="12"/>
  <c r="I1047" i="12"/>
  <c r="H1047" i="12"/>
  <c r="G1047" i="12"/>
  <c r="F1047" i="12"/>
  <c r="E1047" i="12"/>
  <c r="D1047" i="12"/>
  <c r="C1047" i="12"/>
  <c r="B1047" i="12"/>
  <c r="O1046" i="12"/>
  <c r="N1046" i="12"/>
  <c r="M1046" i="12"/>
  <c r="K1046" i="12"/>
  <c r="J1046" i="12"/>
  <c r="I1046" i="12"/>
  <c r="H1046" i="12"/>
  <c r="G1046" i="12"/>
  <c r="F1046" i="12"/>
  <c r="E1046" i="12"/>
  <c r="D1046" i="12"/>
  <c r="C1046" i="12"/>
  <c r="B1046" i="12"/>
  <c r="O1045" i="12"/>
  <c r="N1045" i="12"/>
  <c r="M1045" i="12"/>
  <c r="K1045" i="12"/>
  <c r="J1045" i="12"/>
  <c r="I1045" i="12"/>
  <c r="H1045" i="12"/>
  <c r="G1045" i="12"/>
  <c r="F1045" i="12"/>
  <c r="E1045" i="12"/>
  <c r="D1045" i="12"/>
  <c r="C1045" i="12"/>
  <c r="B1045" i="12"/>
  <c r="O1044" i="12"/>
  <c r="N1044" i="12"/>
  <c r="M1044" i="12"/>
  <c r="K1044" i="12"/>
  <c r="J1044" i="12"/>
  <c r="I1044" i="12"/>
  <c r="H1044" i="12"/>
  <c r="G1044" i="12"/>
  <c r="F1044" i="12"/>
  <c r="E1044" i="12"/>
  <c r="D1044" i="12"/>
  <c r="C1044" i="12"/>
  <c r="B1044" i="12"/>
  <c r="O1043" i="12"/>
  <c r="N1043" i="12"/>
  <c r="M1043" i="12"/>
  <c r="K1043" i="12"/>
  <c r="J1043" i="12"/>
  <c r="I1043" i="12"/>
  <c r="H1043" i="12"/>
  <c r="G1043" i="12"/>
  <c r="F1043" i="12"/>
  <c r="E1043" i="12"/>
  <c r="D1043" i="12"/>
  <c r="C1043" i="12"/>
  <c r="B1043" i="12"/>
  <c r="O1042" i="12"/>
  <c r="N1042" i="12"/>
  <c r="M1042" i="12"/>
  <c r="K1042" i="12"/>
  <c r="J1042" i="12"/>
  <c r="I1042" i="12"/>
  <c r="H1042" i="12"/>
  <c r="G1042" i="12"/>
  <c r="F1042" i="12"/>
  <c r="E1042" i="12"/>
  <c r="D1042" i="12"/>
  <c r="C1042" i="12"/>
  <c r="B1042" i="12"/>
  <c r="O1041" i="12"/>
  <c r="N1041" i="12"/>
  <c r="M1041" i="12"/>
  <c r="K1041" i="12"/>
  <c r="J1041" i="12"/>
  <c r="I1041" i="12"/>
  <c r="H1041" i="12"/>
  <c r="G1041" i="12"/>
  <c r="F1041" i="12"/>
  <c r="E1041" i="12"/>
  <c r="D1041" i="12"/>
  <c r="C1041" i="12"/>
  <c r="B1041" i="12"/>
  <c r="O1040" i="12"/>
  <c r="N1040" i="12"/>
  <c r="M1040" i="12"/>
  <c r="K1040" i="12"/>
  <c r="J1040" i="12"/>
  <c r="I1040" i="12"/>
  <c r="H1040" i="12"/>
  <c r="G1040" i="12"/>
  <c r="F1040" i="12"/>
  <c r="E1040" i="12"/>
  <c r="D1040" i="12"/>
  <c r="C1040" i="12"/>
  <c r="B1040" i="12"/>
  <c r="O1039" i="12"/>
  <c r="N1039" i="12"/>
  <c r="M1039" i="12"/>
  <c r="K1039" i="12"/>
  <c r="J1039" i="12"/>
  <c r="I1039" i="12"/>
  <c r="H1039" i="12"/>
  <c r="G1039" i="12"/>
  <c r="F1039" i="12"/>
  <c r="E1039" i="12"/>
  <c r="D1039" i="12"/>
  <c r="C1039" i="12"/>
  <c r="B1039" i="12"/>
  <c r="O1038" i="12"/>
  <c r="N1038" i="12"/>
  <c r="M1038" i="12"/>
  <c r="K1038" i="12"/>
  <c r="J1038" i="12"/>
  <c r="I1038" i="12"/>
  <c r="H1038" i="12"/>
  <c r="G1038" i="12"/>
  <c r="F1038" i="12"/>
  <c r="E1038" i="12"/>
  <c r="D1038" i="12"/>
  <c r="C1038" i="12"/>
  <c r="B1038" i="12"/>
  <c r="O1037" i="12"/>
  <c r="N1037" i="12"/>
  <c r="M1037" i="12"/>
  <c r="K1037" i="12"/>
  <c r="J1037" i="12"/>
  <c r="I1037" i="12"/>
  <c r="H1037" i="12"/>
  <c r="G1037" i="12"/>
  <c r="F1037" i="12"/>
  <c r="E1037" i="12"/>
  <c r="D1037" i="12"/>
  <c r="C1037" i="12"/>
  <c r="B1037" i="12"/>
  <c r="O1036" i="12"/>
  <c r="N1036" i="12"/>
  <c r="M1036" i="12"/>
  <c r="K1036" i="12"/>
  <c r="J1036" i="12"/>
  <c r="I1036" i="12"/>
  <c r="H1036" i="12"/>
  <c r="G1036" i="12"/>
  <c r="F1036" i="12"/>
  <c r="E1036" i="12"/>
  <c r="D1036" i="12"/>
  <c r="C1036" i="12"/>
  <c r="B1036" i="12"/>
  <c r="O1035" i="12"/>
  <c r="N1035" i="12"/>
  <c r="M1035" i="12"/>
  <c r="K1035" i="12"/>
  <c r="J1035" i="12"/>
  <c r="I1035" i="12"/>
  <c r="H1035" i="12"/>
  <c r="G1035" i="12"/>
  <c r="F1035" i="12"/>
  <c r="E1035" i="12"/>
  <c r="D1035" i="12"/>
  <c r="C1035" i="12"/>
  <c r="B1035" i="12"/>
  <c r="O1034" i="12"/>
  <c r="N1034" i="12"/>
  <c r="M1034" i="12"/>
  <c r="K1034" i="12"/>
  <c r="J1034" i="12"/>
  <c r="I1034" i="12"/>
  <c r="H1034" i="12"/>
  <c r="G1034" i="12"/>
  <c r="F1034" i="12"/>
  <c r="E1034" i="12"/>
  <c r="D1034" i="12"/>
  <c r="C1034" i="12"/>
  <c r="B1034" i="12"/>
  <c r="O1033" i="12"/>
  <c r="N1033" i="12"/>
  <c r="M1033" i="12"/>
  <c r="K1033" i="12"/>
  <c r="J1033" i="12"/>
  <c r="I1033" i="12"/>
  <c r="H1033" i="12"/>
  <c r="G1033" i="12"/>
  <c r="F1033" i="12"/>
  <c r="E1033" i="12"/>
  <c r="D1033" i="12"/>
  <c r="C1033" i="12"/>
  <c r="B1033" i="12"/>
  <c r="O1032" i="12"/>
  <c r="N1032" i="12"/>
  <c r="M1032" i="12"/>
  <c r="K1032" i="12"/>
  <c r="J1032" i="12"/>
  <c r="I1032" i="12"/>
  <c r="H1032" i="12"/>
  <c r="G1032" i="12"/>
  <c r="F1032" i="12"/>
  <c r="E1032" i="12"/>
  <c r="D1032" i="12"/>
  <c r="C1032" i="12"/>
  <c r="B1032" i="12"/>
  <c r="O1031" i="12"/>
  <c r="N1031" i="12"/>
  <c r="M1031" i="12"/>
  <c r="K1031" i="12"/>
  <c r="J1031" i="12"/>
  <c r="I1031" i="12"/>
  <c r="H1031" i="12"/>
  <c r="G1031" i="12"/>
  <c r="F1031" i="12"/>
  <c r="E1031" i="12"/>
  <c r="D1031" i="12"/>
  <c r="C1031" i="12"/>
  <c r="B1031" i="12"/>
  <c r="O1030" i="12"/>
  <c r="N1030" i="12"/>
  <c r="M1030" i="12"/>
  <c r="K1030" i="12"/>
  <c r="J1030" i="12"/>
  <c r="I1030" i="12"/>
  <c r="H1030" i="12"/>
  <c r="G1030" i="12"/>
  <c r="F1030" i="12"/>
  <c r="E1030" i="12"/>
  <c r="D1030" i="12"/>
  <c r="C1030" i="12"/>
  <c r="B1030" i="12"/>
  <c r="O1029" i="12"/>
  <c r="N1029" i="12"/>
  <c r="M1029" i="12"/>
  <c r="K1029" i="12"/>
  <c r="J1029" i="12"/>
  <c r="I1029" i="12"/>
  <c r="H1029" i="12"/>
  <c r="G1029" i="12"/>
  <c r="F1029" i="12"/>
  <c r="E1029" i="12"/>
  <c r="D1029" i="12"/>
  <c r="C1029" i="12"/>
  <c r="B1029" i="12"/>
  <c r="O1028" i="12"/>
  <c r="N1028" i="12"/>
  <c r="M1028" i="12"/>
  <c r="K1028" i="12"/>
  <c r="J1028" i="12"/>
  <c r="I1028" i="12"/>
  <c r="H1028" i="12"/>
  <c r="G1028" i="12"/>
  <c r="F1028" i="12"/>
  <c r="E1028" i="12"/>
  <c r="D1028" i="12"/>
  <c r="C1028" i="12"/>
  <c r="B1028" i="12"/>
  <c r="O1027" i="12"/>
  <c r="N1027" i="12"/>
  <c r="M1027" i="12"/>
  <c r="K1027" i="12"/>
  <c r="J1027" i="12"/>
  <c r="I1027" i="12"/>
  <c r="H1027" i="12"/>
  <c r="G1027" i="12"/>
  <c r="F1027" i="12"/>
  <c r="E1027" i="12"/>
  <c r="D1027" i="12"/>
  <c r="C1027" i="12"/>
  <c r="B1027" i="12"/>
  <c r="O1026" i="12"/>
  <c r="N1026" i="12"/>
  <c r="M1026" i="12"/>
  <c r="K1026" i="12"/>
  <c r="J1026" i="12"/>
  <c r="I1026" i="12"/>
  <c r="H1026" i="12"/>
  <c r="G1026" i="12"/>
  <c r="F1026" i="12"/>
  <c r="E1026" i="12"/>
  <c r="D1026" i="12"/>
  <c r="C1026" i="12"/>
  <c r="B1026" i="12"/>
  <c r="O1025" i="12"/>
  <c r="N1025" i="12"/>
  <c r="M1025" i="12"/>
  <c r="K1025" i="12"/>
  <c r="J1025" i="12"/>
  <c r="I1025" i="12"/>
  <c r="H1025" i="12"/>
  <c r="G1025" i="12"/>
  <c r="F1025" i="12"/>
  <c r="E1025" i="12"/>
  <c r="D1025" i="12"/>
  <c r="C1025" i="12"/>
  <c r="B1025" i="12"/>
  <c r="O1024" i="12"/>
  <c r="N1024" i="12"/>
  <c r="M1024" i="12"/>
  <c r="K1024" i="12"/>
  <c r="J1024" i="12"/>
  <c r="I1024" i="12"/>
  <c r="H1024" i="12"/>
  <c r="G1024" i="12"/>
  <c r="F1024" i="12"/>
  <c r="E1024" i="12"/>
  <c r="D1024" i="12"/>
  <c r="C1024" i="12"/>
  <c r="B1024" i="12"/>
  <c r="O1023" i="12"/>
  <c r="N1023" i="12"/>
  <c r="M1023" i="12"/>
  <c r="K1023" i="12"/>
  <c r="J1023" i="12"/>
  <c r="I1023" i="12"/>
  <c r="H1023" i="12"/>
  <c r="G1023" i="12"/>
  <c r="F1023" i="12"/>
  <c r="E1023" i="12"/>
  <c r="D1023" i="12"/>
  <c r="C1023" i="12"/>
  <c r="B1023" i="12"/>
  <c r="O1022" i="12"/>
  <c r="N1022" i="12"/>
  <c r="M1022" i="12"/>
  <c r="K1022" i="12"/>
  <c r="J1022" i="12"/>
  <c r="I1022" i="12"/>
  <c r="H1022" i="12"/>
  <c r="G1022" i="12"/>
  <c r="F1022" i="12"/>
  <c r="E1022" i="12"/>
  <c r="D1022" i="12"/>
  <c r="C1022" i="12"/>
  <c r="B1022" i="12"/>
  <c r="O1021" i="12"/>
  <c r="N1021" i="12"/>
  <c r="M1021" i="12"/>
  <c r="K1021" i="12"/>
  <c r="J1021" i="12"/>
  <c r="I1021" i="12"/>
  <c r="H1021" i="12"/>
  <c r="G1021" i="12"/>
  <c r="F1021" i="12"/>
  <c r="E1021" i="12"/>
  <c r="D1021" i="12"/>
  <c r="C1021" i="12"/>
  <c r="B1021" i="12"/>
  <c r="O1020" i="12"/>
  <c r="N1020" i="12"/>
  <c r="M1020" i="12"/>
  <c r="K1020" i="12"/>
  <c r="J1020" i="12"/>
  <c r="I1020" i="12"/>
  <c r="H1020" i="12"/>
  <c r="G1020" i="12"/>
  <c r="F1020" i="12"/>
  <c r="E1020" i="12"/>
  <c r="D1020" i="12"/>
  <c r="C1020" i="12"/>
  <c r="B1020" i="12"/>
  <c r="O1019" i="12"/>
  <c r="N1019" i="12"/>
  <c r="M1019" i="12"/>
  <c r="K1019" i="12"/>
  <c r="J1019" i="12"/>
  <c r="I1019" i="12"/>
  <c r="H1019" i="12"/>
  <c r="G1019" i="12"/>
  <c r="F1019" i="12"/>
  <c r="E1019" i="12"/>
  <c r="D1019" i="12"/>
  <c r="C1019" i="12"/>
  <c r="B1019" i="12"/>
  <c r="O1018" i="12"/>
  <c r="N1018" i="12"/>
  <c r="M1018" i="12"/>
  <c r="K1018" i="12"/>
  <c r="J1018" i="12"/>
  <c r="I1018" i="12"/>
  <c r="H1018" i="12"/>
  <c r="G1018" i="12"/>
  <c r="F1018" i="12"/>
  <c r="E1018" i="12"/>
  <c r="D1018" i="12"/>
  <c r="C1018" i="12"/>
  <c r="B1018" i="12"/>
  <c r="O1017" i="12"/>
  <c r="N1017" i="12"/>
  <c r="M1017" i="12"/>
  <c r="K1017" i="12"/>
  <c r="J1017" i="12"/>
  <c r="I1017" i="12"/>
  <c r="H1017" i="12"/>
  <c r="G1017" i="12"/>
  <c r="F1017" i="12"/>
  <c r="E1017" i="12"/>
  <c r="D1017" i="12"/>
  <c r="C1017" i="12"/>
  <c r="B1017" i="12"/>
  <c r="O1016" i="12"/>
  <c r="N1016" i="12"/>
  <c r="M1016" i="12"/>
  <c r="K1016" i="12"/>
  <c r="J1016" i="12"/>
  <c r="I1016" i="12"/>
  <c r="H1016" i="12"/>
  <c r="G1016" i="12"/>
  <c r="F1016" i="12"/>
  <c r="E1016" i="12"/>
  <c r="D1016" i="12"/>
  <c r="C1016" i="12"/>
  <c r="B1016" i="12"/>
  <c r="O1015" i="12"/>
  <c r="N1015" i="12"/>
  <c r="M1015" i="12"/>
  <c r="K1015" i="12"/>
  <c r="J1015" i="12"/>
  <c r="I1015" i="12"/>
  <c r="H1015" i="12"/>
  <c r="G1015" i="12"/>
  <c r="F1015" i="12"/>
  <c r="E1015" i="12"/>
  <c r="D1015" i="12"/>
  <c r="C1015" i="12"/>
  <c r="B1015" i="12"/>
  <c r="O1014" i="12"/>
  <c r="N1014" i="12"/>
  <c r="M1014" i="12"/>
  <c r="F1014" i="12"/>
  <c r="E1014" i="12"/>
  <c r="D1014" i="12"/>
  <c r="C1014" i="12"/>
  <c r="B1014" i="12"/>
  <c r="O1013" i="12"/>
  <c r="N1013" i="12"/>
  <c r="M1013" i="12"/>
  <c r="F1013" i="12"/>
  <c r="E1013" i="12"/>
  <c r="D1013" i="12"/>
  <c r="C1013" i="12"/>
  <c r="B1013" i="12"/>
  <c r="O1012" i="12"/>
  <c r="N1012" i="12"/>
  <c r="M1012" i="12"/>
  <c r="F1012" i="12"/>
  <c r="E1012" i="12"/>
  <c r="D1012" i="12"/>
  <c r="C1012" i="12"/>
  <c r="B1012" i="12"/>
  <c r="O1011" i="12"/>
  <c r="N1011" i="12"/>
  <c r="M1011" i="12"/>
  <c r="F1011" i="12"/>
  <c r="E1011" i="12"/>
  <c r="D1011" i="12"/>
  <c r="C1011" i="12"/>
  <c r="B1011" i="12"/>
  <c r="O1010" i="12"/>
  <c r="N1010" i="12"/>
  <c r="M1010" i="12"/>
  <c r="F1010" i="12"/>
  <c r="E1010" i="12"/>
  <c r="D1010" i="12"/>
  <c r="C1010" i="12"/>
  <c r="B1010" i="12"/>
  <c r="O1009" i="12"/>
  <c r="N1009" i="12"/>
  <c r="M1009" i="12"/>
  <c r="F1009" i="12"/>
  <c r="E1009" i="12"/>
  <c r="D1009" i="12"/>
  <c r="C1009" i="12"/>
  <c r="B1009" i="12"/>
  <c r="O1008" i="12"/>
  <c r="N1008" i="12"/>
  <c r="M1008" i="12"/>
  <c r="F1008" i="12"/>
  <c r="E1008" i="12"/>
  <c r="D1008" i="12"/>
  <c r="C1008" i="12"/>
  <c r="B1008" i="12"/>
  <c r="O1007" i="12"/>
  <c r="N1007" i="12"/>
  <c r="M1007" i="12"/>
  <c r="F1007" i="12"/>
  <c r="E1007" i="12"/>
  <c r="D1007" i="12"/>
  <c r="C1007" i="12"/>
  <c r="B1007" i="12"/>
  <c r="O1006" i="12"/>
  <c r="N1006" i="12"/>
  <c r="M1006" i="12"/>
  <c r="F1006" i="12"/>
  <c r="E1006" i="12"/>
  <c r="D1006" i="12"/>
  <c r="C1006" i="12"/>
  <c r="B1006" i="12"/>
  <c r="O1005" i="12"/>
  <c r="N1005" i="12"/>
  <c r="M1005" i="12"/>
  <c r="F1005" i="12"/>
  <c r="E1005" i="12"/>
  <c r="D1005" i="12"/>
  <c r="C1005" i="12"/>
  <c r="B1005" i="12"/>
  <c r="O1004" i="12"/>
  <c r="N1004" i="12"/>
  <c r="M1004" i="12"/>
  <c r="F1004" i="12"/>
  <c r="E1004" i="12"/>
  <c r="D1004" i="12"/>
  <c r="C1004" i="12"/>
  <c r="B1004" i="12"/>
  <c r="O1003" i="12"/>
  <c r="N1003" i="12"/>
  <c r="M1003" i="12"/>
  <c r="F1003" i="12"/>
  <c r="E1003" i="12"/>
  <c r="D1003" i="12"/>
  <c r="C1003" i="12"/>
  <c r="B1003" i="12"/>
  <c r="O1002" i="12"/>
  <c r="N1002" i="12"/>
  <c r="M1002" i="12"/>
  <c r="F1002" i="12"/>
  <c r="E1002" i="12"/>
  <c r="D1002" i="12"/>
  <c r="C1002" i="12"/>
  <c r="B1002" i="12"/>
  <c r="O1001" i="12"/>
  <c r="N1001" i="12"/>
  <c r="M1001" i="12"/>
  <c r="F1001" i="12"/>
  <c r="E1001" i="12"/>
  <c r="D1001" i="12"/>
  <c r="C1001" i="12"/>
  <c r="B1001" i="12"/>
  <c r="O1000" i="12"/>
  <c r="N1000" i="12"/>
  <c r="M1000" i="12"/>
  <c r="F1000" i="12"/>
  <c r="E1000" i="12"/>
  <c r="D1000" i="12"/>
  <c r="C1000" i="12"/>
  <c r="B1000" i="12"/>
  <c r="O999" i="12"/>
  <c r="N999" i="12"/>
  <c r="M999" i="12"/>
  <c r="F999" i="12"/>
  <c r="E999" i="12"/>
  <c r="D999" i="12"/>
  <c r="C999" i="12"/>
  <c r="B999" i="12"/>
  <c r="O998" i="12"/>
  <c r="N998" i="12"/>
  <c r="M998" i="12"/>
  <c r="F998" i="12"/>
  <c r="E998" i="12"/>
  <c r="D998" i="12"/>
  <c r="C998" i="12"/>
  <c r="B998" i="12"/>
  <c r="O997" i="12"/>
  <c r="N997" i="12"/>
  <c r="M997" i="12"/>
  <c r="F997" i="12"/>
  <c r="E997" i="12"/>
  <c r="D997" i="12"/>
  <c r="C997" i="12"/>
  <c r="B997" i="12"/>
  <c r="O996" i="12"/>
  <c r="N996" i="12"/>
  <c r="M996" i="12"/>
  <c r="F996" i="12"/>
  <c r="E996" i="12"/>
  <c r="D996" i="12"/>
  <c r="C996" i="12"/>
  <c r="B996" i="12"/>
  <c r="O995" i="12"/>
  <c r="N995" i="12"/>
  <c r="M995" i="12"/>
  <c r="F995" i="12"/>
  <c r="E995" i="12"/>
  <c r="D995" i="12"/>
  <c r="C995" i="12"/>
  <c r="B995" i="12"/>
  <c r="O994" i="12"/>
  <c r="N994" i="12"/>
  <c r="M994" i="12"/>
  <c r="F994" i="12"/>
  <c r="E994" i="12"/>
  <c r="D994" i="12"/>
  <c r="C994" i="12"/>
  <c r="B994" i="12"/>
  <c r="O993" i="12"/>
  <c r="N993" i="12"/>
  <c r="M993" i="12"/>
  <c r="F993" i="12"/>
  <c r="E993" i="12"/>
  <c r="D993" i="12"/>
  <c r="C993" i="12"/>
  <c r="B993" i="12"/>
  <c r="O992" i="12"/>
  <c r="N992" i="12"/>
  <c r="M992" i="12"/>
  <c r="F992" i="12"/>
  <c r="E992" i="12"/>
  <c r="D992" i="12"/>
  <c r="C992" i="12"/>
  <c r="B992" i="12"/>
  <c r="O991" i="12"/>
  <c r="N991" i="12"/>
  <c r="M991" i="12"/>
  <c r="K991" i="12"/>
  <c r="J991" i="12"/>
  <c r="I991" i="12"/>
  <c r="H991" i="12"/>
  <c r="G991" i="12"/>
  <c r="F991" i="12"/>
  <c r="E991" i="12"/>
  <c r="D991" i="12"/>
  <c r="C991" i="12"/>
  <c r="B991" i="12"/>
  <c r="O990" i="12"/>
  <c r="N990" i="12"/>
  <c r="M990" i="12"/>
  <c r="K990" i="12"/>
  <c r="J990" i="12"/>
  <c r="I990" i="12"/>
  <c r="H990" i="12"/>
  <c r="G990" i="12"/>
  <c r="F990" i="12"/>
  <c r="E990" i="12"/>
  <c r="D990" i="12"/>
  <c r="C990" i="12"/>
  <c r="B990" i="12"/>
  <c r="O989" i="12"/>
  <c r="N989" i="12"/>
  <c r="M989" i="12"/>
  <c r="K989" i="12"/>
  <c r="J989" i="12"/>
  <c r="I989" i="12"/>
  <c r="H989" i="12"/>
  <c r="G989" i="12"/>
  <c r="F989" i="12"/>
  <c r="E989" i="12"/>
  <c r="D989" i="12"/>
  <c r="C989" i="12"/>
  <c r="B989" i="12"/>
  <c r="O988" i="12"/>
  <c r="N988" i="12"/>
  <c r="M988" i="12"/>
  <c r="K988" i="12"/>
  <c r="J988" i="12"/>
  <c r="I988" i="12"/>
  <c r="H988" i="12"/>
  <c r="G988" i="12"/>
  <c r="F988" i="12"/>
  <c r="E988" i="12"/>
  <c r="D988" i="12"/>
  <c r="C988" i="12"/>
  <c r="B988" i="12"/>
  <c r="O987" i="12"/>
  <c r="N987" i="12"/>
  <c r="M987" i="12"/>
  <c r="K987" i="12"/>
  <c r="J987" i="12"/>
  <c r="I987" i="12"/>
  <c r="H987" i="12"/>
  <c r="G987" i="12"/>
  <c r="F987" i="12"/>
  <c r="E987" i="12"/>
  <c r="D987" i="12"/>
  <c r="C987" i="12"/>
  <c r="B987" i="12"/>
  <c r="O986" i="12"/>
  <c r="N986" i="12"/>
  <c r="M986" i="12"/>
  <c r="K986" i="12"/>
  <c r="J986" i="12"/>
  <c r="I986" i="12"/>
  <c r="H986" i="12"/>
  <c r="G986" i="12"/>
  <c r="F986" i="12"/>
  <c r="E986" i="12"/>
  <c r="D986" i="12"/>
  <c r="C986" i="12"/>
  <c r="B986" i="12"/>
  <c r="O985" i="12"/>
  <c r="N985" i="12"/>
  <c r="M985" i="12"/>
  <c r="K985" i="12"/>
  <c r="J985" i="12"/>
  <c r="I985" i="12"/>
  <c r="H985" i="12"/>
  <c r="G985" i="12"/>
  <c r="F985" i="12"/>
  <c r="E985" i="12"/>
  <c r="D985" i="12"/>
  <c r="C985" i="12"/>
  <c r="B985" i="12"/>
  <c r="O984" i="12"/>
  <c r="N984" i="12"/>
  <c r="M984" i="12"/>
  <c r="K984" i="12"/>
  <c r="J984" i="12"/>
  <c r="I984" i="12"/>
  <c r="H984" i="12"/>
  <c r="G984" i="12"/>
  <c r="F984" i="12"/>
  <c r="E984" i="12"/>
  <c r="D984" i="12"/>
  <c r="C984" i="12"/>
  <c r="B984" i="12"/>
  <c r="O983" i="12"/>
  <c r="N983" i="12"/>
  <c r="M983" i="12"/>
  <c r="K983" i="12"/>
  <c r="J983" i="12"/>
  <c r="I983" i="12"/>
  <c r="H983" i="12"/>
  <c r="G983" i="12"/>
  <c r="F983" i="12"/>
  <c r="E983" i="12"/>
  <c r="D983" i="12"/>
  <c r="C983" i="12"/>
  <c r="B983" i="12"/>
  <c r="O982" i="12"/>
  <c r="N982" i="12"/>
  <c r="M982" i="12"/>
  <c r="K982" i="12"/>
  <c r="J982" i="12"/>
  <c r="I982" i="12"/>
  <c r="H982" i="12"/>
  <c r="G982" i="12"/>
  <c r="F982" i="12"/>
  <c r="E982" i="12"/>
  <c r="D982" i="12"/>
  <c r="C982" i="12"/>
  <c r="B982" i="12"/>
  <c r="O981" i="12"/>
  <c r="N981" i="12"/>
  <c r="M981" i="12"/>
  <c r="K981" i="12"/>
  <c r="J981" i="12"/>
  <c r="I981" i="12"/>
  <c r="H981" i="12"/>
  <c r="G981" i="12"/>
  <c r="F981" i="12"/>
  <c r="E981" i="12"/>
  <c r="D981" i="12"/>
  <c r="C981" i="12"/>
  <c r="B981" i="12"/>
  <c r="O980" i="12"/>
  <c r="N980" i="12"/>
  <c r="M980" i="12"/>
  <c r="K980" i="12"/>
  <c r="J980" i="12"/>
  <c r="I980" i="12"/>
  <c r="H980" i="12"/>
  <c r="G980" i="12"/>
  <c r="F980" i="12"/>
  <c r="E980" i="12"/>
  <c r="D980" i="12"/>
  <c r="C980" i="12"/>
  <c r="B980" i="12"/>
  <c r="O979" i="12"/>
  <c r="N979" i="12"/>
  <c r="M979" i="12"/>
  <c r="K979" i="12"/>
  <c r="J979" i="12"/>
  <c r="I979" i="12"/>
  <c r="H979" i="12"/>
  <c r="G979" i="12"/>
  <c r="F979" i="12"/>
  <c r="E979" i="12"/>
  <c r="D979" i="12"/>
  <c r="C979" i="12"/>
  <c r="B979" i="12"/>
  <c r="O978" i="12"/>
  <c r="N978" i="12"/>
  <c r="M978" i="12"/>
  <c r="K978" i="12"/>
  <c r="J978" i="12"/>
  <c r="I978" i="12"/>
  <c r="H978" i="12"/>
  <c r="G978" i="12"/>
  <c r="F978" i="12"/>
  <c r="E978" i="12"/>
  <c r="D978" i="12"/>
  <c r="C978" i="12"/>
  <c r="B978" i="12"/>
  <c r="O977" i="12"/>
  <c r="N977" i="12"/>
  <c r="M977" i="12"/>
  <c r="K977" i="12"/>
  <c r="J977" i="12"/>
  <c r="I977" i="12"/>
  <c r="H977" i="12"/>
  <c r="G977" i="12"/>
  <c r="F977" i="12"/>
  <c r="E977" i="12"/>
  <c r="D977" i="12"/>
  <c r="C977" i="12"/>
  <c r="B977" i="12"/>
  <c r="O976" i="12"/>
  <c r="N976" i="12"/>
  <c r="M976" i="12"/>
  <c r="K976" i="12"/>
  <c r="J976" i="12"/>
  <c r="I976" i="12"/>
  <c r="H976" i="12"/>
  <c r="G976" i="12"/>
  <c r="F976" i="12"/>
  <c r="E976" i="12"/>
  <c r="D976" i="12"/>
  <c r="C976" i="12"/>
  <c r="B976" i="12"/>
  <c r="O975" i="12"/>
  <c r="N975" i="12"/>
  <c r="M975" i="12"/>
  <c r="K975" i="12"/>
  <c r="J975" i="12"/>
  <c r="I975" i="12"/>
  <c r="H975" i="12"/>
  <c r="G975" i="12"/>
  <c r="F975" i="12"/>
  <c r="E975" i="12"/>
  <c r="D975" i="12"/>
  <c r="C975" i="12"/>
  <c r="B975" i="12"/>
  <c r="O974" i="12"/>
  <c r="N974" i="12"/>
  <c r="M974" i="12"/>
  <c r="K974" i="12"/>
  <c r="J974" i="12"/>
  <c r="I974" i="12"/>
  <c r="H974" i="12"/>
  <c r="G974" i="12"/>
  <c r="F974" i="12"/>
  <c r="E974" i="12"/>
  <c r="D974" i="12"/>
  <c r="C974" i="12"/>
  <c r="B974" i="12"/>
  <c r="O973" i="12"/>
  <c r="N973" i="12"/>
  <c r="M973" i="12"/>
  <c r="K973" i="12"/>
  <c r="J973" i="12"/>
  <c r="I973" i="12"/>
  <c r="H973" i="12"/>
  <c r="G973" i="12"/>
  <c r="F973" i="12"/>
  <c r="E973" i="12"/>
  <c r="D973" i="12"/>
  <c r="C973" i="12"/>
  <c r="B973" i="12"/>
  <c r="O972" i="12"/>
  <c r="N972" i="12"/>
  <c r="M972" i="12"/>
  <c r="K972" i="12"/>
  <c r="J972" i="12"/>
  <c r="I972" i="12"/>
  <c r="H972" i="12"/>
  <c r="G972" i="12"/>
  <c r="F972" i="12"/>
  <c r="E972" i="12"/>
  <c r="D972" i="12"/>
  <c r="C972" i="12"/>
  <c r="B972" i="12"/>
  <c r="O971" i="12"/>
  <c r="N971" i="12"/>
  <c r="M971" i="12"/>
  <c r="K971" i="12"/>
  <c r="J971" i="12"/>
  <c r="I971" i="12"/>
  <c r="H971" i="12"/>
  <c r="G971" i="12"/>
  <c r="F971" i="12"/>
  <c r="E971" i="12"/>
  <c r="D971" i="12"/>
  <c r="C971" i="12"/>
  <c r="B971" i="12"/>
  <c r="O970" i="12"/>
  <c r="N970" i="12"/>
  <c r="M970" i="12"/>
  <c r="K970" i="12"/>
  <c r="J970" i="12"/>
  <c r="I970" i="12"/>
  <c r="H970" i="12"/>
  <c r="G970" i="12"/>
  <c r="F970" i="12"/>
  <c r="E970" i="12"/>
  <c r="D970" i="12"/>
  <c r="C970" i="12"/>
  <c r="B970" i="12"/>
  <c r="O969" i="12"/>
  <c r="N969" i="12"/>
  <c r="M969" i="12"/>
  <c r="K969" i="12"/>
  <c r="J969" i="12"/>
  <c r="I969" i="12"/>
  <c r="H969" i="12"/>
  <c r="G969" i="12"/>
  <c r="F969" i="12"/>
  <c r="E969" i="12"/>
  <c r="D969" i="12"/>
  <c r="C969" i="12"/>
  <c r="B969" i="12"/>
  <c r="O968" i="12"/>
  <c r="N968" i="12"/>
  <c r="M968" i="12"/>
  <c r="K968" i="12"/>
  <c r="J968" i="12"/>
  <c r="I968" i="12"/>
  <c r="H968" i="12"/>
  <c r="G968" i="12"/>
  <c r="F968" i="12"/>
  <c r="E968" i="12"/>
  <c r="D968" i="12"/>
  <c r="C968" i="12"/>
  <c r="B968" i="12"/>
  <c r="O967" i="12"/>
  <c r="N967" i="12"/>
  <c r="M967" i="12"/>
  <c r="K967" i="12"/>
  <c r="J967" i="12"/>
  <c r="I967" i="12"/>
  <c r="H967" i="12"/>
  <c r="G967" i="12"/>
  <c r="F967" i="12"/>
  <c r="E967" i="12"/>
  <c r="D967" i="12"/>
  <c r="C967" i="12"/>
  <c r="B967" i="12"/>
  <c r="O966" i="12"/>
  <c r="N966" i="12"/>
  <c r="M966" i="12"/>
  <c r="G966" i="12"/>
  <c r="F966" i="12"/>
  <c r="E966" i="12"/>
  <c r="D966" i="12"/>
  <c r="C966" i="12"/>
  <c r="B966" i="12"/>
  <c r="O965" i="12"/>
  <c r="N965" i="12"/>
  <c r="M965" i="12"/>
  <c r="G965" i="12"/>
  <c r="F965" i="12"/>
  <c r="E965" i="12"/>
  <c r="D965" i="12"/>
  <c r="C965" i="12"/>
  <c r="B965" i="12"/>
  <c r="O964" i="12"/>
  <c r="N964" i="12"/>
  <c r="M964" i="12"/>
  <c r="G964" i="12"/>
  <c r="F964" i="12"/>
  <c r="E964" i="12"/>
  <c r="D964" i="12"/>
  <c r="C964" i="12"/>
  <c r="B964" i="12"/>
  <c r="O963" i="12"/>
  <c r="N963" i="12"/>
  <c r="M963" i="12"/>
  <c r="G963" i="12"/>
  <c r="F963" i="12"/>
  <c r="E963" i="12"/>
  <c r="D963" i="12"/>
  <c r="C963" i="12"/>
  <c r="B963" i="12"/>
  <c r="O962" i="12"/>
  <c r="N962" i="12"/>
  <c r="M962" i="12"/>
  <c r="K962" i="12"/>
  <c r="J962" i="12"/>
  <c r="I962" i="12"/>
  <c r="H962" i="12"/>
  <c r="G962" i="12"/>
  <c r="F962" i="12"/>
  <c r="E962" i="12"/>
  <c r="D962" i="12"/>
  <c r="C962" i="12"/>
  <c r="B962" i="12"/>
  <c r="O961" i="12"/>
  <c r="N961" i="12"/>
  <c r="M961" i="12"/>
  <c r="K961" i="12"/>
  <c r="J961" i="12"/>
  <c r="I961" i="12"/>
  <c r="H961" i="12"/>
  <c r="G961" i="12"/>
  <c r="F961" i="12"/>
  <c r="E961" i="12"/>
  <c r="D961" i="12"/>
  <c r="C961" i="12"/>
  <c r="B961" i="12"/>
  <c r="O960" i="12"/>
  <c r="N960" i="12"/>
  <c r="M960" i="12"/>
  <c r="K960" i="12"/>
  <c r="J960" i="12"/>
  <c r="I960" i="12"/>
  <c r="H960" i="12"/>
  <c r="G960" i="12"/>
  <c r="F960" i="12"/>
  <c r="E960" i="12"/>
  <c r="D960" i="12"/>
  <c r="C960" i="12"/>
  <c r="B960" i="12"/>
  <c r="O959" i="12"/>
  <c r="N959" i="12"/>
  <c r="M959" i="12"/>
  <c r="K959" i="12"/>
  <c r="J959" i="12"/>
  <c r="I959" i="12"/>
  <c r="H959" i="12"/>
  <c r="G959" i="12"/>
  <c r="F959" i="12"/>
  <c r="E959" i="12"/>
  <c r="D959" i="12"/>
  <c r="C959" i="12"/>
  <c r="B959" i="12"/>
  <c r="O958" i="12"/>
  <c r="N958" i="12"/>
  <c r="M958" i="12"/>
  <c r="K958" i="12"/>
  <c r="J958" i="12"/>
  <c r="I958" i="12"/>
  <c r="H958" i="12"/>
  <c r="G958" i="12"/>
  <c r="F958" i="12"/>
  <c r="E958" i="12"/>
  <c r="D958" i="12"/>
  <c r="C958" i="12"/>
  <c r="B958" i="12"/>
  <c r="O957" i="12"/>
  <c r="N957" i="12"/>
  <c r="M957" i="12"/>
  <c r="K957" i="12"/>
  <c r="J957" i="12"/>
  <c r="I957" i="12"/>
  <c r="H957" i="12"/>
  <c r="G957" i="12"/>
  <c r="F957" i="12"/>
  <c r="E957" i="12"/>
  <c r="D957" i="12"/>
  <c r="C957" i="12"/>
  <c r="B957" i="12"/>
  <c r="O956" i="12"/>
  <c r="N956" i="12"/>
  <c r="M956" i="12"/>
  <c r="K956" i="12"/>
  <c r="J956" i="12"/>
  <c r="I956" i="12"/>
  <c r="H956" i="12"/>
  <c r="G956" i="12"/>
  <c r="F956" i="12"/>
  <c r="E956" i="12"/>
  <c r="D956" i="12"/>
  <c r="C956" i="12"/>
  <c r="B956" i="12"/>
  <c r="O955" i="12"/>
  <c r="N955" i="12"/>
  <c r="M955" i="12"/>
  <c r="K955" i="12"/>
  <c r="J955" i="12"/>
  <c r="I955" i="12"/>
  <c r="H955" i="12"/>
  <c r="G955" i="12"/>
  <c r="F955" i="12"/>
  <c r="E955" i="12"/>
  <c r="D955" i="12"/>
  <c r="C955" i="12"/>
  <c r="B955" i="12"/>
  <c r="O954" i="12"/>
  <c r="N954" i="12"/>
  <c r="M954" i="12"/>
  <c r="K954" i="12"/>
  <c r="J954" i="12"/>
  <c r="I954" i="12"/>
  <c r="H954" i="12"/>
  <c r="G954" i="12"/>
  <c r="F954" i="12"/>
  <c r="E954" i="12"/>
  <c r="D954" i="12"/>
  <c r="C954" i="12"/>
  <c r="B954" i="12"/>
  <c r="O953" i="12"/>
  <c r="N953" i="12"/>
  <c r="M953" i="12"/>
  <c r="K953" i="12"/>
  <c r="J953" i="12"/>
  <c r="I953" i="12"/>
  <c r="H953" i="12"/>
  <c r="G953" i="12"/>
  <c r="F953" i="12"/>
  <c r="E953" i="12"/>
  <c r="D953" i="12"/>
  <c r="C953" i="12"/>
  <c r="B953" i="12"/>
  <c r="O952" i="12"/>
  <c r="N952" i="12"/>
  <c r="M952" i="12"/>
  <c r="K952" i="12"/>
  <c r="J952" i="12"/>
  <c r="I952" i="12"/>
  <c r="H952" i="12"/>
  <c r="G952" i="12"/>
  <c r="F952" i="12"/>
  <c r="E952" i="12"/>
  <c r="D952" i="12"/>
  <c r="C952" i="12"/>
  <c r="B952" i="12"/>
  <c r="O951" i="12"/>
  <c r="N951" i="12"/>
  <c r="M951" i="12"/>
  <c r="K951" i="12"/>
  <c r="J951" i="12"/>
  <c r="I951" i="12"/>
  <c r="H951" i="12"/>
  <c r="G951" i="12"/>
  <c r="F951" i="12"/>
  <c r="E951" i="12"/>
  <c r="D951" i="12"/>
  <c r="C951" i="12"/>
  <c r="B951" i="12"/>
  <c r="O950" i="12"/>
  <c r="N950" i="12"/>
  <c r="M950" i="12"/>
  <c r="G950" i="12"/>
  <c r="F950" i="12"/>
  <c r="E950" i="12"/>
  <c r="D950" i="12"/>
  <c r="C950" i="12"/>
  <c r="B950" i="12"/>
  <c r="O949" i="12"/>
  <c r="N949" i="12"/>
  <c r="M949" i="12"/>
  <c r="G949" i="12"/>
  <c r="F949" i="12"/>
  <c r="E949" i="12"/>
  <c r="D949" i="12"/>
  <c r="C949" i="12"/>
  <c r="B949" i="12"/>
  <c r="O948" i="12"/>
  <c r="N948" i="12"/>
  <c r="M948" i="12"/>
  <c r="G948" i="12"/>
  <c r="F948" i="12"/>
  <c r="E948" i="12"/>
  <c r="D948" i="12"/>
  <c r="C948" i="12"/>
  <c r="B948" i="12"/>
  <c r="O947" i="12"/>
  <c r="N947" i="12"/>
  <c r="M947" i="12"/>
  <c r="G947" i="12"/>
  <c r="F947" i="12"/>
  <c r="E947" i="12"/>
  <c r="D947" i="12"/>
  <c r="C947" i="12"/>
  <c r="B947" i="12"/>
  <c r="O946" i="12"/>
  <c r="N946" i="12"/>
  <c r="M946" i="12"/>
  <c r="K946" i="12"/>
  <c r="J946" i="12"/>
  <c r="I946" i="12"/>
  <c r="H946" i="12"/>
  <c r="G946" i="12"/>
  <c r="F946" i="12"/>
  <c r="E946" i="12"/>
  <c r="D946" i="12"/>
  <c r="C946" i="12"/>
  <c r="B946" i="12"/>
  <c r="O945" i="12"/>
  <c r="N945" i="12"/>
  <c r="M945" i="12"/>
  <c r="K945" i="12"/>
  <c r="J945" i="12"/>
  <c r="I945" i="12"/>
  <c r="H945" i="12"/>
  <c r="G945" i="12"/>
  <c r="F945" i="12"/>
  <c r="E945" i="12"/>
  <c r="D945" i="12"/>
  <c r="C945" i="12"/>
  <c r="B945" i="12"/>
  <c r="O944" i="12"/>
  <c r="N944" i="12"/>
  <c r="M944" i="12"/>
  <c r="K944" i="12"/>
  <c r="J944" i="12"/>
  <c r="I944" i="12"/>
  <c r="H944" i="12"/>
  <c r="G944" i="12"/>
  <c r="F944" i="12"/>
  <c r="E944" i="12"/>
  <c r="D944" i="12"/>
  <c r="C944" i="12"/>
  <c r="B944" i="12"/>
  <c r="O943" i="12"/>
  <c r="N943" i="12"/>
  <c r="M943" i="12"/>
  <c r="K943" i="12"/>
  <c r="J943" i="12"/>
  <c r="I943" i="12"/>
  <c r="H943" i="12"/>
  <c r="G943" i="12"/>
  <c r="F943" i="12"/>
  <c r="E943" i="12"/>
  <c r="D943" i="12"/>
  <c r="C943" i="12"/>
  <c r="B943" i="12"/>
  <c r="O942" i="12"/>
  <c r="N942" i="12"/>
  <c r="M942" i="12"/>
  <c r="K942" i="12"/>
  <c r="J942" i="12"/>
  <c r="I942" i="12"/>
  <c r="H942" i="12"/>
  <c r="G942" i="12"/>
  <c r="F942" i="12"/>
  <c r="E942" i="12"/>
  <c r="D942" i="12"/>
  <c r="C942" i="12"/>
  <c r="B942" i="12"/>
  <c r="O941" i="12"/>
  <c r="N941" i="12"/>
  <c r="M941" i="12"/>
  <c r="K941" i="12"/>
  <c r="J941" i="12"/>
  <c r="I941" i="12"/>
  <c r="H941" i="12"/>
  <c r="G941" i="12"/>
  <c r="F941" i="12"/>
  <c r="E941" i="12"/>
  <c r="D941" i="12"/>
  <c r="C941" i="12"/>
  <c r="B941" i="12"/>
  <c r="O940" i="12"/>
  <c r="N940" i="12"/>
  <c r="M940" i="12"/>
  <c r="K940" i="12"/>
  <c r="J940" i="12"/>
  <c r="I940" i="12"/>
  <c r="H940" i="12"/>
  <c r="G940" i="12"/>
  <c r="F940" i="12"/>
  <c r="E940" i="12"/>
  <c r="D940" i="12"/>
  <c r="C940" i="12"/>
  <c r="B940" i="12"/>
  <c r="O939" i="12"/>
  <c r="N939" i="12"/>
  <c r="M939" i="12"/>
  <c r="K939" i="12"/>
  <c r="J939" i="12"/>
  <c r="I939" i="12"/>
  <c r="H939" i="12"/>
  <c r="G939" i="12"/>
  <c r="F939" i="12"/>
  <c r="E939" i="12"/>
  <c r="D939" i="12"/>
  <c r="C939" i="12"/>
  <c r="B939" i="12"/>
  <c r="O938" i="12"/>
  <c r="N938" i="12"/>
  <c r="M938" i="12"/>
  <c r="K938" i="12"/>
  <c r="J938" i="12"/>
  <c r="I938" i="12"/>
  <c r="H938" i="12"/>
  <c r="G938" i="12"/>
  <c r="F938" i="12"/>
  <c r="E938" i="12"/>
  <c r="D938" i="12"/>
  <c r="C938" i="12"/>
  <c r="B938" i="12"/>
  <c r="O937" i="12"/>
  <c r="N937" i="12"/>
  <c r="M937" i="12"/>
  <c r="K937" i="12"/>
  <c r="J937" i="12"/>
  <c r="I937" i="12"/>
  <c r="H937" i="12"/>
  <c r="G937" i="12"/>
  <c r="F937" i="12"/>
  <c r="E937" i="12"/>
  <c r="D937" i="12"/>
  <c r="C937" i="12"/>
  <c r="B937" i="12"/>
  <c r="O936" i="12"/>
  <c r="N936" i="12"/>
  <c r="M936" i="12"/>
  <c r="K936" i="12"/>
  <c r="J936" i="12"/>
  <c r="I936" i="12"/>
  <c r="H936" i="12"/>
  <c r="G936" i="12"/>
  <c r="F936" i="12"/>
  <c r="E936" i="12"/>
  <c r="D936" i="12"/>
  <c r="C936" i="12"/>
  <c r="B936" i="12"/>
  <c r="O935" i="12"/>
  <c r="N935" i="12"/>
  <c r="M935" i="12"/>
  <c r="K935" i="12"/>
  <c r="J935" i="12"/>
  <c r="I935" i="12"/>
  <c r="H935" i="12"/>
  <c r="G935" i="12"/>
  <c r="F935" i="12"/>
  <c r="E935" i="12"/>
  <c r="D935" i="12"/>
  <c r="C935" i="12"/>
  <c r="B935" i="12"/>
  <c r="O934" i="12"/>
  <c r="N934" i="12"/>
  <c r="M934" i="12"/>
  <c r="G934" i="12"/>
  <c r="F934" i="12"/>
  <c r="E934" i="12"/>
  <c r="D934" i="12"/>
  <c r="C934" i="12"/>
  <c r="B934" i="12"/>
  <c r="O933" i="12"/>
  <c r="N933" i="12"/>
  <c r="M933" i="12"/>
  <c r="G933" i="12"/>
  <c r="F933" i="12"/>
  <c r="E933" i="12"/>
  <c r="D933" i="12"/>
  <c r="C933" i="12"/>
  <c r="B933" i="12"/>
  <c r="O932" i="12"/>
  <c r="N932" i="12"/>
  <c r="M932" i="12"/>
  <c r="G932" i="12"/>
  <c r="F932" i="12"/>
  <c r="E932" i="12"/>
  <c r="D932" i="12"/>
  <c r="C932" i="12"/>
  <c r="B932" i="12"/>
  <c r="O931" i="12"/>
  <c r="N931" i="12"/>
  <c r="M931" i="12"/>
  <c r="G931" i="12"/>
  <c r="F931" i="12"/>
  <c r="E931" i="12"/>
  <c r="D931" i="12"/>
  <c r="C931" i="12"/>
  <c r="B931" i="12"/>
  <c r="O930" i="12"/>
  <c r="N930" i="12"/>
  <c r="M930" i="12"/>
  <c r="K930" i="12"/>
  <c r="J930" i="12"/>
  <c r="I930" i="12"/>
  <c r="H930" i="12"/>
  <c r="G930" i="12"/>
  <c r="F930" i="12"/>
  <c r="E930" i="12"/>
  <c r="D930" i="12"/>
  <c r="C930" i="12"/>
  <c r="B930" i="12"/>
  <c r="O929" i="12"/>
  <c r="N929" i="12"/>
  <c r="M929" i="12"/>
  <c r="K929" i="12"/>
  <c r="J929" i="12"/>
  <c r="I929" i="12"/>
  <c r="H929" i="12"/>
  <c r="G929" i="12"/>
  <c r="F929" i="12"/>
  <c r="E929" i="12"/>
  <c r="D929" i="12"/>
  <c r="C929" i="12"/>
  <c r="B929" i="12"/>
  <c r="O928" i="12"/>
  <c r="N928" i="12"/>
  <c r="M928" i="12"/>
  <c r="K928" i="12"/>
  <c r="J928" i="12"/>
  <c r="I928" i="12"/>
  <c r="H928" i="12"/>
  <c r="G928" i="12"/>
  <c r="F928" i="12"/>
  <c r="E928" i="12"/>
  <c r="D928" i="12"/>
  <c r="C928" i="12"/>
  <c r="B928" i="12"/>
  <c r="O927" i="12"/>
  <c r="N927" i="12"/>
  <c r="M927" i="12"/>
  <c r="K927" i="12"/>
  <c r="J927" i="12"/>
  <c r="I927" i="12"/>
  <c r="H927" i="12"/>
  <c r="G927" i="12"/>
  <c r="F927" i="12"/>
  <c r="E927" i="12"/>
  <c r="D927" i="12"/>
  <c r="C927" i="12"/>
  <c r="B927" i="12"/>
  <c r="O926" i="12"/>
  <c r="N926" i="12"/>
  <c r="M926" i="12"/>
  <c r="K926" i="12"/>
  <c r="J926" i="12"/>
  <c r="I926" i="12"/>
  <c r="H926" i="12"/>
  <c r="G926" i="12"/>
  <c r="F926" i="12"/>
  <c r="E926" i="12"/>
  <c r="D926" i="12"/>
  <c r="C926" i="12"/>
  <c r="B926" i="12"/>
  <c r="O925" i="12"/>
  <c r="N925" i="12"/>
  <c r="M925" i="12"/>
  <c r="K925" i="12"/>
  <c r="J925" i="12"/>
  <c r="I925" i="12"/>
  <c r="H925" i="12"/>
  <c r="G925" i="12"/>
  <c r="F925" i="12"/>
  <c r="E925" i="12"/>
  <c r="D925" i="12"/>
  <c r="C925" i="12"/>
  <c r="B925" i="12"/>
  <c r="O924" i="12"/>
  <c r="N924" i="12"/>
  <c r="M924" i="12"/>
  <c r="K924" i="12"/>
  <c r="J924" i="12"/>
  <c r="I924" i="12"/>
  <c r="H924" i="12"/>
  <c r="G924" i="12"/>
  <c r="F924" i="12"/>
  <c r="E924" i="12"/>
  <c r="D924" i="12"/>
  <c r="C924" i="12"/>
  <c r="B924" i="12"/>
  <c r="O923" i="12"/>
  <c r="N923" i="12"/>
  <c r="M923" i="12"/>
  <c r="K923" i="12"/>
  <c r="J923" i="12"/>
  <c r="I923" i="12"/>
  <c r="H923" i="12"/>
  <c r="G923" i="12"/>
  <c r="F923" i="12"/>
  <c r="E923" i="12"/>
  <c r="D923" i="12"/>
  <c r="C923" i="12"/>
  <c r="B923" i="12"/>
  <c r="O922" i="12"/>
  <c r="N922" i="12"/>
  <c r="M922" i="12"/>
  <c r="K922" i="12"/>
  <c r="J922" i="12"/>
  <c r="I922" i="12"/>
  <c r="H922" i="12"/>
  <c r="G922" i="12"/>
  <c r="F922" i="12"/>
  <c r="E922" i="12"/>
  <c r="D922" i="12"/>
  <c r="C922" i="12"/>
  <c r="B922" i="12"/>
  <c r="O921" i="12"/>
  <c r="N921" i="12"/>
  <c r="M921" i="12"/>
  <c r="K921" i="12"/>
  <c r="J921" i="12"/>
  <c r="I921" i="12"/>
  <c r="H921" i="12"/>
  <c r="G921" i="12"/>
  <c r="F921" i="12"/>
  <c r="E921" i="12"/>
  <c r="D921" i="12"/>
  <c r="C921" i="12"/>
  <c r="B921" i="12"/>
  <c r="O920" i="12"/>
  <c r="N920" i="12"/>
  <c r="M920" i="12"/>
  <c r="K920" i="12"/>
  <c r="J920" i="12"/>
  <c r="I920" i="12"/>
  <c r="H920" i="12"/>
  <c r="G920" i="12"/>
  <c r="F920" i="12"/>
  <c r="E920" i="12"/>
  <c r="D920" i="12"/>
  <c r="C920" i="12"/>
  <c r="B920" i="12"/>
  <c r="O919" i="12"/>
  <c r="N919" i="12"/>
  <c r="M919" i="12"/>
  <c r="K919" i="12"/>
  <c r="J919" i="12"/>
  <c r="I919" i="12"/>
  <c r="H919" i="12"/>
  <c r="G919" i="12"/>
  <c r="F919" i="12"/>
  <c r="E919" i="12"/>
  <c r="D919" i="12"/>
  <c r="C919" i="12"/>
  <c r="B919" i="12"/>
  <c r="O918" i="12"/>
  <c r="N918" i="12"/>
  <c r="M918" i="12"/>
  <c r="G918" i="12"/>
  <c r="F918" i="12"/>
  <c r="E918" i="12"/>
  <c r="D918" i="12"/>
  <c r="C918" i="12"/>
  <c r="B918" i="12"/>
  <c r="O917" i="12"/>
  <c r="N917" i="12"/>
  <c r="M917" i="12"/>
  <c r="G917" i="12"/>
  <c r="F917" i="12"/>
  <c r="E917" i="12"/>
  <c r="D917" i="12"/>
  <c r="C917" i="12"/>
  <c r="B917" i="12"/>
  <c r="O916" i="12"/>
  <c r="N916" i="12"/>
  <c r="M916" i="12"/>
  <c r="G916" i="12"/>
  <c r="F916" i="12"/>
  <c r="E916" i="12"/>
  <c r="D916" i="12"/>
  <c r="C916" i="12"/>
  <c r="B916" i="12"/>
  <c r="O915" i="12"/>
  <c r="N915" i="12"/>
  <c r="M915" i="12"/>
  <c r="G915" i="12"/>
  <c r="F915" i="12"/>
  <c r="E915" i="12"/>
  <c r="D915" i="12"/>
  <c r="C915" i="12"/>
  <c r="B915" i="12"/>
  <c r="O914" i="12"/>
  <c r="N914" i="12"/>
  <c r="M914" i="12"/>
  <c r="K914" i="12"/>
  <c r="J914" i="12"/>
  <c r="I914" i="12"/>
  <c r="H914" i="12"/>
  <c r="G914" i="12"/>
  <c r="F914" i="12"/>
  <c r="E914" i="12"/>
  <c r="D914" i="12"/>
  <c r="C914" i="12"/>
  <c r="B914" i="12"/>
  <c r="O913" i="12"/>
  <c r="N913" i="12"/>
  <c r="M913" i="12"/>
  <c r="K913" i="12"/>
  <c r="J913" i="12"/>
  <c r="I913" i="12"/>
  <c r="H913" i="12"/>
  <c r="G913" i="12"/>
  <c r="F913" i="12"/>
  <c r="E913" i="12"/>
  <c r="D913" i="12"/>
  <c r="C913" i="12"/>
  <c r="B913" i="12"/>
  <c r="O912" i="12"/>
  <c r="N912" i="12"/>
  <c r="M912" i="12"/>
  <c r="K912" i="12"/>
  <c r="J912" i="12"/>
  <c r="I912" i="12"/>
  <c r="H912" i="12"/>
  <c r="G912" i="12"/>
  <c r="F912" i="12"/>
  <c r="E912" i="12"/>
  <c r="D912" i="12"/>
  <c r="C912" i="12"/>
  <c r="B912" i="12"/>
  <c r="O911" i="12"/>
  <c r="N911" i="12"/>
  <c r="M911" i="12"/>
  <c r="K911" i="12"/>
  <c r="J911" i="12"/>
  <c r="I911" i="12"/>
  <c r="H911" i="12"/>
  <c r="G911" i="12"/>
  <c r="F911" i="12"/>
  <c r="E911" i="12"/>
  <c r="D911" i="12"/>
  <c r="C911" i="12"/>
  <c r="B911" i="12"/>
  <c r="O910" i="12"/>
  <c r="N910" i="12"/>
  <c r="M910" i="12"/>
  <c r="K910" i="12"/>
  <c r="J910" i="12"/>
  <c r="I910" i="12"/>
  <c r="H910" i="12"/>
  <c r="G910" i="12"/>
  <c r="F910" i="12"/>
  <c r="E910" i="12"/>
  <c r="D910" i="12"/>
  <c r="C910" i="12"/>
  <c r="B910" i="12"/>
  <c r="O909" i="12"/>
  <c r="N909" i="12"/>
  <c r="M909" i="12"/>
  <c r="K909" i="12"/>
  <c r="J909" i="12"/>
  <c r="I909" i="12"/>
  <c r="H909" i="12"/>
  <c r="G909" i="12"/>
  <c r="F909" i="12"/>
  <c r="E909" i="12"/>
  <c r="D909" i="12"/>
  <c r="C909" i="12"/>
  <c r="B909" i="12"/>
  <c r="O908" i="12"/>
  <c r="N908" i="12"/>
  <c r="M908" i="12"/>
  <c r="K908" i="12"/>
  <c r="J908" i="12"/>
  <c r="I908" i="12"/>
  <c r="H908" i="12"/>
  <c r="G908" i="12"/>
  <c r="F908" i="12"/>
  <c r="E908" i="12"/>
  <c r="D908" i="12"/>
  <c r="C908" i="12"/>
  <c r="B908" i="12"/>
  <c r="O907" i="12"/>
  <c r="N907" i="12"/>
  <c r="M907" i="12"/>
  <c r="K907" i="12"/>
  <c r="J907" i="12"/>
  <c r="I907" i="12"/>
  <c r="H907" i="12"/>
  <c r="G907" i="12"/>
  <c r="F907" i="12"/>
  <c r="E907" i="12"/>
  <c r="D907" i="12"/>
  <c r="C907" i="12"/>
  <c r="B907" i="12"/>
  <c r="O906" i="12"/>
  <c r="N906" i="12"/>
  <c r="M906" i="12"/>
  <c r="K906" i="12"/>
  <c r="J906" i="12"/>
  <c r="I906" i="12"/>
  <c r="H906" i="12"/>
  <c r="G906" i="12"/>
  <c r="F906" i="12"/>
  <c r="E906" i="12"/>
  <c r="D906" i="12"/>
  <c r="C906" i="12"/>
  <c r="B906" i="12"/>
  <c r="O905" i="12"/>
  <c r="N905" i="12"/>
  <c r="M905" i="12"/>
  <c r="K905" i="12"/>
  <c r="J905" i="12"/>
  <c r="I905" i="12"/>
  <c r="H905" i="12"/>
  <c r="G905" i="12"/>
  <c r="F905" i="12"/>
  <c r="E905" i="12"/>
  <c r="D905" i="12"/>
  <c r="C905" i="12"/>
  <c r="B905" i="12"/>
  <c r="O904" i="12"/>
  <c r="N904" i="12"/>
  <c r="M904" i="12"/>
  <c r="K904" i="12"/>
  <c r="J904" i="12"/>
  <c r="I904" i="12"/>
  <c r="H904" i="12"/>
  <c r="G904" i="12"/>
  <c r="F904" i="12"/>
  <c r="E904" i="12"/>
  <c r="D904" i="12"/>
  <c r="C904" i="12"/>
  <c r="B904" i="12"/>
  <c r="O903" i="12"/>
  <c r="N903" i="12"/>
  <c r="M903" i="12"/>
  <c r="K903" i="12"/>
  <c r="J903" i="12"/>
  <c r="I903" i="12"/>
  <c r="H903" i="12"/>
  <c r="G903" i="12"/>
  <c r="F903" i="12"/>
  <c r="E903" i="12"/>
  <c r="D903" i="12"/>
  <c r="C903" i="12"/>
  <c r="B903" i="12"/>
  <c r="O902" i="12"/>
  <c r="N902" i="12"/>
  <c r="M902" i="12"/>
  <c r="G902" i="12"/>
  <c r="F902" i="12"/>
  <c r="E902" i="12"/>
  <c r="D902" i="12"/>
  <c r="C902" i="12"/>
  <c r="B902" i="12"/>
  <c r="O901" i="12"/>
  <c r="N901" i="12"/>
  <c r="M901" i="12"/>
  <c r="G901" i="12"/>
  <c r="F901" i="12"/>
  <c r="E901" i="12"/>
  <c r="D901" i="12"/>
  <c r="C901" i="12"/>
  <c r="B901" i="12"/>
  <c r="O900" i="12"/>
  <c r="N900" i="12"/>
  <c r="M900" i="12"/>
  <c r="G900" i="12"/>
  <c r="F900" i="12"/>
  <c r="E900" i="12"/>
  <c r="D900" i="12"/>
  <c r="C900" i="12"/>
  <c r="B900" i="12"/>
  <c r="O899" i="12"/>
  <c r="N899" i="12"/>
  <c r="M899" i="12"/>
  <c r="G899" i="12"/>
  <c r="F899" i="12"/>
  <c r="E899" i="12"/>
  <c r="D899" i="12"/>
  <c r="C899" i="12"/>
  <c r="B899" i="12"/>
  <c r="O898" i="12"/>
  <c r="N898" i="12"/>
  <c r="M898" i="12"/>
  <c r="K898" i="12"/>
  <c r="J898" i="12"/>
  <c r="I898" i="12"/>
  <c r="H898" i="12"/>
  <c r="G898" i="12"/>
  <c r="F898" i="12"/>
  <c r="E898" i="12"/>
  <c r="D898" i="12"/>
  <c r="C898" i="12"/>
  <c r="B898" i="12"/>
  <c r="O897" i="12"/>
  <c r="N897" i="12"/>
  <c r="M897" i="12"/>
  <c r="K897" i="12"/>
  <c r="J897" i="12"/>
  <c r="I897" i="12"/>
  <c r="H897" i="12"/>
  <c r="G897" i="12"/>
  <c r="F897" i="12"/>
  <c r="E897" i="12"/>
  <c r="D897" i="12"/>
  <c r="C897" i="12"/>
  <c r="B897" i="12"/>
  <c r="O896" i="12"/>
  <c r="N896" i="12"/>
  <c r="M896" i="12"/>
  <c r="K896" i="12"/>
  <c r="J896" i="12"/>
  <c r="I896" i="12"/>
  <c r="H896" i="12"/>
  <c r="G896" i="12"/>
  <c r="F896" i="12"/>
  <c r="E896" i="12"/>
  <c r="D896" i="12"/>
  <c r="C896" i="12"/>
  <c r="B896" i="12"/>
  <c r="O895" i="12"/>
  <c r="N895" i="12"/>
  <c r="M895" i="12"/>
  <c r="K895" i="12"/>
  <c r="J895" i="12"/>
  <c r="I895" i="12"/>
  <c r="H895" i="12"/>
  <c r="G895" i="12"/>
  <c r="F895" i="12"/>
  <c r="E895" i="12"/>
  <c r="D895" i="12"/>
  <c r="C895" i="12"/>
  <c r="B895" i="12"/>
  <c r="O894" i="12"/>
  <c r="N894" i="12"/>
  <c r="M894" i="12"/>
  <c r="K894" i="12"/>
  <c r="J894" i="12"/>
  <c r="I894" i="12"/>
  <c r="H894" i="12"/>
  <c r="G894" i="12"/>
  <c r="F894" i="12"/>
  <c r="E894" i="12"/>
  <c r="D894" i="12"/>
  <c r="C894" i="12"/>
  <c r="B894" i="12"/>
  <c r="O893" i="12"/>
  <c r="N893" i="12"/>
  <c r="M893" i="12"/>
  <c r="K893" i="12"/>
  <c r="J893" i="12"/>
  <c r="I893" i="12"/>
  <c r="H893" i="12"/>
  <c r="G893" i="12"/>
  <c r="F893" i="12"/>
  <c r="E893" i="12"/>
  <c r="D893" i="12"/>
  <c r="C893" i="12"/>
  <c r="B893" i="12"/>
  <c r="O892" i="12"/>
  <c r="N892" i="12"/>
  <c r="M892" i="12"/>
  <c r="K892" i="12"/>
  <c r="J892" i="12"/>
  <c r="I892" i="12"/>
  <c r="H892" i="12"/>
  <c r="G892" i="12"/>
  <c r="F892" i="12"/>
  <c r="E892" i="12"/>
  <c r="D892" i="12"/>
  <c r="C892" i="12"/>
  <c r="B892" i="12"/>
  <c r="O891" i="12"/>
  <c r="N891" i="12"/>
  <c r="M891" i="12"/>
  <c r="K891" i="12"/>
  <c r="J891" i="12"/>
  <c r="I891" i="12"/>
  <c r="H891" i="12"/>
  <c r="G891" i="12"/>
  <c r="F891" i="12"/>
  <c r="E891" i="12"/>
  <c r="D891" i="12"/>
  <c r="C891" i="12"/>
  <c r="B891" i="12"/>
  <c r="O890" i="12"/>
  <c r="N890" i="12"/>
  <c r="M890" i="12"/>
  <c r="K890" i="12"/>
  <c r="J890" i="12"/>
  <c r="I890" i="12"/>
  <c r="H890" i="12"/>
  <c r="G890" i="12"/>
  <c r="F890" i="12"/>
  <c r="E890" i="12"/>
  <c r="D890" i="12"/>
  <c r="C890" i="12"/>
  <c r="B890" i="12"/>
  <c r="O889" i="12"/>
  <c r="N889" i="12"/>
  <c r="M889" i="12"/>
  <c r="K889" i="12"/>
  <c r="J889" i="12"/>
  <c r="I889" i="12"/>
  <c r="H889" i="12"/>
  <c r="G889" i="12"/>
  <c r="F889" i="12"/>
  <c r="E889" i="12"/>
  <c r="D889" i="12"/>
  <c r="C889" i="12"/>
  <c r="B889" i="12"/>
  <c r="O888" i="12"/>
  <c r="N888" i="12"/>
  <c r="M888" i="12"/>
  <c r="K888" i="12"/>
  <c r="J888" i="12"/>
  <c r="I888" i="12"/>
  <c r="H888" i="12"/>
  <c r="G888" i="12"/>
  <c r="F888" i="12"/>
  <c r="E888" i="12"/>
  <c r="D888" i="12"/>
  <c r="C888" i="12"/>
  <c r="B888" i="12"/>
  <c r="O887" i="12"/>
  <c r="N887" i="12"/>
  <c r="M887" i="12"/>
  <c r="K887" i="12"/>
  <c r="J887" i="12"/>
  <c r="I887" i="12"/>
  <c r="H887" i="12"/>
  <c r="G887" i="12"/>
  <c r="F887" i="12"/>
  <c r="E887" i="12"/>
  <c r="D887" i="12"/>
  <c r="C887" i="12"/>
  <c r="B887" i="12"/>
  <c r="O886" i="12"/>
  <c r="N886" i="12"/>
  <c r="M886" i="12"/>
  <c r="G886" i="12"/>
  <c r="F886" i="12"/>
  <c r="E886" i="12"/>
  <c r="D886" i="12"/>
  <c r="C886" i="12"/>
  <c r="B886" i="12"/>
  <c r="O885" i="12"/>
  <c r="N885" i="12"/>
  <c r="M885" i="12"/>
  <c r="G885" i="12"/>
  <c r="F885" i="12"/>
  <c r="E885" i="12"/>
  <c r="D885" i="12"/>
  <c r="C885" i="12"/>
  <c r="B885" i="12"/>
  <c r="O884" i="12"/>
  <c r="N884" i="12"/>
  <c r="M884" i="12"/>
  <c r="G884" i="12"/>
  <c r="F884" i="12"/>
  <c r="E884" i="12"/>
  <c r="D884" i="12"/>
  <c r="C884" i="12"/>
  <c r="B884" i="12"/>
  <c r="O883" i="12"/>
  <c r="N883" i="12"/>
  <c r="M883" i="12"/>
  <c r="G883" i="12"/>
  <c r="F883" i="12"/>
  <c r="E883" i="12"/>
  <c r="D883" i="12"/>
  <c r="C883" i="12"/>
  <c r="B883" i="12"/>
  <c r="O882" i="12"/>
  <c r="N882" i="12"/>
  <c r="M882" i="12"/>
  <c r="K882" i="12"/>
  <c r="J882" i="12"/>
  <c r="I882" i="12"/>
  <c r="H882" i="12"/>
  <c r="G882" i="12"/>
  <c r="F882" i="12"/>
  <c r="E882" i="12"/>
  <c r="D882" i="12"/>
  <c r="C882" i="12"/>
  <c r="B882" i="12"/>
  <c r="O881" i="12"/>
  <c r="N881" i="12"/>
  <c r="M881" i="12"/>
  <c r="K881" i="12"/>
  <c r="J881" i="12"/>
  <c r="I881" i="12"/>
  <c r="H881" i="12"/>
  <c r="G881" i="12"/>
  <c r="F881" i="12"/>
  <c r="E881" i="12"/>
  <c r="D881" i="12"/>
  <c r="C881" i="12"/>
  <c r="B881" i="12"/>
  <c r="O880" i="12"/>
  <c r="N880" i="12"/>
  <c r="M880" i="12"/>
  <c r="K880" i="12"/>
  <c r="J880" i="12"/>
  <c r="I880" i="12"/>
  <c r="H880" i="12"/>
  <c r="G880" i="12"/>
  <c r="F880" i="12"/>
  <c r="E880" i="12"/>
  <c r="D880" i="12"/>
  <c r="C880" i="12"/>
  <c r="B880" i="12"/>
  <c r="O879" i="12"/>
  <c r="N879" i="12"/>
  <c r="M879" i="12"/>
  <c r="K879" i="12"/>
  <c r="J879" i="12"/>
  <c r="I879" i="12"/>
  <c r="H879" i="12"/>
  <c r="G879" i="12"/>
  <c r="F879" i="12"/>
  <c r="E879" i="12"/>
  <c r="D879" i="12"/>
  <c r="C879" i="12"/>
  <c r="B879" i="12"/>
  <c r="O878" i="12"/>
  <c r="N878" i="12"/>
  <c r="M878" i="12"/>
  <c r="K878" i="12"/>
  <c r="J878" i="12"/>
  <c r="I878" i="12"/>
  <c r="H878" i="12"/>
  <c r="G878" i="12"/>
  <c r="F878" i="12"/>
  <c r="E878" i="12"/>
  <c r="D878" i="12"/>
  <c r="C878" i="12"/>
  <c r="B878" i="12"/>
  <c r="O877" i="12"/>
  <c r="N877" i="12"/>
  <c r="M877" i="12"/>
  <c r="K877" i="12"/>
  <c r="J877" i="12"/>
  <c r="I877" i="12"/>
  <c r="H877" i="12"/>
  <c r="G877" i="12"/>
  <c r="F877" i="12"/>
  <c r="E877" i="12"/>
  <c r="D877" i="12"/>
  <c r="C877" i="12"/>
  <c r="B877" i="12"/>
  <c r="O876" i="12"/>
  <c r="N876" i="12"/>
  <c r="M876" i="12"/>
  <c r="K876" i="12"/>
  <c r="J876" i="12"/>
  <c r="I876" i="12"/>
  <c r="H876" i="12"/>
  <c r="G876" i="12"/>
  <c r="F876" i="12"/>
  <c r="E876" i="12"/>
  <c r="D876" i="12"/>
  <c r="C876" i="12"/>
  <c r="B876" i="12"/>
  <c r="O875" i="12"/>
  <c r="N875" i="12"/>
  <c r="M875" i="12"/>
  <c r="K875" i="12"/>
  <c r="J875" i="12"/>
  <c r="I875" i="12"/>
  <c r="H875" i="12"/>
  <c r="G875" i="12"/>
  <c r="F875" i="12"/>
  <c r="E875" i="12"/>
  <c r="D875" i="12"/>
  <c r="C875" i="12"/>
  <c r="B875" i="12"/>
  <c r="O874" i="12"/>
  <c r="N874" i="12"/>
  <c r="M874" i="12"/>
  <c r="K874" i="12"/>
  <c r="J874" i="12"/>
  <c r="I874" i="12"/>
  <c r="H874" i="12"/>
  <c r="G874" i="12"/>
  <c r="F874" i="12"/>
  <c r="E874" i="12"/>
  <c r="D874" i="12"/>
  <c r="C874" i="12"/>
  <c r="B874" i="12"/>
  <c r="O873" i="12"/>
  <c r="N873" i="12"/>
  <c r="M873" i="12"/>
  <c r="K873" i="12"/>
  <c r="J873" i="12"/>
  <c r="I873" i="12"/>
  <c r="H873" i="12"/>
  <c r="G873" i="12"/>
  <c r="F873" i="12"/>
  <c r="E873" i="12"/>
  <c r="D873" i="12"/>
  <c r="C873" i="12"/>
  <c r="B873" i="12"/>
  <c r="O872" i="12"/>
  <c r="N872" i="12"/>
  <c r="M872" i="12"/>
  <c r="K872" i="12"/>
  <c r="J872" i="12"/>
  <c r="I872" i="12"/>
  <c r="H872" i="12"/>
  <c r="G872" i="12"/>
  <c r="F872" i="12"/>
  <c r="E872" i="12"/>
  <c r="D872" i="12"/>
  <c r="C872" i="12"/>
  <c r="B872" i="12"/>
  <c r="O871" i="12"/>
  <c r="N871" i="12"/>
  <c r="M871" i="12"/>
  <c r="K871" i="12"/>
  <c r="J871" i="12"/>
  <c r="I871" i="12"/>
  <c r="H871" i="12"/>
  <c r="G871" i="12"/>
  <c r="F871" i="12"/>
  <c r="E871" i="12"/>
  <c r="D871" i="12"/>
  <c r="C871" i="12"/>
  <c r="B871" i="12"/>
  <c r="O870" i="12"/>
  <c r="N870" i="12"/>
  <c r="M870" i="12"/>
  <c r="G870" i="12"/>
  <c r="F870" i="12"/>
  <c r="E870" i="12"/>
  <c r="D870" i="12"/>
  <c r="C870" i="12"/>
  <c r="B870" i="12"/>
  <c r="O869" i="12"/>
  <c r="N869" i="12"/>
  <c r="M869" i="12"/>
  <c r="G869" i="12"/>
  <c r="F869" i="12"/>
  <c r="E869" i="12"/>
  <c r="D869" i="12"/>
  <c r="C869" i="12"/>
  <c r="B869" i="12"/>
  <c r="O868" i="12"/>
  <c r="N868" i="12"/>
  <c r="M868" i="12"/>
  <c r="G868" i="12"/>
  <c r="F868" i="12"/>
  <c r="E868" i="12"/>
  <c r="D868" i="12"/>
  <c r="C868" i="12"/>
  <c r="B868" i="12"/>
  <c r="O867" i="12"/>
  <c r="N867" i="12"/>
  <c r="M867" i="12"/>
  <c r="G867" i="12"/>
  <c r="F867" i="12"/>
  <c r="E867" i="12"/>
  <c r="D867" i="12"/>
  <c r="C867" i="12"/>
  <c r="B867" i="12"/>
  <c r="O866" i="12"/>
  <c r="N866" i="12"/>
  <c r="M866" i="12"/>
  <c r="K866" i="12"/>
  <c r="J866" i="12"/>
  <c r="I866" i="12"/>
  <c r="H866" i="12"/>
  <c r="G866" i="12"/>
  <c r="F866" i="12"/>
  <c r="E866" i="12"/>
  <c r="D866" i="12"/>
  <c r="C866" i="12"/>
  <c r="B866" i="12"/>
  <c r="O865" i="12"/>
  <c r="N865" i="12"/>
  <c r="M865" i="12"/>
  <c r="K865" i="12"/>
  <c r="J865" i="12"/>
  <c r="I865" i="12"/>
  <c r="H865" i="12"/>
  <c r="G865" i="12"/>
  <c r="F865" i="12"/>
  <c r="E865" i="12"/>
  <c r="D865" i="12"/>
  <c r="C865" i="12"/>
  <c r="B865" i="12"/>
  <c r="O864" i="12"/>
  <c r="N864" i="12"/>
  <c r="M864" i="12"/>
  <c r="K864" i="12"/>
  <c r="J864" i="12"/>
  <c r="I864" i="12"/>
  <c r="H864" i="12"/>
  <c r="G864" i="12"/>
  <c r="F864" i="12"/>
  <c r="E864" i="12"/>
  <c r="D864" i="12"/>
  <c r="C864" i="12"/>
  <c r="B864" i="12"/>
  <c r="O863" i="12"/>
  <c r="N863" i="12"/>
  <c r="M863" i="12"/>
  <c r="K863" i="12"/>
  <c r="J863" i="12"/>
  <c r="I863" i="12"/>
  <c r="H863" i="12"/>
  <c r="G863" i="12"/>
  <c r="F863" i="12"/>
  <c r="E863" i="12"/>
  <c r="D863" i="12"/>
  <c r="C863" i="12"/>
  <c r="B863" i="12"/>
  <c r="O862" i="12"/>
  <c r="N862" i="12"/>
  <c r="M862" i="12"/>
  <c r="K862" i="12"/>
  <c r="J862" i="12"/>
  <c r="I862" i="12"/>
  <c r="H862" i="12"/>
  <c r="G862" i="12"/>
  <c r="F862" i="12"/>
  <c r="E862" i="12"/>
  <c r="D862" i="12"/>
  <c r="C862" i="12"/>
  <c r="B862" i="12"/>
  <c r="O861" i="12"/>
  <c r="N861" i="12"/>
  <c r="M861" i="12"/>
  <c r="K861" i="12"/>
  <c r="J861" i="12"/>
  <c r="I861" i="12"/>
  <c r="H861" i="12"/>
  <c r="G861" i="12"/>
  <c r="F861" i="12"/>
  <c r="E861" i="12"/>
  <c r="D861" i="12"/>
  <c r="C861" i="12"/>
  <c r="B861" i="12"/>
  <c r="O860" i="12"/>
  <c r="N860" i="12"/>
  <c r="M860" i="12"/>
  <c r="K860" i="12"/>
  <c r="J860" i="12"/>
  <c r="I860" i="12"/>
  <c r="H860" i="12"/>
  <c r="G860" i="12"/>
  <c r="F860" i="12"/>
  <c r="E860" i="12"/>
  <c r="D860" i="12"/>
  <c r="C860" i="12"/>
  <c r="B860" i="12"/>
  <c r="O859" i="12"/>
  <c r="N859" i="12"/>
  <c r="M859" i="12"/>
  <c r="K859" i="12"/>
  <c r="J859" i="12"/>
  <c r="I859" i="12"/>
  <c r="H859" i="12"/>
  <c r="G859" i="12"/>
  <c r="F859" i="12"/>
  <c r="E859" i="12"/>
  <c r="D859" i="12"/>
  <c r="C859" i="12"/>
  <c r="B859" i="12"/>
  <c r="O858" i="12"/>
  <c r="N858" i="12"/>
  <c r="M858" i="12"/>
  <c r="K858" i="12"/>
  <c r="J858" i="12"/>
  <c r="I858" i="12"/>
  <c r="H858" i="12"/>
  <c r="G858" i="12"/>
  <c r="F858" i="12"/>
  <c r="E858" i="12"/>
  <c r="D858" i="12"/>
  <c r="C858" i="12"/>
  <c r="B858" i="12"/>
  <c r="O857" i="12"/>
  <c r="N857" i="12"/>
  <c r="M857" i="12"/>
  <c r="K857" i="12"/>
  <c r="J857" i="12"/>
  <c r="I857" i="12"/>
  <c r="H857" i="12"/>
  <c r="G857" i="12"/>
  <c r="F857" i="12"/>
  <c r="E857" i="12"/>
  <c r="D857" i="12"/>
  <c r="C857" i="12"/>
  <c r="B857" i="12"/>
  <c r="O856" i="12"/>
  <c r="N856" i="12"/>
  <c r="M856" i="12"/>
  <c r="K856" i="12"/>
  <c r="J856" i="12"/>
  <c r="I856" i="12"/>
  <c r="H856" i="12"/>
  <c r="G856" i="12"/>
  <c r="F856" i="12"/>
  <c r="E856" i="12"/>
  <c r="D856" i="12"/>
  <c r="C856" i="12"/>
  <c r="B856" i="12"/>
  <c r="O855" i="12"/>
  <c r="N855" i="12"/>
  <c r="M855" i="12"/>
  <c r="K855" i="12"/>
  <c r="J855" i="12"/>
  <c r="I855" i="12"/>
  <c r="H855" i="12"/>
  <c r="G855" i="12"/>
  <c r="F855" i="12"/>
  <c r="E855" i="12"/>
  <c r="D855" i="12"/>
  <c r="C855" i="12"/>
  <c r="B855" i="12"/>
  <c r="O854" i="12"/>
  <c r="N854" i="12"/>
  <c r="M854" i="12"/>
  <c r="G854" i="12"/>
  <c r="F854" i="12"/>
  <c r="E854" i="12"/>
  <c r="D854" i="12"/>
  <c r="C854" i="12"/>
  <c r="B854" i="12"/>
  <c r="O853" i="12"/>
  <c r="N853" i="12"/>
  <c r="M853" i="12"/>
  <c r="G853" i="12"/>
  <c r="F853" i="12"/>
  <c r="E853" i="12"/>
  <c r="D853" i="12"/>
  <c r="C853" i="12"/>
  <c r="B853" i="12"/>
  <c r="O852" i="12"/>
  <c r="N852" i="12"/>
  <c r="M852" i="12"/>
  <c r="G852" i="12"/>
  <c r="F852" i="12"/>
  <c r="E852" i="12"/>
  <c r="D852" i="12"/>
  <c r="C852" i="12"/>
  <c r="B852" i="12"/>
  <c r="O851" i="12"/>
  <c r="N851" i="12"/>
  <c r="M851" i="12"/>
  <c r="G851" i="12"/>
  <c r="F851" i="12"/>
  <c r="E851" i="12"/>
  <c r="D851" i="12"/>
  <c r="C851" i="12"/>
  <c r="B851" i="12"/>
  <c r="O850" i="12"/>
  <c r="N850" i="12"/>
  <c r="M850" i="12"/>
  <c r="K850" i="12"/>
  <c r="J850" i="12"/>
  <c r="I850" i="12"/>
  <c r="H850" i="12"/>
  <c r="G850" i="12"/>
  <c r="F850" i="12"/>
  <c r="E850" i="12"/>
  <c r="D850" i="12"/>
  <c r="C850" i="12"/>
  <c r="B850" i="12"/>
  <c r="O849" i="12"/>
  <c r="N849" i="12"/>
  <c r="M849" i="12"/>
  <c r="K849" i="12"/>
  <c r="J849" i="12"/>
  <c r="I849" i="12"/>
  <c r="H849" i="12"/>
  <c r="G849" i="12"/>
  <c r="F849" i="12"/>
  <c r="E849" i="12"/>
  <c r="D849" i="12"/>
  <c r="C849" i="12"/>
  <c r="B849" i="12"/>
  <c r="O848" i="12"/>
  <c r="N848" i="12"/>
  <c r="M848" i="12"/>
  <c r="K848" i="12"/>
  <c r="J848" i="12"/>
  <c r="I848" i="12"/>
  <c r="H848" i="12"/>
  <c r="G848" i="12"/>
  <c r="F848" i="12"/>
  <c r="E848" i="12"/>
  <c r="D848" i="12"/>
  <c r="C848" i="12"/>
  <c r="B848" i="12"/>
  <c r="O847" i="12"/>
  <c r="N847" i="12"/>
  <c r="M847" i="12"/>
  <c r="K847" i="12"/>
  <c r="J847" i="12"/>
  <c r="I847" i="12"/>
  <c r="H847" i="12"/>
  <c r="G847" i="12"/>
  <c r="F847" i="12"/>
  <c r="E847" i="12"/>
  <c r="D847" i="12"/>
  <c r="C847" i="12"/>
  <c r="B847" i="12"/>
  <c r="O846" i="12"/>
  <c r="N846" i="12"/>
  <c r="M846" i="12"/>
  <c r="K846" i="12"/>
  <c r="J846" i="12"/>
  <c r="I846" i="12"/>
  <c r="H846" i="12"/>
  <c r="G846" i="12"/>
  <c r="F846" i="12"/>
  <c r="E846" i="12"/>
  <c r="D846" i="12"/>
  <c r="C846" i="12"/>
  <c r="B846" i="12"/>
  <c r="O845" i="12"/>
  <c r="N845" i="12"/>
  <c r="M845" i="12"/>
  <c r="K845" i="12"/>
  <c r="J845" i="12"/>
  <c r="I845" i="12"/>
  <c r="H845" i="12"/>
  <c r="G845" i="12"/>
  <c r="F845" i="12"/>
  <c r="E845" i="12"/>
  <c r="D845" i="12"/>
  <c r="C845" i="12"/>
  <c r="B845" i="12"/>
  <c r="O844" i="12"/>
  <c r="N844" i="12"/>
  <c r="M844" i="12"/>
  <c r="K844" i="12"/>
  <c r="J844" i="12"/>
  <c r="I844" i="12"/>
  <c r="H844" i="12"/>
  <c r="G844" i="12"/>
  <c r="F844" i="12"/>
  <c r="E844" i="12"/>
  <c r="D844" i="12"/>
  <c r="C844" i="12"/>
  <c r="B844" i="12"/>
  <c r="O843" i="12"/>
  <c r="N843" i="12"/>
  <c r="M843" i="12"/>
  <c r="K843" i="12"/>
  <c r="J843" i="12"/>
  <c r="I843" i="12"/>
  <c r="H843" i="12"/>
  <c r="G843" i="12"/>
  <c r="F843" i="12"/>
  <c r="E843" i="12"/>
  <c r="D843" i="12"/>
  <c r="C843" i="12"/>
  <c r="B843" i="12"/>
  <c r="O842" i="12"/>
  <c r="N842" i="12"/>
  <c r="M842" i="12"/>
  <c r="K842" i="12"/>
  <c r="J842" i="12"/>
  <c r="I842" i="12"/>
  <c r="H842" i="12"/>
  <c r="G842" i="12"/>
  <c r="F842" i="12"/>
  <c r="E842" i="12"/>
  <c r="D842" i="12"/>
  <c r="C842" i="12"/>
  <c r="B842" i="12"/>
  <c r="O841" i="12"/>
  <c r="N841" i="12"/>
  <c r="M841" i="12"/>
  <c r="K841" i="12"/>
  <c r="J841" i="12"/>
  <c r="I841" i="12"/>
  <c r="H841" i="12"/>
  <c r="G841" i="12"/>
  <c r="F841" i="12"/>
  <c r="E841" i="12"/>
  <c r="D841" i="12"/>
  <c r="C841" i="12"/>
  <c r="B841" i="12"/>
  <c r="O840" i="12"/>
  <c r="N840" i="12"/>
  <c r="M840" i="12"/>
  <c r="K840" i="12"/>
  <c r="J840" i="12"/>
  <c r="I840" i="12"/>
  <c r="H840" i="12"/>
  <c r="G840" i="12"/>
  <c r="F840" i="12"/>
  <c r="E840" i="12"/>
  <c r="D840" i="12"/>
  <c r="C840" i="12"/>
  <c r="B840" i="12"/>
  <c r="O839" i="12"/>
  <c r="N839" i="12"/>
  <c r="M839" i="12"/>
  <c r="K839" i="12"/>
  <c r="J839" i="12"/>
  <c r="I839" i="12"/>
  <c r="H839" i="12"/>
  <c r="G839" i="12"/>
  <c r="F839" i="12"/>
  <c r="E839" i="12"/>
  <c r="D839" i="12"/>
  <c r="C839" i="12"/>
  <c r="B839" i="12"/>
  <c r="O838" i="12"/>
  <c r="N838" i="12"/>
  <c r="M838" i="12"/>
  <c r="G838" i="12"/>
  <c r="F838" i="12"/>
  <c r="E838" i="12"/>
  <c r="D838" i="12"/>
  <c r="C838" i="12"/>
  <c r="B838" i="12"/>
  <c r="O837" i="12"/>
  <c r="N837" i="12"/>
  <c r="M837" i="12"/>
  <c r="G837" i="12"/>
  <c r="F837" i="12"/>
  <c r="E837" i="12"/>
  <c r="D837" i="12"/>
  <c r="C837" i="12"/>
  <c r="B837" i="12"/>
  <c r="O836" i="12"/>
  <c r="N836" i="12"/>
  <c r="M836" i="12"/>
  <c r="G836" i="12"/>
  <c r="F836" i="12"/>
  <c r="E836" i="12"/>
  <c r="D836" i="12"/>
  <c r="C836" i="12"/>
  <c r="B836" i="12"/>
  <c r="O835" i="12"/>
  <c r="N835" i="12"/>
  <c r="M835" i="12"/>
  <c r="G835" i="12"/>
  <c r="F835" i="12"/>
  <c r="E835" i="12"/>
  <c r="D835" i="12"/>
  <c r="C835" i="12"/>
  <c r="B835" i="12"/>
  <c r="O834" i="12"/>
  <c r="N834" i="12"/>
  <c r="M834" i="12"/>
  <c r="K834" i="12"/>
  <c r="J834" i="12"/>
  <c r="I834" i="12"/>
  <c r="H834" i="12"/>
  <c r="G834" i="12"/>
  <c r="F834" i="12"/>
  <c r="E834" i="12"/>
  <c r="D834" i="12"/>
  <c r="C834" i="12"/>
  <c r="B834" i="12"/>
  <c r="O833" i="12"/>
  <c r="N833" i="12"/>
  <c r="M833" i="12"/>
  <c r="K833" i="12"/>
  <c r="J833" i="12"/>
  <c r="I833" i="12"/>
  <c r="H833" i="12"/>
  <c r="G833" i="12"/>
  <c r="F833" i="12"/>
  <c r="E833" i="12"/>
  <c r="D833" i="12"/>
  <c r="C833" i="12"/>
  <c r="B833" i="12"/>
  <c r="O832" i="12"/>
  <c r="N832" i="12"/>
  <c r="M832" i="12"/>
  <c r="K832" i="12"/>
  <c r="J832" i="12"/>
  <c r="I832" i="12"/>
  <c r="H832" i="12"/>
  <c r="G832" i="12"/>
  <c r="F832" i="12"/>
  <c r="E832" i="12"/>
  <c r="D832" i="12"/>
  <c r="C832" i="12"/>
  <c r="B832" i="12"/>
  <c r="O831" i="12"/>
  <c r="N831" i="12"/>
  <c r="M831" i="12"/>
  <c r="K831" i="12"/>
  <c r="J831" i="12"/>
  <c r="I831" i="12"/>
  <c r="H831" i="12"/>
  <c r="G831" i="12"/>
  <c r="F831" i="12"/>
  <c r="E831" i="12"/>
  <c r="D831" i="12"/>
  <c r="C831" i="12"/>
  <c r="B831" i="12"/>
  <c r="O830" i="12"/>
  <c r="N830" i="12"/>
  <c r="M830" i="12"/>
  <c r="K830" i="12"/>
  <c r="J830" i="12"/>
  <c r="I830" i="12"/>
  <c r="H830" i="12"/>
  <c r="G830" i="12"/>
  <c r="F830" i="12"/>
  <c r="E830" i="12"/>
  <c r="D830" i="12"/>
  <c r="C830" i="12"/>
  <c r="B830" i="12"/>
  <c r="O829" i="12"/>
  <c r="N829" i="12"/>
  <c r="M829" i="12"/>
  <c r="K829" i="12"/>
  <c r="J829" i="12"/>
  <c r="I829" i="12"/>
  <c r="H829" i="12"/>
  <c r="G829" i="12"/>
  <c r="F829" i="12"/>
  <c r="E829" i="12"/>
  <c r="D829" i="12"/>
  <c r="C829" i="12"/>
  <c r="B829" i="12"/>
  <c r="O828" i="12"/>
  <c r="N828" i="12"/>
  <c r="M828" i="12"/>
  <c r="K828" i="12"/>
  <c r="J828" i="12"/>
  <c r="I828" i="12"/>
  <c r="H828" i="12"/>
  <c r="G828" i="12"/>
  <c r="F828" i="12"/>
  <c r="E828" i="12"/>
  <c r="D828" i="12"/>
  <c r="C828" i="12"/>
  <c r="B828" i="12"/>
  <c r="O827" i="12"/>
  <c r="N827" i="12"/>
  <c r="M827" i="12"/>
  <c r="K827" i="12"/>
  <c r="J827" i="12"/>
  <c r="I827" i="12"/>
  <c r="H827" i="12"/>
  <c r="G827" i="12"/>
  <c r="F827" i="12"/>
  <c r="E827" i="12"/>
  <c r="D827" i="12"/>
  <c r="C827" i="12"/>
  <c r="B827" i="12"/>
  <c r="O826" i="12"/>
  <c r="N826" i="12"/>
  <c r="M826" i="12"/>
  <c r="K826" i="12"/>
  <c r="J826" i="12"/>
  <c r="I826" i="12"/>
  <c r="H826" i="12"/>
  <c r="G826" i="12"/>
  <c r="F826" i="12"/>
  <c r="E826" i="12"/>
  <c r="D826" i="12"/>
  <c r="C826" i="12"/>
  <c r="B826" i="12"/>
  <c r="O825" i="12"/>
  <c r="N825" i="12"/>
  <c r="M825" i="12"/>
  <c r="K825" i="12"/>
  <c r="J825" i="12"/>
  <c r="I825" i="12"/>
  <c r="H825" i="12"/>
  <c r="G825" i="12"/>
  <c r="F825" i="12"/>
  <c r="E825" i="12"/>
  <c r="D825" i="12"/>
  <c r="C825" i="12"/>
  <c r="B825" i="12"/>
  <c r="O824" i="12"/>
  <c r="N824" i="12"/>
  <c r="M824" i="12"/>
  <c r="K824" i="12"/>
  <c r="J824" i="12"/>
  <c r="I824" i="12"/>
  <c r="H824" i="12"/>
  <c r="G824" i="12"/>
  <c r="F824" i="12"/>
  <c r="E824" i="12"/>
  <c r="D824" i="12"/>
  <c r="C824" i="12"/>
  <c r="B824" i="12"/>
  <c r="O823" i="12"/>
  <c r="N823" i="12"/>
  <c r="M823" i="12"/>
  <c r="K823" i="12"/>
  <c r="J823" i="12"/>
  <c r="I823" i="12"/>
  <c r="H823" i="12"/>
  <c r="G823" i="12"/>
  <c r="F823" i="12"/>
  <c r="E823" i="12"/>
  <c r="D823" i="12"/>
  <c r="C823" i="12"/>
  <c r="B823" i="12"/>
  <c r="O822" i="12"/>
  <c r="N822" i="12"/>
  <c r="M822" i="12"/>
  <c r="G822" i="12"/>
  <c r="F822" i="12"/>
  <c r="E822" i="12"/>
  <c r="D822" i="12"/>
  <c r="C822" i="12"/>
  <c r="B822" i="12"/>
  <c r="O821" i="12"/>
  <c r="N821" i="12"/>
  <c r="M821" i="12"/>
  <c r="G821" i="12"/>
  <c r="F821" i="12"/>
  <c r="E821" i="12"/>
  <c r="D821" i="12"/>
  <c r="C821" i="12"/>
  <c r="B821" i="12"/>
  <c r="O820" i="12"/>
  <c r="N820" i="12"/>
  <c r="M820" i="12"/>
  <c r="G820" i="12"/>
  <c r="F820" i="12"/>
  <c r="E820" i="12"/>
  <c r="D820" i="12"/>
  <c r="C820" i="12"/>
  <c r="B820" i="12"/>
  <c r="O819" i="12"/>
  <c r="N819" i="12"/>
  <c r="M819" i="12"/>
  <c r="G819" i="12"/>
  <c r="F819" i="12"/>
  <c r="E819" i="12"/>
  <c r="D819" i="12"/>
  <c r="C819" i="12"/>
  <c r="B819" i="12"/>
  <c r="O818" i="12"/>
  <c r="N818" i="12"/>
  <c r="M818" i="12"/>
  <c r="K818" i="12"/>
  <c r="J818" i="12"/>
  <c r="I818" i="12"/>
  <c r="H818" i="12"/>
  <c r="G818" i="12"/>
  <c r="F818" i="12"/>
  <c r="E818" i="12"/>
  <c r="D818" i="12"/>
  <c r="C818" i="12"/>
  <c r="B818" i="12"/>
  <c r="O817" i="12"/>
  <c r="N817" i="12"/>
  <c r="M817" i="12"/>
  <c r="K817" i="12"/>
  <c r="J817" i="12"/>
  <c r="I817" i="12"/>
  <c r="H817" i="12"/>
  <c r="G817" i="12"/>
  <c r="F817" i="12"/>
  <c r="E817" i="12"/>
  <c r="D817" i="12"/>
  <c r="C817" i="12"/>
  <c r="B817" i="12"/>
  <c r="O816" i="12"/>
  <c r="N816" i="12"/>
  <c r="M816" i="12"/>
  <c r="K816" i="12"/>
  <c r="J816" i="12"/>
  <c r="I816" i="12"/>
  <c r="H816" i="12"/>
  <c r="G816" i="12"/>
  <c r="F816" i="12"/>
  <c r="E816" i="12"/>
  <c r="D816" i="12"/>
  <c r="C816" i="12"/>
  <c r="B816" i="12"/>
  <c r="O815" i="12"/>
  <c r="N815" i="12"/>
  <c r="M815" i="12"/>
  <c r="K815" i="12"/>
  <c r="J815" i="12"/>
  <c r="I815" i="12"/>
  <c r="H815" i="12"/>
  <c r="G815" i="12"/>
  <c r="F815" i="12"/>
  <c r="E815" i="12"/>
  <c r="D815" i="12"/>
  <c r="C815" i="12"/>
  <c r="B815" i="12"/>
  <c r="O814" i="12"/>
  <c r="N814" i="12"/>
  <c r="M814" i="12"/>
  <c r="K814" i="12"/>
  <c r="J814" i="12"/>
  <c r="I814" i="12"/>
  <c r="H814" i="12"/>
  <c r="G814" i="12"/>
  <c r="F814" i="12"/>
  <c r="E814" i="12"/>
  <c r="D814" i="12"/>
  <c r="C814" i="12"/>
  <c r="B814" i="12"/>
  <c r="O813" i="12"/>
  <c r="N813" i="12"/>
  <c r="M813" i="12"/>
  <c r="K813" i="12"/>
  <c r="J813" i="12"/>
  <c r="I813" i="12"/>
  <c r="H813" i="12"/>
  <c r="G813" i="12"/>
  <c r="F813" i="12"/>
  <c r="E813" i="12"/>
  <c r="D813" i="12"/>
  <c r="C813" i="12"/>
  <c r="B813" i="12"/>
  <c r="O812" i="12"/>
  <c r="N812" i="12"/>
  <c r="M812" i="12"/>
  <c r="K812" i="12"/>
  <c r="J812" i="12"/>
  <c r="I812" i="12"/>
  <c r="H812" i="12"/>
  <c r="G812" i="12"/>
  <c r="F812" i="12"/>
  <c r="E812" i="12"/>
  <c r="D812" i="12"/>
  <c r="C812" i="12"/>
  <c r="B812" i="12"/>
  <c r="O811" i="12"/>
  <c r="N811" i="12"/>
  <c r="M811" i="12"/>
  <c r="K811" i="12"/>
  <c r="J811" i="12"/>
  <c r="I811" i="12"/>
  <c r="H811" i="12"/>
  <c r="G811" i="12"/>
  <c r="F811" i="12"/>
  <c r="E811" i="12"/>
  <c r="D811" i="12"/>
  <c r="C811" i="12"/>
  <c r="B811" i="12"/>
  <c r="O810" i="12"/>
  <c r="N810" i="12"/>
  <c r="M810" i="12"/>
  <c r="K810" i="12"/>
  <c r="J810" i="12"/>
  <c r="I810" i="12"/>
  <c r="H810" i="12"/>
  <c r="G810" i="12"/>
  <c r="F810" i="12"/>
  <c r="E810" i="12"/>
  <c r="D810" i="12"/>
  <c r="C810" i="12"/>
  <c r="B810" i="12"/>
  <c r="O809" i="12"/>
  <c r="N809" i="12"/>
  <c r="M809" i="12"/>
  <c r="K809" i="12"/>
  <c r="J809" i="12"/>
  <c r="I809" i="12"/>
  <c r="H809" i="12"/>
  <c r="G809" i="12"/>
  <c r="F809" i="12"/>
  <c r="E809" i="12"/>
  <c r="D809" i="12"/>
  <c r="C809" i="12"/>
  <c r="B809" i="12"/>
  <c r="O808" i="12"/>
  <c r="N808" i="12"/>
  <c r="M808" i="12"/>
  <c r="K808" i="12"/>
  <c r="J808" i="12"/>
  <c r="I808" i="12"/>
  <c r="H808" i="12"/>
  <c r="G808" i="12"/>
  <c r="F808" i="12"/>
  <c r="E808" i="12"/>
  <c r="D808" i="12"/>
  <c r="C808" i="12"/>
  <c r="B808" i="12"/>
  <c r="O807" i="12"/>
  <c r="N807" i="12"/>
  <c r="M807" i="12"/>
  <c r="K807" i="12"/>
  <c r="J807" i="12"/>
  <c r="I807" i="12"/>
  <c r="H807" i="12"/>
  <c r="G807" i="12"/>
  <c r="F807" i="12"/>
  <c r="E807" i="12"/>
  <c r="D807" i="12"/>
  <c r="C807" i="12"/>
  <c r="B807" i="12"/>
  <c r="O806" i="12"/>
  <c r="N806" i="12"/>
  <c r="M806" i="12"/>
  <c r="G806" i="12"/>
  <c r="F806" i="12"/>
  <c r="E806" i="12"/>
  <c r="D806" i="12"/>
  <c r="C806" i="12"/>
  <c r="B806" i="12"/>
  <c r="O805" i="12"/>
  <c r="N805" i="12"/>
  <c r="M805" i="12"/>
  <c r="G805" i="12"/>
  <c r="F805" i="12"/>
  <c r="E805" i="12"/>
  <c r="D805" i="12"/>
  <c r="C805" i="12"/>
  <c r="B805" i="12"/>
  <c r="O804" i="12"/>
  <c r="N804" i="12"/>
  <c r="M804" i="12"/>
  <c r="G804" i="12"/>
  <c r="F804" i="12"/>
  <c r="E804" i="12"/>
  <c r="D804" i="12"/>
  <c r="C804" i="12"/>
  <c r="B804" i="12"/>
  <c r="O803" i="12"/>
  <c r="N803" i="12"/>
  <c r="M803" i="12"/>
  <c r="G803" i="12"/>
  <c r="F803" i="12"/>
  <c r="E803" i="12"/>
  <c r="D803" i="12"/>
  <c r="C803" i="12"/>
  <c r="B803" i="12"/>
  <c r="O802" i="12"/>
  <c r="N802" i="12"/>
  <c r="M802" i="12"/>
  <c r="K802" i="12"/>
  <c r="J802" i="12"/>
  <c r="I802" i="12"/>
  <c r="H802" i="12"/>
  <c r="G802" i="12"/>
  <c r="F802" i="12"/>
  <c r="E802" i="12"/>
  <c r="D802" i="12"/>
  <c r="C802" i="12"/>
  <c r="B802" i="12"/>
  <c r="O801" i="12"/>
  <c r="N801" i="12"/>
  <c r="M801" i="12"/>
  <c r="K801" i="12"/>
  <c r="J801" i="12"/>
  <c r="I801" i="12"/>
  <c r="H801" i="12"/>
  <c r="G801" i="12"/>
  <c r="F801" i="12"/>
  <c r="E801" i="12"/>
  <c r="D801" i="12"/>
  <c r="C801" i="12"/>
  <c r="B801" i="12"/>
  <c r="O800" i="12"/>
  <c r="N800" i="12"/>
  <c r="M800" i="12"/>
  <c r="K800" i="12"/>
  <c r="J800" i="12"/>
  <c r="I800" i="12"/>
  <c r="H800" i="12"/>
  <c r="G800" i="12"/>
  <c r="F800" i="12"/>
  <c r="E800" i="12"/>
  <c r="D800" i="12"/>
  <c r="C800" i="12"/>
  <c r="B800" i="12"/>
  <c r="O799" i="12"/>
  <c r="N799" i="12"/>
  <c r="M799" i="12"/>
  <c r="K799" i="12"/>
  <c r="J799" i="12"/>
  <c r="I799" i="12"/>
  <c r="H799" i="12"/>
  <c r="G799" i="12"/>
  <c r="F799" i="12"/>
  <c r="E799" i="12"/>
  <c r="D799" i="12"/>
  <c r="C799" i="12"/>
  <c r="B799" i="12"/>
  <c r="O798" i="12"/>
  <c r="N798" i="12"/>
  <c r="M798" i="12"/>
  <c r="K798" i="12"/>
  <c r="J798" i="12"/>
  <c r="I798" i="12"/>
  <c r="H798" i="12"/>
  <c r="G798" i="12"/>
  <c r="F798" i="12"/>
  <c r="E798" i="12"/>
  <c r="D798" i="12"/>
  <c r="C798" i="12"/>
  <c r="B798" i="12"/>
  <c r="O797" i="12"/>
  <c r="N797" i="12"/>
  <c r="M797" i="12"/>
  <c r="K797" i="12"/>
  <c r="J797" i="12"/>
  <c r="I797" i="12"/>
  <c r="H797" i="12"/>
  <c r="G797" i="12"/>
  <c r="F797" i="12"/>
  <c r="E797" i="12"/>
  <c r="D797" i="12"/>
  <c r="C797" i="12"/>
  <c r="B797" i="12"/>
  <c r="O796" i="12"/>
  <c r="N796" i="12"/>
  <c r="M796" i="12"/>
  <c r="K796" i="12"/>
  <c r="J796" i="12"/>
  <c r="I796" i="12"/>
  <c r="H796" i="12"/>
  <c r="G796" i="12"/>
  <c r="F796" i="12"/>
  <c r="E796" i="12"/>
  <c r="D796" i="12"/>
  <c r="C796" i="12"/>
  <c r="B796" i="12"/>
  <c r="O795" i="12"/>
  <c r="N795" i="12"/>
  <c r="M795" i="12"/>
  <c r="K795" i="12"/>
  <c r="J795" i="12"/>
  <c r="I795" i="12"/>
  <c r="H795" i="12"/>
  <c r="G795" i="12"/>
  <c r="F795" i="12"/>
  <c r="E795" i="12"/>
  <c r="D795" i="12"/>
  <c r="C795" i="12"/>
  <c r="B795" i="12"/>
  <c r="O794" i="12"/>
  <c r="N794" i="12"/>
  <c r="M794" i="12"/>
  <c r="K794" i="12"/>
  <c r="J794" i="12"/>
  <c r="I794" i="12"/>
  <c r="H794" i="12"/>
  <c r="G794" i="12"/>
  <c r="F794" i="12"/>
  <c r="E794" i="12"/>
  <c r="D794" i="12"/>
  <c r="C794" i="12"/>
  <c r="B794" i="12"/>
  <c r="O793" i="12"/>
  <c r="N793" i="12"/>
  <c r="M793" i="12"/>
  <c r="K793" i="12"/>
  <c r="J793" i="12"/>
  <c r="I793" i="12"/>
  <c r="H793" i="12"/>
  <c r="G793" i="12"/>
  <c r="F793" i="12"/>
  <c r="E793" i="12"/>
  <c r="D793" i="12"/>
  <c r="C793" i="12"/>
  <c r="B793" i="12"/>
  <c r="O792" i="12"/>
  <c r="N792" i="12"/>
  <c r="M792" i="12"/>
  <c r="K792" i="12"/>
  <c r="J792" i="12"/>
  <c r="I792" i="12"/>
  <c r="H792" i="12"/>
  <c r="G792" i="12"/>
  <c r="F792" i="12"/>
  <c r="E792" i="12"/>
  <c r="D792" i="12"/>
  <c r="C792" i="12"/>
  <c r="B792" i="12"/>
  <c r="O791" i="12"/>
  <c r="N791" i="12"/>
  <c r="M791" i="12"/>
  <c r="K791" i="12"/>
  <c r="J791" i="12"/>
  <c r="I791" i="12"/>
  <c r="H791" i="12"/>
  <c r="G791" i="12"/>
  <c r="F791" i="12"/>
  <c r="E791" i="12"/>
  <c r="D791" i="12"/>
  <c r="C791" i="12"/>
  <c r="B791" i="12"/>
  <c r="O790" i="12"/>
  <c r="N790" i="12"/>
  <c r="M790" i="12"/>
  <c r="G790" i="12"/>
  <c r="F790" i="12"/>
  <c r="E790" i="12"/>
  <c r="D790" i="12"/>
  <c r="C790" i="12"/>
  <c r="B790" i="12"/>
  <c r="O789" i="12"/>
  <c r="N789" i="12"/>
  <c r="M789" i="12"/>
  <c r="G789" i="12"/>
  <c r="F789" i="12"/>
  <c r="E789" i="12"/>
  <c r="D789" i="12"/>
  <c r="C789" i="12"/>
  <c r="B789" i="12"/>
  <c r="O788" i="12"/>
  <c r="N788" i="12"/>
  <c r="M788" i="12"/>
  <c r="G788" i="12"/>
  <c r="F788" i="12"/>
  <c r="E788" i="12"/>
  <c r="D788" i="12"/>
  <c r="C788" i="12"/>
  <c r="B788" i="12"/>
  <c r="O787" i="12"/>
  <c r="N787" i="12"/>
  <c r="M787" i="12"/>
  <c r="G787" i="12"/>
  <c r="F787" i="12"/>
  <c r="E787" i="12"/>
  <c r="D787" i="12"/>
  <c r="C787" i="12"/>
  <c r="B787" i="12"/>
  <c r="O786" i="12"/>
  <c r="N786" i="12"/>
  <c r="M786" i="12"/>
  <c r="K786" i="12"/>
  <c r="J786" i="12"/>
  <c r="I786" i="12"/>
  <c r="H786" i="12"/>
  <c r="G786" i="12"/>
  <c r="F786" i="12"/>
  <c r="E786" i="12"/>
  <c r="D786" i="12"/>
  <c r="C786" i="12"/>
  <c r="B786" i="12"/>
  <c r="O785" i="12"/>
  <c r="N785" i="12"/>
  <c r="M785" i="12"/>
  <c r="K785" i="12"/>
  <c r="J785" i="12"/>
  <c r="I785" i="12"/>
  <c r="H785" i="12"/>
  <c r="G785" i="12"/>
  <c r="F785" i="12"/>
  <c r="E785" i="12"/>
  <c r="D785" i="12"/>
  <c r="C785" i="12"/>
  <c r="B785" i="12"/>
  <c r="O784" i="12"/>
  <c r="N784" i="12"/>
  <c r="M784" i="12"/>
  <c r="K784" i="12"/>
  <c r="J784" i="12"/>
  <c r="I784" i="12"/>
  <c r="H784" i="12"/>
  <c r="G784" i="12"/>
  <c r="F784" i="12"/>
  <c r="E784" i="12"/>
  <c r="D784" i="12"/>
  <c r="C784" i="12"/>
  <c r="B784" i="12"/>
  <c r="O783" i="12"/>
  <c r="N783" i="12"/>
  <c r="M783" i="12"/>
  <c r="K783" i="12"/>
  <c r="J783" i="12"/>
  <c r="I783" i="12"/>
  <c r="H783" i="12"/>
  <c r="G783" i="12"/>
  <c r="F783" i="12"/>
  <c r="E783" i="12"/>
  <c r="D783" i="12"/>
  <c r="C783" i="12"/>
  <c r="B783" i="12"/>
  <c r="O782" i="12"/>
  <c r="N782" i="12"/>
  <c r="M782" i="12"/>
  <c r="K782" i="12"/>
  <c r="J782" i="12"/>
  <c r="I782" i="12"/>
  <c r="H782" i="12"/>
  <c r="G782" i="12"/>
  <c r="F782" i="12"/>
  <c r="E782" i="12"/>
  <c r="D782" i="12"/>
  <c r="C782" i="12"/>
  <c r="B782" i="12"/>
  <c r="O781" i="12"/>
  <c r="N781" i="12"/>
  <c r="M781" i="12"/>
  <c r="K781" i="12"/>
  <c r="J781" i="12"/>
  <c r="I781" i="12"/>
  <c r="H781" i="12"/>
  <c r="G781" i="12"/>
  <c r="F781" i="12"/>
  <c r="E781" i="12"/>
  <c r="D781" i="12"/>
  <c r="C781" i="12"/>
  <c r="B781" i="12"/>
  <c r="O780" i="12"/>
  <c r="N780" i="12"/>
  <c r="M780" i="12"/>
  <c r="K780" i="12"/>
  <c r="J780" i="12"/>
  <c r="I780" i="12"/>
  <c r="H780" i="12"/>
  <c r="G780" i="12"/>
  <c r="F780" i="12"/>
  <c r="E780" i="12"/>
  <c r="D780" i="12"/>
  <c r="C780" i="12"/>
  <c r="B780" i="12"/>
  <c r="O779" i="12"/>
  <c r="N779" i="12"/>
  <c r="M779" i="12"/>
  <c r="K779" i="12"/>
  <c r="J779" i="12"/>
  <c r="I779" i="12"/>
  <c r="H779" i="12"/>
  <c r="G779" i="12"/>
  <c r="F779" i="12"/>
  <c r="E779" i="12"/>
  <c r="D779" i="12"/>
  <c r="C779" i="12"/>
  <c r="B779" i="12"/>
  <c r="O778" i="12"/>
  <c r="N778" i="12"/>
  <c r="M778" i="12"/>
  <c r="K778" i="12"/>
  <c r="J778" i="12"/>
  <c r="I778" i="12"/>
  <c r="H778" i="12"/>
  <c r="G778" i="12"/>
  <c r="F778" i="12"/>
  <c r="E778" i="12"/>
  <c r="D778" i="12"/>
  <c r="C778" i="12"/>
  <c r="B778" i="12"/>
  <c r="O777" i="12"/>
  <c r="N777" i="12"/>
  <c r="M777" i="12"/>
  <c r="K777" i="12"/>
  <c r="J777" i="12"/>
  <c r="I777" i="12"/>
  <c r="H777" i="12"/>
  <c r="G777" i="12"/>
  <c r="F777" i="12"/>
  <c r="E777" i="12"/>
  <c r="D777" i="12"/>
  <c r="C777" i="12"/>
  <c r="B777" i="12"/>
  <c r="O776" i="12"/>
  <c r="N776" i="12"/>
  <c r="M776" i="12"/>
  <c r="K776" i="12"/>
  <c r="J776" i="12"/>
  <c r="I776" i="12"/>
  <c r="H776" i="12"/>
  <c r="G776" i="12"/>
  <c r="F776" i="12"/>
  <c r="E776" i="12"/>
  <c r="D776" i="12"/>
  <c r="C776" i="12"/>
  <c r="B776" i="12"/>
  <c r="O775" i="12"/>
  <c r="N775" i="12"/>
  <c r="M775" i="12"/>
  <c r="K775" i="12"/>
  <c r="J775" i="12"/>
  <c r="I775" i="12"/>
  <c r="H775" i="12"/>
  <c r="G775" i="12"/>
  <c r="F775" i="12"/>
  <c r="E775" i="12"/>
  <c r="D775" i="12"/>
  <c r="C775" i="12"/>
  <c r="B775" i="12"/>
  <c r="O774" i="12"/>
  <c r="N774" i="12"/>
  <c r="M774" i="12"/>
  <c r="G774" i="12"/>
  <c r="F774" i="12"/>
  <c r="E774" i="12"/>
  <c r="D774" i="12"/>
  <c r="C774" i="12"/>
  <c r="B774" i="12"/>
  <c r="O773" i="12"/>
  <c r="N773" i="12"/>
  <c r="M773" i="12"/>
  <c r="G773" i="12"/>
  <c r="F773" i="12"/>
  <c r="E773" i="12"/>
  <c r="D773" i="12"/>
  <c r="C773" i="12"/>
  <c r="B773" i="12"/>
  <c r="O772" i="12"/>
  <c r="N772" i="12"/>
  <c r="M772" i="12"/>
  <c r="G772" i="12"/>
  <c r="F772" i="12"/>
  <c r="E772" i="12"/>
  <c r="D772" i="12"/>
  <c r="C772" i="12"/>
  <c r="B772" i="12"/>
  <c r="O771" i="12"/>
  <c r="N771" i="12"/>
  <c r="M771" i="12"/>
  <c r="G771" i="12"/>
  <c r="F771" i="12"/>
  <c r="E771" i="12"/>
  <c r="D771" i="12"/>
  <c r="C771" i="12"/>
  <c r="B771" i="12"/>
  <c r="O770" i="12"/>
  <c r="N770" i="12"/>
  <c r="M770" i="12"/>
  <c r="K770" i="12"/>
  <c r="J770" i="12"/>
  <c r="I770" i="12"/>
  <c r="H770" i="12"/>
  <c r="G770" i="12"/>
  <c r="F770" i="12"/>
  <c r="E770" i="12"/>
  <c r="D770" i="12"/>
  <c r="C770" i="12"/>
  <c r="B770" i="12"/>
  <c r="O769" i="12"/>
  <c r="N769" i="12"/>
  <c r="M769" i="12"/>
  <c r="K769" i="12"/>
  <c r="J769" i="12"/>
  <c r="I769" i="12"/>
  <c r="H769" i="12"/>
  <c r="G769" i="12"/>
  <c r="F769" i="12"/>
  <c r="E769" i="12"/>
  <c r="D769" i="12"/>
  <c r="C769" i="12"/>
  <c r="B769" i="12"/>
  <c r="O768" i="12"/>
  <c r="N768" i="12"/>
  <c r="M768" i="12"/>
  <c r="K768" i="12"/>
  <c r="J768" i="12"/>
  <c r="I768" i="12"/>
  <c r="H768" i="12"/>
  <c r="G768" i="12"/>
  <c r="F768" i="12"/>
  <c r="E768" i="12"/>
  <c r="D768" i="12"/>
  <c r="C768" i="12"/>
  <c r="B768" i="12"/>
  <c r="O767" i="12"/>
  <c r="N767" i="12"/>
  <c r="M767" i="12"/>
  <c r="K767" i="12"/>
  <c r="J767" i="12"/>
  <c r="I767" i="12"/>
  <c r="H767" i="12"/>
  <c r="G767" i="12"/>
  <c r="F767" i="12"/>
  <c r="E767" i="12"/>
  <c r="D767" i="12"/>
  <c r="C767" i="12"/>
  <c r="B767" i="12"/>
  <c r="O766" i="12"/>
  <c r="N766" i="12"/>
  <c r="M766" i="12"/>
  <c r="K766" i="12"/>
  <c r="J766" i="12"/>
  <c r="I766" i="12"/>
  <c r="H766" i="12"/>
  <c r="G766" i="12"/>
  <c r="F766" i="12"/>
  <c r="E766" i="12"/>
  <c r="D766" i="12"/>
  <c r="C766" i="12"/>
  <c r="B766" i="12"/>
  <c r="O765" i="12"/>
  <c r="N765" i="12"/>
  <c r="M765" i="12"/>
  <c r="K765" i="12"/>
  <c r="J765" i="12"/>
  <c r="I765" i="12"/>
  <c r="H765" i="12"/>
  <c r="G765" i="12"/>
  <c r="F765" i="12"/>
  <c r="E765" i="12"/>
  <c r="D765" i="12"/>
  <c r="C765" i="12"/>
  <c r="B765" i="12"/>
  <c r="O764" i="12"/>
  <c r="N764" i="12"/>
  <c r="M764" i="12"/>
  <c r="K764" i="12"/>
  <c r="J764" i="12"/>
  <c r="I764" i="12"/>
  <c r="H764" i="12"/>
  <c r="G764" i="12"/>
  <c r="F764" i="12"/>
  <c r="E764" i="12"/>
  <c r="D764" i="12"/>
  <c r="C764" i="12"/>
  <c r="B764" i="12"/>
  <c r="O763" i="12"/>
  <c r="N763" i="12"/>
  <c r="M763" i="12"/>
  <c r="K763" i="12"/>
  <c r="J763" i="12"/>
  <c r="I763" i="12"/>
  <c r="H763" i="12"/>
  <c r="G763" i="12"/>
  <c r="F763" i="12"/>
  <c r="E763" i="12"/>
  <c r="D763" i="12"/>
  <c r="C763" i="12"/>
  <c r="B763" i="12"/>
  <c r="O762" i="12"/>
  <c r="N762" i="12"/>
  <c r="M762" i="12"/>
  <c r="K762" i="12"/>
  <c r="J762" i="12"/>
  <c r="I762" i="12"/>
  <c r="H762" i="12"/>
  <c r="G762" i="12"/>
  <c r="F762" i="12"/>
  <c r="E762" i="12"/>
  <c r="D762" i="12"/>
  <c r="C762" i="12"/>
  <c r="B762" i="12"/>
  <c r="O761" i="12"/>
  <c r="N761" i="12"/>
  <c r="M761" i="12"/>
  <c r="K761" i="12"/>
  <c r="J761" i="12"/>
  <c r="I761" i="12"/>
  <c r="H761" i="12"/>
  <c r="G761" i="12"/>
  <c r="F761" i="12"/>
  <c r="E761" i="12"/>
  <c r="D761" i="12"/>
  <c r="C761" i="12"/>
  <c r="B761" i="12"/>
  <c r="O760" i="12"/>
  <c r="N760" i="12"/>
  <c r="M760" i="12"/>
  <c r="K760" i="12"/>
  <c r="J760" i="12"/>
  <c r="I760" i="12"/>
  <c r="H760" i="12"/>
  <c r="G760" i="12"/>
  <c r="F760" i="12"/>
  <c r="E760" i="12"/>
  <c r="D760" i="12"/>
  <c r="C760" i="12"/>
  <c r="B760" i="12"/>
  <c r="O759" i="12"/>
  <c r="N759" i="12"/>
  <c r="M759" i="12"/>
  <c r="K759" i="12"/>
  <c r="J759" i="12"/>
  <c r="I759" i="12"/>
  <c r="H759" i="12"/>
  <c r="G759" i="12"/>
  <c r="F759" i="12"/>
  <c r="E759" i="12"/>
  <c r="D759" i="12"/>
  <c r="C759" i="12"/>
  <c r="B759" i="12"/>
  <c r="O758" i="12"/>
  <c r="N758" i="12"/>
  <c r="M758" i="12"/>
  <c r="G758" i="12"/>
  <c r="F758" i="12"/>
  <c r="E758" i="12"/>
  <c r="D758" i="12"/>
  <c r="C758" i="12"/>
  <c r="B758" i="12"/>
  <c r="O757" i="12"/>
  <c r="N757" i="12"/>
  <c r="M757" i="12"/>
  <c r="G757" i="12"/>
  <c r="F757" i="12"/>
  <c r="E757" i="12"/>
  <c r="D757" i="12"/>
  <c r="C757" i="12"/>
  <c r="B757" i="12"/>
  <c r="O756" i="12"/>
  <c r="N756" i="12"/>
  <c r="M756" i="12"/>
  <c r="G756" i="12"/>
  <c r="F756" i="12"/>
  <c r="E756" i="12"/>
  <c r="D756" i="12"/>
  <c r="C756" i="12"/>
  <c r="B756" i="12"/>
  <c r="O755" i="12"/>
  <c r="N755" i="12"/>
  <c r="M755" i="12"/>
  <c r="G755" i="12"/>
  <c r="F755" i="12"/>
  <c r="E755" i="12"/>
  <c r="D755" i="12"/>
  <c r="C755" i="12"/>
  <c r="B755" i="12"/>
  <c r="O754" i="12"/>
  <c r="N754" i="12"/>
  <c r="M754" i="12"/>
  <c r="K754" i="12"/>
  <c r="J754" i="12"/>
  <c r="I754" i="12"/>
  <c r="H754" i="12"/>
  <c r="G754" i="12"/>
  <c r="F754" i="12"/>
  <c r="E754" i="12"/>
  <c r="D754" i="12"/>
  <c r="C754" i="12"/>
  <c r="B754" i="12"/>
  <c r="O753" i="12"/>
  <c r="N753" i="12"/>
  <c r="M753" i="12"/>
  <c r="K753" i="12"/>
  <c r="J753" i="12"/>
  <c r="I753" i="12"/>
  <c r="H753" i="12"/>
  <c r="G753" i="12"/>
  <c r="F753" i="12"/>
  <c r="E753" i="12"/>
  <c r="D753" i="12"/>
  <c r="C753" i="12"/>
  <c r="B753" i="12"/>
  <c r="O752" i="12"/>
  <c r="N752" i="12"/>
  <c r="M752" i="12"/>
  <c r="K752" i="12"/>
  <c r="J752" i="12"/>
  <c r="I752" i="12"/>
  <c r="H752" i="12"/>
  <c r="G752" i="12"/>
  <c r="F752" i="12"/>
  <c r="E752" i="12"/>
  <c r="D752" i="12"/>
  <c r="C752" i="12"/>
  <c r="B752" i="12"/>
  <c r="O751" i="12"/>
  <c r="N751" i="12"/>
  <c r="M751" i="12"/>
  <c r="K751" i="12"/>
  <c r="J751" i="12"/>
  <c r="I751" i="12"/>
  <c r="H751" i="12"/>
  <c r="G751" i="12"/>
  <c r="F751" i="12"/>
  <c r="E751" i="12"/>
  <c r="D751" i="12"/>
  <c r="C751" i="12"/>
  <c r="B751" i="12"/>
  <c r="O750" i="12"/>
  <c r="N750" i="12"/>
  <c r="M750" i="12"/>
  <c r="K750" i="12"/>
  <c r="J750" i="12"/>
  <c r="I750" i="12"/>
  <c r="H750" i="12"/>
  <c r="G750" i="12"/>
  <c r="F750" i="12"/>
  <c r="E750" i="12"/>
  <c r="D750" i="12"/>
  <c r="C750" i="12"/>
  <c r="B750" i="12"/>
  <c r="O749" i="12"/>
  <c r="N749" i="12"/>
  <c r="M749" i="12"/>
  <c r="K749" i="12"/>
  <c r="J749" i="12"/>
  <c r="I749" i="12"/>
  <c r="H749" i="12"/>
  <c r="G749" i="12"/>
  <c r="F749" i="12"/>
  <c r="E749" i="12"/>
  <c r="D749" i="12"/>
  <c r="C749" i="12"/>
  <c r="B749" i="12"/>
  <c r="O748" i="12"/>
  <c r="N748" i="12"/>
  <c r="M748" i="12"/>
  <c r="K748" i="12"/>
  <c r="J748" i="12"/>
  <c r="I748" i="12"/>
  <c r="H748" i="12"/>
  <c r="G748" i="12"/>
  <c r="F748" i="12"/>
  <c r="E748" i="12"/>
  <c r="D748" i="12"/>
  <c r="C748" i="12"/>
  <c r="B748" i="12"/>
  <c r="O747" i="12"/>
  <c r="N747" i="12"/>
  <c r="M747" i="12"/>
  <c r="K747" i="12"/>
  <c r="J747" i="12"/>
  <c r="I747" i="12"/>
  <c r="H747" i="12"/>
  <c r="G747" i="12"/>
  <c r="F747" i="12"/>
  <c r="E747" i="12"/>
  <c r="D747" i="12"/>
  <c r="C747" i="12"/>
  <c r="B747" i="12"/>
  <c r="O746" i="12"/>
  <c r="N746" i="12"/>
  <c r="M746" i="12"/>
  <c r="K746" i="12"/>
  <c r="J746" i="12"/>
  <c r="I746" i="12"/>
  <c r="H746" i="12"/>
  <c r="G746" i="12"/>
  <c r="F746" i="12"/>
  <c r="E746" i="12"/>
  <c r="D746" i="12"/>
  <c r="C746" i="12"/>
  <c r="B746" i="12"/>
  <c r="O745" i="12"/>
  <c r="N745" i="12"/>
  <c r="M745" i="12"/>
  <c r="K745" i="12"/>
  <c r="J745" i="12"/>
  <c r="I745" i="12"/>
  <c r="H745" i="12"/>
  <c r="G745" i="12"/>
  <c r="F745" i="12"/>
  <c r="E745" i="12"/>
  <c r="D745" i="12"/>
  <c r="C745" i="12"/>
  <c r="B745" i="12"/>
  <c r="O744" i="12"/>
  <c r="N744" i="12"/>
  <c r="M744" i="12"/>
  <c r="K744" i="12"/>
  <c r="J744" i="12"/>
  <c r="I744" i="12"/>
  <c r="H744" i="12"/>
  <c r="G744" i="12"/>
  <c r="F744" i="12"/>
  <c r="E744" i="12"/>
  <c r="D744" i="12"/>
  <c r="C744" i="12"/>
  <c r="B744" i="12"/>
  <c r="O743" i="12"/>
  <c r="N743" i="12"/>
  <c r="M743" i="12"/>
  <c r="K743" i="12"/>
  <c r="J743" i="12"/>
  <c r="I743" i="12"/>
  <c r="H743" i="12"/>
  <c r="G743" i="12"/>
  <c r="F743" i="12"/>
  <c r="E743" i="12"/>
  <c r="D743" i="12"/>
  <c r="C743" i="12"/>
  <c r="B743" i="12"/>
  <c r="O742" i="12"/>
  <c r="N742" i="12"/>
  <c r="M742" i="12"/>
  <c r="G742" i="12"/>
  <c r="F742" i="12"/>
  <c r="E742" i="12"/>
  <c r="D742" i="12"/>
  <c r="C742" i="12"/>
  <c r="B742" i="12"/>
  <c r="O741" i="12"/>
  <c r="N741" i="12"/>
  <c r="M741" i="12"/>
  <c r="G741" i="12"/>
  <c r="F741" i="12"/>
  <c r="E741" i="12"/>
  <c r="D741" i="12"/>
  <c r="C741" i="12"/>
  <c r="B741" i="12"/>
  <c r="O740" i="12"/>
  <c r="N740" i="12"/>
  <c r="M740" i="12"/>
  <c r="G740" i="12"/>
  <c r="F740" i="12"/>
  <c r="E740" i="12"/>
  <c r="D740" i="12"/>
  <c r="C740" i="12"/>
  <c r="B740" i="12"/>
  <c r="O739" i="12"/>
  <c r="N739" i="12"/>
  <c r="M739" i="12"/>
  <c r="G739" i="12"/>
  <c r="F739" i="12"/>
  <c r="E739" i="12"/>
  <c r="D739" i="12"/>
  <c r="C739" i="12"/>
  <c r="B739" i="12"/>
  <c r="O738" i="12"/>
  <c r="N738" i="12"/>
  <c r="M738" i="12"/>
  <c r="K738" i="12"/>
  <c r="J738" i="12"/>
  <c r="I738" i="12"/>
  <c r="H738" i="12"/>
  <c r="G738" i="12"/>
  <c r="F738" i="12"/>
  <c r="E738" i="12"/>
  <c r="D738" i="12"/>
  <c r="C738" i="12"/>
  <c r="B738" i="12"/>
  <c r="O737" i="12"/>
  <c r="N737" i="12"/>
  <c r="M737" i="12"/>
  <c r="K737" i="12"/>
  <c r="J737" i="12"/>
  <c r="I737" i="12"/>
  <c r="H737" i="12"/>
  <c r="G737" i="12"/>
  <c r="F737" i="12"/>
  <c r="E737" i="12"/>
  <c r="D737" i="12"/>
  <c r="C737" i="12"/>
  <c r="B737" i="12"/>
  <c r="O736" i="12"/>
  <c r="N736" i="12"/>
  <c r="M736" i="12"/>
  <c r="K736" i="12"/>
  <c r="J736" i="12"/>
  <c r="I736" i="12"/>
  <c r="H736" i="12"/>
  <c r="G736" i="12"/>
  <c r="F736" i="12"/>
  <c r="E736" i="12"/>
  <c r="D736" i="12"/>
  <c r="C736" i="12"/>
  <c r="B736" i="12"/>
  <c r="O735" i="12"/>
  <c r="N735" i="12"/>
  <c r="M735" i="12"/>
  <c r="K735" i="12"/>
  <c r="J735" i="12"/>
  <c r="I735" i="12"/>
  <c r="H735" i="12"/>
  <c r="G735" i="12"/>
  <c r="F735" i="12"/>
  <c r="E735" i="12"/>
  <c r="D735" i="12"/>
  <c r="C735" i="12"/>
  <c r="B735" i="12"/>
  <c r="O734" i="12"/>
  <c r="N734" i="12"/>
  <c r="M734" i="12"/>
  <c r="K734" i="12"/>
  <c r="J734" i="12"/>
  <c r="I734" i="12"/>
  <c r="H734" i="12"/>
  <c r="G734" i="12"/>
  <c r="F734" i="12"/>
  <c r="E734" i="12"/>
  <c r="D734" i="12"/>
  <c r="C734" i="12"/>
  <c r="B734" i="12"/>
  <c r="O733" i="12"/>
  <c r="N733" i="12"/>
  <c r="M733" i="12"/>
  <c r="K733" i="12"/>
  <c r="J733" i="12"/>
  <c r="I733" i="12"/>
  <c r="H733" i="12"/>
  <c r="G733" i="12"/>
  <c r="F733" i="12"/>
  <c r="E733" i="12"/>
  <c r="D733" i="12"/>
  <c r="C733" i="12"/>
  <c r="B733" i="12"/>
  <c r="O732" i="12"/>
  <c r="N732" i="12"/>
  <c r="M732" i="12"/>
  <c r="K732" i="12"/>
  <c r="J732" i="12"/>
  <c r="I732" i="12"/>
  <c r="H732" i="12"/>
  <c r="G732" i="12"/>
  <c r="F732" i="12"/>
  <c r="E732" i="12"/>
  <c r="D732" i="12"/>
  <c r="C732" i="12"/>
  <c r="B732" i="12"/>
  <c r="O731" i="12"/>
  <c r="N731" i="12"/>
  <c r="M731" i="12"/>
  <c r="K731" i="12"/>
  <c r="J731" i="12"/>
  <c r="I731" i="12"/>
  <c r="H731" i="12"/>
  <c r="G731" i="12"/>
  <c r="F731" i="12"/>
  <c r="E731" i="12"/>
  <c r="D731" i="12"/>
  <c r="C731" i="12"/>
  <c r="B731" i="12"/>
  <c r="O730" i="12"/>
  <c r="N730" i="12"/>
  <c r="M730" i="12"/>
  <c r="K730" i="12"/>
  <c r="J730" i="12"/>
  <c r="I730" i="12"/>
  <c r="H730" i="12"/>
  <c r="G730" i="12"/>
  <c r="F730" i="12"/>
  <c r="E730" i="12"/>
  <c r="D730" i="12"/>
  <c r="C730" i="12"/>
  <c r="B730" i="12"/>
  <c r="O729" i="12"/>
  <c r="N729" i="12"/>
  <c r="M729" i="12"/>
  <c r="K729" i="12"/>
  <c r="J729" i="12"/>
  <c r="I729" i="12"/>
  <c r="H729" i="12"/>
  <c r="G729" i="12"/>
  <c r="F729" i="12"/>
  <c r="E729" i="12"/>
  <c r="D729" i="12"/>
  <c r="C729" i="12"/>
  <c r="B729" i="12"/>
  <c r="O728" i="12"/>
  <c r="N728" i="12"/>
  <c r="M728" i="12"/>
  <c r="K728" i="12"/>
  <c r="J728" i="12"/>
  <c r="I728" i="12"/>
  <c r="H728" i="12"/>
  <c r="G728" i="12"/>
  <c r="F728" i="12"/>
  <c r="E728" i="12"/>
  <c r="D728" i="12"/>
  <c r="C728" i="12"/>
  <c r="B728" i="12"/>
  <c r="O727" i="12"/>
  <c r="N727" i="12"/>
  <c r="M727" i="12"/>
  <c r="K727" i="12"/>
  <c r="J727" i="12"/>
  <c r="I727" i="12"/>
  <c r="H727" i="12"/>
  <c r="G727" i="12"/>
  <c r="F727" i="12"/>
  <c r="E727" i="12"/>
  <c r="D727" i="12"/>
  <c r="C727" i="12"/>
  <c r="B727" i="12"/>
  <c r="O726" i="12"/>
  <c r="N726" i="12"/>
  <c r="M726" i="12"/>
  <c r="F726" i="12"/>
  <c r="E726" i="12"/>
  <c r="D726" i="12"/>
  <c r="C726" i="12"/>
  <c r="B726" i="12"/>
  <c r="O725" i="12"/>
  <c r="N725" i="12"/>
  <c r="M725" i="12"/>
  <c r="F725" i="12"/>
  <c r="E725" i="12"/>
  <c r="D725" i="12"/>
  <c r="C725" i="12"/>
  <c r="B725" i="12"/>
  <c r="O724" i="12"/>
  <c r="N724" i="12"/>
  <c r="M724" i="12"/>
  <c r="F724" i="12"/>
  <c r="E724" i="12"/>
  <c r="D724" i="12"/>
  <c r="C724" i="12"/>
  <c r="B724" i="12"/>
  <c r="O723" i="12"/>
  <c r="N723" i="12"/>
  <c r="M723" i="12"/>
  <c r="F723" i="12"/>
  <c r="E723" i="12"/>
  <c r="D723" i="12"/>
  <c r="C723" i="12"/>
  <c r="B723" i="12"/>
  <c r="O722" i="12"/>
  <c r="N722" i="12"/>
  <c r="M722" i="12"/>
  <c r="F722" i="12"/>
  <c r="E722" i="12"/>
  <c r="D722" i="12"/>
  <c r="C722" i="12"/>
  <c r="B722" i="12"/>
  <c r="O721" i="12"/>
  <c r="N721" i="12"/>
  <c r="M721" i="12"/>
  <c r="F721" i="12"/>
  <c r="E721" i="12"/>
  <c r="D721" i="12"/>
  <c r="C721" i="12"/>
  <c r="B721" i="12"/>
  <c r="O720" i="12"/>
  <c r="N720" i="12"/>
  <c r="M720" i="12"/>
  <c r="F720" i="12"/>
  <c r="E720" i="12"/>
  <c r="D720" i="12"/>
  <c r="C720" i="12"/>
  <c r="B720" i="12"/>
  <c r="O719" i="12"/>
  <c r="N719" i="12"/>
  <c r="M719" i="12"/>
  <c r="F719" i="12"/>
  <c r="E719" i="12"/>
  <c r="D719" i="12"/>
  <c r="C719" i="12"/>
  <c r="B719" i="12"/>
  <c r="O718" i="12"/>
  <c r="N718" i="12"/>
  <c r="M718" i="12"/>
  <c r="F718" i="12"/>
  <c r="E718" i="12"/>
  <c r="D718" i="12"/>
  <c r="C718" i="12"/>
  <c r="B718" i="12"/>
  <c r="O717" i="12"/>
  <c r="N717" i="12"/>
  <c r="M717" i="12"/>
  <c r="F717" i="12"/>
  <c r="E717" i="12"/>
  <c r="D717" i="12"/>
  <c r="C717" i="12"/>
  <c r="B717" i="12"/>
  <c r="O716" i="12"/>
  <c r="N716" i="12"/>
  <c r="M716" i="12"/>
  <c r="F716" i="12"/>
  <c r="E716" i="12"/>
  <c r="D716" i="12"/>
  <c r="C716" i="12"/>
  <c r="B716" i="12"/>
  <c r="O715" i="12"/>
  <c r="N715" i="12"/>
  <c r="M715" i="12"/>
  <c r="F715" i="12"/>
  <c r="E715" i="12"/>
  <c r="D715" i="12"/>
  <c r="C715" i="12"/>
  <c r="B715" i="12"/>
  <c r="O714" i="12"/>
  <c r="N714" i="12"/>
  <c r="M714" i="12"/>
  <c r="F714" i="12"/>
  <c r="E714" i="12"/>
  <c r="D714" i="12"/>
  <c r="C714" i="12"/>
  <c r="B714" i="12"/>
  <c r="O713" i="12"/>
  <c r="N713" i="12"/>
  <c r="M713" i="12"/>
  <c r="F713" i="12"/>
  <c r="E713" i="12"/>
  <c r="D713" i="12"/>
  <c r="C713" i="12"/>
  <c r="B713" i="12"/>
  <c r="O712" i="12"/>
  <c r="N712" i="12"/>
  <c r="M712" i="12"/>
  <c r="F712" i="12"/>
  <c r="E712" i="12"/>
  <c r="D712" i="12"/>
  <c r="C712" i="12"/>
  <c r="B712" i="12"/>
  <c r="O711" i="12"/>
  <c r="N711" i="12"/>
  <c r="M711" i="12"/>
  <c r="F711" i="12"/>
  <c r="E711" i="12"/>
  <c r="D711" i="12"/>
  <c r="C711" i="12"/>
  <c r="B711" i="12"/>
  <c r="O710" i="12"/>
  <c r="N710" i="12"/>
  <c r="M710" i="12"/>
  <c r="F710" i="12"/>
  <c r="E710" i="12"/>
  <c r="D710" i="12"/>
  <c r="C710" i="12"/>
  <c r="B710" i="12"/>
  <c r="O709" i="12"/>
  <c r="N709" i="12"/>
  <c r="M709" i="12"/>
  <c r="F709" i="12"/>
  <c r="E709" i="12"/>
  <c r="D709" i="12"/>
  <c r="C709" i="12"/>
  <c r="B709" i="12"/>
  <c r="O708" i="12"/>
  <c r="N708" i="12"/>
  <c r="M708" i="12"/>
  <c r="F708" i="12"/>
  <c r="E708" i="12"/>
  <c r="D708" i="12"/>
  <c r="C708" i="12"/>
  <c r="B708" i="12"/>
  <c r="O707" i="12"/>
  <c r="N707" i="12"/>
  <c r="M707" i="12"/>
  <c r="F707" i="12"/>
  <c r="E707" i="12"/>
  <c r="D707" i="12"/>
  <c r="C707" i="12"/>
  <c r="B707" i="12"/>
  <c r="O706" i="12"/>
  <c r="N706" i="12"/>
  <c r="M706" i="12"/>
  <c r="F706" i="12"/>
  <c r="E706" i="12"/>
  <c r="D706" i="12"/>
  <c r="C706" i="12"/>
  <c r="B706" i="12"/>
  <c r="O705" i="12"/>
  <c r="N705" i="12"/>
  <c r="M705" i="12"/>
  <c r="F705" i="12"/>
  <c r="E705" i="12"/>
  <c r="D705" i="12"/>
  <c r="C705" i="12"/>
  <c r="B705" i="12"/>
  <c r="O704" i="12"/>
  <c r="N704" i="12"/>
  <c r="M704" i="12"/>
  <c r="F704" i="12"/>
  <c r="E704" i="12"/>
  <c r="D704" i="12"/>
  <c r="C704" i="12"/>
  <c r="B704" i="12"/>
  <c r="O703" i="12"/>
  <c r="N703" i="12"/>
  <c r="M703" i="12"/>
  <c r="F703" i="12"/>
  <c r="E703" i="12"/>
  <c r="D703" i="12"/>
  <c r="C703" i="12"/>
  <c r="B703" i="12"/>
  <c r="O702" i="12"/>
  <c r="N702" i="12"/>
  <c r="M702" i="12"/>
  <c r="F702" i="12"/>
  <c r="E702" i="12"/>
  <c r="D702" i="12"/>
  <c r="C702" i="12"/>
  <c r="B702" i="12"/>
  <c r="O701" i="12"/>
  <c r="N701" i="12"/>
  <c r="M701" i="12"/>
  <c r="F701" i="12"/>
  <c r="E701" i="12"/>
  <c r="D701" i="12"/>
  <c r="C701" i="12"/>
  <c r="B701" i="12"/>
  <c r="O700" i="12"/>
  <c r="N700" i="12"/>
  <c r="M700" i="12"/>
  <c r="F700" i="12"/>
  <c r="E700" i="12"/>
  <c r="D700" i="12"/>
  <c r="C700" i="12"/>
  <c r="B700" i="12"/>
  <c r="O699" i="12"/>
  <c r="N699" i="12"/>
  <c r="M699" i="12"/>
  <c r="F699" i="12"/>
  <c r="E699" i="12"/>
  <c r="D699" i="12"/>
  <c r="C699" i="12"/>
  <c r="B699" i="12"/>
  <c r="O698" i="12"/>
  <c r="N698" i="12"/>
  <c r="M698" i="12"/>
  <c r="F698" i="12"/>
  <c r="E698" i="12"/>
  <c r="D698" i="12"/>
  <c r="C698" i="12"/>
  <c r="B698" i="12"/>
  <c r="O697" i="12"/>
  <c r="N697" i="12"/>
  <c r="M697" i="12"/>
  <c r="F697" i="12"/>
  <c r="E697" i="12"/>
  <c r="D697" i="12"/>
  <c r="C697" i="12"/>
  <c r="B697" i="12"/>
  <c r="O696" i="12"/>
  <c r="N696" i="12"/>
  <c r="M696" i="12"/>
  <c r="F696" i="12"/>
  <c r="E696" i="12"/>
  <c r="D696" i="12"/>
  <c r="C696" i="12"/>
  <c r="B696" i="12"/>
  <c r="O695" i="12"/>
  <c r="N695" i="12"/>
  <c r="M695" i="12"/>
  <c r="F695" i="12"/>
  <c r="E695" i="12"/>
  <c r="D695" i="12"/>
  <c r="C695" i="12"/>
  <c r="B695" i="12"/>
  <c r="O694" i="12"/>
  <c r="N694" i="12"/>
  <c r="M694" i="12"/>
  <c r="K694" i="12"/>
  <c r="J694" i="12"/>
  <c r="I694" i="12"/>
  <c r="H694" i="12"/>
  <c r="G694" i="12"/>
  <c r="F694" i="12"/>
  <c r="E694" i="12"/>
  <c r="D694" i="12"/>
  <c r="C694" i="12"/>
  <c r="B694" i="12"/>
  <c r="O693" i="12"/>
  <c r="N693" i="12"/>
  <c r="M693" i="12"/>
  <c r="K693" i="12"/>
  <c r="J693" i="12"/>
  <c r="I693" i="12"/>
  <c r="H693" i="12"/>
  <c r="G693" i="12"/>
  <c r="F693" i="12"/>
  <c r="E693" i="12"/>
  <c r="D693" i="12"/>
  <c r="C693" i="12"/>
  <c r="B693" i="12"/>
  <c r="O692" i="12"/>
  <c r="N692" i="12"/>
  <c r="M692" i="12"/>
  <c r="K692" i="12"/>
  <c r="J692" i="12"/>
  <c r="I692" i="12"/>
  <c r="H692" i="12"/>
  <c r="G692" i="12"/>
  <c r="F692" i="12"/>
  <c r="E692" i="12"/>
  <c r="D692" i="12"/>
  <c r="C692" i="12"/>
  <c r="B692" i="12"/>
  <c r="O691" i="12"/>
  <c r="N691" i="12"/>
  <c r="M691" i="12"/>
  <c r="K691" i="12"/>
  <c r="J691" i="12"/>
  <c r="I691" i="12"/>
  <c r="H691" i="12"/>
  <c r="G691" i="12"/>
  <c r="F691" i="12"/>
  <c r="E691" i="12"/>
  <c r="D691" i="12"/>
  <c r="C691" i="12"/>
  <c r="B691" i="12"/>
  <c r="O690" i="12"/>
  <c r="N690" i="12"/>
  <c r="M690" i="12"/>
  <c r="K690" i="12"/>
  <c r="J690" i="12"/>
  <c r="I690" i="12"/>
  <c r="H690" i="12"/>
  <c r="G690" i="12"/>
  <c r="F690" i="12"/>
  <c r="E690" i="12"/>
  <c r="D690" i="12"/>
  <c r="C690" i="12"/>
  <c r="B690" i="12"/>
  <c r="O689" i="12"/>
  <c r="N689" i="12"/>
  <c r="M689" i="12"/>
  <c r="K689" i="12"/>
  <c r="J689" i="12"/>
  <c r="I689" i="12"/>
  <c r="H689" i="12"/>
  <c r="G689" i="12"/>
  <c r="F689" i="12"/>
  <c r="E689" i="12"/>
  <c r="D689" i="12"/>
  <c r="C689" i="12"/>
  <c r="B689" i="12"/>
  <c r="O688" i="12"/>
  <c r="N688" i="12"/>
  <c r="M688" i="12"/>
  <c r="K688" i="12"/>
  <c r="J688" i="12"/>
  <c r="I688" i="12"/>
  <c r="H688" i="12"/>
  <c r="G688" i="12"/>
  <c r="F688" i="12"/>
  <c r="E688" i="12"/>
  <c r="D688" i="12"/>
  <c r="C688" i="12"/>
  <c r="B688" i="12"/>
  <c r="O687" i="12"/>
  <c r="N687" i="12"/>
  <c r="M687" i="12"/>
  <c r="K687" i="12"/>
  <c r="J687" i="12"/>
  <c r="I687" i="12"/>
  <c r="H687" i="12"/>
  <c r="G687" i="12"/>
  <c r="F687" i="12"/>
  <c r="E687" i="12"/>
  <c r="D687" i="12"/>
  <c r="C687" i="12"/>
  <c r="B687" i="12"/>
  <c r="O686" i="12"/>
  <c r="N686" i="12"/>
  <c r="M686" i="12"/>
  <c r="K686" i="12"/>
  <c r="J686" i="12"/>
  <c r="I686" i="12"/>
  <c r="H686" i="12"/>
  <c r="G686" i="12"/>
  <c r="F686" i="12"/>
  <c r="E686" i="12"/>
  <c r="D686" i="12"/>
  <c r="C686" i="12"/>
  <c r="B686" i="12"/>
  <c r="O685" i="12"/>
  <c r="N685" i="12"/>
  <c r="M685" i="12"/>
  <c r="K685" i="12"/>
  <c r="J685" i="12"/>
  <c r="I685" i="12"/>
  <c r="H685" i="12"/>
  <c r="G685" i="12"/>
  <c r="F685" i="12"/>
  <c r="E685" i="12"/>
  <c r="D685" i="12"/>
  <c r="C685" i="12"/>
  <c r="B685" i="12"/>
  <c r="O684" i="12"/>
  <c r="N684" i="12"/>
  <c r="M684" i="12"/>
  <c r="K684" i="12"/>
  <c r="J684" i="12"/>
  <c r="I684" i="12"/>
  <c r="H684" i="12"/>
  <c r="G684" i="12"/>
  <c r="F684" i="12"/>
  <c r="E684" i="12"/>
  <c r="D684" i="12"/>
  <c r="C684" i="12"/>
  <c r="B684" i="12"/>
  <c r="O683" i="12"/>
  <c r="N683" i="12"/>
  <c r="M683" i="12"/>
  <c r="K683" i="12"/>
  <c r="J683" i="12"/>
  <c r="I683" i="12"/>
  <c r="H683" i="12"/>
  <c r="G683" i="12"/>
  <c r="F683" i="12"/>
  <c r="E683" i="12"/>
  <c r="D683" i="12"/>
  <c r="C683" i="12"/>
  <c r="B683" i="12"/>
  <c r="O682" i="12"/>
  <c r="N682" i="12"/>
  <c r="M682" i="12"/>
  <c r="K682" i="12"/>
  <c r="J682" i="12"/>
  <c r="I682" i="12"/>
  <c r="H682" i="12"/>
  <c r="G682" i="12"/>
  <c r="F682" i="12"/>
  <c r="E682" i="12"/>
  <c r="D682" i="12"/>
  <c r="C682" i="12"/>
  <c r="B682" i="12"/>
  <c r="O681" i="12"/>
  <c r="N681" i="12"/>
  <c r="M681" i="12"/>
  <c r="K681" i="12"/>
  <c r="J681" i="12"/>
  <c r="I681" i="12"/>
  <c r="H681" i="12"/>
  <c r="G681" i="12"/>
  <c r="F681" i="12"/>
  <c r="E681" i="12"/>
  <c r="D681" i="12"/>
  <c r="C681" i="12"/>
  <c r="B681" i="12"/>
  <c r="O680" i="12"/>
  <c r="N680" i="12"/>
  <c r="M680" i="12"/>
  <c r="K680" i="12"/>
  <c r="J680" i="12"/>
  <c r="I680" i="12"/>
  <c r="H680" i="12"/>
  <c r="G680" i="12"/>
  <c r="F680" i="12"/>
  <c r="E680" i="12"/>
  <c r="D680" i="12"/>
  <c r="C680" i="12"/>
  <c r="B680" i="12"/>
  <c r="O679" i="12"/>
  <c r="N679" i="12"/>
  <c r="M679" i="12"/>
  <c r="K679" i="12"/>
  <c r="J679" i="12"/>
  <c r="I679" i="12"/>
  <c r="H679" i="12"/>
  <c r="G679" i="12"/>
  <c r="F679" i="12"/>
  <c r="E679" i="12"/>
  <c r="D679" i="12"/>
  <c r="C679" i="12"/>
  <c r="B679" i="12"/>
  <c r="O678" i="12"/>
  <c r="N678" i="12"/>
  <c r="M678" i="12"/>
  <c r="F678" i="12"/>
  <c r="E678" i="12"/>
  <c r="D678" i="12"/>
  <c r="C678" i="12"/>
  <c r="B678" i="12"/>
  <c r="O677" i="12"/>
  <c r="N677" i="12"/>
  <c r="M677" i="12"/>
  <c r="F677" i="12"/>
  <c r="E677" i="12"/>
  <c r="D677" i="12"/>
  <c r="C677" i="12"/>
  <c r="B677" i="12"/>
  <c r="O676" i="12"/>
  <c r="N676" i="12"/>
  <c r="M676" i="12"/>
  <c r="F676" i="12"/>
  <c r="E676" i="12"/>
  <c r="D676" i="12"/>
  <c r="C676" i="12"/>
  <c r="B676" i="12"/>
  <c r="O675" i="12"/>
  <c r="N675" i="12"/>
  <c r="M675" i="12"/>
  <c r="F675" i="12"/>
  <c r="E675" i="12"/>
  <c r="D675" i="12"/>
  <c r="C675" i="12"/>
  <c r="B675" i="12"/>
  <c r="O674" i="12"/>
  <c r="N674" i="12"/>
  <c r="M674" i="12"/>
  <c r="F674" i="12"/>
  <c r="E674" i="12"/>
  <c r="D674" i="12"/>
  <c r="C674" i="12"/>
  <c r="B674" i="12"/>
  <c r="O673" i="12"/>
  <c r="N673" i="12"/>
  <c r="M673" i="12"/>
  <c r="F673" i="12"/>
  <c r="E673" i="12"/>
  <c r="D673" i="12"/>
  <c r="C673" i="12"/>
  <c r="B673" i="12"/>
  <c r="O672" i="12"/>
  <c r="N672" i="12"/>
  <c r="M672" i="12"/>
  <c r="F672" i="12"/>
  <c r="E672" i="12"/>
  <c r="D672" i="12"/>
  <c r="C672" i="12"/>
  <c r="B672" i="12"/>
  <c r="O671" i="12"/>
  <c r="N671" i="12"/>
  <c r="M671" i="12"/>
  <c r="F671" i="12"/>
  <c r="E671" i="12"/>
  <c r="D671" i="12"/>
  <c r="C671" i="12"/>
  <c r="B671" i="12"/>
  <c r="O670" i="12"/>
  <c r="N670" i="12"/>
  <c r="M670" i="12"/>
  <c r="F670" i="12"/>
  <c r="E670" i="12"/>
  <c r="D670" i="12"/>
  <c r="C670" i="12"/>
  <c r="B670" i="12"/>
  <c r="O669" i="12"/>
  <c r="N669" i="12"/>
  <c r="M669" i="12"/>
  <c r="F669" i="12"/>
  <c r="E669" i="12"/>
  <c r="D669" i="12"/>
  <c r="C669" i="12"/>
  <c r="B669" i="12"/>
  <c r="O668" i="12"/>
  <c r="N668" i="12"/>
  <c r="M668" i="12"/>
  <c r="F668" i="12"/>
  <c r="E668" i="12"/>
  <c r="D668" i="12"/>
  <c r="C668" i="12"/>
  <c r="B668" i="12"/>
  <c r="O667" i="12"/>
  <c r="N667" i="12"/>
  <c r="M667" i="12"/>
  <c r="F667" i="12"/>
  <c r="E667" i="12"/>
  <c r="D667" i="12"/>
  <c r="C667" i="12"/>
  <c r="B667" i="12"/>
  <c r="O666" i="12"/>
  <c r="N666" i="12"/>
  <c r="M666" i="12"/>
  <c r="F666" i="12"/>
  <c r="E666" i="12"/>
  <c r="D666" i="12"/>
  <c r="C666" i="12"/>
  <c r="B666" i="12"/>
  <c r="O665" i="12"/>
  <c r="N665" i="12"/>
  <c r="M665" i="12"/>
  <c r="F665" i="12"/>
  <c r="E665" i="12"/>
  <c r="D665" i="12"/>
  <c r="C665" i="12"/>
  <c r="B665" i="12"/>
  <c r="O664" i="12"/>
  <c r="N664" i="12"/>
  <c r="M664" i="12"/>
  <c r="F664" i="12"/>
  <c r="E664" i="12"/>
  <c r="D664" i="12"/>
  <c r="C664" i="12"/>
  <c r="B664" i="12"/>
  <c r="O663" i="12"/>
  <c r="N663" i="12"/>
  <c r="M663" i="12"/>
  <c r="F663" i="12"/>
  <c r="E663" i="12"/>
  <c r="D663" i="12"/>
  <c r="C663" i="12"/>
  <c r="B663" i="12"/>
  <c r="O662" i="12"/>
  <c r="N662" i="12"/>
  <c r="M662" i="12"/>
  <c r="F662" i="12"/>
  <c r="E662" i="12"/>
  <c r="D662" i="12"/>
  <c r="C662" i="12"/>
  <c r="B662" i="12"/>
  <c r="O661" i="12"/>
  <c r="N661" i="12"/>
  <c r="M661" i="12"/>
  <c r="F661" i="12"/>
  <c r="E661" i="12"/>
  <c r="D661" i="12"/>
  <c r="C661" i="12"/>
  <c r="B661" i="12"/>
  <c r="O660" i="12"/>
  <c r="N660" i="12"/>
  <c r="M660" i="12"/>
  <c r="F660" i="12"/>
  <c r="E660" i="12"/>
  <c r="D660" i="12"/>
  <c r="C660" i="12"/>
  <c r="B660" i="12"/>
  <c r="O659" i="12"/>
  <c r="N659" i="12"/>
  <c r="M659" i="12"/>
  <c r="F659" i="12"/>
  <c r="E659" i="12"/>
  <c r="D659" i="12"/>
  <c r="C659" i="12"/>
  <c r="B659" i="12"/>
  <c r="O658" i="12"/>
  <c r="N658" i="12"/>
  <c r="M658" i="12"/>
  <c r="F658" i="12"/>
  <c r="E658" i="12"/>
  <c r="D658" i="12"/>
  <c r="C658" i="12"/>
  <c r="B658" i="12"/>
  <c r="O657" i="12"/>
  <c r="N657" i="12"/>
  <c r="M657" i="12"/>
  <c r="F657" i="12"/>
  <c r="E657" i="12"/>
  <c r="D657" i="12"/>
  <c r="C657" i="12"/>
  <c r="B657" i="12"/>
  <c r="O656" i="12"/>
  <c r="N656" i="12"/>
  <c r="M656" i="12"/>
  <c r="F656" i="12"/>
  <c r="E656" i="12"/>
  <c r="D656" i="12"/>
  <c r="C656" i="12"/>
  <c r="B656" i="12"/>
  <c r="O655" i="12"/>
  <c r="N655" i="12"/>
  <c r="M655" i="12"/>
  <c r="F655" i="12"/>
  <c r="E655" i="12"/>
  <c r="D655" i="12"/>
  <c r="C655" i="12"/>
  <c r="B655" i="12"/>
  <c r="O654" i="12"/>
  <c r="N654" i="12"/>
  <c r="M654" i="12"/>
  <c r="F654" i="12"/>
  <c r="E654" i="12"/>
  <c r="D654" i="12"/>
  <c r="C654" i="12"/>
  <c r="B654" i="12"/>
  <c r="O653" i="12"/>
  <c r="N653" i="12"/>
  <c r="M653" i="12"/>
  <c r="F653" i="12"/>
  <c r="E653" i="12"/>
  <c r="D653" i="12"/>
  <c r="C653" i="12"/>
  <c r="B653" i="12"/>
  <c r="O652" i="12"/>
  <c r="N652" i="12"/>
  <c r="M652" i="12"/>
  <c r="F652" i="12"/>
  <c r="E652" i="12"/>
  <c r="D652" i="12"/>
  <c r="C652" i="12"/>
  <c r="B652" i="12"/>
  <c r="O651" i="12"/>
  <c r="N651" i="12"/>
  <c r="M651" i="12"/>
  <c r="F651" i="12"/>
  <c r="E651" i="12"/>
  <c r="D651" i="12"/>
  <c r="C651" i="12"/>
  <c r="B651" i="12"/>
  <c r="O650" i="12"/>
  <c r="N650" i="12"/>
  <c r="M650" i="12"/>
  <c r="F650" i="12"/>
  <c r="E650" i="12"/>
  <c r="D650" i="12"/>
  <c r="C650" i="12"/>
  <c r="B650" i="12"/>
  <c r="O649" i="12"/>
  <c r="N649" i="12"/>
  <c r="M649" i="12"/>
  <c r="F649" i="12"/>
  <c r="E649" i="12"/>
  <c r="D649" i="12"/>
  <c r="C649" i="12"/>
  <c r="B649" i="12"/>
  <c r="O648" i="12"/>
  <c r="N648" i="12"/>
  <c r="M648" i="12"/>
  <c r="F648" i="12"/>
  <c r="E648" i="12"/>
  <c r="D648" i="12"/>
  <c r="C648" i="12"/>
  <c r="B648" i="12"/>
  <c r="O647" i="12"/>
  <c r="N647" i="12"/>
  <c r="M647" i="12"/>
  <c r="F647" i="12"/>
  <c r="E647" i="12"/>
  <c r="D647" i="12"/>
  <c r="C647" i="12"/>
  <c r="B647" i="12"/>
  <c r="O646" i="12"/>
  <c r="N646" i="12"/>
  <c r="M646" i="12"/>
  <c r="F646" i="12"/>
  <c r="E646" i="12"/>
  <c r="D646" i="12"/>
  <c r="C646" i="12"/>
  <c r="B646" i="12"/>
  <c r="O645" i="12"/>
  <c r="N645" i="12"/>
  <c r="M645" i="12"/>
  <c r="F645" i="12"/>
  <c r="E645" i="12"/>
  <c r="D645" i="12"/>
  <c r="C645" i="12"/>
  <c r="B645" i="12"/>
  <c r="O644" i="12"/>
  <c r="N644" i="12"/>
  <c r="M644" i="12"/>
  <c r="F644" i="12"/>
  <c r="E644" i="12"/>
  <c r="D644" i="12"/>
  <c r="C644" i="12"/>
  <c r="B644" i="12"/>
  <c r="O643" i="12"/>
  <c r="N643" i="12"/>
  <c r="M643" i="12"/>
  <c r="F643" i="12"/>
  <c r="E643" i="12"/>
  <c r="D643" i="12"/>
  <c r="C643" i="12"/>
  <c r="B643" i="12"/>
  <c r="O642" i="12"/>
  <c r="N642" i="12"/>
  <c r="M642" i="12"/>
  <c r="F642" i="12"/>
  <c r="E642" i="12"/>
  <c r="D642" i="12"/>
  <c r="C642" i="12"/>
  <c r="B642" i="12"/>
  <c r="O641" i="12"/>
  <c r="N641" i="12"/>
  <c r="M641" i="12"/>
  <c r="F641" i="12"/>
  <c r="E641" i="12"/>
  <c r="D641" i="12"/>
  <c r="C641" i="12"/>
  <c r="B641" i="12"/>
  <c r="O640" i="12"/>
  <c r="N640" i="12"/>
  <c r="M640" i="12"/>
  <c r="F640" i="12"/>
  <c r="E640" i="12"/>
  <c r="D640" i="12"/>
  <c r="C640" i="12"/>
  <c r="B640" i="12"/>
  <c r="O639" i="12"/>
  <c r="N639" i="12"/>
  <c r="M639" i="12"/>
  <c r="F639" i="12"/>
  <c r="E639" i="12"/>
  <c r="D639" i="12"/>
  <c r="C639" i="12"/>
  <c r="B639" i="12"/>
  <c r="O638" i="12"/>
  <c r="N638" i="12"/>
  <c r="M638" i="12"/>
  <c r="F638" i="12"/>
  <c r="E638" i="12"/>
  <c r="D638" i="12"/>
  <c r="C638" i="12"/>
  <c r="B638" i="12"/>
  <c r="O637" i="12"/>
  <c r="N637" i="12"/>
  <c r="M637" i="12"/>
  <c r="F637" i="12"/>
  <c r="E637" i="12"/>
  <c r="D637" i="12"/>
  <c r="C637" i="12"/>
  <c r="B637" i="12"/>
  <c r="O636" i="12"/>
  <c r="N636" i="12"/>
  <c r="M636" i="12"/>
  <c r="F636" i="12"/>
  <c r="E636" i="12"/>
  <c r="D636" i="12"/>
  <c r="C636" i="12"/>
  <c r="B636" i="12"/>
  <c r="O635" i="12"/>
  <c r="N635" i="12"/>
  <c r="M635" i="12"/>
  <c r="F635" i="12"/>
  <c r="E635" i="12"/>
  <c r="D635" i="12"/>
  <c r="C635" i="12"/>
  <c r="B635" i="12"/>
  <c r="O634" i="12"/>
  <c r="N634" i="12"/>
  <c r="M634" i="12"/>
  <c r="F634" i="12"/>
  <c r="E634" i="12"/>
  <c r="D634" i="12"/>
  <c r="C634" i="12"/>
  <c r="B634" i="12"/>
  <c r="O633" i="12"/>
  <c r="N633" i="12"/>
  <c r="M633" i="12"/>
  <c r="F633" i="12"/>
  <c r="E633" i="12"/>
  <c r="D633" i="12"/>
  <c r="C633" i="12"/>
  <c r="B633" i="12"/>
  <c r="O632" i="12"/>
  <c r="N632" i="12"/>
  <c r="M632" i="12"/>
  <c r="F632" i="12"/>
  <c r="E632" i="12"/>
  <c r="D632" i="12"/>
  <c r="C632" i="12"/>
  <c r="B632" i="12"/>
  <c r="O631" i="12"/>
  <c r="N631" i="12"/>
  <c r="M631" i="12"/>
  <c r="F631" i="12"/>
  <c r="E631" i="12"/>
  <c r="D631" i="12"/>
  <c r="C631" i="12"/>
  <c r="B631" i="12"/>
  <c r="O630" i="12"/>
  <c r="N630" i="12"/>
  <c r="M630" i="12"/>
  <c r="F630" i="12"/>
  <c r="E630" i="12"/>
  <c r="D630" i="12"/>
  <c r="C630" i="12"/>
  <c r="B630" i="12"/>
  <c r="O629" i="12"/>
  <c r="N629" i="12"/>
  <c r="M629" i="12"/>
  <c r="F629" i="12"/>
  <c r="E629" i="12"/>
  <c r="D629" i="12"/>
  <c r="C629" i="12"/>
  <c r="B629" i="12"/>
  <c r="O628" i="12"/>
  <c r="N628" i="12"/>
  <c r="M628" i="12"/>
  <c r="F628" i="12"/>
  <c r="E628" i="12"/>
  <c r="D628" i="12"/>
  <c r="C628" i="12"/>
  <c r="B628" i="12"/>
  <c r="O627" i="12"/>
  <c r="N627" i="12"/>
  <c r="M627" i="12"/>
  <c r="F627" i="12"/>
  <c r="E627" i="12"/>
  <c r="D627" i="12"/>
  <c r="C627" i="12"/>
  <c r="B627" i="12"/>
  <c r="O626" i="12"/>
  <c r="N626" i="12"/>
  <c r="M626" i="12"/>
  <c r="F626" i="12"/>
  <c r="E626" i="12"/>
  <c r="D626" i="12"/>
  <c r="C626" i="12"/>
  <c r="B626" i="12"/>
  <c r="O625" i="12"/>
  <c r="N625" i="12"/>
  <c r="M625" i="12"/>
  <c r="F625" i="12"/>
  <c r="E625" i="12"/>
  <c r="D625" i="12"/>
  <c r="C625" i="12"/>
  <c r="B625" i="12"/>
  <c r="O624" i="12"/>
  <c r="N624" i="12"/>
  <c r="M624" i="12"/>
  <c r="F624" i="12"/>
  <c r="E624" i="12"/>
  <c r="D624" i="12"/>
  <c r="C624" i="12"/>
  <c r="B624" i="12"/>
  <c r="O623" i="12"/>
  <c r="N623" i="12"/>
  <c r="M623" i="12"/>
  <c r="F623" i="12"/>
  <c r="E623" i="12"/>
  <c r="D623" i="12"/>
  <c r="C623" i="12"/>
  <c r="B623" i="12"/>
  <c r="O622" i="12"/>
  <c r="N622" i="12"/>
  <c r="M622" i="12"/>
  <c r="F622" i="12"/>
  <c r="E622" i="12"/>
  <c r="D622" i="12"/>
  <c r="C622" i="12"/>
  <c r="B622" i="12"/>
  <c r="O621" i="12"/>
  <c r="N621" i="12"/>
  <c r="M621" i="12"/>
  <c r="F621" i="12"/>
  <c r="E621" i="12"/>
  <c r="D621" i="12"/>
  <c r="C621" i="12"/>
  <c r="B621" i="12"/>
  <c r="O620" i="12"/>
  <c r="N620" i="12"/>
  <c r="M620" i="12"/>
  <c r="F620" i="12"/>
  <c r="E620" i="12"/>
  <c r="D620" i="12"/>
  <c r="C620" i="12"/>
  <c r="B620" i="12"/>
  <c r="O619" i="12"/>
  <c r="N619" i="12"/>
  <c r="M619" i="12"/>
  <c r="F619" i="12"/>
  <c r="E619" i="12"/>
  <c r="D619" i="12"/>
  <c r="C619" i="12"/>
  <c r="B619" i="12"/>
  <c r="O618" i="12"/>
  <c r="N618" i="12"/>
  <c r="M618" i="12"/>
  <c r="F618" i="12"/>
  <c r="E618" i="12"/>
  <c r="D618" i="12"/>
  <c r="C618" i="12"/>
  <c r="B618" i="12"/>
  <c r="O617" i="12"/>
  <c r="N617" i="12"/>
  <c r="M617" i="12"/>
  <c r="F617" i="12"/>
  <c r="E617" i="12"/>
  <c r="D617" i="12"/>
  <c r="C617" i="12"/>
  <c r="B617" i="12"/>
  <c r="O616" i="12"/>
  <c r="N616" i="12"/>
  <c r="M616" i="12"/>
  <c r="F616" i="12"/>
  <c r="E616" i="12"/>
  <c r="D616" i="12"/>
  <c r="C616" i="12"/>
  <c r="B616" i="12"/>
  <c r="O615" i="12"/>
  <c r="N615" i="12"/>
  <c r="M615" i="12"/>
  <c r="F615" i="12"/>
  <c r="E615" i="12"/>
  <c r="D615" i="12"/>
  <c r="C615" i="12"/>
  <c r="B615" i="12"/>
  <c r="O614" i="12"/>
  <c r="N614" i="12"/>
  <c r="M614" i="12"/>
  <c r="K614" i="12"/>
  <c r="J614" i="12"/>
  <c r="I614" i="12"/>
  <c r="H614" i="12"/>
  <c r="G614" i="12"/>
  <c r="F614" i="12"/>
  <c r="E614" i="12"/>
  <c r="D614" i="12"/>
  <c r="C614" i="12"/>
  <c r="B614" i="12"/>
  <c r="O613" i="12"/>
  <c r="N613" i="12"/>
  <c r="M613" i="12"/>
  <c r="K613" i="12"/>
  <c r="J613" i="12"/>
  <c r="I613" i="12"/>
  <c r="H613" i="12"/>
  <c r="G613" i="12"/>
  <c r="F613" i="12"/>
  <c r="E613" i="12"/>
  <c r="D613" i="12"/>
  <c r="C613" i="12"/>
  <c r="B613" i="12"/>
  <c r="O612" i="12"/>
  <c r="N612" i="12"/>
  <c r="M612" i="12"/>
  <c r="K612" i="12"/>
  <c r="J612" i="12"/>
  <c r="I612" i="12"/>
  <c r="H612" i="12"/>
  <c r="G612" i="12"/>
  <c r="F612" i="12"/>
  <c r="E612" i="12"/>
  <c r="D612" i="12"/>
  <c r="C612" i="12"/>
  <c r="B612" i="12"/>
  <c r="O611" i="12"/>
  <c r="N611" i="12"/>
  <c r="M611" i="12"/>
  <c r="K611" i="12"/>
  <c r="J611" i="12"/>
  <c r="I611" i="12"/>
  <c r="H611" i="12"/>
  <c r="G611" i="12"/>
  <c r="F611" i="12"/>
  <c r="E611" i="12"/>
  <c r="D611" i="12"/>
  <c r="C611" i="12"/>
  <c r="B611" i="12"/>
  <c r="O610" i="12"/>
  <c r="N610" i="12"/>
  <c r="M610" i="12"/>
  <c r="K610" i="12"/>
  <c r="J610" i="12"/>
  <c r="I610" i="12"/>
  <c r="H610" i="12"/>
  <c r="G610" i="12"/>
  <c r="F610" i="12"/>
  <c r="E610" i="12"/>
  <c r="D610" i="12"/>
  <c r="C610" i="12"/>
  <c r="B610" i="12"/>
  <c r="O609" i="12"/>
  <c r="N609" i="12"/>
  <c r="M609" i="12"/>
  <c r="K609" i="12"/>
  <c r="J609" i="12"/>
  <c r="I609" i="12"/>
  <c r="H609" i="12"/>
  <c r="G609" i="12"/>
  <c r="F609" i="12"/>
  <c r="E609" i="12"/>
  <c r="D609" i="12"/>
  <c r="C609" i="12"/>
  <c r="B609" i="12"/>
  <c r="O608" i="12"/>
  <c r="N608" i="12"/>
  <c r="M608" i="12"/>
  <c r="K608" i="12"/>
  <c r="J608" i="12"/>
  <c r="I608" i="12"/>
  <c r="H608" i="12"/>
  <c r="G608" i="12"/>
  <c r="F608" i="12"/>
  <c r="E608" i="12"/>
  <c r="D608" i="12"/>
  <c r="C608" i="12"/>
  <c r="B608" i="12"/>
  <c r="O607" i="12"/>
  <c r="N607" i="12"/>
  <c r="M607" i="12"/>
  <c r="K607" i="12"/>
  <c r="J607" i="12"/>
  <c r="I607" i="12"/>
  <c r="H607" i="12"/>
  <c r="G607" i="12"/>
  <c r="F607" i="12"/>
  <c r="E607" i="12"/>
  <c r="D607" i="12"/>
  <c r="C607" i="12"/>
  <c r="B607" i="12"/>
  <c r="O606" i="12"/>
  <c r="N606" i="12"/>
  <c r="M606" i="12"/>
  <c r="K606" i="12"/>
  <c r="J606" i="12"/>
  <c r="I606" i="12"/>
  <c r="H606" i="12"/>
  <c r="G606" i="12"/>
  <c r="F606" i="12"/>
  <c r="E606" i="12"/>
  <c r="D606" i="12"/>
  <c r="C606" i="12"/>
  <c r="B606" i="12"/>
  <c r="O605" i="12"/>
  <c r="N605" i="12"/>
  <c r="M605" i="12"/>
  <c r="K605" i="12"/>
  <c r="J605" i="12"/>
  <c r="I605" i="12"/>
  <c r="H605" i="12"/>
  <c r="G605" i="12"/>
  <c r="F605" i="12"/>
  <c r="E605" i="12"/>
  <c r="D605" i="12"/>
  <c r="C605" i="12"/>
  <c r="B605" i="12"/>
  <c r="O604" i="12"/>
  <c r="N604" i="12"/>
  <c r="M604" i="12"/>
  <c r="K604" i="12"/>
  <c r="J604" i="12"/>
  <c r="I604" i="12"/>
  <c r="H604" i="12"/>
  <c r="G604" i="12"/>
  <c r="F604" i="12"/>
  <c r="E604" i="12"/>
  <c r="D604" i="12"/>
  <c r="C604" i="12"/>
  <c r="B604" i="12"/>
  <c r="O603" i="12"/>
  <c r="N603" i="12"/>
  <c r="M603" i="12"/>
  <c r="K603" i="12"/>
  <c r="J603" i="12"/>
  <c r="I603" i="12"/>
  <c r="H603" i="12"/>
  <c r="G603" i="12"/>
  <c r="F603" i="12"/>
  <c r="E603" i="12"/>
  <c r="D603" i="12"/>
  <c r="C603" i="12"/>
  <c r="B603" i="12"/>
  <c r="O602" i="12"/>
  <c r="N602" i="12"/>
  <c r="M602" i="12"/>
  <c r="K602" i="12"/>
  <c r="J602" i="12"/>
  <c r="I602" i="12"/>
  <c r="H602" i="12"/>
  <c r="G602" i="12"/>
  <c r="F602" i="12"/>
  <c r="E602" i="12"/>
  <c r="D602" i="12"/>
  <c r="C602" i="12"/>
  <c r="B602" i="12"/>
  <c r="O601" i="12"/>
  <c r="N601" i="12"/>
  <c r="M601" i="12"/>
  <c r="K601" i="12"/>
  <c r="J601" i="12"/>
  <c r="I601" i="12"/>
  <c r="H601" i="12"/>
  <c r="G601" i="12"/>
  <c r="F601" i="12"/>
  <c r="E601" i="12"/>
  <c r="D601" i="12"/>
  <c r="C601" i="12"/>
  <c r="B601" i="12"/>
  <c r="O600" i="12"/>
  <c r="N600" i="12"/>
  <c r="M600" i="12"/>
  <c r="K600" i="12"/>
  <c r="J600" i="12"/>
  <c r="I600" i="12"/>
  <c r="H600" i="12"/>
  <c r="G600" i="12"/>
  <c r="F600" i="12"/>
  <c r="E600" i="12"/>
  <c r="D600" i="12"/>
  <c r="C600" i="12"/>
  <c r="B600" i="12"/>
  <c r="O599" i="12"/>
  <c r="N599" i="12"/>
  <c r="M599" i="12"/>
  <c r="K599" i="12"/>
  <c r="J599" i="12"/>
  <c r="I599" i="12"/>
  <c r="H599" i="12"/>
  <c r="G599" i="12"/>
  <c r="F599" i="12"/>
  <c r="E599" i="12"/>
  <c r="D599" i="12"/>
  <c r="C599" i="12"/>
  <c r="B599" i="12"/>
  <c r="O598" i="12"/>
  <c r="N598" i="12"/>
  <c r="M598" i="12"/>
  <c r="F598" i="12"/>
  <c r="E598" i="12"/>
  <c r="D598" i="12"/>
  <c r="C598" i="12"/>
  <c r="B598" i="12"/>
  <c r="O597" i="12"/>
  <c r="N597" i="12"/>
  <c r="M597" i="12"/>
  <c r="F597" i="12"/>
  <c r="E597" i="12"/>
  <c r="D597" i="12"/>
  <c r="C597" i="12"/>
  <c r="B597" i="12"/>
  <c r="O596" i="12"/>
  <c r="N596" i="12"/>
  <c r="M596" i="12"/>
  <c r="F596" i="12"/>
  <c r="E596" i="12"/>
  <c r="D596" i="12"/>
  <c r="C596" i="12"/>
  <c r="B596" i="12"/>
  <c r="O595" i="12"/>
  <c r="N595" i="12"/>
  <c r="M595" i="12"/>
  <c r="F595" i="12"/>
  <c r="E595" i="12"/>
  <c r="D595" i="12"/>
  <c r="C595" i="12"/>
  <c r="B595" i="12"/>
  <c r="O594" i="12"/>
  <c r="N594" i="12"/>
  <c r="M594" i="12"/>
  <c r="F594" i="12"/>
  <c r="E594" i="12"/>
  <c r="D594" i="12"/>
  <c r="C594" i="12"/>
  <c r="B594" i="12"/>
  <c r="O593" i="12"/>
  <c r="N593" i="12"/>
  <c r="M593" i="12"/>
  <c r="F593" i="12"/>
  <c r="E593" i="12"/>
  <c r="D593" i="12"/>
  <c r="C593" i="12"/>
  <c r="B593" i="12"/>
  <c r="O592" i="12"/>
  <c r="N592" i="12"/>
  <c r="M592" i="12"/>
  <c r="F592" i="12"/>
  <c r="E592" i="12"/>
  <c r="D592" i="12"/>
  <c r="C592" i="12"/>
  <c r="B592" i="12"/>
  <c r="O591" i="12"/>
  <c r="N591" i="12"/>
  <c r="M591" i="12"/>
  <c r="F591" i="12"/>
  <c r="E591" i="12"/>
  <c r="D591" i="12"/>
  <c r="C591" i="12"/>
  <c r="B591" i="12"/>
  <c r="O590" i="12"/>
  <c r="N590" i="12"/>
  <c r="M590" i="12"/>
  <c r="F590" i="12"/>
  <c r="E590" i="12"/>
  <c r="D590" i="12"/>
  <c r="C590" i="12"/>
  <c r="B590" i="12"/>
  <c r="O589" i="12"/>
  <c r="N589" i="12"/>
  <c r="M589" i="12"/>
  <c r="F589" i="12"/>
  <c r="E589" i="12"/>
  <c r="D589" i="12"/>
  <c r="C589" i="12"/>
  <c r="B589" i="12"/>
  <c r="O588" i="12"/>
  <c r="N588" i="12"/>
  <c r="M588" i="12"/>
  <c r="F588" i="12"/>
  <c r="E588" i="12"/>
  <c r="D588" i="12"/>
  <c r="C588" i="12"/>
  <c r="B588" i="12"/>
  <c r="O587" i="12"/>
  <c r="N587" i="12"/>
  <c r="M587" i="12"/>
  <c r="F587" i="12"/>
  <c r="E587" i="12"/>
  <c r="D587" i="12"/>
  <c r="C587" i="12"/>
  <c r="B587" i="12"/>
  <c r="O586" i="12"/>
  <c r="N586" i="12"/>
  <c r="M586" i="12"/>
  <c r="F586" i="12"/>
  <c r="E586" i="12"/>
  <c r="D586" i="12"/>
  <c r="C586" i="12"/>
  <c r="B586" i="12"/>
  <c r="O585" i="12"/>
  <c r="N585" i="12"/>
  <c r="M585" i="12"/>
  <c r="F585" i="12"/>
  <c r="E585" i="12"/>
  <c r="D585" i="12"/>
  <c r="C585" i="12"/>
  <c r="B585" i="12"/>
  <c r="O584" i="12"/>
  <c r="N584" i="12"/>
  <c r="M584" i="12"/>
  <c r="F584" i="12"/>
  <c r="E584" i="12"/>
  <c r="D584" i="12"/>
  <c r="C584" i="12"/>
  <c r="B584" i="12"/>
  <c r="O583" i="12"/>
  <c r="N583" i="12"/>
  <c r="M583" i="12"/>
  <c r="F583" i="12"/>
  <c r="E583" i="12"/>
  <c r="D583" i="12"/>
  <c r="C583" i="12"/>
  <c r="B583" i="12"/>
  <c r="O582" i="12"/>
  <c r="N582" i="12"/>
  <c r="M582" i="12"/>
  <c r="F582" i="12"/>
  <c r="E582" i="12"/>
  <c r="D582" i="12"/>
  <c r="C582" i="12"/>
  <c r="B582" i="12"/>
  <c r="O581" i="12"/>
  <c r="N581" i="12"/>
  <c r="M581" i="12"/>
  <c r="F581" i="12"/>
  <c r="E581" i="12"/>
  <c r="D581" i="12"/>
  <c r="C581" i="12"/>
  <c r="B581" i="12"/>
  <c r="O580" i="12"/>
  <c r="N580" i="12"/>
  <c r="M580" i="12"/>
  <c r="F580" i="12"/>
  <c r="E580" i="12"/>
  <c r="D580" i="12"/>
  <c r="C580" i="12"/>
  <c r="B580" i="12"/>
  <c r="O579" i="12"/>
  <c r="N579" i="12"/>
  <c r="M579" i="12"/>
  <c r="F579" i="12"/>
  <c r="E579" i="12"/>
  <c r="D579" i="12"/>
  <c r="C579" i="12"/>
  <c r="B579" i="12"/>
  <c r="O578" i="12"/>
  <c r="N578" i="12"/>
  <c r="M578" i="12"/>
  <c r="F578" i="12"/>
  <c r="E578" i="12"/>
  <c r="D578" i="12"/>
  <c r="C578" i="12"/>
  <c r="B578" i="12"/>
  <c r="O577" i="12"/>
  <c r="N577" i="12"/>
  <c r="M577" i="12"/>
  <c r="F577" i="12"/>
  <c r="E577" i="12"/>
  <c r="D577" i="12"/>
  <c r="C577" i="12"/>
  <c r="B577" i="12"/>
  <c r="O576" i="12"/>
  <c r="N576" i="12"/>
  <c r="M576" i="12"/>
  <c r="F576" i="12"/>
  <c r="E576" i="12"/>
  <c r="D576" i="12"/>
  <c r="C576" i="12"/>
  <c r="B576" i="12"/>
  <c r="O575" i="12"/>
  <c r="N575" i="12"/>
  <c r="M575" i="12"/>
  <c r="F575" i="12"/>
  <c r="E575" i="12"/>
  <c r="D575" i="12"/>
  <c r="C575" i="12"/>
  <c r="B575" i="12"/>
  <c r="O574" i="12"/>
  <c r="N574" i="12"/>
  <c r="M574" i="12"/>
  <c r="F574" i="12"/>
  <c r="E574" i="12"/>
  <c r="D574" i="12"/>
  <c r="C574" i="12"/>
  <c r="B574" i="12"/>
  <c r="O573" i="12"/>
  <c r="N573" i="12"/>
  <c r="M573" i="12"/>
  <c r="F573" i="12"/>
  <c r="E573" i="12"/>
  <c r="D573" i="12"/>
  <c r="C573" i="12"/>
  <c r="B573" i="12"/>
  <c r="O572" i="12"/>
  <c r="N572" i="12"/>
  <c r="M572" i="12"/>
  <c r="F572" i="12"/>
  <c r="E572" i="12"/>
  <c r="D572" i="12"/>
  <c r="C572" i="12"/>
  <c r="B572" i="12"/>
  <c r="O571" i="12"/>
  <c r="N571" i="12"/>
  <c r="M571" i="12"/>
  <c r="F571" i="12"/>
  <c r="E571" i="12"/>
  <c r="D571" i="12"/>
  <c r="C571" i="12"/>
  <c r="B571" i="12"/>
  <c r="O570" i="12"/>
  <c r="N570" i="12"/>
  <c r="M570" i="12"/>
  <c r="F570" i="12"/>
  <c r="E570" i="12"/>
  <c r="D570" i="12"/>
  <c r="C570" i="12"/>
  <c r="B570" i="12"/>
  <c r="O569" i="12"/>
  <c r="N569" i="12"/>
  <c r="M569" i="12"/>
  <c r="F569" i="12"/>
  <c r="E569" i="12"/>
  <c r="D569" i="12"/>
  <c r="C569" i="12"/>
  <c r="B569" i="12"/>
  <c r="O568" i="12"/>
  <c r="N568" i="12"/>
  <c r="M568" i="12"/>
  <c r="F568" i="12"/>
  <c r="E568" i="12"/>
  <c r="D568" i="12"/>
  <c r="C568" i="12"/>
  <c r="B568" i="12"/>
  <c r="O567" i="12"/>
  <c r="N567" i="12"/>
  <c r="M567" i="12"/>
  <c r="F567" i="12"/>
  <c r="E567" i="12"/>
  <c r="D567" i="12"/>
  <c r="C567" i="12"/>
  <c r="B567" i="12"/>
  <c r="O566" i="12"/>
  <c r="N566" i="12"/>
  <c r="M566" i="12"/>
  <c r="F566" i="12"/>
  <c r="E566" i="12"/>
  <c r="D566" i="12"/>
  <c r="C566" i="12"/>
  <c r="B566" i="12"/>
  <c r="O565" i="12"/>
  <c r="N565" i="12"/>
  <c r="M565" i="12"/>
  <c r="F565" i="12"/>
  <c r="E565" i="12"/>
  <c r="D565" i="12"/>
  <c r="C565" i="12"/>
  <c r="B565" i="12"/>
  <c r="O564" i="12"/>
  <c r="N564" i="12"/>
  <c r="M564" i="12"/>
  <c r="F564" i="12"/>
  <c r="E564" i="12"/>
  <c r="D564" i="12"/>
  <c r="C564" i="12"/>
  <c r="B564" i="12"/>
  <c r="O563" i="12"/>
  <c r="N563" i="12"/>
  <c r="M563" i="12"/>
  <c r="F563" i="12"/>
  <c r="E563" i="12"/>
  <c r="D563" i="12"/>
  <c r="C563" i="12"/>
  <c r="B563" i="12"/>
  <c r="O562" i="12"/>
  <c r="N562" i="12"/>
  <c r="M562" i="12"/>
  <c r="K562" i="12"/>
  <c r="J562" i="12"/>
  <c r="I562" i="12"/>
  <c r="H562" i="12"/>
  <c r="G562" i="12"/>
  <c r="F562" i="12"/>
  <c r="E562" i="12"/>
  <c r="D562" i="12"/>
  <c r="C562" i="12"/>
  <c r="B562" i="12"/>
  <c r="O561" i="12"/>
  <c r="N561" i="12"/>
  <c r="M561" i="12"/>
  <c r="K561" i="12"/>
  <c r="J561" i="12"/>
  <c r="I561" i="12"/>
  <c r="H561" i="12"/>
  <c r="G561" i="12"/>
  <c r="F561" i="12"/>
  <c r="E561" i="12"/>
  <c r="D561" i="12"/>
  <c r="C561" i="12"/>
  <c r="B561" i="12"/>
  <c r="O560" i="12"/>
  <c r="N560" i="12"/>
  <c r="M560" i="12"/>
  <c r="K560" i="12"/>
  <c r="J560" i="12"/>
  <c r="I560" i="12"/>
  <c r="H560" i="12"/>
  <c r="G560" i="12"/>
  <c r="F560" i="12"/>
  <c r="E560" i="12"/>
  <c r="D560" i="12"/>
  <c r="C560" i="12"/>
  <c r="B560" i="12"/>
  <c r="O559" i="12"/>
  <c r="N559" i="12"/>
  <c r="M559" i="12"/>
  <c r="K559" i="12"/>
  <c r="J559" i="12"/>
  <c r="I559" i="12"/>
  <c r="H559" i="12"/>
  <c r="G559" i="12"/>
  <c r="F559" i="12"/>
  <c r="E559" i="12"/>
  <c r="D559" i="12"/>
  <c r="C559" i="12"/>
  <c r="B559" i="12"/>
  <c r="O558" i="12"/>
  <c r="N558" i="12"/>
  <c r="M558" i="12"/>
  <c r="K558" i="12"/>
  <c r="J558" i="12"/>
  <c r="I558" i="12"/>
  <c r="H558" i="12"/>
  <c r="G558" i="12"/>
  <c r="F558" i="12"/>
  <c r="E558" i="12"/>
  <c r="D558" i="12"/>
  <c r="C558" i="12"/>
  <c r="B558" i="12"/>
  <c r="O557" i="12"/>
  <c r="N557" i="12"/>
  <c r="M557" i="12"/>
  <c r="K557" i="12"/>
  <c r="J557" i="12"/>
  <c r="I557" i="12"/>
  <c r="H557" i="12"/>
  <c r="G557" i="12"/>
  <c r="F557" i="12"/>
  <c r="E557" i="12"/>
  <c r="D557" i="12"/>
  <c r="C557" i="12"/>
  <c r="B557" i="12"/>
  <c r="O556" i="12"/>
  <c r="N556" i="12"/>
  <c r="M556" i="12"/>
  <c r="K556" i="12"/>
  <c r="J556" i="12"/>
  <c r="I556" i="12"/>
  <c r="H556" i="12"/>
  <c r="G556" i="12"/>
  <c r="F556" i="12"/>
  <c r="E556" i="12"/>
  <c r="D556" i="12"/>
  <c r="C556" i="12"/>
  <c r="B556" i="12"/>
  <c r="O555" i="12"/>
  <c r="N555" i="12"/>
  <c r="M555" i="12"/>
  <c r="K555" i="12"/>
  <c r="J555" i="12"/>
  <c r="I555" i="12"/>
  <c r="H555" i="12"/>
  <c r="G555" i="12"/>
  <c r="F555" i="12"/>
  <c r="E555" i="12"/>
  <c r="D555" i="12"/>
  <c r="C555" i="12"/>
  <c r="B555" i="12"/>
  <c r="O554" i="12"/>
  <c r="N554" i="12"/>
  <c r="M554" i="12"/>
  <c r="K554" i="12"/>
  <c r="J554" i="12"/>
  <c r="I554" i="12"/>
  <c r="H554" i="12"/>
  <c r="G554" i="12"/>
  <c r="F554" i="12"/>
  <c r="E554" i="12"/>
  <c r="D554" i="12"/>
  <c r="C554" i="12"/>
  <c r="B554" i="12"/>
  <c r="O553" i="12"/>
  <c r="N553" i="12"/>
  <c r="M553" i="12"/>
  <c r="K553" i="12"/>
  <c r="J553" i="12"/>
  <c r="I553" i="12"/>
  <c r="H553" i="12"/>
  <c r="G553" i="12"/>
  <c r="F553" i="12"/>
  <c r="E553" i="12"/>
  <c r="D553" i="12"/>
  <c r="C553" i="12"/>
  <c r="B553" i="12"/>
  <c r="O552" i="12"/>
  <c r="N552" i="12"/>
  <c r="M552" i="12"/>
  <c r="K552" i="12"/>
  <c r="J552" i="12"/>
  <c r="I552" i="12"/>
  <c r="H552" i="12"/>
  <c r="G552" i="12"/>
  <c r="F552" i="12"/>
  <c r="E552" i="12"/>
  <c r="D552" i="12"/>
  <c r="C552" i="12"/>
  <c r="B552" i="12"/>
  <c r="O551" i="12"/>
  <c r="N551" i="12"/>
  <c r="M551" i="12"/>
  <c r="K551" i="12"/>
  <c r="J551" i="12"/>
  <c r="I551" i="12"/>
  <c r="H551" i="12"/>
  <c r="G551" i="12"/>
  <c r="F551" i="12"/>
  <c r="E551" i="12"/>
  <c r="D551" i="12"/>
  <c r="C551" i="12"/>
  <c r="B551" i="12"/>
  <c r="O550" i="12"/>
  <c r="N550" i="12"/>
  <c r="M550" i="12"/>
  <c r="F550" i="12"/>
  <c r="E550" i="12"/>
  <c r="D550" i="12"/>
  <c r="C550" i="12"/>
  <c r="B550" i="12"/>
  <c r="O549" i="12"/>
  <c r="N549" i="12"/>
  <c r="M549" i="12"/>
  <c r="F549" i="12"/>
  <c r="E549" i="12"/>
  <c r="D549" i="12"/>
  <c r="C549" i="12"/>
  <c r="B549" i="12"/>
  <c r="O548" i="12"/>
  <c r="N548" i="12"/>
  <c r="M548" i="12"/>
  <c r="F548" i="12"/>
  <c r="E548" i="12"/>
  <c r="D548" i="12"/>
  <c r="C548" i="12"/>
  <c r="B548" i="12"/>
  <c r="O547" i="12"/>
  <c r="N547" i="12"/>
  <c r="M547" i="12"/>
  <c r="F547" i="12"/>
  <c r="E547" i="12"/>
  <c r="D547" i="12"/>
  <c r="C547" i="12"/>
  <c r="B547" i="12"/>
  <c r="O546" i="12"/>
  <c r="N546" i="12"/>
  <c r="M546" i="12"/>
  <c r="F546" i="12"/>
  <c r="E546" i="12"/>
  <c r="D546" i="12"/>
  <c r="C546" i="12"/>
  <c r="B546" i="12"/>
  <c r="O545" i="12"/>
  <c r="N545" i="12"/>
  <c r="M545" i="12"/>
  <c r="F545" i="12"/>
  <c r="E545" i="12"/>
  <c r="D545" i="12"/>
  <c r="C545" i="12"/>
  <c r="B545" i="12"/>
  <c r="O544" i="12"/>
  <c r="N544" i="12"/>
  <c r="M544" i="12"/>
  <c r="F544" i="12"/>
  <c r="E544" i="12"/>
  <c r="D544" i="12"/>
  <c r="C544" i="12"/>
  <c r="B544" i="12"/>
  <c r="O543" i="12"/>
  <c r="N543" i="12"/>
  <c r="M543" i="12"/>
  <c r="F543" i="12"/>
  <c r="E543" i="12"/>
  <c r="D543" i="12"/>
  <c r="C543" i="12"/>
  <c r="B543" i="12"/>
  <c r="O542" i="12"/>
  <c r="N542" i="12"/>
  <c r="M542" i="12"/>
  <c r="F542" i="12"/>
  <c r="E542" i="12"/>
  <c r="D542" i="12"/>
  <c r="C542" i="12"/>
  <c r="B542" i="12"/>
  <c r="O541" i="12"/>
  <c r="N541" i="12"/>
  <c r="M541" i="12"/>
  <c r="F541" i="12"/>
  <c r="E541" i="12"/>
  <c r="D541" i="12"/>
  <c r="C541" i="12"/>
  <c r="B541" i="12"/>
  <c r="O540" i="12"/>
  <c r="N540" i="12"/>
  <c r="M540" i="12"/>
  <c r="F540" i="12"/>
  <c r="E540" i="12"/>
  <c r="D540" i="12"/>
  <c r="C540" i="12"/>
  <c r="B540" i="12"/>
  <c r="O539" i="12"/>
  <c r="N539" i="12"/>
  <c r="M539" i="12"/>
  <c r="F539" i="12"/>
  <c r="E539" i="12"/>
  <c r="D539" i="12"/>
  <c r="C539" i="12"/>
  <c r="B539" i="12"/>
  <c r="O538" i="12"/>
  <c r="N538" i="12"/>
  <c r="M538" i="12"/>
  <c r="F538" i="12"/>
  <c r="E538" i="12"/>
  <c r="D538" i="12"/>
  <c r="C538" i="12"/>
  <c r="B538" i="12"/>
  <c r="O537" i="12"/>
  <c r="N537" i="12"/>
  <c r="M537" i="12"/>
  <c r="F537" i="12"/>
  <c r="E537" i="12"/>
  <c r="D537" i="12"/>
  <c r="C537" i="12"/>
  <c r="B537" i="12"/>
  <c r="O536" i="12"/>
  <c r="N536" i="12"/>
  <c r="M536" i="12"/>
  <c r="F536" i="12"/>
  <c r="E536" i="12"/>
  <c r="D536" i="12"/>
  <c r="C536" i="12"/>
  <c r="B536" i="12"/>
  <c r="O535" i="12"/>
  <c r="N535" i="12"/>
  <c r="M535" i="12"/>
  <c r="F535" i="12"/>
  <c r="E535" i="12"/>
  <c r="D535" i="12"/>
  <c r="C535" i="12"/>
  <c r="B535" i="12"/>
  <c r="O534" i="12"/>
  <c r="N534" i="12"/>
  <c r="M534" i="12"/>
  <c r="F534" i="12"/>
  <c r="E534" i="12"/>
  <c r="D534" i="12"/>
  <c r="C534" i="12"/>
  <c r="B534" i="12"/>
  <c r="O533" i="12"/>
  <c r="N533" i="12"/>
  <c r="M533" i="12"/>
  <c r="F533" i="12"/>
  <c r="E533" i="12"/>
  <c r="D533" i="12"/>
  <c r="C533" i="12"/>
  <c r="B533" i="12"/>
  <c r="O532" i="12"/>
  <c r="N532" i="12"/>
  <c r="M532" i="12"/>
  <c r="F532" i="12"/>
  <c r="E532" i="12"/>
  <c r="D532" i="12"/>
  <c r="C532" i="12"/>
  <c r="B532" i="12"/>
  <c r="O531" i="12"/>
  <c r="N531" i="12"/>
  <c r="M531" i="12"/>
  <c r="F531" i="12"/>
  <c r="E531" i="12"/>
  <c r="D531" i="12"/>
  <c r="C531" i="12"/>
  <c r="B531" i="12"/>
  <c r="O530" i="12"/>
  <c r="N530" i="12"/>
  <c r="M530" i="12"/>
  <c r="F530" i="12"/>
  <c r="E530" i="12"/>
  <c r="D530" i="12"/>
  <c r="C530" i="12"/>
  <c r="B530" i="12"/>
  <c r="O529" i="12"/>
  <c r="N529" i="12"/>
  <c r="M529" i="12"/>
  <c r="F529" i="12"/>
  <c r="E529" i="12"/>
  <c r="D529" i="12"/>
  <c r="C529" i="12"/>
  <c r="B529" i="12"/>
  <c r="O528" i="12"/>
  <c r="N528" i="12"/>
  <c r="M528" i="12"/>
  <c r="F528" i="12"/>
  <c r="E528" i="12"/>
  <c r="D528" i="12"/>
  <c r="C528" i="12"/>
  <c r="B528" i="12"/>
  <c r="O527" i="12"/>
  <c r="N527" i="12"/>
  <c r="M527" i="12"/>
  <c r="F527" i="12"/>
  <c r="E527" i="12"/>
  <c r="D527" i="12"/>
  <c r="C527" i="12"/>
  <c r="B527" i="12"/>
  <c r="O526" i="12"/>
  <c r="N526" i="12"/>
  <c r="M526" i="12"/>
  <c r="F526" i="12"/>
  <c r="E526" i="12"/>
  <c r="D526" i="12"/>
  <c r="C526" i="12"/>
  <c r="B526" i="12"/>
  <c r="O525" i="12"/>
  <c r="N525" i="12"/>
  <c r="M525" i="12"/>
  <c r="F525" i="12"/>
  <c r="E525" i="12"/>
  <c r="D525" i="12"/>
  <c r="C525" i="12"/>
  <c r="B525" i="12"/>
  <c r="O524" i="12"/>
  <c r="N524" i="12"/>
  <c r="M524" i="12"/>
  <c r="F524" i="12"/>
  <c r="E524" i="12"/>
  <c r="D524" i="12"/>
  <c r="C524" i="12"/>
  <c r="B524" i="12"/>
  <c r="O523" i="12"/>
  <c r="N523" i="12"/>
  <c r="M523" i="12"/>
  <c r="F523" i="12"/>
  <c r="E523" i="12"/>
  <c r="D523" i="12"/>
  <c r="C523" i="12"/>
  <c r="B523" i="12"/>
  <c r="O522" i="12"/>
  <c r="N522" i="12"/>
  <c r="M522" i="12"/>
  <c r="K522" i="12"/>
  <c r="J522" i="12"/>
  <c r="I522" i="12"/>
  <c r="H522" i="12"/>
  <c r="G522" i="12"/>
  <c r="F522" i="12"/>
  <c r="E522" i="12"/>
  <c r="D522" i="12"/>
  <c r="C522" i="12"/>
  <c r="B522" i="12"/>
  <c r="O521" i="12"/>
  <c r="N521" i="12"/>
  <c r="M521" i="12"/>
  <c r="K521" i="12"/>
  <c r="J521" i="12"/>
  <c r="I521" i="12"/>
  <c r="H521" i="12"/>
  <c r="G521" i="12"/>
  <c r="F521" i="12"/>
  <c r="E521" i="12"/>
  <c r="D521" i="12"/>
  <c r="C521" i="12"/>
  <c r="B521" i="12"/>
  <c r="O520" i="12"/>
  <c r="N520" i="12"/>
  <c r="M520" i="12"/>
  <c r="K520" i="12"/>
  <c r="J520" i="12"/>
  <c r="I520" i="12"/>
  <c r="H520" i="12"/>
  <c r="G520" i="12"/>
  <c r="F520" i="12"/>
  <c r="E520" i="12"/>
  <c r="D520" i="12"/>
  <c r="C520" i="12"/>
  <c r="B520" i="12"/>
  <c r="O519" i="12"/>
  <c r="N519" i="12"/>
  <c r="M519" i="12"/>
  <c r="K519" i="12"/>
  <c r="J519" i="12"/>
  <c r="I519" i="12"/>
  <c r="H519" i="12"/>
  <c r="G519" i="12"/>
  <c r="F519" i="12"/>
  <c r="E519" i="12"/>
  <c r="D519" i="12"/>
  <c r="C519" i="12"/>
  <c r="B519" i="12"/>
  <c r="O518" i="12"/>
  <c r="N518" i="12"/>
  <c r="M518" i="12"/>
  <c r="F518" i="12"/>
  <c r="E518" i="12"/>
  <c r="D518" i="12"/>
  <c r="C518" i="12"/>
  <c r="B518" i="12"/>
  <c r="O517" i="12"/>
  <c r="N517" i="12"/>
  <c r="M517" i="12"/>
  <c r="F517" i="12"/>
  <c r="E517" i="12"/>
  <c r="D517" i="12"/>
  <c r="C517" i="12"/>
  <c r="B517" i="12"/>
  <c r="O516" i="12"/>
  <c r="N516" i="12"/>
  <c r="M516" i="12"/>
  <c r="F516" i="12"/>
  <c r="E516" i="12"/>
  <c r="D516" i="12"/>
  <c r="C516" i="12"/>
  <c r="B516" i="12"/>
  <c r="O515" i="12"/>
  <c r="N515" i="12"/>
  <c r="M515" i="12"/>
  <c r="F515" i="12"/>
  <c r="E515" i="12"/>
  <c r="D515" i="12"/>
  <c r="C515" i="12"/>
  <c r="B515" i="12"/>
  <c r="O514" i="12"/>
  <c r="N514" i="12"/>
  <c r="M514" i="12"/>
  <c r="F514" i="12"/>
  <c r="E514" i="12"/>
  <c r="D514" i="12"/>
  <c r="C514" i="12"/>
  <c r="B514" i="12"/>
  <c r="O513" i="12"/>
  <c r="N513" i="12"/>
  <c r="M513" i="12"/>
  <c r="F513" i="12"/>
  <c r="E513" i="12"/>
  <c r="D513" i="12"/>
  <c r="C513" i="12"/>
  <c r="B513" i="12"/>
  <c r="O512" i="12"/>
  <c r="N512" i="12"/>
  <c r="M512" i="12"/>
  <c r="F512" i="12"/>
  <c r="E512" i="12"/>
  <c r="D512" i="12"/>
  <c r="C512" i="12"/>
  <c r="B512" i="12"/>
  <c r="O511" i="12"/>
  <c r="N511" i="12"/>
  <c r="M511" i="12"/>
  <c r="F511" i="12"/>
  <c r="E511" i="12"/>
  <c r="D511" i="12"/>
  <c r="C511" i="12"/>
  <c r="B511" i="12"/>
  <c r="O510" i="12"/>
  <c r="N510" i="12"/>
  <c r="M510" i="12"/>
  <c r="F510" i="12"/>
  <c r="E510" i="12"/>
  <c r="D510" i="12"/>
  <c r="C510" i="12"/>
  <c r="B510" i="12"/>
  <c r="O509" i="12"/>
  <c r="N509" i="12"/>
  <c r="M509" i="12"/>
  <c r="F509" i="12"/>
  <c r="E509" i="12"/>
  <c r="D509" i="12"/>
  <c r="C509" i="12"/>
  <c r="B509" i="12"/>
  <c r="O508" i="12"/>
  <c r="N508" i="12"/>
  <c r="M508" i="12"/>
  <c r="F508" i="12"/>
  <c r="E508" i="12"/>
  <c r="D508" i="12"/>
  <c r="C508" i="12"/>
  <c r="B508" i="12"/>
  <c r="O507" i="12"/>
  <c r="N507" i="12"/>
  <c r="M507" i="12"/>
  <c r="F507" i="12"/>
  <c r="E507" i="12"/>
  <c r="D507" i="12"/>
  <c r="C507" i="12"/>
  <c r="B507" i="12"/>
  <c r="O506" i="12"/>
  <c r="N506" i="12"/>
  <c r="M506" i="12"/>
  <c r="F506" i="12"/>
  <c r="E506" i="12"/>
  <c r="D506" i="12"/>
  <c r="C506" i="12"/>
  <c r="B506" i="12"/>
  <c r="O505" i="12"/>
  <c r="N505" i="12"/>
  <c r="M505" i="12"/>
  <c r="F505" i="12"/>
  <c r="E505" i="12"/>
  <c r="D505" i="12"/>
  <c r="C505" i="12"/>
  <c r="B505" i="12"/>
  <c r="O504" i="12"/>
  <c r="N504" i="12"/>
  <c r="M504" i="12"/>
  <c r="F504" i="12"/>
  <c r="E504" i="12"/>
  <c r="D504" i="12"/>
  <c r="C504" i="12"/>
  <c r="B504" i="12"/>
  <c r="O503" i="12"/>
  <c r="N503" i="12"/>
  <c r="M503" i="12"/>
  <c r="F503" i="12"/>
  <c r="E503" i="12"/>
  <c r="D503" i="12"/>
  <c r="C503" i="12"/>
  <c r="B503" i="12"/>
  <c r="O502" i="12"/>
  <c r="N502" i="12"/>
  <c r="M502" i="12"/>
  <c r="K502" i="12"/>
  <c r="J502" i="12"/>
  <c r="I502" i="12"/>
  <c r="H502" i="12"/>
  <c r="G502" i="12"/>
  <c r="F502" i="12"/>
  <c r="E502" i="12"/>
  <c r="D502" i="12"/>
  <c r="C502" i="12"/>
  <c r="B502" i="12"/>
  <c r="O501" i="12"/>
  <c r="N501" i="12"/>
  <c r="M501" i="12"/>
  <c r="K501" i="12"/>
  <c r="J501" i="12"/>
  <c r="I501" i="12"/>
  <c r="H501" i="12"/>
  <c r="G501" i="12"/>
  <c r="F501" i="12"/>
  <c r="E501" i="12"/>
  <c r="D501" i="12"/>
  <c r="C501" i="12"/>
  <c r="B501" i="12"/>
  <c r="O500" i="12"/>
  <c r="N500" i="12"/>
  <c r="M500" i="12"/>
  <c r="K500" i="12"/>
  <c r="J500" i="12"/>
  <c r="I500" i="12"/>
  <c r="H500" i="12"/>
  <c r="G500" i="12"/>
  <c r="F500" i="12"/>
  <c r="E500" i="12"/>
  <c r="D500" i="12"/>
  <c r="C500" i="12"/>
  <c r="B500" i="12"/>
  <c r="O499" i="12"/>
  <c r="N499" i="12"/>
  <c r="M499" i="12"/>
  <c r="K499" i="12"/>
  <c r="J499" i="12"/>
  <c r="I499" i="12"/>
  <c r="H499" i="12"/>
  <c r="G499" i="12"/>
  <c r="F499" i="12"/>
  <c r="E499" i="12"/>
  <c r="D499" i="12"/>
  <c r="C499" i="12"/>
  <c r="B499" i="12"/>
  <c r="O498" i="12"/>
  <c r="N498" i="12"/>
  <c r="M498" i="12"/>
  <c r="K498" i="12"/>
  <c r="J498" i="12"/>
  <c r="I498" i="12"/>
  <c r="H498" i="12"/>
  <c r="G498" i="12"/>
  <c r="F498" i="12"/>
  <c r="E498" i="12"/>
  <c r="D498" i="12"/>
  <c r="C498" i="12"/>
  <c r="B498" i="12"/>
  <c r="O497" i="12"/>
  <c r="N497" i="12"/>
  <c r="M497" i="12"/>
  <c r="K497" i="12"/>
  <c r="J497" i="12"/>
  <c r="I497" i="12"/>
  <c r="H497" i="12"/>
  <c r="G497" i="12"/>
  <c r="F497" i="12"/>
  <c r="E497" i="12"/>
  <c r="D497" i="12"/>
  <c r="C497" i="12"/>
  <c r="B497" i="12"/>
  <c r="O496" i="12"/>
  <c r="N496" i="12"/>
  <c r="M496" i="12"/>
  <c r="K496" i="12"/>
  <c r="J496" i="12"/>
  <c r="I496" i="12"/>
  <c r="H496" i="12"/>
  <c r="G496" i="12"/>
  <c r="F496" i="12"/>
  <c r="E496" i="12"/>
  <c r="D496" i="12"/>
  <c r="C496" i="12"/>
  <c r="B496" i="12"/>
  <c r="O495" i="12"/>
  <c r="N495" i="12"/>
  <c r="M495" i="12"/>
  <c r="K495" i="12"/>
  <c r="J495" i="12"/>
  <c r="I495" i="12"/>
  <c r="H495" i="12"/>
  <c r="G495" i="12"/>
  <c r="F495" i="12"/>
  <c r="E495" i="12"/>
  <c r="D495" i="12"/>
  <c r="C495" i="12"/>
  <c r="B495" i="12"/>
  <c r="O494" i="12"/>
  <c r="N494" i="12"/>
  <c r="M494" i="12"/>
  <c r="K494" i="12"/>
  <c r="J494" i="12"/>
  <c r="I494" i="12"/>
  <c r="H494" i="12"/>
  <c r="G494" i="12"/>
  <c r="F494" i="12"/>
  <c r="E494" i="12"/>
  <c r="D494" i="12"/>
  <c r="C494" i="12"/>
  <c r="B494" i="12"/>
  <c r="O493" i="12"/>
  <c r="N493" i="12"/>
  <c r="M493" i="12"/>
  <c r="K493" i="12"/>
  <c r="J493" i="12"/>
  <c r="I493" i="12"/>
  <c r="H493" i="12"/>
  <c r="G493" i="12"/>
  <c r="F493" i="12"/>
  <c r="E493" i="12"/>
  <c r="D493" i="12"/>
  <c r="C493" i="12"/>
  <c r="B493" i="12"/>
  <c r="O492" i="12"/>
  <c r="N492" i="12"/>
  <c r="M492" i="12"/>
  <c r="K492" i="12"/>
  <c r="J492" i="12"/>
  <c r="I492" i="12"/>
  <c r="H492" i="12"/>
  <c r="G492" i="12"/>
  <c r="F492" i="12"/>
  <c r="E492" i="12"/>
  <c r="D492" i="12"/>
  <c r="C492" i="12"/>
  <c r="B492" i="12"/>
  <c r="O491" i="12"/>
  <c r="N491" i="12"/>
  <c r="M491" i="12"/>
  <c r="K491" i="12"/>
  <c r="J491" i="12"/>
  <c r="I491" i="12"/>
  <c r="H491" i="12"/>
  <c r="G491" i="12"/>
  <c r="F491" i="12"/>
  <c r="E491" i="12"/>
  <c r="D491" i="12"/>
  <c r="C491" i="12"/>
  <c r="B491" i="12"/>
  <c r="O490" i="12"/>
  <c r="N490" i="12"/>
  <c r="M490" i="12"/>
  <c r="K490" i="12"/>
  <c r="J490" i="12"/>
  <c r="I490" i="12"/>
  <c r="H490" i="12"/>
  <c r="G490" i="12"/>
  <c r="F490" i="12"/>
  <c r="E490" i="12"/>
  <c r="D490" i="12"/>
  <c r="C490" i="12"/>
  <c r="B490" i="12"/>
  <c r="O489" i="12"/>
  <c r="N489" i="12"/>
  <c r="M489" i="12"/>
  <c r="K489" i="12"/>
  <c r="J489" i="12"/>
  <c r="I489" i="12"/>
  <c r="H489" i="12"/>
  <c r="G489" i="12"/>
  <c r="F489" i="12"/>
  <c r="E489" i="12"/>
  <c r="D489" i="12"/>
  <c r="C489" i="12"/>
  <c r="B489" i="12"/>
  <c r="O488" i="12"/>
  <c r="N488" i="12"/>
  <c r="M488" i="12"/>
  <c r="K488" i="12"/>
  <c r="J488" i="12"/>
  <c r="I488" i="12"/>
  <c r="H488" i="12"/>
  <c r="G488" i="12"/>
  <c r="F488" i="12"/>
  <c r="E488" i="12"/>
  <c r="D488" i="12"/>
  <c r="C488" i="12"/>
  <c r="B488" i="12"/>
  <c r="O487" i="12"/>
  <c r="N487" i="12"/>
  <c r="M487" i="12"/>
  <c r="K487" i="12"/>
  <c r="J487" i="12"/>
  <c r="I487" i="12"/>
  <c r="H487" i="12"/>
  <c r="G487" i="12"/>
  <c r="F487" i="12"/>
  <c r="E487" i="12"/>
  <c r="D487" i="12"/>
  <c r="C487" i="12"/>
  <c r="B487" i="12"/>
  <c r="O486" i="12"/>
  <c r="N486" i="12"/>
  <c r="M486" i="12"/>
  <c r="F486" i="12"/>
  <c r="E486" i="12"/>
  <c r="D486" i="12"/>
  <c r="C486" i="12"/>
  <c r="B486" i="12"/>
  <c r="O485" i="12"/>
  <c r="N485" i="12"/>
  <c r="M485" i="12"/>
  <c r="F485" i="12"/>
  <c r="E485" i="12"/>
  <c r="D485" i="12"/>
  <c r="C485" i="12"/>
  <c r="B485" i="12"/>
  <c r="O484" i="12"/>
  <c r="N484" i="12"/>
  <c r="M484" i="12"/>
  <c r="F484" i="12"/>
  <c r="E484" i="12"/>
  <c r="D484" i="12"/>
  <c r="C484" i="12"/>
  <c r="B484" i="12"/>
  <c r="O483" i="12"/>
  <c r="N483" i="12"/>
  <c r="M483" i="12"/>
  <c r="F483" i="12"/>
  <c r="E483" i="12"/>
  <c r="D483" i="12"/>
  <c r="C483" i="12"/>
  <c r="B483" i="12"/>
  <c r="O482" i="12"/>
  <c r="N482" i="12"/>
  <c r="M482" i="12"/>
  <c r="F482" i="12"/>
  <c r="E482" i="12"/>
  <c r="D482" i="12"/>
  <c r="C482" i="12"/>
  <c r="B482" i="12"/>
  <c r="O481" i="12"/>
  <c r="N481" i="12"/>
  <c r="M481" i="12"/>
  <c r="F481" i="12"/>
  <c r="E481" i="12"/>
  <c r="D481" i="12"/>
  <c r="C481" i="12"/>
  <c r="B481" i="12"/>
  <c r="O480" i="12"/>
  <c r="N480" i="12"/>
  <c r="M480" i="12"/>
  <c r="K480" i="12"/>
  <c r="J480" i="12"/>
  <c r="I480" i="12"/>
  <c r="H480" i="12"/>
  <c r="G480" i="12"/>
  <c r="F480" i="12"/>
  <c r="E480" i="12"/>
  <c r="D480" i="12"/>
  <c r="C480" i="12"/>
  <c r="B480" i="12"/>
  <c r="O479" i="12"/>
  <c r="N479" i="12"/>
  <c r="M479" i="12"/>
  <c r="K479" i="12"/>
  <c r="J479" i="12"/>
  <c r="I479" i="12"/>
  <c r="H479" i="12"/>
  <c r="G479" i="12"/>
  <c r="F479" i="12"/>
  <c r="E479" i="12"/>
  <c r="D479" i="12"/>
  <c r="C479" i="12"/>
  <c r="B479" i="12"/>
  <c r="O478" i="12"/>
  <c r="N478" i="12"/>
  <c r="M478" i="12"/>
  <c r="K478" i="12"/>
  <c r="J478" i="12"/>
  <c r="I478" i="12"/>
  <c r="H478" i="12"/>
  <c r="G478" i="12"/>
  <c r="F478" i="12"/>
  <c r="E478" i="12"/>
  <c r="D478" i="12"/>
  <c r="C478" i="12"/>
  <c r="B478" i="12"/>
  <c r="O477" i="12"/>
  <c r="N477" i="12"/>
  <c r="M477" i="12"/>
  <c r="K477" i="12"/>
  <c r="J477" i="12"/>
  <c r="I477" i="12"/>
  <c r="H477" i="12"/>
  <c r="G477" i="12"/>
  <c r="F477" i="12"/>
  <c r="E477" i="12"/>
  <c r="D477" i="12"/>
  <c r="C477" i="12"/>
  <c r="B477" i="12"/>
  <c r="O476" i="12"/>
  <c r="N476" i="12"/>
  <c r="M476" i="12"/>
  <c r="K476" i="12"/>
  <c r="J476" i="12"/>
  <c r="I476" i="12"/>
  <c r="H476" i="12"/>
  <c r="G476" i="12"/>
  <c r="F476" i="12"/>
  <c r="E476" i="12"/>
  <c r="D476" i="12"/>
  <c r="C476" i="12"/>
  <c r="B476" i="12"/>
  <c r="O475" i="12"/>
  <c r="N475" i="12"/>
  <c r="M475" i="12"/>
  <c r="K475" i="12"/>
  <c r="J475" i="12"/>
  <c r="I475" i="12"/>
  <c r="H475" i="12"/>
  <c r="G475" i="12"/>
  <c r="F475" i="12"/>
  <c r="E475" i="12"/>
  <c r="D475" i="12"/>
  <c r="C475" i="12"/>
  <c r="B475" i="12"/>
  <c r="O474" i="12"/>
  <c r="N474" i="12"/>
  <c r="M474" i="12"/>
  <c r="K474" i="12"/>
  <c r="J474" i="12"/>
  <c r="I474" i="12"/>
  <c r="H474" i="12"/>
  <c r="G474" i="12"/>
  <c r="F474" i="12"/>
  <c r="E474" i="12"/>
  <c r="D474" i="12"/>
  <c r="C474" i="12"/>
  <c r="B474" i="12"/>
  <c r="O473" i="12"/>
  <c r="N473" i="12"/>
  <c r="M473" i="12"/>
  <c r="K473" i="12"/>
  <c r="J473" i="12"/>
  <c r="I473" i="12"/>
  <c r="H473" i="12"/>
  <c r="G473" i="12"/>
  <c r="F473" i="12"/>
  <c r="E473" i="12"/>
  <c r="D473" i="12"/>
  <c r="C473" i="12"/>
  <c r="B473" i="12"/>
  <c r="O472" i="12"/>
  <c r="N472" i="12"/>
  <c r="M472" i="12"/>
  <c r="K472" i="12"/>
  <c r="J472" i="12"/>
  <c r="I472" i="12"/>
  <c r="H472" i="12"/>
  <c r="G472" i="12"/>
  <c r="F472" i="12"/>
  <c r="E472" i="12"/>
  <c r="D472" i="12"/>
  <c r="C472" i="12"/>
  <c r="B472" i="12"/>
  <c r="O471" i="12"/>
  <c r="N471" i="12"/>
  <c r="M471" i="12"/>
  <c r="K471" i="12"/>
  <c r="J471" i="12"/>
  <c r="I471" i="12"/>
  <c r="H471" i="12"/>
  <c r="G471" i="12"/>
  <c r="F471" i="12"/>
  <c r="E471" i="12"/>
  <c r="D471" i="12"/>
  <c r="C471" i="12"/>
  <c r="B471" i="12"/>
  <c r="O470" i="12"/>
  <c r="N470" i="12"/>
  <c r="M470" i="12"/>
  <c r="F470" i="12"/>
  <c r="E470" i="12"/>
  <c r="D470" i="12"/>
  <c r="C470" i="12"/>
  <c r="B470" i="12"/>
  <c r="O469" i="12"/>
  <c r="N469" i="12"/>
  <c r="M469" i="12"/>
  <c r="F469" i="12"/>
  <c r="E469" i="12"/>
  <c r="D469" i="12"/>
  <c r="C469" i="12"/>
  <c r="B469" i="12"/>
  <c r="O468" i="12"/>
  <c r="N468" i="12"/>
  <c r="M468" i="12"/>
  <c r="F468" i="12"/>
  <c r="E468" i="12"/>
  <c r="D468" i="12"/>
  <c r="C468" i="12"/>
  <c r="B468" i="12"/>
  <c r="O467" i="12"/>
  <c r="N467" i="12"/>
  <c r="M467" i="12"/>
  <c r="F467" i="12"/>
  <c r="E467" i="12"/>
  <c r="D467" i="12"/>
  <c r="C467" i="12"/>
  <c r="B467" i="12"/>
  <c r="O466" i="12"/>
  <c r="N466" i="12"/>
  <c r="M466" i="12"/>
  <c r="F466" i="12"/>
  <c r="E466" i="12"/>
  <c r="D466" i="12"/>
  <c r="C466" i="12"/>
  <c r="B466" i="12"/>
  <c r="O465" i="12"/>
  <c r="N465" i="12"/>
  <c r="M465" i="12"/>
  <c r="F465" i="12"/>
  <c r="E465" i="12"/>
  <c r="D465" i="12"/>
  <c r="C465" i="12"/>
  <c r="B465" i="12"/>
  <c r="O464" i="12"/>
  <c r="N464" i="12"/>
  <c r="M464" i="12"/>
  <c r="F464" i="12"/>
  <c r="E464" i="12"/>
  <c r="D464" i="12"/>
  <c r="C464" i="12"/>
  <c r="B464" i="12"/>
  <c r="O463" i="12"/>
  <c r="N463" i="12"/>
  <c r="M463" i="12"/>
  <c r="F463" i="12"/>
  <c r="E463" i="12"/>
  <c r="D463" i="12"/>
  <c r="C463" i="12"/>
  <c r="B463" i="12"/>
  <c r="O462" i="12"/>
  <c r="N462" i="12"/>
  <c r="M462" i="12"/>
  <c r="F462" i="12"/>
  <c r="E462" i="12"/>
  <c r="D462" i="12"/>
  <c r="C462" i="12"/>
  <c r="B462" i="12"/>
  <c r="O461" i="12"/>
  <c r="N461" i="12"/>
  <c r="M461" i="12"/>
  <c r="F461" i="12"/>
  <c r="E461" i="12"/>
  <c r="D461" i="12"/>
  <c r="C461" i="12"/>
  <c r="B461" i="12"/>
  <c r="O460" i="12"/>
  <c r="N460" i="12"/>
  <c r="M460" i="12"/>
  <c r="F460" i="12"/>
  <c r="E460" i="12"/>
  <c r="D460" i="12"/>
  <c r="C460" i="12"/>
  <c r="B460" i="12"/>
  <c r="O459" i="12"/>
  <c r="N459" i="12"/>
  <c r="M459" i="12"/>
  <c r="F459" i="12"/>
  <c r="E459" i="12"/>
  <c r="D459" i="12"/>
  <c r="C459" i="12"/>
  <c r="B459" i="12"/>
  <c r="O458" i="12"/>
  <c r="N458" i="12"/>
  <c r="M458" i="12"/>
  <c r="F458" i="12"/>
  <c r="E458" i="12"/>
  <c r="D458" i="12"/>
  <c r="C458" i="12"/>
  <c r="B458" i="12"/>
  <c r="O457" i="12"/>
  <c r="N457" i="12"/>
  <c r="M457" i="12"/>
  <c r="F457" i="12"/>
  <c r="E457" i="12"/>
  <c r="D457" i="12"/>
  <c r="C457" i="12"/>
  <c r="B457" i="12"/>
  <c r="O456" i="12"/>
  <c r="N456" i="12"/>
  <c r="M456" i="12"/>
  <c r="F456" i="12"/>
  <c r="E456" i="12"/>
  <c r="D456" i="12"/>
  <c r="C456" i="12"/>
  <c r="B456" i="12"/>
  <c r="O455" i="12"/>
  <c r="N455" i="12"/>
  <c r="M455" i="12"/>
  <c r="F455" i="12"/>
  <c r="E455" i="12"/>
  <c r="D455" i="12"/>
  <c r="C455" i="12"/>
  <c r="B455" i="12"/>
  <c r="O454" i="12"/>
  <c r="N454" i="12"/>
  <c r="M454" i="12"/>
  <c r="F454" i="12"/>
  <c r="E454" i="12"/>
  <c r="D454" i="12"/>
  <c r="C454" i="12"/>
  <c r="B454" i="12"/>
  <c r="O453" i="12"/>
  <c r="N453" i="12"/>
  <c r="M453" i="12"/>
  <c r="F453" i="12"/>
  <c r="E453" i="12"/>
  <c r="D453" i="12"/>
  <c r="C453" i="12"/>
  <c r="B453" i="12"/>
  <c r="O452" i="12"/>
  <c r="N452" i="12"/>
  <c r="M452" i="12"/>
  <c r="F452" i="12"/>
  <c r="E452" i="12"/>
  <c r="D452" i="12"/>
  <c r="C452" i="12"/>
  <c r="B452" i="12"/>
  <c r="O451" i="12"/>
  <c r="N451" i="12"/>
  <c r="M451" i="12"/>
  <c r="F451" i="12"/>
  <c r="E451" i="12"/>
  <c r="D451" i="12"/>
  <c r="C451" i="12"/>
  <c r="B451" i="12"/>
  <c r="O450" i="12"/>
  <c r="N450" i="12"/>
  <c r="M450" i="12"/>
  <c r="F450" i="12"/>
  <c r="E450" i="12"/>
  <c r="D450" i="12"/>
  <c r="C450" i="12"/>
  <c r="B450" i="12"/>
  <c r="O449" i="12"/>
  <c r="N449" i="12"/>
  <c r="M449" i="12"/>
  <c r="J449" i="12"/>
  <c r="I449" i="12"/>
  <c r="H449" i="12"/>
  <c r="G449" i="12"/>
  <c r="F449" i="12"/>
  <c r="E449" i="12"/>
  <c r="D449" i="12"/>
  <c r="C449" i="12"/>
  <c r="B449" i="12"/>
  <c r="O448" i="12"/>
  <c r="N448" i="12"/>
  <c r="M448" i="12"/>
  <c r="K448" i="12"/>
  <c r="J448" i="12"/>
  <c r="I448" i="12"/>
  <c r="H448" i="12"/>
  <c r="G448" i="12"/>
  <c r="F448" i="12"/>
  <c r="E448" i="12"/>
  <c r="D448" i="12"/>
  <c r="C448" i="12"/>
  <c r="B448" i="12"/>
  <c r="O447" i="12"/>
  <c r="N447" i="12"/>
  <c r="M447" i="12"/>
  <c r="K447" i="12"/>
  <c r="J447" i="12"/>
  <c r="I447" i="12"/>
  <c r="H447" i="12"/>
  <c r="G447" i="12"/>
  <c r="F447" i="12"/>
  <c r="E447" i="12"/>
  <c r="D447" i="12"/>
  <c r="C447" i="12"/>
  <c r="B447" i="12"/>
  <c r="O446" i="12"/>
  <c r="N446" i="12"/>
  <c r="M446" i="12"/>
  <c r="K446" i="12"/>
  <c r="J446" i="12"/>
  <c r="I446" i="12"/>
  <c r="H446" i="12"/>
  <c r="G446" i="12"/>
  <c r="F446" i="12"/>
  <c r="E446" i="12"/>
  <c r="D446" i="12"/>
  <c r="C446" i="12"/>
  <c r="B446" i="12"/>
  <c r="O445" i="12"/>
  <c r="N445" i="12"/>
  <c r="M445" i="12"/>
  <c r="K445" i="12"/>
  <c r="J445" i="12"/>
  <c r="I445" i="12"/>
  <c r="H445" i="12"/>
  <c r="G445" i="12"/>
  <c r="F445" i="12"/>
  <c r="E445" i="12"/>
  <c r="D445" i="12"/>
  <c r="C445" i="12"/>
  <c r="B445" i="12"/>
  <c r="O444" i="12"/>
  <c r="N444" i="12"/>
  <c r="M444" i="12"/>
  <c r="K444" i="12"/>
  <c r="J444" i="12"/>
  <c r="I444" i="12"/>
  <c r="H444" i="12"/>
  <c r="G444" i="12"/>
  <c r="F444" i="12"/>
  <c r="E444" i="12"/>
  <c r="D444" i="12"/>
  <c r="C444" i="12"/>
  <c r="B444" i="12"/>
  <c r="O443" i="12"/>
  <c r="N443" i="12"/>
  <c r="M443" i="12"/>
  <c r="K443" i="12"/>
  <c r="J443" i="12"/>
  <c r="I443" i="12"/>
  <c r="H443" i="12"/>
  <c r="G443" i="12"/>
  <c r="F443" i="12"/>
  <c r="E443" i="12"/>
  <c r="D443" i="12"/>
  <c r="C443" i="12"/>
  <c r="B443" i="12"/>
  <c r="O442" i="12"/>
  <c r="N442" i="12"/>
  <c r="M442" i="12"/>
  <c r="K442" i="12"/>
  <c r="J442" i="12"/>
  <c r="I442" i="12"/>
  <c r="H442" i="12"/>
  <c r="G442" i="12"/>
  <c r="F442" i="12"/>
  <c r="E442" i="12"/>
  <c r="D442" i="12"/>
  <c r="C442" i="12"/>
  <c r="B442" i="12"/>
  <c r="O441" i="12"/>
  <c r="N441" i="12"/>
  <c r="M441" i="12"/>
  <c r="K441" i="12"/>
  <c r="J441" i="12"/>
  <c r="I441" i="12"/>
  <c r="H441" i="12"/>
  <c r="G441" i="12"/>
  <c r="F441" i="12"/>
  <c r="E441" i="12"/>
  <c r="D441" i="12"/>
  <c r="C441" i="12"/>
  <c r="B441" i="12"/>
  <c r="O440" i="12"/>
  <c r="N440" i="12"/>
  <c r="M440" i="12"/>
  <c r="K440" i="12"/>
  <c r="J440" i="12"/>
  <c r="I440" i="12"/>
  <c r="H440" i="12"/>
  <c r="G440" i="12"/>
  <c r="F440" i="12"/>
  <c r="E440" i="12"/>
  <c r="D440" i="12"/>
  <c r="C440" i="12"/>
  <c r="B440" i="12"/>
  <c r="O439" i="12"/>
  <c r="N439" i="12"/>
  <c r="M439" i="12"/>
  <c r="K439" i="12"/>
  <c r="J439" i="12"/>
  <c r="I439" i="12"/>
  <c r="H439" i="12"/>
  <c r="G439" i="12"/>
  <c r="F439" i="12"/>
  <c r="E439" i="12"/>
  <c r="D439" i="12"/>
  <c r="C439" i="12"/>
  <c r="B439" i="12"/>
  <c r="O438" i="12"/>
  <c r="N438" i="12"/>
  <c r="M438" i="12"/>
  <c r="F438" i="12"/>
  <c r="E438" i="12"/>
  <c r="D438" i="12"/>
  <c r="C438" i="12"/>
  <c r="B438" i="12"/>
  <c r="O437" i="12"/>
  <c r="N437" i="12"/>
  <c r="M437" i="12"/>
  <c r="F437" i="12"/>
  <c r="E437" i="12"/>
  <c r="D437" i="12"/>
  <c r="C437" i="12"/>
  <c r="B437" i="12"/>
  <c r="O436" i="12"/>
  <c r="N436" i="12"/>
  <c r="M436" i="12"/>
  <c r="F436" i="12"/>
  <c r="E436" i="12"/>
  <c r="D436" i="12"/>
  <c r="C436" i="12"/>
  <c r="B436" i="12"/>
  <c r="O435" i="12"/>
  <c r="N435" i="12"/>
  <c r="M435" i="12"/>
  <c r="F435" i="12"/>
  <c r="E435" i="12"/>
  <c r="D435" i="12"/>
  <c r="C435" i="12"/>
  <c r="B435" i="12"/>
  <c r="O434" i="12"/>
  <c r="N434" i="12"/>
  <c r="M434" i="12"/>
  <c r="F434" i="12"/>
  <c r="E434" i="12"/>
  <c r="D434" i="12"/>
  <c r="C434" i="12"/>
  <c r="B434" i="12"/>
  <c r="O433" i="12"/>
  <c r="N433" i="12"/>
  <c r="M433" i="12"/>
  <c r="F433" i="12"/>
  <c r="E433" i="12"/>
  <c r="D433" i="12"/>
  <c r="C433" i="12"/>
  <c r="B433" i="12"/>
  <c r="O432" i="12"/>
  <c r="N432" i="12"/>
  <c r="M432" i="12"/>
  <c r="F432" i="12"/>
  <c r="E432" i="12"/>
  <c r="D432" i="12"/>
  <c r="C432" i="12"/>
  <c r="B432" i="12"/>
  <c r="O431" i="12"/>
  <c r="N431" i="12"/>
  <c r="M431" i="12"/>
  <c r="F431" i="12"/>
  <c r="E431" i="12"/>
  <c r="D431" i="12"/>
  <c r="C431" i="12"/>
  <c r="B431" i="12"/>
  <c r="O430" i="12"/>
  <c r="N430" i="12"/>
  <c r="M430" i="12"/>
  <c r="F430" i="12"/>
  <c r="E430" i="12"/>
  <c r="D430" i="12"/>
  <c r="C430" i="12"/>
  <c r="B430" i="12"/>
  <c r="O429" i="12"/>
  <c r="N429" i="12"/>
  <c r="M429" i="12"/>
  <c r="F429" i="12"/>
  <c r="E429" i="12"/>
  <c r="D429" i="12"/>
  <c r="C429" i="12"/>
  <c r="B429" i="12"/>
  <c r="O428" i="12"/>
  <c r="N428" i="12"/>
  <c r="M428" i="12"/>
  <c r="F428" i="12"/>
  <c r="E428" i="12"/>
  <c r="D428" i="12"/>
  <c r="C428" i="12"/>
  <c r="B428" i="12"/>
  <c r="O427" i="12"/>
  <c r="N427" i="12"/>
  <c r="M427" i="12"/>
  <c r="F427" i="12"/>
  <c r="E427" i="12"/>
  <c r="D427" i="12"/>
  <c r="C427" i="12"/>
  <c r="B427" i="12"/>
  <c r="O426" i="12"/>
  <c r="N426" i="12"/>
  <c r="M426" i="12"/>
  <c r="F426" i="12"/>
  <c r="E426" i="12"/>
  <c r="D426" i="12"/>
  <c r="C426" i="12"/>
  <c r="B426" i="12"/>
  <c r="O425" i="12"/>
  <c r="N425" i="12"/>
  <c r="M425" i="12"/>
  <c r="F425" i="12"/>
  <c r="E425" i="12"/>
  <c r="D425" i="12"/>
  <c r="C425" i="12"/>
  <c r="B425" i="12"/>
  <c r="O424" i="12"/>
  <c r="N424" i="12"/>
  <c r="M424" i="12"/>
  <c r="F424" i="12"/>
  <c r="E424" i="12"/>
  <c r="D424" i="12"/>
  <c r="C424" i="12"/>
  <c r="B424" i="12"/>
  <c r="O423" i="12"/>
  <c r="N423" i="12"/>
  <c r="M423" i="12"/>
  <c r="F423" i="12"/>
  <c r="E423" i="12"/>
  <c r="D423" i="12"/>
  <c r="C423" i="12"/>
  <c r="B423" i="12"/>
  <c r="O422" i="12"/>
  <c r="N422" i="12"/>
  <c r="M422" i="12"/>
  <c r="F422" i="12"/>
  <c r="D422" i="12"/>
  <c r="C422" i="12"/>
  <c r="B422" i="12"/>
  <c r="O421" i="12"/>
  <c r="N421" i="12"/>
  <c r="M421" i="12"/>
  <c r="F421" i="12"/>
  <c r="D421" i="12"/>
  <c r="C421" i="12"/>
  <c r="B421" i="12"/>
  <c r="O420" i="12"/>
  <c r="N420" i="12"/>
  <c r="M420" i="12"/>
  <c r="F420" i="12"/>
  <c r="D420" i="12"/>
  <c r="C420" i="12"/>
  <c r="B420" i="12"/>
  <c r="O419" i="12"/>
  <c r="N419" i="12"/>
  <c r="M419" i="12"/>
  <c r="F419" i="12"/>
  <c r="D419" i="12"/>
  <c r="C419" i="12"/>
  <c r="B419" i="12"/>
  <c r="O418" i="12"/>
  <c r="N418" i="12"/>
  <c r="M418" i="12"/>
  <c r="F418" i="12"/>
  <c r="D418" i="12"/>
  <c r="C418" i="12"/>
  <c r="B418" i="12"/>
  <c r="O417" i="12"/>
  <c r="N417" i="12"/>
  <c r="M417" i="12"/>
  <c r="F417" i="12"/>
  <c r="D417" i="12"/>
  <c r="C417" i="12"/>
  <c r="B417" i="12"/>
  <c r="O416" i="12"/>
  <c r="N416" i="12"/>
  <c r="M416" i="12"/>
  <c r="F416" i="12"/>
  <c r="D416" i="12"/>
  <c r="C416" i="12"/>
  <c r="B416" i="12"/>
  <c r="O415" i="12"/>
  <c r="N415" i="12"/>
  <c r="M415" i="12"/>
  <c r="F415" i="12"/>
  <c r="D415" i="12"/>
  <c r="C415" i="12"/>
  <c r="B415" i="12"/>
  <c r="O414" i="12"/>
  <c r="N414" i="12"/>
  <c r="M414" i="12"/>
  <c r="F414" i="12"/>
  <c r="D414" i="12"/>
  <c r="C414" i="12"/>
  <c r="B414" i="12"/>
  <c r="O413" i="12"/>
  <c r="N413" i="12"/>
  <c r="M413" i="12"/>
  <c r="F413" i="12"/>
  <c r="D413" i="12"/>
  <c r="C413" i="12"/>
  <c r="B413" i="12"/>
  <c r="O412" i="12"/>
  <c r="N412" i="12"/>
  <c r="M412" i="12"/>
  <c r="F412" i="12"/>
  <c r="D412" i="12"/>
  <c r="C412" i="12"/>
  <c r="B412" i="12"/>
  <c r="O411" i="12"/>
  <c r="N411" i="12"/>
  <c r="M411" i="12"/>
  <c r="F411" i="12"/>
  <c r="D411" i="12"/>
  <c r="C411" i="12"/>
  <c r="B411" i="12"/>
  <c r="O410" i="12"/>
  <c r="N410" i="12"/>
  <c r="M410" i="12"/>
  <c r="F410" i="12"/>
  <c r="D410" i="12"/>
  <c r="C410" i="12"/>
  <c r="B410" i="12"/>
  <c r="O409" i="12"/>
  <c r="N409" i="12"/>
  <c r="M409" i="12"/>
  <c r="F409" i="12"/>
  <c r="D409" i="12"/>
  <c r="C409" i="12"/>
  <c r="B409" i="12"/>
  <c r="O408" i="12"/>
  <c r="N408" i="12"/>
  <c r="M408" i="12"/>
  <c r="F408" i="12"/>
  <c r="D408" i="12"/>
  <c r="C408" i="12"/>
  <c r="B408" i="12"/>
  <c r="O407" i="12"/>
  <c r="N407" i="12"/>
  <c r="M407" i="12"/>
  <c r="F407" i="12"/>
  <c r="D407" i="12"/>
  <c r="C407" i="12"/>
  <c r="B407" i="12"/>
  <c r="O406" i="12"/>
  <c r="N406" i="12"/>
  <c r="M406" i="12"/>
  <c r="F406" i="12"/>
  <c r="E406" i="12"/>
  <c r="D406" i="12"/>
  <c r="C406" i="12"/>
  <c r="B406" i="12"/>
  <c r="O405" i="12"/>
  <c r="N405" i="12"/>
  <c r="M405" i="12"/>
  <c r="F405" i="12"/>
  <c r="E405" i="12"/>
  <c r="D405" i="12"/>
  <c r="C405" i="12"/>
  <c r="B405" i="12"/>
  <c r="O404" i="12"/>
  <c r="N404" i="12"/>
  <c r="M404" i="12"/>
  <c r="F404" i="12"/>
  <c r="E404" i="12"/>
  <c r="D404" i="12"/>
  <c r="C404" i="12"/>
  <c r="B404" i="12"/>
  <c r="O403" i="12"/>
  <c r="N403" i="12"/>
  <c r="M403" i="12"/>
  <c r="F403" i="12"/>
  <c r="E403" i="12"/>
  <c r="D403" i="12"/>
  <c r="C403" i="12"/>
  <c r="B403" i="12"/>
  <c r="O402" i="12"/>
  <c r="N402" i="12"/>
  <c r="M402" i="12"/>
  <c r="F402" i="12"/>
  <c r="E402" i="12"/>
  <c r="D402" i="12"/>
  <c r="C402" i="12"/>
  <c r="B402" i="12"/>
  <c r="O401" i="12"/>
  <c r="N401" i="12"/>
  <c r="M401" i="12"/>
  <c r="F401" i="12"/>
  <c r="E401" i="12"/>
  <c r="D401" i="12"/>
  <c r="C401" i="12"/>
  <c r="B401" i="12"/>
  <c r="O400" i="12"/>
  <c r="N400" i="12"/>
  <c r="M400" i="12"/>
  <c r="F400" i="12"/>
  <c r="E400" i="12"/>
  <c r="D400" i="12"/>
  <c r="C400" i="12"/>
  <c r="B400" i="12"/>
  <c r="O399" i="12"/>
  <c r="N399" i="12"/>
  <c r="M399" i="12"/>
  <c r="F399" i="12"/>
  <c r="E399" i="12"/>
  <c r="D399" i="12"/>
  <c r="C399" i="12"/>
  <c r="B399" i="12"/>
  <c r="O398" i="12"/>
  <c r="N398" i="12"/>
  <c r="M398" i="12"/>
  <c r="F398" i="12"/>
  <c r="E398" i="12"/>
  <c r="D398" i="12"/>
  <c r="C398" i="12"/>
  <c r="B398" i="12"/>
  <c r="O397" i="12"/>
  <c r="N397" i="12"/>
  <c r="M397" i="12"/>
  <c r="F397" i="12"/>
  <c r="E397" i="12"/>
  <c r="D397" i="12"/>
  <c r="C397" i="12"/>
  <c r="B397" i="12"/>
  <c r="O396" i="12"/>
  <c r="N396" i="12"/>
  <c r="M396" i="12"/>
  <c r="K396" i="12"/>
  <c r="J396" i="12"/>
  <c r="I396" i="12"/>
  <c r="H396" i="12"/>
  <c r="G396" i="12"/>
  <c r="F396" i="12"/>
  <c r="E396" i="12"/>
  <c r="D396" i="12"/>
  <c r="C396" i="12"/>
  <c r="B396" i="12"/>
  <c r="O395" i="12"/>
  <c r="N395" i="12"/>
  <c r="M395" i="12"/>
  <c r="K395" i="12"/>
  <c r="J395" i="12"/>
  <c r="I395" i="12"/>
  <c r="H395" i="12"/>
  <c r="G395" i="12"/>
  <c r="F395" i="12"/>
  <c r="E395" i="12"/>
  <c r="D395" i="12"/>
  <c r="C395" i="12"/>
  <c r="B395" i="12"/>
  <c r="O394" i="12"/>
  <c r="N394" i="12"/>
  <c r="M394" i="12"/>
  <c r="K394" i="12"/>
  <c r="J394" i="12"/>
  <c r="I394" i="12"/>
  <c r="H394" i="12"/>
  <c r="G394" i="12"/>
  <c r="F394" i="12"/>
  <c r="E394" i="12"/>
  <c r="D394" i="12"/>
  <c r="C394" i="12"/>
  <c r="B394" i="12"/>
  <c r="O393" i="12"/>
  <c r="N393" i="12"/>
  <c r="M393" i="12"/>
  <c r="K393" i="12"/>
  <c r="J393" i="12"/>
  <c r="I393" i="12"/>
  <c r="H393" i="12"/>
  <c r="G393" i="12"/>
  <c r="F393" i="12"/>
  <c r="E393" i="12"/>
  <c r="D393" i="12"/>
  <c r="C393" i="12"/>
  <c r="B393" i="12"/>
  <c r="O392" i="12"/>
  <c r="N392" i="12"/>
  <c r="M392" i="12"/>
  <c r="K392" i="12"/>
  <c r="J392" i="12"/>
  <c r="I392" i="12"/>
  <c r="H392" i="12"/>
  <c r="G392" i="12"/>
  <c r="F392" i="12"/>
  <c r="E392" i="12"/>
  <c r="D392" i="12"/>
  <c r="C392" i="12"/>
  <c r="B392" i="12"/>
  <c r="O391" i="12"/>
  <c r="N391" i="12"/>
  <c r="M391" i="12"/>
  <c r="K391" i="12"/>
  <c r="J391" i="12"/>
  <c r="I391" i="12"/>
  <c r="H391" i="12"/>
  <c r="G391" i="12"/>
  <c r="F391" i="12"/>
  <c r="E391" i="12"/>
  <c r="D391" i="12"/>
  <c r="C391" i="12"/>
  <c r="B391" i="12"/>
  <c r="O390" i="12"/>
  <c r="N390" i="12"/>
  <c r="M390" i="12"/>
  <c r="F390" i="12"/>
  <c r="E390" i="12"/>
  <c r="D390" i="12"/>
  <c r="C390" i="12"/>
  <c r="B390" i="12"/>
  <c r="O389" i="12"/>
  <c r="N389" i="12"/>
  <c r="M389" i="12"/>
  <c r="F389" i="12"/>
  <c r="E389" i="12"/>
  <c r="D389" i="12"/>
  <c r="C389" i="12"/>
  <c r="B389" i="12"/>
  <c r="O388" i="12"/>
  <c r="N388" i="12"/>
  <c r="M388" i="12"/>
  <c r="F388" i="12"/>
  <c r="E388" i="12"/>
  <c r="D388" i="12"/>
  <c r="C388" i="12"/>
  <c r="B388" i="12"/>
  <c r="O387" i="12"/>
  <c r="N387" i="12"/>
  <c r="M387" i="12"/>
  <c r="F387" i="12"/>
  <c r="E387" i="12"/>
  <c r="D387" i="12"/>
  <c r="C387" i="12"/>
  <c r="B387" i="12"/>
  <c r="O386" i="12"/>
  <c r="N386" i="12"/>
  <c r="M386" i="12"/>
  <c r="F386" i="12"/>
  <c r="E386" i="12"/>
  <c r="D386" i="12"/>
  <c r="C386" i="12"/>
  <c r="B386" i="12"/>
  <c r="O385" i="12"/>
  <c r="N385" i="12"/>
  <c r="M385" i="12"/>
  <c r="F385" i="12"/>
  <c r="E385" i="12"/>
  <c r="D385" i="12"/>
  <c r="C385" i="12"/>
  <c r="B385" i="12"/>
  <c r="O384" i="12"/>
  <c r="N384" i="12"/>
  <c r="M384" i="12"/>
  <c r="F384" i="12"/>
  <c r="E384" i="12"/>
  <c r="D384" i="12"/>
  <c r="C384" i="12"/>
  <c r="B384" i="12"/>
  <c r="O383" i="12"/>
  <c r="N383" i="12"/>
  <c r="M383" i="12"/>
  <c r="F383" i="12"/>
  <c r="E383" i="12"/>
  <c r="D383" i="12"/>
  <c r="C383" i="12"/>
  <c r="B383" i="12"/>
  <c r="O382" i="12"/>
  <c r="N382" i="12"/>
  <c r="M382" i="12"/>
  <c r="F382" i="12"/>
  <c r="E382" i="12"/>
  <c r="D382" i="12"/>
  <c r="C382" i="12"/>
  <c r="B382" i="12"/>
  <c r="O381" i="12"/>
  <c r="N381" i="12"/>
  <c r="M381" i="12"/>
  <c r="F381" i="12"/>
  <c r="E381" i="12"/>
  <c r="D381" i="12"/>
  <c r="C381" i="12"/>
  <c r="B381" i="12"/>
  <c r="O380" i="12"/>
  <c r="N380" i="12"/>
  <c r="M380" i="12"/>
  <c r="F380" i="12"/>
  <c r="E380" i="12"/>
  <c r="D380" i="12"/>
  <c r="C380" i="12"/>
  <c r="B380" i="12"/>
  <c r="O379" i="12"/>
  <c r="N379" i="12"/>
  <c r="M379" i="12"/>
  <c r="F379" i="12"/>
  <c r="E379" i="12"/>
  <c r="D379" i="12"/>
  <c r="C379" i="12"/>
  <c r="B379" i="12"/>
  <c r="O378" i="12"/>
  <c r="N378" i="12"/>
  <c r="M378" i="12"/>
  <c r="F378" i="12"/>
  <c r="E378" i="12"/>
  <c r="D378" i="12"/>
  <c r="C378" i="12"/>
  <c r="B378" i="12"/>
  <c r="O377" i="12"/>
  <c r="N377" i="12"/>
  <c r="M377" i="12"/>
  <c r="F377" i="12"/>
  <c r="E377" i="12"/>
  <c r="D377" i="12"/>
  <c r="C377" i="12"/>
  <c r="B377" i="12"/>
  <c r="O376" i="12"/>
  <c r="N376" i="12"/>
  <c r="M376" i="12"/>
  <c r="F376" i="12"/>
  <c r="E376" i="12"/>
  <c r="D376" i="12"/>
  <c r="C376" i="12"/>
  <c r="B376" i="12"/>
  <c r="O375" i="12"/>
  <c r="N375" i="12"/>
  <c r="M375" i="12"/>
  <c r="F375" i="12"/>
  <c r="E375" i="12"/>
  <c r="D375" i="12"/>
  <c r="C375" i="12"/>
  <c r="B375" i="12"/>
  <c r="O374" i="12"/>
  <c r="N374" i="12"/>
  <c r="M374" i="12"/>
  <c r="F374" i="12"/>
  <c r="E374" i="12"/>
  <c r="D374" i="12"/>
  <c r="C374" i="12"/>
  <c r="B374" i="12"/>
  <c r="O373" i="12"/>
  <c r="N373" i="12"/>
  <c r="M373" i="12"/>
  <c r="F373" i="12"/>
  <c r="E373" i="12"/>
  <c r="D373" i="12"/>
  <c r="C373" i="12"/>
  <c r="B373" i="12"/>
  <c r="O372" i="12"/>
  <c r="N372" i="12"/>
  <c r="M372" i="12"/>
  <c r="F372" i="12"/>
  <c r="E372" i="12"/>
  <c r="D372" i="12"/>
  <c r="C372" i="12"/>
  <c r="B372" i="12"/>
  <c r="O371" i="12"/>
  <c r="N371" i="12"/>
  <c r="M371" i="12"/>
  <c r="F371" i="12"/>
  <c r="E371" i="12"/>
  <c r="D371" i="12"/>
  <c r="C371" i="12"/>
  <c r="B371" i="12"/>
  <c r="O370" i="12"/>
  <c r="N370" i="12"/>
  <c r="M370" i="12"/>
  <c r="F370" i="12"/>
  <c r="E370" i="12"/>
  <c r="D370" i="12"/>
  <c r="C370" i="12"/>
  <c r="B370" i="12"/>
  <c r="O369" i="12"/>
  <c r="N369" i="12"/>
  <c r="M369" i="12"/>
  <c r="F369" i="12"/>
  <c r="E369" i="12"/>
  <c r="D369" i="12"/>
  <c r="C369" i="12"/>
  <c r="B369" i="12"/>
  <c r="O368" i="12"/>
  <c r="N368" i="12"/>
  <c r="M368" i="12"/>
  <c r="F368" i="12"/>
  <c r="E368" i="12"/>
  <c r="D368" i="12"/>
  <c r="C368" i="12"/>
  <c r="B368" i="12"/>
  <c r="O367" i="12"/>
  <c r="N367" i="12"/>
  <c r="M367" i="12"/>
  <c r="F367" i="12"/>
  <c r="E367" i="12"/>
  <c r="D367" i="12"/>
  <c r="C367" i="12"/>
  <c r="B367" i="12"/>
  <c r="O366" i="12"/>
  <c r="N366" i="12"/>
  <c r="M366" i="12"/>
  <c r="F366" i="12"/>
  <c r="E366" i="12"/>
  <c r="D366" i="12"/>
  <c r="C366" i="12"/>
  <c r="B366" i="12"/>
  <c r="O365" i="12"/>
  <c r="N365" i="12"/>
  <c r="M365" i="12"/>
  <c r="F365" i="12"/>
  <c r="E365" i="12"/>
  <c r="D365" i="12"/>
  <c r="C365" i="12"/>
  <c r="B365" i="12"/>
  <c r="O364" i="12"/>
  <c r="N364" i="12"/>
  <c r="M364" i="12"/>
  <c r="F364" i="12"/>
  <c r="E364" i="12"/>
  <c r="D364" i="12"/>
  <c r="C364" i="12"/>
  <c r="B364" i="12"/>
  <c r="O363" i="12"/>
  <c r="N363" i="12"/>
  <c r="M363" i="12"/>
  <c r="F363" i="12"/>
  <c r="E363" i="12"/>
  <c r="D363" i="12"/>
  <c r="C363" i="12"/>
  <c r="B363" i="12"/>
  <c r="O362" i="12"/>
  <c r="N362" i="12"/>
  <c r="M362" i="12"/>
  <c r="F362" i="12"/>
  <c r="E362" i="12"/>
  <c r="D362" i="12"/>
  <c r="C362" i="12"/>
  <c r="B362" i="12"/>
  <c r="O361" i="12"/>
  <c r="N361" i="12"/>
  <c r="M361" i="12"/>
  <c r="F361" i="12"/>
  <c r="E361" i="12"/>
  <c r="D361" i="12"/>
  <c r="C361" i="12"/>
  <c r="B361" i="12"/>
  <c r="O360" i="12"/>
  <c r="N360" i="12"/>
  <c r="M360" i="12"/>
  <c r="F360" i="12"/>
  <c r="E360" i="12"/>
  <c r="D360" i="12"/>
  <c r="C360" i="12"/>
  <c r="B360" i="12"/>
  <c r="O359" i="12"/>
  <c r="N359" i="12"/>
  <c r="M359" i="12"/>
  <c r="F359" i="12"/>
  <c r="E359" i="12"/>
  <c r="D359" i="12"/>
  <c r="C359" i="12"/>
  <c r="B359" i="12"/>
  <c r="O358" i="12"/>
  <c r="N358" i="12"/>
  <c r="M358" i="12"/>
  <c r="F358" i="12"/>
  <c r="E358" i="12"/>
  <c r="D358" i="12"/>
  <c r="C358" i="12"/>
  <c r="B358" i="12"/>
  <c r="O357" i="12"/>
  <c r="N357" i="12"/>
  <c r="M357" i="12"/>
  <c r="F357" i="12"/>
  <c r="E357" i="12"/>
  <c r="D357" i="12"/>
  <c r="C357" i="12"/>
  <c r="B357" i="12"/>
  <c r="O356" i="12"/>
  <c r="N356" i="12"/>
  <c r="M356" i="12"/>
  <c r="F356" i="12"/>
  <c r="E356" i="12"/>
  <c r="D356" i="12"/>
  <c r="C356" i="12"/>
  <c r="B356" i="12"/>
  <c r="O355" i="12"/>
  <c r="N355" i="12"/>
  <c r="M355" i="12"/>
  <c r="F355" i="12"/>
  <c r="E355" i="12"/>
  <c r="D355" i="12"/>
  <c r="C355" i="12"/>
  <c r="B355" i="12"/>
  <c r="O354" i="12"/>
  <c r="N354" i="12"/>
  <c r="M354" i="12"/>
  <c r="F354" i="12"/>
  <c r="E354" i="12"/>
  <c r="D354" i="12"/>
  <c r="C354" i="12"/>
  <c r="B354" i="12"/>
  <c r="O353" i="12"/>
  <c r="N353" i="12"/>
  <c r="M353" i="12"/>
  <c r="F353" i="12"/>
  <c r="E353" i="12"/>
  <c r="D353" i="12"/>
  <c r="C353" i="12"/>
  <c r="B353" i="12"/>
  <c r="O352" i="12"/>
  <c r="N352" i="12"/>
  <c r="M352" i="12"/>
  <c r="F352" i="12"/>
  <c r="E352" i="12"/>
  <c r="D352" i="12"/>
  <c r="C352" i="12"/>
  <c r="B352" i="12"/>
  <c r="O351" i="12"/>
  <c r="N351" i="12"/>
  <c r="M351" i="12"/>
  <c r="F351" i="12"/>
  <c r="E351" i="12"/>
  <c r="D351" i="12"/>
  <c r="C351" i="12"/>
  <c r="B351" i="12"/>
  <c r="O350" i="12"/>
  <c r="N350" i="12"/>
  <c r="M350" i="12"/>
  <c r="F350" i="12"/>
  <c r="E350" i="12"/>
  <c r="D350" i="12"/>
  <c r="C350" i="12"/>
  <c r="B350" i="12"/>
  <c r="O349" i="12"/>
  <c r="N349" i="12"/>
  <c r="M349" i="12"/>
  <c r="F349" i="12"/>
  <c r="E349" i="12"/>
  <c r="D349" i="12"/>
  <c r="C349" i="12"/>
  <c r="B349" i="12"/>
  <c r="O348" i="12"/>
  <c r="N348" i="12"/>
  <c r="M348" i="12"/>
  <c r="F348" i="12"/>
  <c r="E348" i="12"/>
  <c r="D348" i="12"/>
  <c r="C348" i="12"/>
  <c r="B348" i="12"/>
  <c r="O347" i="12"/>
  <c r="N347" i="12"/>
  <c r="M347" i="12"/>
  <c r="F347" i="12"/>
  <c r="E347" i="12"/>
  <c r="D347" i="12"/>
  <c r="C347" i="12"/>
  <c r="B347" i="12"/>
  <c r="O346" i="12"/>
  <c r="N346" i="12"/>
  <c r="M346" i="12"/>
  <c r="F346" i="12"/>
  <c r="E346" i="12"/>
  <c r="D346" i="12"/>
  <c r="C346" i="12"/>
  <c r="B346" i="12"/>
  <c r="O345" i="12"/>
  <c r="N345" i="12"/>
  <c r="M345" i="12"/>
  <c r="F345" i="12"/>
  <c r="E345" i="12"/>
  <c r="D345" i="12"/>
  <c r="C345" i="12"/>
  <c r="B345" i="12"/>
  <c r="O344" i="12"/>
  <c r="N344" i="12"/>
  <c r="M344" i="12"/>
  <c r="F344" i="12"/>
  <c r="E344" i="12"/>
  <c r="D344" i="12"/>
  <c r="C344" i="12"/>
  <c r="B344" i="12"/>
  <c r="O343" i="12"/>
  <c r="N343" i="12"/>
  <c r="M343" i="12"/>
  <c r="F343" i="12"/>
  <c r="E343" i="12"/>
  <c r="D343" i="12"/>
  <c r="C343" i="12"/>
  <c r="B343" i="12"/>
  <c r="O342" i="12"/>
  <c r="N342" i="12"/>
  <c r="M342" i="12"/>
  <c r="F342" i="12"/>
  <c r="E342" i="12"/>
  <c r="D342" i="12"/>
  <c r="C342" i="12"/>
  <c r="B342" i="12"/>
  <c r="O341" i="12"/>
  <c r="N341" i="12"/>
  <c r="M341" i="12"/>
  <c r="F341" i="12"/>
  <c r="E341" i="12"/>
  <c r="D341" i="12"/>
  <c r="C341" i="12"/>
  <c r="B341" i="12"/>
  <c r="O340" i="12"/>
  <c r="N340" i="12"/>
  <c r="M340" i="12"/>
  <c r="F340" i="12"/>
  <c r="E340" i="12"/>
  <c r="D340" i="12"/>
  <c r="C340" i="12"/>
  <c r="B340" i="12"/>
  <c r="O339" i="12"/>
  <c r="N339" i="12"/>
  <c r="M339" i="12"/>
  <c r="F339" i="12"/>
  <c r="E339" i="12"/>
  <c r="D339" i="12"/>
  <c r="C339" i="12"/>
  <c r="B339" i="12"/>
  <c r="O338" i="12"/>
  <c r="N338" i="12"/>
  <c r="M338" i="12"/>
  <c r="F338" i="12"/>
  <c r="E338" i="12"/>
  <c r="D338" i="12"/>
  <c r="C338" i="12"/>
  <c r="B338" i="12"/>
  <c r="O337" i="12"/>
  <c r="N337" i="12"/>
  <c r="M337" i="12"/>
  <c r="F337" i="12"/>
  <c r="E337" i="12"/>
  <c r="D337" i="12"/>
  <c r="C337" i="12"/>
  <c r="B337" i="12"/>
  <c r="O336" i="12"/>
  <c r="N336" i="12"/>
  <c r="M336" i="12"/>
  <c r="F336" i="12"/>
  <c r="E336" i="12"/>
  <c r="D336" i="12"/>
  <c r="C336" i="12"/>
  <c r="B336" i="12"/>
  <c r="O335" i="12"/>
  <c r="N335" i="12"/>
  <c r="M335" i="12"/>
  <c r="F335" i="12"/>
  <c r="E335" i="12"/>
  <c r="D335" i="12"/>
  <c r="C335" i="12"/>
  <c r="B335" i="12"/>
  <c r="O334" i="12"/>
  <c r="N334" i="12"/>
  <c r="M334" i="12"/>
  <c r="F334" i="12"/>
  <c r="E334" i="12"/>
  <c r="D334" i="12"/>
  <c r="C334" i="12"/>
  <c r="B334" i="12"/>
  <c r="O333" i="12"/>
  <c r="N333" i="12"/>
  <c r="M333" i="12"/>
  <c r="F333" i="12"/>
  <c r="E333" i="12"/>
  <c r="D333" i="12"/>
  <c r="C333" i="12"/>
  <c r="B333" i="12"/>
  <c r="O332" i="12"/>
  <c r="N332" i="12"/>
  <c r="M332" i="12"/>
  <c r="F332" i="12"/>
  <c r="E332" i="12"/>
  <c r="D332" i="12"/>
  <c r="C332" i="12"/>
  <c r="B332" i="12"/>
  <c r="O331" i="12"/>
  <c r="N331" i="12"/>
  <c r="M331" i="12"/>
  <c r="F331" i="12"/>
  <c r="E331" i="12"/>
  <c r="D331" i="12"/>
  <c r="C331" i="12"/>
  <c r="B331" i="12"/>
  <c r="O330" i="12"/>
  <c r="N330" i="12"/>
  <c r="M330" i="12"/>
  <c r="F330" i="12"/>
  <c r="E330" i="12"/>
  <c r="D330" i="12"/>
  <c r="C330" i="12"/>
  <c r="B330" i="12"/>
  <c r="O329" i="12"/>
  <c r="N329" i="12"/>
  <c r="M329" i="12"/>
  <c r="F329" i="12"/>
  <c r="E329" i="12"/>
  <c r="D329" i="12"/>
  <c r="C329" i="12"/>
  <c r="B329" i="12"/>
  <c r="O328" i="12"/>
  <c r="N328" i="12"/>
  <c r="M328" i="12"/>
  <c r="F328" i="12"/>
  <c r="E328" i="12"/>
  <c r="D328" i="12"/>
  <c r="C328" i="12"/>
  <c r="B328" i="12"/>
  <c r="O327" i="12"/>
  <c r="N327" i="12"/>
  <c r="M327" i="12"/>
  <c r="F327" i="12"/>
  <c r="E327" i="12"/>
  <c r="D327" i="12"/>
  <c r="C327" i="12"/>
  <c r="B327" i="12"/>
  <c r="O326" i="12"/>
  <c r="N326" i="12"/>
  <c r="M326" i="12"/>
  <c r="F326" i="12"/>
  <c r="E326" i="12"/>
  <c r="D326" i="12"/>
  <c r="C326" i="12"/>
  <c r="B326" i="12"/>
  <c r="O325" i="12"/>
  <c r="N325" i="12"/>
  <c r="M325" i="12"/>
  <c r="F325" i="12"/>
  <c r="E325" i="12"/>
  <c r="D325" i="12"/>
  <c r="C325" i="12"/>
  <c r="B325" i="12"/>
  <c r="O324" i="12"/>
  <c r="N324" i="12"/>
  <c r="M324" i="12"/>
  <c r="F324" i="12"/>
  <c r="E324" i="12"/>
  <c r="D324" i="12"/>
  <c r="C324" i="12"/>
  <c r="B324" i="12"/>
  <c r="O323" i="12"/>
  <c r="N323" i="12"/>
  <c r="M323" i="12"/>
  <c r="F323" i="12"/>
  <c r="E323" i="12"/>
  <c r="D323" i="12"/>
  <c r="C323" i="12"/>
  <c r="B323" i="12"/>
  <c r="O322" i="12"/>
  <c r="N322" i="12"/>
  <c r="M322" i="12"/>
  <c r="F322" i="12"/>
  <c r="E322" i="12"/>
  <c r="D322" i="12"/>
  <c r="C322" i="12"/>
  <c r="B322" i="12"/>
  <c r="O321" i="12"/>
  <c r="N321" i="12"/>
  <c r="M321" i="12"/>
  <c r="F321" i="12"/>
  <c r="E321" i="12"/>
  <c r="D321" i="12"/>
  <c r="C321" i="12"/>
  <c r="B321" i="12"/>
  <c r="O320" i="12"/>
  <c r="N320" i="12"/>
  <c r="M320" i="12"/>
  <c r="F320" i="12"/>
  <c r="E320" i="12"/>
  <c r="D320" i="12"/>
  <c r="C320" i="12"/>
  <c r="B320" i="12"/>
  <c r="O319" i="12"/>
  <c r="N319" i="12"/>
  <c r="M319" i="12"/>
  <c r="F319" i="12"/>
  <c r="E319" i="12"/>
  <c r="D319" i="12"/>
  <c r="C319" i="12"/>
  <c r="B319" i="12"/>
  <c r="O318" i="12"/>
  <c r="N318" i="12"/>
  <c r="M318" i="12"/>
  <c r="F318" i="12"/>
  <c r="E318" i="12"/>
  <c r="D318" i="12"/>
  <c r="C318" i="12"/>
  <c r="B318" i="12"/>
  <c r="O317" i="12"/>
  <c r="N317" i="12"/>
  <c r="M317" i="12"/>
  <c r="F317" i="12"/>
  <c r="E317" i="12"/>
  <c r="D317" i="12"/>
  <c r="C317" i="12"/>
  <c r="B317" i="12"/>
  <c r="O316" i="12"/>
  <c r="N316" i="12"/>
  <c r="M316" i="12"/>
  <c r="F316" i="12"/>
  <c r="E316" i="12"/>
  <c r="D316" i="12"/>
  <c r="C316" i="12"/>
  <c r="B316" i="12"/>
  <c r="O315" i="12"/>
  <c r="N315" i="12"/>
  <c r="M315" i="12"/>
  <c r="F315" i="12"/>
  <c r="E315" i="12"/>
  <c r="D315" i="12"/>
  <c r="C315" i="12"/>
  <c r="B315" i="12"/>
  <c r="O314" i="12"/>
  <c r="N314" i="12"/>
  <c r="M314" i="12"/>
  <c r="F314" i="12"/>
  <c r="E314" i="12"/>
  <c r="D314" i="12"/>
  <c r="C314" i="12"/>
  <c r="B314" i="12"/>
  <c r="O313" i="12"/>
  <c r="N313" i="12"/>
  <c r="M313" i="12"/>
  <c r="F313" i="12"/>
  <c r="E313" i="12"/>
  <c r="D313" i="12"/>
  <c r="C313" i="12"/>
  <c r="B313" i="12"/>
  <c r="O312" i="12"/>
  <c r="N312" i="12"/>
  <c r="M312" i="12"/>
  <c r="F312" i="12"/>
  <c r="E312" i="12"/>
  <c r="D312" i="12"/>
  <c r="C312" i="12"/>
  <c r="B312" i="12"/>
  <c r="O311" i="12"/>
  <c r="N311" i="12"/>
  <c r="M311" i="12"/>
  <c r="F311" i="12"/>
  <c r="E311" i="12"/>
  <c r="D311" i="12"/>
  <c r="C311" i="12"/>
  <c r="B311" i="12"/>
  <c r="O310" i="12"/>
  <c r="N310" i="12"/>
  <c r="M310" i="12"/>
  <c r="F310" i="12"/>
  <c r="E310" i="12"/>
  <c r="D310" i="12"/>
  <c r="C310" i="12"/>
  <c r="B310" i="12"/>
  <c r="O309" i="12"/>
  <c r="N309" i="12"/>
  <c r="M309" i="12"/>
  <c r="F309" i="12"/>
  <c r="E309" i="12"/>
  <c r="D309" i="12"/>
  <c r="C309" i="12"/>
  <c r="B309" i="12"/>
  <c r="O308" i="12"/>
  <c r="N308" i="12"/>
  <c r="M308" i="12"/>
  <c r="F308" i="12"/>
  <c r="E308" i="12"/>
  <c r="D308" i="12"/>
  <c r="C308" i="12"/>
  <c r="B308" i="12"/>
  <c r="O307" i="12"/>
  <c r="N307" i="12"/>
  <c r="M307" i="12"/>
  <c r="F307" i="12"/>
  <c r="E307" i="12"/>
  <c r="D307" i="12"/>
  <c r="C307" i="12"/>
  <c r="B307" i="12"/>
  <c r="O306" i="12"/>
  <c r="N306" i="12"/>
  <c r="M306" i="12"/>
  <c r="F306" i="12"/>
  <c r="E306" i="12"/>
  <c r="D306" i="12"/>
  <c r="C306" i="12"/>
  <c r="B306" i="12"/>
  <c r="O305" i="12"/>
  <c r="N305" i="12"/>
  <c r="M305" i="12"/>
  <c r="F305" i="12"/>
  <c r="E305" i="12"/>
  <c r="D305" i="12"/>
  <c r="C305" i="12"/>
  <c r="B305" i="12"/>
  <c r="O304" i="12"/>
  <c r="N304" i="12"/>
  <c r="M304" i="12"/>
  <c r="F304" i="12"/>
  <c r="E304" i="12"/>
  <c r="D304" i="12"/>
  <c r="C304" i="12"/>
  <c r="B304" i="12"/>
  <c r="O303" i="12"/>
  <c r="N303" i="12"/>
  <c r="M303" i="12"/>
  <c r="F303" i="12"/>
  <c r="E303" i="12"/>
  <c r="D303" i="12"/>
  <c r="C303" i="12"/>
  <c r="B303" i="12"/>
  <c r="O302" i="12"/>
  <c r="N302" i="12"/>
  <c r="M302" i="12"/>
  <c r="F302" i="12"/>
  <c r="E302" i="12"/>
  <c r="D302" i="12"/>
  <c r="C302" i="12"/>
  <c r="B302" i="12"/>
  <c r="O301" i="12"/>
  <c r="N301" i="12"/>
  <c r="M301" i="12"/>
  <c r="F301" i="12"/>
  <c r="E301" i="12"/>
  <c r="D301" i="12"/>
  <c r="C301" i="12"/>
  <c r="B301" i="12"/>
  <c r="O300" i="12"/>
  <c r="N300" i="12"/>
  <c r="M300" i="12"/>
  <c r="F300" i="12"/>
  <c r="E300" i="12"/>
  <c r="D300" i="12"/>
  <c r="C300" i="12"/>
  <c r="B300" i="12"/>
  <c r="O299" i="12"/>
  <c r="N299" i="12"/>
  <c r="M299" i="12"/>
  <c r="K299" i="12"/>
  <c r="J299" i="12"/>
  <c r="I299" i="12"/>
  <c r="H299" i="12"/>
  <c r="G299" i="12"/>
  <c r="F299" i="12"/>
  <c r="E299" i="12"/>
  <c r="D299" i="12"/>
  <c r="C299" i="12"/>
  <c r="B299" i="12"/>
  <c r="O298" i="12"/>
  <c r="N298" i="12"/>
  <c r="M298" i="12"/>
  <c r="K298" i="12"/>
  <c r="J298" i="12"/>
  <c r="I298" i="12"/>
  <c r="H298" i="12"/>
  <c r="G298" i="12"/>
  <c r="F298" i="12"/>
  <c r="E298" i="12"/>
  <c r="D298" i="12"/>
  <c r="C298" i="12"/>
  <c r="B298" i="12"/>
  <c r="O297" i="12"/>
  <c r="N297" i="12"/>
  <c r="M297" i="12"/>
  <c r="K297" i="12"/>
  <c r="J297" i="12"/>
  <c r="I297" i="12"/>
  <c r="H297" i="12"/>
  <c r="G297" i="12"/>
  <c r="F297" i="12"/>
  <c r="E297" i="12"/>
  <c r="D297" i="12"/>
  <c r="C297" i="12"/>
  <c r="B297" i="12"/>
  <c r="O296" i="12"/>
  <c r="N296" i="12"/>
  <c r="M296" i="12"/>
  <c r="K296" i="12"/>
  <c r="J296" i="12"/>
  <c r="I296" i="12"/>
  <c r="H296" i="12"/>
  <c r="G296" i="12"/>
  <c r="F296" i="12"/>
  <c r="E296" i="12"/>
  <c r="D296" i="12"/>
  <c r="C296" i="12"/>
  <c r="B296" i="12"/>
  <c r="O295" i="12"/>
  <c r="N295" i="12"/>
  <c r="M295" i="12"/>
  <c r="K295" i="12"/>
  <c r="J295" i="12"/>
  <c r="I295" i="12"/>
  <c r="H295" i="12"/>
  <c r="G295" i="12"/>
  <c r="F295" i="12"/>
  <c r="E295" i="12"/>
  <c r="D295" i="12"/>
  <c r="C295" i="12"/>
  <c r="B295" i="12"/>
  <c r="O294" i="12"/>
  <c r="N294" i="12"/>
  <c r="M294" i="12"/>
  <c r="F294" i="12"/>
  <c r="E294" i="12"/>
  <c r="D294" i="12"/>
  <c r="C294" i="12"/>
  <c r="B294" i="12"/>
  <c r="O293" i="12"/>
  <c r="N293" i="12"/>
  <c r="M293" i="12"/>
  <c r="F293" i="12"/>
  <c r="E293" i="12"/>
  <c r="D293" i="12"/>
  <c r="C293" i="12"/>
  <c r="B293" i="12"/>
  <c r="O292" i="12"/>
  <c r="N292" i="12"/>
  <c r="M292" i="12"/>
  <c r="F292" i="12"/>
  <c r="E292" i="12"/>
  <c r="D292" i="12"/>
  <c r="C292" i="12"/>
  <c r="B292" i="12"/>
  <c r="O291" i="12"/>
  <c r="N291" i="12"/>
  <c r="M291" i="12"/>
  <c r="F291" i="12"/>
  <c r="E291" i="12"/>
  <c r="D291" i="12"/>
  <c r="C291" i="12"/>
  <c r="B291" i="12"/>
  <c r="O290" i="12"/>
  <c r="N290" i="12"/>
  <c r="M290" i="12"/>
  <c r="F290" i="12"/>
  <c r="E290" i="12"/>
  <c r="D290" i="12"/>
  <c r="C290" i="12"/>
  <c r="B290" i="12"/>
  <c r="O289" i="12"/>
  <c r="N289" i="12"/>
  <c r="M289" i="12"/>
  <c r="F289" i="12"/>
  <c r="E289" i="12"/>
  <c r="D289" i="12"/>
  <c r="C289" i="12"/>
  <c r="B289" i="12"/>
  <c r="O288" i="12"/>
  <c r="N288" i="12"/>
  <c r="M288" i="12"/>
  <c r="F288" i="12"/>
  <c r="E288" i="12"/>
  <c r="D288" i="12"/>
  <c r="C288" i="12"/>
  <c r="B288" i="12"/>
  <c r="O287" i="12"/>
  <c r="N287" i="12"/>
  <c r="M287" i="12"/>
  <c r="F287" i="12"/>
  <c r="E287" i="12"/>
  <c r="D287" i="12"/>
  <c r="C287" i="12"/>
  <c r="B287" i="12"/>
  <c r="O286" i="12"/>
  <c r="N286" i="12"/>
  <c r="M286" i="12"/>
  <c r="F286" i="12"/>
  <c r="E286" i="12"/>
  <c r="D286" i="12"/>
  <c r="C286" i="12"/>
  <c r="B286" i="12"/>
  <c r="O285" i="12"/>
  <c r="N285" i="12"/>
  <c r="M285" i="12"/>
  <c r="F285" i="12"/>
  <c r="E285" i="12"/>
  <c r="D285" i="12"/>
  <c r="C285" i="12"/>
  <c r="B285" i="12"/>
  <c r="O284" i="12"/>
  <c r="N284" i="12"/>
  <c r="M284" i="12"/>
  <c r="F284" i="12"/>
  <c r="E284" i="12"/>
  <c r="D284" i="12"/>
  <c r="C284" i="12"/>
  <c r="B284" i="12"/>
  <c r="O283" i="12"/>
  <c r="N283" i="12"/>
  <c r="M283" i="12"/>
  <c r="F283" i="12"/>
  <c r="E283" i="12"/>
  <c r="D283" i="12"/>
  <c r="C283" i="12"/>
  <c r="B283" i="12"/>
  <c r="O282" i="12"/>
  <c r="N282" i="12"/>
  <c r="M282" i="12"/>
  <c r="K282" i="12"/>
  <c r="J282" i="12"/>
  <c r="I282" i="12"/>
  <c r="H282" i="12"/>
  <c r="G282" i="12"/>
  <c r="F282" i="12"/>
  <c r="E282" i="12"/>
  <c r="D282" i="12"/>
  <c r="C282" i="12"/>
  <c r="B282" i="12"/>
  <c r="O281" i="12"/>
  <c r="N281" i="12"/>
  <c r="M281" i="12"/>
  <c r="K281" i="12"/>
  <c r="J281" i="12"/>
  <c r="I281" i="12"/>
  <c r="H281" i="12"/>
  <c r="G281" i="12"/>
  <c r="F281" i="12"/>
  <c r="E281" i="12"/>
  <c r="D281" i="12"/>
  <c r="C281" i="12"/>
  <c r="B281" i="12"/>
  <c r="O280" i="12"/>
  <c r="N280" i="12"/>
  <c r="M280" i="12"/>
  <c r="K280" i="12"/>
  <c r="J280" i="12"/>
  <c r="I280" i="12"/>
  <c r="H280" i="12"/>
  <c r="G280" i="12"/>
  <c r="F280" i="12"/>
  <c r="E280" i="12"/>
  <c r="D280" i="12"/>
  <c r="C280" i="12"/>
  <c r="B280" i="12"/>
  <c r="O279" i="12"/>
  <c r="N279" i="12"/>
  <c r="M279" i="12"/>
  <c r="K279" i="12"/>
  <c r="J279" i="12"/>
  <c r="I279" i="12"/>
  <c r="H279" i="12"/>
  <c r="G279" i="12"/>
  <c r="F279" i="12"/>
  <c r="E279" i="12"/>
  <c r="D279" i="12"/>
  <c r="C279" i="12"/>
  <c r="B279" i="12"/>
  <c r="O278" i="12"/>
  <c r="N278" i="12"/>
  <c r="M278" i="12"/>
  <c r="F278" i="12"/>
  <c r="E278" i="12"/>
  <c r="D278" i="12"/>
  <c r="C278" i="12"/>
  <c r="B278" i="12"/>
  <c r="O277" i="12"/>
  <c r="N277" i="12"/>
  <c r="M277" i="12"/>
  <c r="F277" i="12"/>
  <c r="E277" i="12"/>
  <c r="D277" i="12"/>
  <c r="C277" i="12"/>
  <c r="B277" i="12"/>
  <c r="O276" i="12"/>
  <c r="N276" i="12"/>
  <c r="M276" i="12"/>
  <c r="F276" i="12"/>
  <c r="E276" i="12"/>
  <c r="D276" i="12"/>
  <c r="C276" i="12"/>
  <c r="B276" i="12"/>
  <c r="O275" i="12"/>
  <c r="N275" i="12"/>
  <c r="M275" i="12"/>
  <c r="F275" i="12"/>
  <c r="E275" i="12"/>
  <c r="D275" i="12"/>
  <c r="C275" i="12"/>
  <c r="B275" i="12"/>
  <c r="O274" i="12"/>
  <c r="N274" i="12"/>
  <c r="M274" i="12"/>
  <c r="F274" i="12"/>
  <c r="E274" i="12"/>
  <c r="D274" i="12"/>
  <c r="C274" i="12"/>
  <c r="B274" i="12"/>
  <c r="O273" i="12"/>
  <c r="N273" i="12"/>
  <c r="M273" i="12"/>
  <c r="F273" i="12"/>
  <c r="E273" i="12"/>
  <c r="D273" i="12"/>
  <c r="C273" i="12"/>
  <c r="B273" i="12"/>
  <c r="O272" i="12"/>
  <c r="N272" i="12"/>
  <c r="M272" i="12"/>
  <c r="F272" i="12"/>
  <c r="E272" i="12"/>
  <c r="D272" i="12"/>
  <c r="C272" i="12"/>
  <c r="B272" i="12"/>
  <c r="O271" i="12"/>
  <c r="N271" i="12"/>
  <c r="M271" i="12"/>
  <c r="F271" i="12"/>
  <c r="E271" i="12"/>
  <c r="D271" i="12"/>
  <c r="C271" i="12"/>
  <c r="B271" i="12"/>
  <c r="O270" i="12"/>
  <c r="N270" i="12"/>
  <c r="M270" i="12"/>
  <c r="I270" i="12"/>
  <c r="H270" i="12"/>
  <c r="G270" i="12"/>
  <c r="F270" i="12"/>
  <c r="E270" i="12"/>
  <c r="D270" i="12"/>
  <c r="C270" i="12"/>
  <c r="B270" i="12"/>
  <c r="O269" i="12"/>
  <c r="N269" i="12"/>
  <c r="M269" i="12"/>
  <c r="I269" i="12"/>
  <c r="H269" i="12"/>
  <c r="G269" i="12"/>
  <c r="F269" i="12"/>
  <c r="E269" i="12"/>
  <c r="D269" i="12"/>
  <c r="C269" i="12"/>
  <c r="B269" i="12"/>
  <c r="O268" i="12"/>
  <c r="N268" i="12"/>
  <c r="M268" i="12"/>
  <c r="K268" i="12"/>
  <c r="J268" i="12"/>
  <c r="I268" i="12"/>
  <c r="H268" i="12"/>
  <c r="G268" i="12"/>
  <c r="F268" i="12"/>
  <c r="E268" i="12"/>
  <c r="D268" i="12"/>
  <c r="C268" i="12"/>
  <c r="B268" i="12"/>
  <c r="O267" i="12"/>
  <c r="N267" i="12"/>
  <c r="M267" i="12"/>
  <c r="K267" i="12"/>
  <c r="J267" i="12"/>
  <c r="I267" i="12"/>
  <c r="H267" i="12"/>
  <c r="G267" i="12"/>
  <c r="F267" i="12"/>
  <c r="E267" i="12"/>
  <c r="D267" i="12"/>
  <c r="C267" i="12"/>
  <c r="B267" i="12"/>
  <c r="O266" i="12"/>
  <c r="N266" i="12"/>
  <c r="M266" i="12"/>
  <c r="K266" i="12"/>
  <c r="J266" i="12"/>
  <c r="I266" i="12"/>
  <c r="H266" i="12"/>
  <c r="G266" i="12"/>
  <c r="F266" i="12"/>
  <c r="E266" i="12"/>
  <c r="D266" i="12"/>
  <c r="C266" i="12"/>
  <c r="B266" i="12"/>
  <c r="O265" i="12"/>
  <c r="N265" i="12"/>
  <c r="M265" i="12"/>
  <c r="K265" i="12"/>
  <c r="J265" i="12"/>
  <c r="I265" i="12"/>
  <c r="H265" i="12"/>
  <c r="G265" i="12"/>
  <c r="F265" i="12"/>
  <c r="E265" i="12"/>
  <c r="D265" i="12"/>
  <c r="C265" i="12"/>
  <c r="B265" i="12"/>
  <c r="O264" i="12"/>
  <c r="N264" i="12"/>
  <c r="M264" i="12"/>
  <c r="K264" i="12"/>
  <c r="J264" i="12"/>
  <c r="I264" i="12"/>
  <c r="H264" i="12"/>
  <c r="G264" i="12"/>
  <c r="F264" i="12"/>
  <c r="E264" i="12"/>
  <c r="D264" i="12"/>
  <c r="C264" i="12"/>
  <c r="B264" i="12"/>
  <c r="O263" i="12"/>
  <c r="N263" i="12"/>
  <c r="M263" i="12"/>
  <c r="K263" i="12"/>
  <c r="J263" i="12"/>
  <c r="I263" i="12"/>
  <c r="H263" i="12"/>
  <c r="G263" i="12"/>
  <c r="F263" i="12"/>
  <c r="E263" i="12"/>
  <c r="D263" i="12"/>
  <c r="C263" i="12"/>
  <c r="B263" i="12"/>
  <c r="O262" i="12"/>
  <c r="N262" i="12"/>
  <c r="M262" i="12"/>
  <c r="F262" i="12"/>
  <c r="E262" i="12"/>
  <c r="D262" i="12"/>
  <c r="C262" i="12"/>
  <c r="B262" i="12"/>
  <c r="O261" i="12"/>
  <c r="N261" i="12"/>
  <c r="M261" i="12"/>
  <c r="F261" i="12"/>
  <c r="E261" i="12"/>
  <c r="D261" i="12"/>
  <c r="C261" i="12"/>
  <c r="B261" i="12"/>
  <c r="O260" i="12"/>
  <c r="N260" i="12"/>
  <c r="M260" i="12"/>
  <c r="F260" i="12"/>
  <c r="E260" i="12"/>
  <c r="D260" i="12"/>
  <c r="C260" i="12"/>
  <c r="B260" i="12"/>
  <c r="O259" i="12"/>
  <c r="N259" i="12"/>
  <c r="M259" i="12"/>
  <c r="F259" i="12"/>
  <c r="E259" i="12"/>
  <c r="D259" i="12"/>
  <c r="C259" i="12"/>
  <c r="B259" i="12"/>
  <c r="O258" i="12"/>
  <c r="N258" i="12"/>
  <c r="M258" i="12"/>
  <c r="F258" i="12"/>
  <c r="E258" i="12"/>
  <c r="D258" i="12"/>
  <c r="C258" i="12"/>
  <c r="B258" i="12"/>
  <c r="O257" i="12"/>
  <c r="N257" i="12"/>
  <c r="M257" i="12"/>
  <c r="F257" i="12"/>
  <c r="E257" i="12"/>
  <c r="D257" i="12"/>
  <c r="C257" i="12"/>
  <c r="B257" i="12"/>
  <c r="O256" i="12"/>
  <c r="N256" i="12"/>
  <c r="M256" i="12"/>
  <c r="F256" i="12"/>
  <c r="E256" i="12"/>
  <c r="D256" i="12"/>
  <c r="C256" i="12"/>
  <c r="B256" i="12"/>
  <c r="O255" i="12"/>
  <c r="N255" i="12"/>
  <c r="M255" i="12"/>
  <c r="F255" i="12"/>
  <c r="E255" i="12"/>
  <c r="D255" i="12"/>
  <c r="C255" i="12"/>
  <c r="B255" i="12"/>
  <c r="O254" i="12"/>
  <c r="N254" i="12"/>
  <c r="M254" i="12"/>
  <c r="F254" i="12"/>
  <c r="E254" i="12"/>
  <c r="D254" i="12"/>
  <c r="C254" i="12"/>
  <c r="B254" i="12"/>
  <c r="O253" i="12"/>
  <c r="N253" i="12"/>
  <c r="M253" i="12"/>
  <c r="F253" i="12"/>
  <c r="E253" i="12"/>
  <c r="D253" i="12"/>
  <c r="C253" i="12"/>
  <c r="B253" i="12"/>
  <c r="O252" i="12"/>
  <c r="N252" i="12"/>
  <c r="M252" i="12"/>
  <c r="F252" i="12"/>
  <c r="E252" i="12"/>
  <c r="D252" i="12"/>
  <c r="C252" i="12"/>
  <c r="B252" i="12"/>
  <c r="O251" i="12"/>
  <c r="N251" i="12"/>
  <c r="M251" i="12"/>
  <c r="F251" i="12"/>
  <c r="E251" i="12"/>
  <c r="D251" i="12"/>
  <c r="C251" i="12"/>
  <c r="B251" i="12"/>
  <c r="O250" i="12"/>
  <c r="N250" i="12"/>
  <c r="M250" i="12"/>
  <c r="F250" i="12"/>
  <c r="E250" i="12"/>
  <c r="D250" i="12"/>
  <c r="C250" i="12"/>
  <c r="B250" i="12"/>
  <c r="O249" i="12"/>
  <c r="N249" i="12"/>
  <c r="M249" i="12"/>
  <c r="F249" i="12"/>
  <c r="E249" i="12"/>
  <c r="D249" i="12"/>
  <c r="C249" i="12"/>
  <c r="B249" i="12"/>
  <c r="O248" i="12"/>
  <c r="N248" i="12"/>
  <c r="M248" i="12"/>
  <c r="F248" i="12"/>
  <c r="E248" i="12"/>
  <c r="D248" i="12"/>
  <c r="C248" i="12"/>
  <c r="B248" i="12"/>
  <c r="O247" i="12"/>
  <c r="N247" i="12"/>
  <c r="M247" i="12"/>
  <c r="F247" i="12"/>
  <c r="E247" i="12"/>
  <c r="D247" i="12"/>
  <c r="C247" i="12"/>
  <c r="B247" i="12"/>
  <c r="O246" i="12"/>
  <c r="N246" i="12"/>
  <c r="M246" i="12"/>
  <c r="F246" i="12"/>
  <c r="E246" i="12"/>
  <c r="D246" i="12"/>
  <c r="C246" i="12"/>
  <c r="B246" i="12"/>
  <c r="O245" i="12"/>
  <c r="N245" i="12"/>
  <c r="M245" i="12"/>
  <c r="F245" i="12"/>
  <c r="E245" i="12"/>
  <c r="D245" i="12"/>
  <c r="C245" i="12"/>
  <c r="B245" i="12"/>
  <c r="O244" i="12"/>
  <c r="N244" i="12"/>
  <c r="M244" i="12"/>
  <c r="F244" i="12"/>
  <c r="E244" i="12"/>
  <c r="D244" i="12"/>
  <c r="C244" i="12"/>
  <c r="B244" i="12"/>
  <c r="O243" i="12"/>
  <c r="N243" i="12"/>
  <c r="M243" i="12"/>
  <c r="F243" i="12"/>
  <c r="E243" i="12"/>
  <c r="D243" i="12"/>
  <c r="C243" i="12"/>
  <c r="B243" i="12"/>
  <c r="O242" i="12"/>
  <c r="N242" i="12"/>
  <c r="M242" i="12"/>
  <c r="F242" i="12"/>
  <c r="E242" i="12"/>
  <c r="D242" i="12"/>
  <c r="C242" i="12"/>
  <c r="B242" i="12"/>
  <c r="O241" i="12"/>
  <c r="N241" i="12"/>
  <c r="M241" i="12"/>
  <c r="F241" i="12"/>
  <c r="E241" i="12"/>
  <c r="D241" i="12"/>
  <c r="C241" i="12"/>
  <c r="B241" i="12"/>
  <c r="O240" i="12"/>
  <c r="N240" i="12"/>
  <c r="M240" i="12"/>
  <c r="F240" i="12"/>
  <c r="E240" i="12"/>
  <c r="D240" i="12"/>
  <c r="C240" i="12"/>
  <c r="B240" i="12"/>
  <c r="O239" i="12"/>
  <c r="N239" i="12"/>
  <c r="M239" i="12"/>
  <c r="F239" i="12"/>
  <c r="E239" i="12"/>
  <c r="D239" i="12"/>
  <c r="C239" i="12"/>
  <c r="B239" i="12"/>
  <c r="O238" i="12"/>
  <c r="N238" i="12"/>
  <c r="M238" i="12"/>
  <c r="F238" i="12"/>
  <c r="E238" i="12"/>
  <c r="D238" i="12"/>
  <c r="C238" i="12"/>
  <c r="B238" i="12"/>
  <c r="O237" i="12"/>
  <c r="N237" i="12"/>
  <c r="M237" i="12"/>
  <c r="F237" i="12"/>
  <c r="E237" i="12"/>
  <c r="D237" i="12"/>
  <c r="C237" i="12"/>
  <c r="B237" i="12"/>
  <c r="O236" i="12"/>
  <c r="N236" i="12"/>
  <c r="M236" i="12"/>
  <c r="F236" i="12"/>
  <c r="E236" i="12"/>
  <c r="D236" i="12"/>
  <c r="C236" i="12"/>
  <c r="B236" i="12"/>
  <c r="O235" i="12"/>
  <c r="N235" i="12"/>
  <c r="M235" i="12"/>
  <c r="F235" i="12"/>
  <c r="E235" i="12"/>
  <c r="D235" i="12"/>
  <c r="C235" i="12"/>
  <c r="B235" i="12"/>
  <c r="O234" i="12"/>
  <c r="N234" i="12"/>
  <c r="M234" i="12"/>
  <c r="F234" i="12"/>
  <c r="E234" i="12"/>
  <c r="D234" i="12"/>
  <c r="C234" i="12"/>
  <c r="B234" i="12"/>
  <c r="O233" i="12"/>
  <c r="N233" i="12"/>
  <c r="M233" i="12"/>
  <c r="F233" i="12"/>
  <c r="E233" i="12"/>
  <c r="D233" i="12"/>
  <c r="C233" i="12"/>
  <c r="B233" i="12"/>
  <c r="O232" i="12"/>
  <c r="N232" i="12"/>
  <c r="M232" i="12"/>
  <c r="F232" i="12"/>
  <c r="E232" i="12"/>
  <c r="D232" i="12"/>
  <c r="C232" i="12"/>
  <c r="B232" i="12"/>
  <c r="O231" i="12"/>
  <c r="N231" i="12"/>
  <c r="M231" i="12"/>
  <c r="F231" i="12"/>
  <c r="E231" i="12"/>
  <c r="D231" i="12"/>
  <c r="C231" i="12"/>
  <c r="B231" i="12"/>
  <c r="O230" i="12"/>
  <c r="N230" i="12"/>
  <c r="M230" i="12"/>
  <c r="F230" i="12"/>
  <c r="E230" i="12"/>
  <c r="D230" i="12"/>
  <c r="C230" i="12"/>
  <c r="B230" i="12"/>
  <c r="O229" i="12"/>
  <c r="N229" i="12"/>
  <c r="M229" i="12"/>
  <c r="K229" i="12"/>
  <c r="J229" i="12"/>
  <c r="I229" i="12"/>
  <c r="H229" i="12"/>
  <c r="G229" i="12"/>
  <c r="F229" i="12"/>
  <c r="E229" i="12"/>
  <c r="D229" i="12"/>
  <c r="C229" i="12"/>
  <c r="B229" i="12"/>
  <c r="O228" i="12"/>
  <c r="N228" i="12"/>
  <c r="M228" i="12"/>
  <c r="K228" i="12"/>
  <c r="J228" i="12"/>
  <c r="I228" i="12"/>
  <c r="H228" i="12"/>
  <c r="G228" i="12"/>
  <c r="F228" i="12"/>
  <c r="E228" i="12"/>
  <c r="D228" i="12"/>
  <c r="C228" i="12"/>
  <c r="B228" i="12"/>
  <c r="O227" i="12"/>
  <c r="N227" i="12"/>
  <c r="M227" i="12"/>
  <c r="K227" i="12"/>
  <c r="J227" i="12"/>
  <c r="I227" i="12"/>
  <c r="H227" i="12"/>
  <c r="G227" i="12"/>
  <c r="F227" i="12"/>
  <c r="E227" i="12"/>
  <c r="D227" i="12"/>
  <c r="C227" i="12"/>
  <c r="B227" i="12"/>
  <c r="O226" i="12"/>
  <c r="N226" i="12"/>
  <c r="M226" i="12"/>
  <c r="K226" i="12"/>
  <c r="J226" i="12"/>
  <c r="I226" i="12"/>
  <c r="H226" i="12"/>
  <c r="G226" i="12"/>
  <c r="F226" i="12"/>
  <c r="E226" i="12"/>
  <c r="D226" i="12"/>
  <c r="C226" i="12"/>
  <c r="B226" i="12"/>
  <c r="O225" i="12"/>
  <c r="N225" i="12"/>
  <c r="M225" i="12"/>
  <c r="K225" i="12"/>
  <c r="J225" i="12"/>
  <c r="I225" i="12"/>
  <c r="H225" i="12"/>
  <c r="G225" i="12"/>
  <c r="F225" i="12"/>
  <c r="E225" i="12"/>
  <c r="D225" i="12"/>
  <c r="C225" i="12"/>
  <c r="B225" i="12"/>
  <c r="O224" i="12"/>
  <c r="N224" i="12"/>
  <c r="M224" i="12"/>
  <c r="K224" i="12"/>
  <c r="J224" i="12"/>
  <c r="I224" i="12"/>
  <c r="H224" i="12"/>
  <c r="G224" i="12"/>
  <c r="F224" i="12"/>
  <c r="E224" i="12"/>
  <c r="D224" i="12"/>
  <c r="C224" i="12"/>
  <c r="B224" i="12"/>
  <c r="O223" i="12"/>
  <c r="N223" i="12"/>
  <c r="M223" i="12"/>
  <c r="K223" i="12"/>
  <c r="J223" i="12"/>
  <c r="I223" i="12"/>
  <c r="H223" i="12"/>
  <c r="G223" i="12"/>
  <c r="F223" i="12"/>
  <c r="E223" i="12"/>
  <c r="D223" i="12"/>
  <c r="C223" i="12"/>
  <c r="B223" i="12"/>
  <c r="O222" i="12"/>
  <c r="N222" i="12"/>
  <c r="M222" i="12"/>
  <c r="K222" i="12"/>
  <c r="J222" i="12"/>
  <c r="I222" i="12"/>
  <c r="H222" i="12"/>
  <c r="G222" i="12"/>
  <c r="F222" i="12"/>
  <c r="E222" i="12"/>
  <c r="D222" i="12"/>
  <c r="C222" i="12"/>
  <c r="B222" i="12"/>
  <c r="O221" i="12"/>
  <c r="N221" i="12"/>
  <c r="M221" i="12"/>
  <c r="K221" i="12"/>
  <c r="J221" i="12"/>
  <c r="I221" i="12"/>
  <c r="H221" i="12"/>
  <c r="G221" i="12"/>
  <c r="F221" i="12"/>
  <c r="E221" i="12"/>
  <c r="D221" i="12"/>
  <c r="C221" i="12"/>
  <c r="B221" i="12"/>
  <c r="O220" i="12"/>
  <c r="N220" i="12"/>
  <c r="M220" i="12"/>
  <c r="K220" i="12"/>
  <c r="J220" i="12"/>
  <c r="I220" i="12"/>
  <c r="H220" i="12"/>
  <c r="G220" i="12"/>
  <c r="F220" i="12"/>
  <c r="E220" i="12"/>
  <c r="D220" i="12"/>
  <c r="C220" i="12"/>
  <c r="B220" i="12"/>
  <c r="O219" i="12"/>
  <c r="N219" i="12"/>
  <c r="M219" i="12"/>
  <c r="K219" i="12"/>
  <c r="J219" i="12"/>
  <c r="I219" i="12"/>
  <c r="H219" i="12"/>
  <c r="G219" i="12"/>
  <c r="F219" i="12"/>
  <c r="E219" i="12"/>
  <c r="D219" i="12"/>
  <c r="C219" i="12"/>
  <c r="B219" i="12"/>
  <c r="O218" i="12"/>
  <c r="N218" i="12"/>
  <c r="M218" i="12"/>
  <c r="K218" i="12"/>
  <c r="J218" i="12"/>
  <c r="I218" i="12"/>
  <c r="H218" i="12"/>
  <c r="G218" i="12"/>
  <c r="F218" i="12"/>
  <c r="E218" i="12"/>
  <c r="D218" i="12"/>
  <c r="C218" i="12"/>
  <c r="B218" i="12"/>
  <c r="O217" i="12"/>
  <c r="N217" i="12"/>
  <c r="M217" i="12"/>
  <c r="K217" i="12"/>
  <c r="J217" i="12"/>
  <c r="I217" i="12"/>
  <c r="H217" i="12"/>
  <c r="G217" i="12"/>
  <c r="F217" i="12"/>
  <c r="E217" i="12"/>
  <c r="D217" i="12"/>
  <c r="C217" i="12"/>
  <c r="B217" i="12"/>
  <c r="O216" i="12"/>
  <c r="N216" i="12"/>
  <c r="M216" i="12"/>
  <c r="K216" i="12"/>
  <c r="J216" i="12"/>
  <c r="I216" i="12"/>
  <c r="H216" i="12"/>
  <c r="G216" i="12"/>
  <c r="F216" i="12"/>
  <c r="E216" i="12"/>
  <c r="D216" i="12"/>
  <c r="C216" i="12"/>
  <c r="B216" i="12"/>
  <c r="O215" i="12"/>
  <c r="N215" i="12"/>
  <c r="M215" i="12"/>
  <c r="K215" i="12"/>
  <c r="J215" i="12"/>
  <c r="I215" i="12"/>
  <c r="H215" i="12"/>
  <c r="G215" i="12"/>
  <c r="F215" i="12"/>
  <c r="E215" i="12"/>
  <c r="D215" i="12"/>
  <c r="C215" i="12"/>
  <c r="B215" i="12"/>
  <c r="O214" i="12"/>
  <c r="N214" i="12"/>
  <c r="M214" i="12"/>
  <c r="F214" i="12"/>
  <c r="E214" i="12"/>
  <c r="D214" i="12"/>
  <c r="C214" i="12"/>
  <c r="B214" i="12"/>
  <c r="O213" i="12"/>
  <c r="N213" i="12"/>
  <c r="M213" i="12"/>
  <c r="F213" i="12"/>
  <c r="E213" i="12"/>
  <c r="D213" i="12"/>
  <c r="C213" i="12"/>
  <c r="B213" i="12"/>
  <c r="O212" i="12"/>
  <c r="N212" i="12"/>
  <c r="M212" i="12"/>
  <c r="F212" i="12"/>
  <c r="E212" i="12"/>
  <c r="D212" i="12"/>
  <c r="C212" i="12"/>
  <c r="B212" i="12"/>
  <c r="O211" i="12"/>
  <c r="N211" i="12"/>
  <c r="M211" i="12"/>
  <c r="F211" i="12"/>
  <c r="E211" i="12"/>
  <c r="D211" i="12"/>
  <c r="C211" i="12"/>
  <c r="B211" i="12"/>
  <c r="O210" i="12"/>
  <c r="N210" i="12"/>
  <c r="M210" i="12"/>
  <c r="F210" i="12"/>
  <c r="E210" i="12"/>
  <c r="D210" i="12"/>
  <c r="C210" i="12"/>
  <c r="B210" i="12"/>
  <c r="O209" i="12"/>
  <c r="N209" i="12"/>
  <c r="M209" i="12"/>
  <c r="F209" i="12"/>
  <c r="E209" i="12"/>
  <c r="D209" i="12"/>
  <c r="C209" i="12"/>
  <c r="B209" i="12"/>
  <c r="O208" i="12"/>
  <c r="N208" i="12"/>
  <c r="M208" i="12"/>
  <c r="F208" i="12"/>
  <c r="E208" i="12"/>
  <c r="D208" i="12"/>
  <c r="C208" i="12"/>
  <c r="B208" i="12"/>
  <c r="O207" i="12"/>
  <c r="N207" i="12"/>
  <c r="M207" i="12"/>
  <c r="F207" i="12"/>
  <c r="E207" i="12"/>
  <c r="D207" i="12"/>
  <c r="C207" i="12"/>
  <c r="B207" i="12"/>
  <c r="O206" i="12"/>
  <c r="N206" i="12"/>
  <c r="M206" i="12"/>
  <c r="F206" i="12"/>
  <c r="E206" i="12"/>
  <c r="D206" i="12"/>
  <c r="C206" i="12"/>
  <c r="B206" i="12"/>
  <c r="O205" i="12"/>
  <c r="N205" i="12"/>
  <c r="M205" i="12"/>
  <c r="F205" i="12"/>
  <c r="E205" i="12"/>
  <c r="D205" i="12"/>
  <c r="C205" i="12"/>
  <c r="B205" i="12"/>
  <c r="O204" i="12"/>
  <c r="N204" i="12"/>
  <c r="M204" i="12"/>
  <c r="F204" i="12"/>
  <c r="E204" i="12"/>
  <c r="D204" i="12"/>
  <c r="C204" i="12"/>
  <c r="B204" i="12"/>
  <c r="O203" i="12"/>
  <c r="N203" i="12"/>
  <c r="M203" i="12"/>
  <c r="F203" i="12"/>
  <c r="E203" i="12"/>
  <c r="D203" i="12"/>
  <c r="C203" i="12"/>
  <c r="B203" i="12"/>
  <c r="O202" i="12"/>
  <c r="N202" i="12"/>
  <c r="M202" i="12"/>
  <c r="K202" i="12"/>
  <c r="J202" i="12"/>
  <c r="I202" i="12"/>
  <c r="H202" i="12"/>
  <c r="G202" i="12"/>
  <c r="F202" i="12"/>
  <c r="E202" i="12"/>
  <c r="D202" i="12"/>
  <c r="C202" i="12"/>
  <c r="B202" i="12"/>
  <c r="O201" i="12"/>
  <c r="N201" i="12"/>
  <c r="M201" i="12"/>
  <c r="K201" i="12"/>
  <c r="J201" i="12"/>
  <c r="I201" i="12"/>
  <c r="H201" i="12"/>
  <c r="G201" i="12"/>
  <c r="F201" i="12"/>
  <c r="E201" i="12"/>
  <c r="D201" i="12"/>
  <c r="C201" i="12"/>
  <c r="B201" i="12"/>
  <c r="O200" i="12"/>
  <c r="N200" i="12"/>
  <c r="M200" i="12"/>
  <c r="K200" i="12"/>
  <c r="J200" i="12"/>
  <c r="I200" i="12"/>
  <c r="H200" i="12"/>
  <c r="G200" i="12"/>
  <c r="F200" i="12"/>
  <c r="E200" i="12"/>
  <c r="D200" i="12"/>
  <c r="C200" i="12"/>
  <c r="B200" i="12"/>
  <c r="O199" i="12"/>
  <c r="N199" i="12"/>
  <c r="M199" i="12"/>
  <c r="K199" i="12"/>
  <c r="J199" i="12"/>
  <c r="I199" i="12"/>
  <c r="H199" i="12"/>
  <c r="G199" i="12"/>
  <c r="F199" i="12"/>
  <c r="E199" i="12"/>
  <c r="D199" i="12"/>
  <c r="C199" i="12"/>
  <c r="B199" i="12"/>
  <c r="O198" i="12"/>
  <c r="N198" i="12"/>
  <c r="M198" i="12"/>
  <c r="F198" i="12"/>
  <c r="E198" i="12"/>
  <c r="D198" i="12"/>
  <c r="C198" i="12"/>
  <c r="B198" i="12"/>
  <c r="O197" i="12"/>
  <c r="N197" i="12"/>
  <c r="M197" i="12"/>
  <c r="F197" i="12"/>
  <c r="E197" i="12"/>
  <c r="D197" i="12"/>
  <c r="C197" i="12"/>
  <c r="B197" i="12"/>
  <c r="O196" i="12"/>
  <c r="N196" i="12"/>
  <c r="M196" i="12"/>
  <c r="F196" i="12"/>
  <c r="E196" i="12"/>
  <c r="D196" i="12"/>
  <c r="C196" i="12"/>
  <c r="B196" i="12"/>
  <c r="O195" i="12"/>
  <c r="N195" i="12"/>
  <c r="M195" i="12"/>
  <c r="F195" i="12"/>
  <c r="E195" i="12"/>
  <c r="D195" i="12"/>
  <c r="C195" i="12"/>
  <c r="B195" i="12"/>
  <c r="O194" i="12"/>
  <c r="N194" i="12"/>
  <c r="M194" i="12"/>
  <c r="F194" i="12"/>
  <c r="E194" i="12"/>
  <c r="D194" i="12"/>
  <c r="C194" i="12"/>
  <c r="B194" i="12"/>
  <c r="O193" i="12"/>
  <c r="N193" i="12"/>
  <c r="M193" i="12"/>
  <c r="F193" i="12"/>
  <c r="E193" i="12"/>
  <c r="D193" i="12"/>
  <c r="C193" i="12"/>
  <c r="B193" i="12"/>
  <c r="O192" i="12"/>
  <c r="N192" i="12"/>
  <c r="M192" i="12"/>
  <c r="F192" i="12"/>
  <c r="E192" i="12"/>
  <c r="D192" i="12"/>
  <c r="C192" i="12"/>
  <c r="B192" i="12"/>
  <c r="O191" i="12"/>
  <c r="N191" i="12"/>
  <c r="M191" i="12"/>
  <c r="F191" i="12"/>
  <c r="E191" i="12"/>
  <c r="D191" i="12"/>
  <c r="C191" i="12"/>
  <c r="B191" i="12"/>
  <c r="O190" i="12"/>
  <c r="N190" i="12"/>
  <c r="M190" i="12"/>
  <c r="K190" i="12"/>
  <c r="J190" i="12"/>
  <c r="I190" i="12"/>
  <c r="H190" i="12"/>
  <c r="G190" i="12"/>
  <c r="F190" i="12"/>
  <c r="E190" i="12"/>
  <c r="D190" i="12"/>
  <c r="C190" i="12"/>
  <c r="B190" i="12"/>
  <c r="O189" i="12"/>
  <c r="N189" i="12"/>
  <c r="M189" i="12"/>
  <c r="K189" i="12"/>
  <c r="J189" i="12"/>
  <c r="I189" i="12"/>
  <c r="H189" i="12"/>
  <c r="G189" i="12"/>
  <c r="F189" i="12"/>
  <c r="E189" i="12"/>
  <c r="D189" i="12"/>
  <c r="C189" i="12"/>
  <c r="B189" i="12"/>
  <c r="O188" i="12"/>
  <c r="N188" i="12"/>
  <c r="M188" i="12"/>
  <c r="K188" i="12"/>
  <c r="J188" i="12"/>
  <c r="I188" i="12"/>
  <c r="H188" i="12"/>
  <c r="G188" i="12"/>
  <c r="F188" i="12"/>
  <c r="E188" i="12"/>
  <c r="D188" i="12"/>
  <c r="C188" i="12"/>
  <c r="B188" i="12"/>
  <c r="O187" i="12"/>
  <c r="N187" i="12"/>
  <c r="M187" i="12"/>
  <c r="K187" i="12"/>
  <c r="J187" i="12"/>
  <c r="I187" i="12"/>
  <c r="H187" i="12"/>
  <c r="G187" i="12"/>
  <c r="F187" i="12"/>
  <c r="E187" i="12"/>
  <c r="D187" i="12"/>
  <c r="C187" i="12"/>
  <c r="B187" i="12"/>
  <c r="O186" i="12"/>
  <c r="N186" i="12"/>
  <c r="M186" i="12"/>
  <c r="K186" i="12"/>
  <c r="J186" i="12"/>
  <c r="I186" i="12"/>
  <c r="H186" i="12"/>
  <c r="G186" i="12"/>
  <c r="F186" i="12"/>
  <c r="E186" i="12"/>
  <c r="D186" i="12"/>
  <c r="C186" i="12"/>
  <c r="B186" i="12"/>
  <c r="O185" i="12"/>
  <c r="N185" i="12"/>
  <c r="M185" i="12"/>
  <c r="K185" i="12"/>
  <c r="J185" i="12"/>
  <c r="I185" i="12"/>
  <c r="H185" i="12"/>
  <c r="G185" i="12"/>
  <c r="F185" i="12"/>
  <c r="E185" i="12"/>
  <c r="D185" i="12"/>
  <c r="C185" i="12"/>
  <c r="B185" i="12"/>
  <c r="O184" i="12"/>
  <c r="N184" i="12"/>
  <c r="M184" i="12"/>
  <c r="K184" i="12"/>
  <c r="J184" i="12"/>
  <c r="I184" i="12"/>
  <c r="H184" i="12"/>
  <c r="G184" i="12"/>
  <c r="F184" i="12"/>
  <c r="E184" i="12"/>
  <c r="D184" i="12"/>
  <c r="C184" i="12"/>
  <c r="B184" i="12"/>
  <c r="O183" i="12"/>
  <c r="N183" i="12"/>
  <c r="M183" i="12"/>
  <c r="K183" i="12"/>
  <c r="J183" i="12"/>
  <c r="I183" i="12"/>
  <c r="H183" i="12"/>
  <c r="G183" i="12"/>
  <c r="F183" i="12"/>
  <c r="E183" i="12"/>
  <c r="D183" i="12"/>
  <c r="C183" i="12"/>
  <c r="B183" i="12"/>
  <c r="O182" i="12"/>
  <c r="N182" i="12"/>
  <c r="M182" i="12"/>
  <c r="F182" i="12"/>
  <c r="E182" i="12"/>
  <c r="D182" i="12"/>
  <c r="C182" i="12"/>
  <c r="B182" i="12"/>
  <c r="O181" i="12"/>
  <c r="N181" i="12"/>
  <c r="M181" i="12"/>
  <c r="F181" i="12"/>
  <c r="E181" i="12"/>
  <c r="D181" i="12"/>
  <c r="C181" i="12"/>
  <c r="B181" i="12"/>
  <c r="O180" i="12"/>
  <c r="N180" i="12"/>
  <c r="M180" i="12"/>
  <c r="F180" i="12"/>
  <c r="E180" i="12"/>
  <c r="D180" i="12"/>
  <c r="C180" i="12"/>
  <c r="B180" i="12"/>
  <c r="O179" i="12"/>
  <c r="N179" i="12"/>
  <c r="M179" i="12"/>
  <c r="F179" i="12"/>
  <c r="E179" i="12"/>
  <c r="D179" i="12"/>
  <c r="C179" i="12"/>
  <c r="B179" i="12"/>
  <c r="O178" i="12"/>
  <c r="N178" i="12"/>
  <c r="M178" i="12"/>
  <c r="F178" i="12"/>
  <c r="E178" i="12"/>
  <c r="D178" i="12"/>
  <c r="C178" i="12"/>
  <c r="B178" i="12"/>
  <c r="O177" i="12"/>
  <c r="N177" i="12"/>
  <c r="M177" i="12"/>
  <c r="F177" i="12"/>
  <c r="E177" i="12"/>
  <c r="D177" i="12"/>
  <c r="C177" i="12"/>
  <c r="B177" i="12"/>
  <c r="O176" i="12"/>
  <c r="N176" i="12"/>
  <c r="M176" i="12"/>
  <c r="F176" i="12"/>
  <c r="E176" i="12"/>
  <c r="D176" i="12"/>
  <c r="C176" i="12"/>
  <c r="B176" i="12"/>
  <c r="O175" i="12"/>
  <c r="N175" i="12"/>
  <c r="M175" i="12"/>
  <c r="F175" i="12"/>
  <c r="E175" i="12"/>
  <c r="D175" i="12"/>
  <c r="C175" i="12"/>
  <c r="B175" i="12"/>
  <c r="O174" i="12"/>
  <c r="N174" i="12"/>
  <c r="M174" i="12"/>
  <c r="F174" i="12"/>
  <c r="E174" i="12"/>
  <c r="D174" i="12"/>
  <c r="C174" i="12"/>
  <c r="B174" i="12"/>
  <c r="O173" i="12"/>
  <c r="N173" i="12"/>
  <c r="M173" i="12"/>
  <c r="F173" i="12"/>
  <c r="E173" i="12"/>
  <c r="D173" i="12"/>
  <c r="C173" i="12"/>
  <c r="B173" i="12"/>
  <c r="O172" i="12"/>
  <c r="N172" i="12"/>
  <c r="M172" i="12"/>
  <c r="F172" i="12"/>
  <c r="E172" i="12"/>
  <c r="D172" i="12"/>
  <c r="C172" i="12"/>
  <c r="B172" i="12"/>
  <c r="O171" i="12"/>
  <c r="N171" i="12"/>
  <c r="M171" i="12"/>
  <c r="K171" i="12"/>
  <c r="J171" i="12"/>
  <c r="I171" i="12"/>
  <c r="H171" i="12"/>
  <c r="G171" i="12"/>
  <c r="F171" i="12"/>
  <c r="E171" i="12"/>
  <c r="D171" i="12"/>
  <c r="C171" i="12"/>
  <c r="B171" i="12"/>
  <c r="O170" i="12"/>
  <c r="N170" i="12"/>
  <c r="M170" i="12"/>
  <c r="K170" i="12"/>
  <c r="J170" i="12"/>
  <c r="I170" i="12"/>
  <c r="H170" i="12"/>
  <c r="G170" i="12"/>
  <c r="F170" i="12"/>
  <c r="E170" i="12"/>
  <c r="D170" i="12"/>
  <c r="C170" i="12"/>
  <c r="B170" i="12"/>
  <c r="O169" i="12"/>
  <c r="N169" i="12"/>
  <c r="M169" i="12"/>
  <c r="K169" i="12"/>
  <c r="J169" i="12"/>
  <c r="I169" i="12"/>
  <c r="H169" i="12"/>
  <c r="G169" i="12"/>
  <c r="F169" i="12"/>
  <c r="E169" i="12"/>
  <c r="D169" i="12"/>
  <c r="C169" i="12"/>
  <c r="B169" i="12"/>
  <c r="O168" i="12"/>
  <c r="N168" i="12"/>
  <c r="M168" i="12"/>
  <c r="K168" i="12"/>
  <c r="J168" i="12"/>
  <c r="I168" i="12"/>
  <c r="H168" i="12"/>
  <c r="G168" i="12"/>
  <c r="F168" i="12"/>
  <c r="E168" i="12"/>
  <c r="D168" i="12"/>
  <c r="C168" i="12"/>
  <c r="B168" i="12"/>
  <c r="O167" i="12"/>
  <c r="N167" i="12"/>
  <c r="M167" i="12"/>
  <c r="K167" i="12"/>
  <c r="J167" i="12"/>
  <c r="I167" i="12"/>
  <c r="H167" i="12"/>
  <c r="G167" i="12"/>
  <c r="F167" i="12"/>
  <c r="E167" i="12"/>
  <c r="D167" i="12"/>
  <c r="C167" i="12"/>
  <c r="B167" i="12"/>
  <c r="O166" i="12"/>
  <c r="N166" i="12"/>
  <c r="M166" i="12"/>
  <c r="F166" i="12"/>
  <c r="E166" i="12"/>
  <c r="D166" i="12"/>
  <c r="C166" i="12"/>
  <c r="B166" i="12"/>
  <c r="O165" i="12"/>
  <c r="N165" i="12"/>
  <c r="M165" i="12"/>
  <c r="F165" i="12"/>
  <c r="E165" i="12"/>
  <c r="D165" i="12"/>
  <c r="C165" i="12"/>
  <c r="B165" i="12"/>
  <c r="O164" i="12"/>
  <c r="N164" i="12"/>
  <c r="M164" i="12"/>
  <c r="F164" i="12"/>
  <c r="E164" i="12"/>
  <c r="D164" i="12"/>
  <c r="C164" i="12"/>
  <c r="B164" i="12"/>
  <c r="O163" i="12"/>
  <c r="N163" i="12"/>
  <c r="M163" i="12"/>
  <c r="F163" i="12"/>
  <c r="E163" i="12"/>
  <c r="D163" i="12"/>
  <c r="C163" i="12"/>
  <c r="B163" i="12"/>
  <c r="O162" i="12"/>
  <c r="N162" i="12"/>
  <c r="M162" i="12"/>
  <c r="F162" i="12"/>
  <c r="E162" i="12"/>
  <c r="D162" i="12"/>
  <c r="C162" i="12"/>
  <c r="B162" i="12"/>
  <c r="O161" i="12"/>
  <c r="N161" i="12"/>
  <c r="M161" i="12"/>
  <c r="F161" i="12"/>
  <c r="E161" i="12"/>
  <c r="D161" i="12"/>
  <c r="C161" i="12"/>
  <c r="B161" i="12"/>
  <c r="O160" i="12"/>
  <c r="N160" i="12"/>
  <c r="M160" i="12"/>
  <c r="F160" i="12"/>
  <c r="E160" i="12"/>
  <c r="D160" i="12"/>
  <c r="C160" i="12"/>
  <c r="B160" i="12"/>
  <c r="O159" i="12"/>
  <c r="N159" i="12"/>
  <c r="M159" i="12"/>
  <c r="F159" i="12"/>
  <c r="E159" i="12"/>
  <c r="D159" i="12"/>
  <c r="C159" i="12"/>
  <c r="B159" i="12"/>
  <c r="O158" i="12"/>
  <c r="N158" i="12"/>
  <c r="M158" i="12"/>
  <c r="F158" i="12"/>
  <c r="E158" i="12"/>
  <c r="D158" i="12"/>
  <c r="C158" i="12"/>
  <c r="B158" i="12"/>
  <c r="O157" i="12"/>
  <c r="N157" i="12"/>
  <c r="M157" i="12"/>
  <c r="F157" i="12"/>
  <c r="E157" i="12"/>
  <c r="D157" i="12"/>
  <c r="C157" i="12"/>
  <c r="B157" i="12"/>
  <c r="O156" i="12"/>
  <c r="N156" i="12"/>
  <c r="M156" i="12"/>
  <c r="F156" i="12"/>
  <c r="E156" i="12"/>
  <c r="D156" i="12"/>
  <c r="C156" i="12"/>
  <c r="B156" i="12"/>
  <c r="O155" i="12"/>
  <c r="N155" i="12"/>
  <c r="M155" i="12"/>
  <c r="K155" i="12"/>
  <c r="J155" i="12"/>
  <c r="I155" i="12"/>
  <c r="H155" i="12"/>
  <c r="G155" i="12"/>
  <c r="F155" i="12"/>
  <c r="E155" i="12"/>
  <c r="D155" i="12"/>
  <c r="C155" i="12"/>
  <c r="B155" i="12"/>
  <c r="O154" i="12"/>
  <c r="N154" i="12"/>
  <c r="M154" i="12"/>
  <c r="K154" i="12"/>
  <c r="J154" i="12"/>
  <c r="I154" i="12"/>
  <c r="H154" i="12"/>
  <c r="G154" i="12"/>
  <c r="F154" i="12"/>
  <c r="E154" i="12"/>
  <c r="D154" i="12"/>
  <c r="C154" i="12"/>
  <c r="B154" i="12"/>
  <c r="O153" i="12"/>
  <c r="N153" i="12"/>
  <c r="M153" i="12"/>
  <c r="K153" i="12"/>
  <c r="J153" i="12"/>
  <c r="I153" i="12"/>
  <c r="H153" i="12"/>
  <c r="G153" i="12"/>
  <c r="F153" i="12"/>
  <c r="E153" i="12"/>
  <c r="D153" i="12"/>
  <c r="C153" i="12"/>
  <c r="B153" i="12"/>
  <c r="O152" i="12"/>
  <c r="N152" i="12"/>
  <c r="M152" i="12"/>
  <c r="K152" i="12"/>
  <c r="J152" i="12"/>
  <c r="I152" i="12"/>
  <c r="H152" i="12"/>
  <c r="G152" i="12"/>
  <c r="F152" i="12"/>
  <c r="E152" i="12"/>
  <c r="D152" i="12"/>
  <c r="C152" i="12"/>
  <c r="B152" i="12"/>
  <c r="O151" i="12"/>
  <c r="N151" i="12"/>
  <c r="M151" i="12"/>
  <c r="K151" i="12"/>
  <c r="J151" i="12"/>
  <c r="I151" i="12"/>
  <c r="H151" i="12"/>
  <c r="G151" i="12"/>
  <c r="F151" i="12"/>
  <c r="E151" i="12"/>
  <c r="D151" i="12"/>
  <c r="C151" i="12"/>
  <c r="B151" i="12"/>
  <c r="O150" i="12"/>
  <c r="N150" i="12"/>
  <c r="M150" i="12"/>
  <c r="F150" i="12"/>
  <c r="E150" i="12"/>
  <c r="D150" i="12"/>
  <c r="C150" i="12"/>
  <c r="B150" i="12"/>
  <c r="O149" i="12"/>
  <c r="N149" i="12"/>
  <c r="M149" i="12"/>
  <c r="F149" i="12"/>
  <c r="E149" i="12"/>
  <c r="D149" i="12"/>
  <c r="C149" i="12"/>
  <c r="B149" i="12"/>
  <c r="O148" i="12"/>
  <c r="N148" i="12"/>
  <c r="M148" i="12"/>
  <c r="F148" i="12"/>
  <c r="E148" i="12"/>
  <c r="D148" i="12"/>
  <c r="C148" i="12"/>
  <c r="B148" i="12"/>
  <c r="O147" i="12"/>
  <c r="N147" i="12"/>
  <c r="M147" i="12"/>
  <c r="F147" i="12"/>
  <c r="E147" i="12"/>
  <c r="D147" i="12"/>
  <c r="C147" i="12"/>
  <c r="B147" i="12"/>
  <c r="O146" i="12"/>
  <c r="N146" i="12"/>
  <c r="M146" i="12"/>
  <c r="F146" i="12"/>
  <c r="E146" i="12"/>
  <c r="D146" i="12"/>
  <c r="C146" i="12"/>
  <c r="B146" i="12"/>
  <c r="O145" i="12"/>
  <c r="N145" i="12"/>
  <c r="M145" i="12"/>
  <c r="F145" i="12"/>
  <c r="E145" i="12"/>
  <c r="D145" i="12"/>
  <c r="C145" i="12"/>
  <c r="B145" i="12"/>
  <c r="O144" i="12"/>
  <c r="N144" i="12"/>
  <c r="M144" i="12"/>
  <c r="F144" i="12"/>
  <c r="E144" i="12"/>
  <c r="D144" i="12"/>
  <c r="C144" i="12"/>
  <c r="B144" i="12"/>
  <c r="O143" i="12"/>
  <c r="N143" i="12"/>
  <c r="M143" i="12"/>
  <c r="F143" i="12"/>
  <c r="E143" i="12"/>
  <c r="D143" i="12"/>
  <c r="C143" i="12"/>
  <c r="B143" i="12"/>
  <c r="O142" i="12"/>
  <c r="N142" i="12"/>
  <c r="M142" i="12"/>
  <c r="F142" i="12"/>
  <c r="E142" i="12"/>
  <c r="D142" i="12"/>
  <c r="C142" i="12"/>
  <c r="B142" i="12"/>
  <c r="O141" i="12"/>
  <c r="N141" i="12"/>
  <c r="M141" i="12"/>
  <c r="F141" i="12"/>
  <c r="E141" i="12"/>
  <c r="D141" i="12"/>
  <c r="C141" i="12"/>
  <c r="B141" i="12"/>
  <c r="O140" i="12"/>
  <c r="N140" i="12"/>
  <c r="M140" i="12"/>
  <c r="F140" i="12"/>
  <c r="E140" i="12"/>
  <c r="D140" i="12"/>
  <c r="C140" i="12"/>
  <c r="B140" i="12"/>
  <c r="O139" i="12"/>
  <c r="N139" i="12"/>
  <c r="M139" i="12"/>
  <c r="K139" i="12"/>
  <c r="J139" i="12"/>
  <c r="I139" i="12"/>
  <c r="H139" i="12"/>
  <c r="G139" i="12"/>
  <c r="F139" i="12"/>
  <c r="E139" i="12"/>
  <c r="D139" i="12"/>
  <c r="C139" i="12"/>
  <c r="B139" i="12"/>
  <c r="O138" i="12"/>
  <c r="N138" i="12"/>
  <c r="M138" i="12"/>
  <c r="K138" i="12"/>
  <c r="J138" i="12"/>
  <c r="I138" i="12"/>
  <c r="H138" i="12"/>
  <c r="G138" i="12"/>
  <c r="F138" i="12"/>
  <c r="E138" i="12"/>
  <c r="D138" i="12"/>
  <c r="C138" i="12"/>
  <c r="B138" i="12"/>
  <c r="O137" i="12"/>
  <c r="N137" i="12"/>
  <c r="M137" i="12"/>
  <c r="K137" i="12"/>
  <c r="J137" i="12"/>
  <c r="I137" i="12"/>
  <c r="H137" i="12"/>
  <c r="G137" i="12"/>
  <c r="F137" i="12"/>
  <c r="E137" i="12"/>
  <c r="D137" i="12"/>
  <c r="C137" i="12"/>
  <c r="B137" i="12"/>
  <c r="O136" i="12"/>
  <c r="N136" i="12"/>
  <c r="M136" i="12"/>
  <c r="K136" i="12"/>
  <c r="J136" i="12"/>
  <c r="I136" i="12"/>
  <c r="H136" i="12"/>
  <c r="G136" i="12"/>
  <c r="F136" i="12"/>
  <c r="E136" i="12"/>
  <c r="D136" i="12"/>
  <c r="C136" i="12"/>
  <c r="B136" i="12"/>
  <c r="O135" i="12"/>
  <c r="N135" i="12"/>
  <c r="M135" i="12"/>
  <c r="K135" i="12"/>
  <c r="J135" i="12"/>
  <c r="I135" i="12"/>
  <c r="H135" i="12"/>
  <c r="G135" i="12"/>
  <c r="F135" i="12"/>
  <c r="E135" i="12"/>
  <c r="D135" i="12"/>
  <c r="C135" i="12"/>
  <c r="B135" i="12"/>
  <c r="O134" i="12"/>
  <c r="N134" i="12"/>
  <c r="M134" i="12"/>
  <c r="F134" i="12"/>
  <c r="E134" i="12"/>
  <c r="D134" i="12"/>
  <c r="C134" i="12"/>
  <c r="B134" i="12"/>
  <c r="O133" i="12"/>
  <c r="N133" i="12"/>
  <c r="M133" i="12"/>
  <c r="F133" i="12"/>
  <c r="E133" i="12"/>
  <c r="D133" i="12"/>
  <c r="C133" i="12"/>
  <c r="B133" i="12"/>
  <c r="O132" i="12"/>
  <c r="N132" i="12"/>
  <c r="M132" i="12"/>
  <c r="F132" i="12"/>
  <c r="E132" i="12"/>
  <c r="D132" i="12"/>
  <c r="C132" i="12"/>
  <c r="B132" i="12"/>
  <c r="O131" i="12"/>
  <c r="N131" i="12"/>
  <c r="M131" i="12"/>
  <c r="F131" i="12"/>
  <c r="E131" i="12"/>
  <c r="D131" i="12"/>
  <c r="C131" i="12"/>
  <c r="B131" i="12"/>
  <c r="O130" i="12"/>
  <c r="N130" i="12"/>
  <c r="M130" i="12"/>
  <c r="F130" i="12"/>
  <c r="E130" i="12"/>
  <c r="D130" i="12"/>
  <c r="C130" i="12"/>
  <c r="B130" i="12"/>
  <c r="O129" i="12"/>
  <c r="N129" i="12"/>
  <c r="M129" i="12"/>
  <c r="F129" i="12"/>
  <c r="E129" i="12"/>
  <c r="D129" i="12"/>
  <c r="C129" i="12"/>
  <c r="B129" i="12"/>
  <c r="O128" i="12"/>
  <c r="N128" i="12"/>
  <c r="M128" i="12"/>
  <c r="F128" i="12"/>
  <c r="E128" i="12"/>
  <c r="D128" i="12"/>
  <c r="C128" i="12"/>
  <c r="B128" i="12"/>
  <c r="O127" i="12"/>
  <c r="N127" i="12"/>
  <c r="M127" i="12"/>
  <c r="F127" i="12"/>
  <c r="E127" i="12"/>
  <c r="D127" i="12"/>
  <c r="C127" i="12"/>
  <c r="B127" i="12"/>
  <c r="O126" i="12"/>
  <c r="N126" i="12"/>
  <c r="M126" i="12"/>
  <c r="F126" i="12"/>
  <c r="E126" i="12"/>
  <c r="D126" i="12"/>
  <c r="C126" i="12"/>
  <c r="B126" i="12"/>
  <c r="O125" i="12"/>
  <c r="N125" i="12"/>
  <c r="M125" i="12"/>
  <c r="F125" i="12"/>
  <c r="E125" i="12"/>
  <c r="D125" i="12"/>
  <c r="C125" i="12"/>
  <c r="B125" i="12"/>
  <c r="O124" i="12"/>
  <c r="N124" i="12"/>
  <c r="M124" i="12"/>
  <c r="F124" i="12"/>
  <c r="E124" i="12"/>
  <c r="D124" i="12"/>
  <c r="C124" i="12"/>
  <c r="B124" i="12"/>
  <c r="O123" i="12"/>
  <c r="N123" i="12"/>
  <c r="M123" i="12"/>
  <c r="F123" i="12"/>
  <c r="E123" i="12"/>
  <c r="D123" i="12"/>
  <c r="C123" i="12"/>
  <c r="B123" i="12"/>
  <c r="O122" i="12"/>
  <c r="N122" i="12"/>
  <c r="M122" i="12"/>
  <c r="F122" i="12"/>
  <c r="E122" i="12"/>
  <c r="D122" i="12"/>
  <c r="C122" i="12"/>
  <c r="B122" i="12"/>
  <c r="O121" i="12"/>
  <c r="N121" i="12"/>
  <c r="M121" i="12"/>
  <c r="K121" i="12"/>
  <c r="J121" i="12"/>
  <c r="I121" i="12"/>
  <c r="H121" i="12"/>
  <c r="G121" i="12"/>
  <c r="F121" i="12"/>
  <c r="E121" i="12"/>
  <c r="D121" i="12"/>
  <c r="C121" i="12"/>
  <c r="B121" i="12"/>
  <c r="O120" i="12"/>
  <c r="N120" i="12"/>
  <c r="M120" i="12"/>
  <c r="K120" i="12"/>
  <c r="J120" i="12"/>
  <c r="I120" i="12"/>
  <c r="H120" i="12"/>
  <c r="G120" i="12"/>
  <c r="F120" i="12"/>
  <c r="E120" i="12"/>
  <c r="D120" i="12"/>
  <c r="C120" i="12"/>
  <c r="B120" i="12"/>
  <c r="O119" i="12"/>
  <c r="N119" i="12"/>
  <c r="M119" i="12"/>
  <c r="K119" i="12"/>
  <c r="J119" i="12"/>
  <c r="I119" i="12"/>
  <c r="H119" i="12"/>
  <c r="G119" i="12"/>
  <c r="F119" i="12"/>
  <c r="E119" i="12"/>
  <c r="D119" i="12"/>
  <c r="C119" i="12"/>
  <c r="B119" i="12"/>
  <c r="O118" i="12"/>
  <c r="N118" i="12"/>
  <c r="M118" i="12"/>
  <c r="F118" i="12"/>
  <c r="E118" i="12"/>
  <c r="D118" i="12"/>
  <c r="C118" i="12"/>
  <c r="B118" i="12"/>
  <c r="O117" i="12"/>
  <c r="N117" i="12"/>
  <c r="M117" i="12"/>
  <c r="F117" i="12"/>
  <c r="E117" i="12"/>
  <c r="D117" i="12"/>
  <c r="C117" i="12"/>
  <c r="B117" i="12"/>
  <c r="O116" i="12"/>
  <c r="N116" i="12"/>
  <c r="M116" i="12"/>
  <c r="F116" i="12"/>
  <c r="E116" i="12"/>
  <c r="D116" i="12"/>
  <c r="C116" i="12"/>
  <c r="B116" i="12"/>
  <c r="O115" i="12"/>
  <c r="N115" i="12"/>
  <c r="M115" i="12"/>
  <c r="F115" i="12"/>
  <c r="E115" i="12"/>
  <c r="D115" i="12"/>
  <c r="C115" i="12"/>
  <c r="B115" i="12"/>
  <c r="O114" i="12"/>
  <c r="N114" i="12"/>
  <c r="M114" i="12"/>
  <c r="F114" i="12"/>
  <c r="E114" i="12"/>
  <c r="D114" i="12"/>
  <c r="C114" i="12"/>
  <c r="B114" i="12"/>
  <c r="O113" i="12"/>
  <c r="N113" i="12"/>
  <c r="M113" i="12"/>
  <c r="F113" i="12"/>
  <c r="E113" i="12"/>
  <c r="D113" i="12"/>
  <c r="C113" i="12"/>
  <c r="B113" i="12"/>
  <c r="O112" i="12"/>
  <c r="N112" i="12"/>
  <c r="M112" i="12"/>
  <c r="F112" i="12"/>
  <c r="E112" i="12"/>
  <c r="D112" i="12"/>
  <c r="C112" i="12"/>
  <c r="B112" i="12"/>
  <c r="O111" i="12"/>
  <c r="N111" i="12"/>
  <c r="M111" i="12"/>
  <c r="F111" i="12"/>
  <c r="E111" i="12"/>
  <c r="D111" i="12"/>
  <c r="C111" i="12"/>
  <c r="B111" i="12"/>
  <c r="O110" i="12"/>
  <c r="N110" i="12"/>
  <c r="M110" i="12"/>
  <c r="F110" i="12"/>
  <c r="E110" i="12"/>
  <c r="D110" i="12"/>
  <c r="C110" i="12"/>
  <c r="B110" i="12"/>
  <c r="O109" i="12"/>
  <c r="N109" i="12"/>
  <c r="M109" i="12"/>
  <c r="F109" i="12"/>
  <c r="E109" i="12"/>
  <c r="D109" i="12"/>
  <c r="C109" i="12"/>
  <c r="B109" i="12"/>
  <c r="O108" i="12"/>
  <c r="N108" i="12"/>
  <c r="M108" i="12"/>
  <c r="F108" i="12"/>
  <c r="E108" i="12"/>
  <c r="D108" i="12"/>
  <c r="C108" i="12"/>
  <c r="B108" i="12"/>
  <c r="O107" i="12"/>
  <c r="N107" i="12"/>
  <c r="M107" i="12"/>
  <c r="F107" i="12"/>
  <c r="E107" i="12"/>
  <c r="D107" i="12"/>
  <c r="C107" i="12"/>
  <c r="B107" i="12"/>
  <c r="O106" i="12"/>
  <c r="N106" i="12"/>
  <c r="M106" i="12"/>
  <c r="K106" i="12"/>
  <c r="J106" i="12"/>
  <c r="I106" i="12"/>
  <c r="H106" i="12"/>
  <c r="G106" i="12"/>
  <c r="F106" i="12"/>
  <c r="E106" i="12"/>
  <c r="D106" i="12"/>
  <c r="C106" i="12"/>
  <c r="B106" i="12"/>
  <c r="O105" i="12"/>
  <c r="N105" i="12"/>
  <c r="M105" i="12"/>
  <c r="K105" i="12"/>
  <c r="J105" i="12"/>
  <c r="I105" i="12"/>
  <c r="H105" i="12"/>
  <c r="G105" i="12"/>
  <c r="F105" i="12"/>
  <c r="E105" i="12"/>
  <c r="D105" i="12"/>
  <c r="C105" i="12"/>
  <c r="B105" i="12"/>
  <c r="O104" i="12"/>
  <c r="N104" i="12"/>
  <c r="M104" i="12"/>
  <c r="K104" i="12"/>
  <c r="J104" i="12"/>
  <c r="I104" i="12"/>
  <c r="H104" i="12"/>
  <c r="G104" i="12"/>
  <c r="F104" i="12"/>
  <c r="E104" i="12"/>
  <c r="D104" i="12"/>
  <c r="C104" i="12"/>
  <c r="B104" i="12"/>
  <c r="O103" i="12"/>
  <c r="N103" i="12"/>
  <c r="M103" i="12"/>
  <c r="K103" i="12"/>
  <c r="J103" i="12"/>
  <c r="I103" i="12"/>
  <c r="H103" i="12"/>
  <c r="G103" i="12"/>
  <c r="F103" i="12"/>
  <c r="E103" i="12"/>
  <c r="D103" i="12"/>
  <c r="C103" i="12"/>
  <c r="B103" i="12"/>
  <c r="O102" i="12"/>
  <c r="N102" i="12"/>
  <c r="M102" i="12"/>
  <c r="F102" i="12"/>
  <c r="E102" i="12"/>
  <c r="D102" i="12"/>
  <c r="C102" i="12"/>
  <c r="B102" i="12"/>
  <c r="O101" i="12"/>
  <c r="N101" i="12"/>
  <c r="M101" i="12"/>
  <c r="F101" i="12"/>
  <c r="E101" i="12"/>
  <c r="D101" i="12"/>
  <c r="C101" i="12"/>
  <c r="B101" i="12"/>
  <c r="O100" i="12"/>
  <c r="N100" i="12"/>
  <c r="M100" i="12"/>
  <c r="F100" i="12"/>
  <c r="E100" i="12"/>
  <c r="D100" i="12"/>
  <c r="C100" i="12"/>
  <c r="B100" i="12"/>
  <c r="O99" i="12"/>
  <c r="N99" i="12"/>
  <c r="M99" i="12"/>
  <c r="F99" i="12"/>
  <c r="E99" i="12"/>
  <c r="D99" i="12"/>
  <c r="C99" i="12"/>
  <c r="B99" i="12"/>
  <c r="O98" i="12"/>
  <c r="N98" i="12"/>
  <c r="M98" i="12"/>
  <c r="F98" i="12"/>
  <c r="E98" i="12"/>
  <c r="D98" i="12"/>
  <c r="C98" i="12"/>
  <c r="B98" i="12"/>
  <c r="O97" i="12"/>
  <c r="N97" i="12"/>
  <c r="M97" i="12"/>
  <c r="F97" i="12"/>
  <c r="E97" i="12"/>
  <c r="D97" i="12"/>
  <c r="C97" i="12"/>
  <c r="B97" i="12"/>
  <c r="O96" i="12"/>
  <c r="N96" i="12"/>
  <c r="M96" i="12"/>
  <c r="F96" i="12"/>
  <c r="E96" i="12"/>
  <c r="D96" i="12"/>
  <c r="C96" i="12"/>
  <c r="B96" i="12"/>
  <c r="O95" i="12"/>
  <c r="N95" i="12"/>
  <c r="M95" i="12"/>
  <c r="F95" i="12"/>
  <c r="E95" i="12"/>
  <c r="D95" i="12"/>
  <c r="C95" i="12"/>
  <c r="B95" i="12"/>
  <c r="O94" i="12"/>
  <c r="N94" i="12"/>
  <c r="M94" i="12"/>
  <c r="F94" i="12"/>
  <c r="E94" i="12"/>
  <c r="D94" i="12"/>
  <c r="C94" i="12"/>
  <c r="B94" i="12"/>
  <c r="O93" i="12"/>
  <c r="N93" i="12"/>
  <c r="M93" i="12"/>
  <c r="F93" i="12"/>
  <c r="E93" i="12"/>
  <c r="D93" i="12"/>
  <c r="C93" i="12"/>
  <c r="B93" i="12"/>
  <c r="O92" i="12"/>
  <c r="N92" i="12"/>
  <c r="M92" i="12"/>
  <c r="F92" i="12"/>
  <c r="E92" i="12"/>
  <c r="D92" i="12"/>
  <c r="C92" i="12"/>
  <c r="B92" i="12"/>
  <c r="O91" i="12"/>
  <c r="N91" i="12"/>
  <c r="M91" i="12"/>
  <c r="F91" i="12"/>
  <c r="E91" i="12"/>
  <c r="D91" i="12"/>
  <c r="C91" i="12"/>
  <c r="B91" i="12"/>
  <c r="O90" i="12"/>
  <c r="N90" i="12"/>
  <c r="M90" i="12"/>
  <c r="K90" i="12"/>
  <c r="J90" i="12"/>
  <c r="I90" i="12"/>
  <c r="H90" i="12"/>
  <c r="G90" i="12"/>
  <c r="F90" i="12"/>
  <c r="E90" i="12"/>
  <c r="D90" i="12"/>
  <c r="C90" i="12"/>
  <c r="B90" i="12"/>
  <c r="O89" i="12"/>
  <c r="N89" i="12"/>
  <c r="M89" i="12"/>
  <c r="K89" i="12"/>
  <c r="J89" i="12"/>
  <c r="I89" i="12"/>
  <c r="H89" i="12"/>
  <c r="G89" i="12"/>
  <c r="F89" i="12"/>
  <c r="E89" i="12"/>
  <c r="D89" i="12"/>
  <c r="C89" i="12"/>
  <c r="B89" i="12"/>
  <c r="O88" i="12"/>
  <c r="N88" i="12"/>
  <c r="M88" i="12"/>
  <c r="K88" i="12"/>
  <c r="J88" i="12"/>
  <c r="I88" i="12"/>
  <c r="H88" i="12"/>
  <c r="G88" i="12"/>
  <c r="F88" i="12"/>
  <c r="E88" i="12"/>
  <c r="D88" i="12"/>
  <c r="C88" i="12"/>
  <c r="B88" i="12"/>
  <c r="O87" i="12"/>
  <c r="N87" i="12"/>
  <c r="M87" i="12"/>
  <c r="K87" i="12"/>
  <c r="J87" i="12"/>
  <c r="I87" i="12"/>
  <c r="H87" i="12"/>
  <c r="G87" i="12"/>
  <c r="F87" i="12"/>
  <c r="E87" i="12"/>
  <c r="D87" i="12"/>
  <c r="C87" i="12"/>
  <c r="B87" i="12"/>
  <c r="O86" i="12"/>
  <c r="N86" i="12"/>
  <c r="M86" i="12"/>
  <c r="I86" i="12"/>
  <c r="H86" i="12"/>
  <c r="G86" i="12"/>
  <c r="F86" i="12"/>
  <c r="E86" i="12"/>
  <c r="D86" i="12"/>
  <c r="C86" i="12"/>
  <c r="B86" i="12"/>
  <c r="O85" i="12"/>
  <c r="N85" i="12"/>
  <c r="M85" i="12"/>
  <c r="I85" i="12"/>
  <c r="H85" i="12"/>
  <c r="G85" i="12"/>
  <c r="F85" i="12"/>
  <c r="E85" i="12"/>
  <c r="D85" i="12"/>
  <c r="C85" i="12"/>
  <c r="B85" i="12"/>
  <c r="O84" i="12"/>
  <c r="N84" i="12"/>
  <c r="M84" i="12"/>
  <c r="I84" i="12"/>
  <c r="H84" i="12"/>
  <c r="G84" i="12"/>
  <c r="F84" i="12"/>
  <c r="E84" i="12"/>
  <c r="D84" i="12"/>
  <c r="C84" i="12"/>
  <c r="B84" i="12"/>
  <c r="O83" i="12"/>
  <c r="N83" i="12"/>
  <c r="M83" i="12"/>
  <c r="I83" i="12"/>
  <c r="H83" i="12"/>
  <c r="G83" i="12"/>
  <c r="F83" i="12"/>
  <c r="E83" i="12"/>
  <c r="D83" i="12"/>
  <c r="C83" i="12"/>
  <c r="B83" i="12"/>
  <c r="O82" i="12"/>
  <c r="N82" i="12"/>
  <c r="M82" i="12"/>
  <c r="I82" i="12"/>
  <c r="H82" i="12"/>
  <c r="G82" i="12"/>
  <c r="F82" i="12"/>
  <c r="E82" i="12"/>
  <c r="D82" i="12"/>
  <c r="C82" i="12"/>
  <c r="B82" i="12"/>
  <c r="O81" i="12"/>
  <c r="N81" i="12"/>
  <c r="M81" i="12"/>
  <c r="I81" i="12"/>
  <c r="H81" i="12"/>
  <c r="G81" i="12"/>
  <c r="F81" i="12"/>
  <c r="E81" i="12"/>
  <c r="D81" i="12"/>
  <c r="C81" i="12"/>
  <c r="B81" i="12"/>
  <c r="O80" i="12"/>
  <c r="N80" i="12"/>
  <c r="M80" i="12"/>
  <c r="I80" i="12"/>
  <c r="H80" i="12"/>
  <c r="G80" i="12"/>
  <c r="F80" i="12"/>
  <c r="E80" i="12"/>
  <c r="D80" i="12"/>
  <c r="C80" i="12"/>
  <c r="B80" i="12"/>
  <c r="O79" i="12"/>
  <c r="N79" i="12"/>
  <c r="M79" i="12"/>
  <c r="I79" i="12"/>
  <c r="H79" i="12"/>
  <c r="G79" i="12"/>
  <c r="F79" i="12"/>
  <c r="E79" i="12"/>
  <c r="D79" i="12"/>
  <c r="C79" i="12"/>
  <c r="B79" i="12"/>
  <c r="O78" i="12"/>
  <c r="N78" i="12"/>
  <c r="M78" i="12"/>
  <c r="I78" i="12"/>
  <c r="H78" i="12"/>
  <c r="G78" i="12"/>
  <c r="F78" i="12"/>
  <c r="E78" i="12"/>
  <c r="D78" i="12"/>
  <c r="C78" i="12"/>
  <c r="B78" i="12"/>
  <c r="O77" i="12"/>
  <c r="N77" i="12"/>
  <c r="M77" i="12"/>
  <c r="K77" i="12"/>
  <c r="J77" i="12"/>
  <c r="I77" i="12"/>
  <c r="H77" i="12"/>
  <c r="G77" i="12"/>
  <c r="F77" i="12"/>
  <c r="E77" i="12"/>
  <c r="D77" i="12"/>
  <c r="C77" i="12"/>
  <c r="B77" i="12"/>
  <c r="O76" i="12"/>
  <c r="N76" i="12"/>
  <c r="M76" i="12"/>
  <c r="K76" i="12"/>
  <c r="J76" i="12"/>
  <c r="I76" i="12"/>
  <c r="H76" i="12"/>
  <c r="G76" i="12"/>
  <c r="F76" i="12"/>
  <c r="E76" i="12"/>
  <c r="D76" i="12"/>
  <c r="C76" i="12"/>
  <c r="B76" i="12"/>
  <c r="O75" i="12"/>
  <c r="N75" i="12"/>
  <c r="M75" i="12"/>
  <c r="K75" i="12"/>
  <c r="J75" i="12"/>
  <c r="I75" i="12"/>
  <c r="H75" i="12"/>
  <c r="G75" i="12"/>
  <c r="F75" i="12"/>
  <c r="E75" i="12"/>
  <c r="D75" i="12"/>
  <c r="C75" i="12"/>
  <c r="B75" i="12"/>
  <c r="O74" i="12"/>
  <c r="N74" i="12"/>
  <c r="M74" i="12"/>
  <c r="K74" i="12"/>
  <c r="J74" i="12"/>
  <c r="I74" i="12"/>
  <c r="H74" i="12"/>
  <c r="G74" i="12"/>
  <c r="F74" i="12"/>
  <c r="E74" i="12"/>
  <c r="D74" i="12"/>
  <c r="C74" i="12"/>
  <c r="B74" i="12"/>
  <c r="O73" i="12"/>
  <c r="N73" i="12"/>
  <c r="M73" i="12"/>
  <c r="K73" i="12"/>
  <c r="J73" i="12"/>
  <c r="I73" i="12"/>
  <c r="H73" i="12"/>
  <c r="G73" i="12"/>
  <c r="F73" i="12"/>
  <c r="E73" i="12"/>
  <c r="D73" i="12"/>
  <c r="C73" i="12"/>
  <c r="B73" i="12"/>
  <c r="O72" i="12"/>
  <c r="N72" i="12"/>
  <c r="M72" i="12"/>
  <c r="K72" i="12"/>
  <c r="J72" i="12"/>
  <c r="I72" i="12"/>
  <c r="H72" i="12"/>
  <c r="G72" i="12"/>
  <c r="F72" i="12"/>
  <c r="E72" i="12"/>
  <c r="D72" i="12"/>
  <c r="C72" i="12"/>
  <c r="B72" i="12"/>
  <c r="O71" i="12"/>
  <c r="N71" i="12"/>
  <c r="M71" i="12"/>
  <c r="K71" i="12"/>
  <c r="J71" i="12"/>
  <c r="I71" i="12"/>
  <c r="H71" i="12"/>
  <c r="G71" i="12"/>
  <c r="F71" i="12"/>
  <c r="E71" i="12"/>
  <c r="D71" i="12"/>
  <c r="C71" i="12"/>
  <c r="B71" i="12"/>
  <c r="O70" i="12"/>
  <c r="N70" i="12"/>
  <c r="M70" i="12"/>
  <c r="F70" i="12"/>
  <c r="E70" i="12"/>
  <c r="D70" i="12"/>
  <c r="C70" i="12"/>
  <c r="B70" i="12"/>
  <c r="O69" i="12"/>
  <c r="N69" i="12"/>
  <c r="M69" i="12"/>
  <c r="F69" i="12"/>
  <c r="E69" i="12"/>
  <c r="D69" i="12"/>
  <c r="C69" i="12"/>
  <c r="B69" i="12"/>
  <c r="O68" i="12"/>
  <c r="N68" i="12"/>
  <c r="M68" i="12"/>
  <c r="F68" i="12"/>
  <c r="E68" i="12"/>
  <c r="D68" i="12"/>
  <c r="C68" i="12"/>
  <c r="B68" i="12"/>
  <c r="O67" i="12"/>
  <c r="N67" i="12"/>
  <c r="M67" i="12"/>
  <c r="F67" i="12"/>
  <c r="E67" i="12"/>
  <c r="D67" i="12"/>
  <c r="C67" i="12"/>
  <c r="B67" i="12"/>
  <c r="O66" i="12"/>
  <c r="N66" i="12"/>
  <c r="M66" i="12"/>
  <c r="F66" i="12"/>
  <c r="E66" i="12"/>
  <c r="D66" i="12"/>
  <c r="C66" i="12"/>
  <c r="B66" i="12"/>
  <c r="O65" i="12"/>
  <c r="N65" i="12"/>
  <c r="M65" i="12"/>
  <c r="F65" i="12"/>
  <c r="E65" i="12"/>
  <c r="D65" i="12"/>
  <c r="C65" i="12"/>
  <c r="B65" i="12"/>
  <c r="O64" i="12"/>
  <c r="N64" i="12"/>
  <c r="M64" i="12"/>
  <c r="F64" i="12"/>
  <c r="E64" i="12"/>
  <c r="D64" i="12"/>
  <c r="C64" i="12"/>
  <c r="B64" i="12"/>
  <c r="O63" i="12"/>
  <c r="N63" i="12"/>
  <c r="M63" i="12"/>
  <c r="F63" i="12"/>
  <c r="E63" i="12"/>
  <c r="D63" i="12"/>
  <c r="C63" i="12"/>
  <c r="B63" i="12"/>
  <c r="O62" i="12"/>
  <c r="N62" i="12"/>
  <c r="M62" i="12"/>
  <c r="F62" i="12"/>
  <c r="E62" i="12"/>
  <c r="D62" i="12"/>
  <c r="C62" i="12"/>
  <c r="B62" i="12"/>
  <c r="O61" i="12"/>
  <c r="N61" i="12"/>
  <c r="M61" i="12"/>
  <c r="K61" i="12"/>
  <c r="J61" i="12"/>
  <c r="I61" i="12"/>
  <c r="H61" i="12"/>
  <c r="G61" i="12"/>
  <c r="F61" i="12"/>
  <c r="E61" i="12"/>
  <c r="D61" i="12"/>
  <c r="C61" i="12"/>
  <c r="B61" i="12"/>
  <c r="O60" i="12"/>
  <c r="N60" i="12"/>
  <c r="M60" i="12"/>
  <c r="K60" i="12"/>
  <c r="J60" i="12"/>
  <c r="I60" i="12"/>
  <c r="H60" i="12"/>
  <c r="G60" i="12"/>
  <c r="F60" i="12"/>
  <c r="E60" i="12"/>
  <c r="D60" i="12"/>
  <c r="C60" i="12"/>
  <c r="B60" i="12"/>
  <c r="O59" i="12"/>
  <c r="N59" i="12"/>
  <c r="M59" i="12"/>
  <c r="K59" i="12"/>
  <c r="J59" i="12"/>
  <c r="I59" i="12"/>
  <c r="H59" i="12"/>
  <c r="G59" i="12"/>
  <c r="F59" i="12"/>
  <c r="E59" i="12"/>
  <c r="D59" i="12"/>
  <c r="C59" i="12"/>
  <c r="B59" i="12"/>
  <c r="O58" i="12"/>
  <c r="N58" i="12"/>
  <c r="M58" i="12"/>
  <c r="K58" i="12"/>
  <c r="J58" i="12"/>
  <c r="I58" i="12"/>
  <c r="H58" i="12"/>
  <c r="G58" i="12"/>
  <c r="F58" i="12"/>
  <c r="E58" i="12"/>
  <c r="D58" i="12"/>
  <c r="C58" i="12"/>
  <c r="B58" i="12"/>
  <c r="O57" i="12"/>
  <c r="N57" i="12"/>
  <c r="M57" i="12"/>
  <c r="K57" i="12"/>
  <c r="J57" i="12"/>
  <c r="I57" i="12"/>
  <c r="H57" i="12"/>
  <c r="G57" i="12"/>
  <c r="F57" i="12"/>
  <c r="E57" i="12"/>
  <c r="D57" i="12"/>
  <c r="C57" i="12"/>
  <c r="B57" i="12"/>
  <c r="O56" i="12"/>
  <c r="N56" i="12"/>
  <c r="M56" i="12"/>
  <c r="K56" i="12"/>
  <c r="J56" i="12"/>
  <c r="I56" i="12"/>
  <c r="H56" i="12"/>
  <c r="G56" i="12"/>
  <c r="F56" i="12"/>
  <c r="E56" i="12"/>
  <c r="D56" i="12"/>
  <c r="C56" i="12"/>
  <c r="B56" i="12"/>
  <c r="O55" i="12"/>
  <c r="N55" i="12"/>
  <c r="M55" i="12"/>
  <c r="K55" i="12"/>
  <c r="J55" i="12"/>
  <c r="I55" i="12"/>
  <c r="H55" i="12"/>
  <c r="G55" i="12"/>
  <c r="F55" i="12"/>
  <c r="E55" i="12"/>
  <c r="D55" i="12"/>
  <c r="C55" i="12"/>
  <c r="B55" i="12"/>
  <c r="O54" i="12"/>
  <c r="N54" i="12"/>
  <c r="M54" i="12"/>
  <c r="F54" i="12"/>
  <c r="E54" i="12"/>
  <c r="D54" i="12"/>
  <c r="C54" i="12"/>
  <c r="B54" i="12"/>
  <c r="O53" i="12"/>
  <c r="N53" i="12"/>
  <c r="M53" i="12"/>
  <c r="F53" i="12"/>
  <c r="E53" i="12"/>
  <c r="D53" i="12"/>
  <c r="C53" i="12"/>
  <c r="B53" i="12"/>
  <c r="O52" i="12"/>
  <c r="N52" i="12"/>
  <c r="M52" i="12"/>
  <c r="F52" i="12"/>
  <c r="E52" i="12"/>
  <c r="D52" i="12"/>
  <c r="C52" i="12"/>
  <c r="B52" i="12"/>
  <c r="O51" i="12"/>
  <c r="N51" i="12"/>
  <c r="M51" i="12"/>
  <c r="F51" i="12"/>
  <c r="E51" i="12"/>
  <c r="D51" i="12"/>
  <c r="C51" i="12"/>
  <c r="B51" i="12"/>
  <c r="O50" i="12"/>
  <c r="N50" i="12"/>
  <c r="M50" i="12"/>
  <c r="F50" i="12"/>
  <c r="E50" i="12"/>
  <c r="D50" i="12"/>
  <c r="C50" i="12"/>
  <c r="B50" i="12"/>
  <c r="O49" i="12"/>
  <c r="N49" i="12"/>
  <c r="M49" i="12"/>
  <c r="K49" i="12"/>
  <c r="J49" i="12"/>
  <c r="I49" i="12"/>
  <c r="H49" i="12"/>
  <c r="G49" i="12"/>
  <c r="F49" i="12"/>
  <c r="E49" i="12"/>
  <c r="D49" i="12"/>
  <c r="C49" i="12"/>
  <c r="B49" i="12"/>
  <c r="O48" i="12"/>
  <c r="N48" i="12"/>
  <c r="M48" i="12"/>
  <c r="K48" i="12"/>
  <c r="J48" i="12"/>
  <c r="I48" i="12"/>
  <c r="H48" i="12"/>
  <c r="G48" i="12"/>
  <c r="F48" i="12"/>
  <c r="E48" i="12"/>
  <c r="D48" i="12"/>
  <c r="C48" i="12"/>
  <c r="B48" i="12"/>
  <c r="O47" i="12"/>
  <c r="N47" i="12"/>
  <c r="M47" i="12"/>
  <c r="K47" i="12"/>
  <c r="J47" i="12"/>
  <c r="I47" i="12"/>
  <c r="H47" i="12"/>
  <c r="G47" i="12"/>
  <c r="F47" i="12"/>
  <c r="E47" i="12"/>
  <c r="D47" i="12"/>
  <c r="C47" i="12"/>
  <c r="B47" i="12"/>
  <c r="O46" i="12"/>
  <c r="N46" i="12"/>
  <c r="M46" i="12"/>
  <c r="K46" i="12"/>
  <c r="J46" i="12"/>
  <c r="I46" i="12"/>
  <c r="H46" i="12"/>
  <c r="G46" i="12"/>
  <c r="F46" i="12"/>
  <c r="E46" i="12"/>
  <c r="D46" i="12"/>
  <c r="C46" i="12"/>
  <c r="B46" i="12"/>
  <c r="O45" i="12"/>
  <c r="N45" i="12"/>
  <c r="M45" i="12"/>
  <c r="K45" i="12"/>
  <c r="J45" i="12"/>
  <c r="I45" i="12"/>
  <c r="H45" i="12"/>
  <c r="G45" i="12"/>
  <c r="F45" i="12"/>
  <c r="E45" i="12"/>
  <c r="D45" i="12"/>
  <c r="C45" i="12"/>
  <c r="B45" i="12"/>
  <c r="O44" i="12"/>
  <c r="N44" i="12"/>
  <c r="M44" i="12"/>
  <c r="K44" i="12"/>
  <c r="J44" i="12"/>
  <c r="I44" i="12"/>
  <c r="H44" i="12"/>
  <c r="G44" i="12"/>
  <c r="F44" i="12"/>
  <c r="E44" i="12"/>
  <c r="D44" i="12"/>
  <c r="C44" i="12"/>
  <c r="B44" i="12"/>
  <c r="O43" i="12"/>
  <c r="N43" i="12"/>
  <c r="M43" i="12"/>
  <c r="K43" i="12"/>
  <c r="J43" i="12"/>
  <c r="I43" i="12"/>
  <c r="H43" i="12"/>
  <c r="G43" i="12"/>
  <c r="F43" i="12"/>
  <c r="E43" i="12"/>
  <c r="D43" i="12"/>
  <c r="C43" i="12"/>
  <c r="B43" i="12"/>
  <c r="O42" i="12"/>
  <c r="N42" i="12"/>
  <c r="M42" i="12"/>
  <c r="K42" i="12"/>
  <c r="J42" i="12"/>
  <c r="I42" i="12"/>
  <c r="H42" i="12"/>
  <c r="G42" i="12"/>
  <c r="F42" i="12"/>
  <c r="E42" i="12"/>
  <c r="D42" i="12"/>
  <c r="C42" i="12"/>
  <c r="B42" i="12"/>
  <c r="O41" i="12"/>
  <c r="N41" i="12"/>
  <c r="M41" i="12"/>
  <c r="K41" i="12"/>
  <c r="J41" i="12"/>
  <c r="I41" i="12"/>
  <c r="H41" i="12"/>
  <c r="G41" i="12"/>
  <c r="F41" i="12"/>
  <c r="E41" i="12"/>
  <c r="D41" i="12"/>
  <c r="C41" i="12"/>
  <c r="B41" i="12"/>
  <c r="O40" i="12"/>
  <c r="N40" i="12"/>
  <c r="M40" i="12"/>
  <c r="K40" i="12"/>
  <c r="J40" i="12"/>
  <c r="I40" i="12"/>
  <c r="H40" i="12"/>
  <c r="G40" i="12"/>
  <c r="F40" i="12"/>
  <c r="E40" i="12"/>
  <c r="D40" i="12"/>
  <c r="C40" i="12"/>
  <c r="B40" i="12"/>
  <c r="O39" i="12"/>
  <c r="N39" i="12"/>
  <c r="M39" i="12"/>
  <c r="K39" i="12"/>
  <c r="J39" i="12"/>
  <c r="I39" i="12"/>
  <c r="H39" i="12"/>
  <c r="G39" i="12"/>
  <c r="F39" i="12"/>
  <c r="E39" i="12"/>
  <c r="D39" i="12"/>
  <c r="C39" i="12"/>
  <c r="B39" i="12"/>
  <c r="O38" i="12"/>
  <c r="N38" i="12"/>
  <c r="M38" i="12"/>
  <c r="F38" i="12"/>
  <c r="E38" i="12"/>
  <c r="D38" i="12"/>
  <c r="C38" i="12"/>
  <c r="B38" i="12"/>
  <c r="O37" i="12"/>
  <c r="N37" i="12"/>
  <c r="M37" i="12"/>
  <c r="F37" i="12"/>
  <c r="E37" i="12"/>
  <c r="D37" i="12"/>
  <c r="C37" i="12"/>
  <c r="B37" i="12"/>
  <c r="O36" i="12"/>
  <c r="N36" i="12"/>
  <c r="M36" i="12"/>
  <c r="F36" i="12"/>
  <c r="E36" i="12"/>
  <c r="D36" i="12"/>
  <c r="C36" i="12"/>
  <c r="B36" i="12"/>
  <c r="O35" i="12"/>
  <c r="N35" i="12"/>
  <c r="M35" i="12"/>
  <c r="F35" i="12"/>
  <c r="E35" i="12"/>
  <c r="D35" i="12"/>
  <c r="C35" i="12"/>
  <c r="B35" i="12"/>
  <c r="O34" i="12"/>
  <c r="N34" i="12"/>
  <c r="M34" i="12"/>
  <c r="K34" i="12"/>
  <c r="J34" i="12"/>
  <c r="I34" i="12"/>
  <c r="H34" i="12"/>
  <c r="G34" i="12"/>
  <c r="F34" i="12"/>
  <c r="E34" i="12"/>
  <c r="D34" i="12"/>
  <c r="C34" i="12"/>
  <c r="B34" i="12"/>
  <c r="O33" i="12"/>
  <c r="N33" i="12"/>
  <c r="M33" i="12"/>
  <c r="K33" i="12"/>
  <c r="J33" i="12"/>
  <c r="I33" i="12"/>
  <c r="H33" i="12"/>
  <c r="G33" i="12"/>
  <c r="F33" i="12"/>
  <c r="E33" i="12"/>
  <c r="D33" i="12"/>
  <c r="C33" i="12"/>
  <c r="B33" i="12"/>
  <c r="O32" i="12"/>
  <c r="N32" i="12"/>
  <c r="M32" i="12"/>
  <c r="K32" i="12"/>
  <c r="J32" i="12"/>
  <c r="I32" i="12"/>
  <c r="H32" i="12"/>
  <c r="G32" i="12"/>
  <c r="F32" i="12"/>
  <c r="E32" i="12"/>
  <c r="D32" i="12"/>
  <c r="C32" i="12"/>
  <c r="B32" i="12"/>
  <c r="O31" i="12"/>
  <c r="N31" i="12"/>
  <c r="M31" i="12"/>
  <c r="K31" i="12"/>
  <c r="J31" i="12"/>
  <c r="I31" i="12"/>
  <c r="H31" i="12"/>
  <c r="G31" i="12"/>
  <c r="F31" i="12"/>
  <c r="E31" i="12"/>
  <c r="D31" i="12"/>
  <c r="C31" i="12"/>
  <c r="B31" i="12"/>
  <c r="O30" i="12"/>
  <c r="N30" i="12"/>
  <c r="M30" i="12"/>
  <c r="K30" i="12"/>
  <c r="J30" i="12"/>
  <c r="I30" i="12"/>
  <c r="H30" i="12"/>
  <c r="G30" i="12"/>
  <c r="F30" i="12"/>
  <c r="E30" i="12"/>
  <c r="D30" i="12"/>
  <c r="C30" i="12"/>
  <c r="B30" i="12"/>
  <c r="O29" i="12"/>
  <c r="N29" i="12"/>
  <c r="M29" i="12"/>
  <c r="K29" i="12"/>
  <c r="J29" i="12"/>
  <c r="I29" i="12"/>
  <c r="H29" i="12"/>
  <c r="G29" i="12"/>
  <c r="F29" i="12"/>
  <c r="E29" i="12"/>
  <c r="D29" i="12"/>
  <c r="C29" i="12"/>
  <c r="B29" i="12"/>
  <c r="O28" i="12"/>
  <c r="N28" i="12"/>
  <c r="M28" i="12"/>
  <c r="K28" i="12"/>
  <c r="J28" i="12"/>
  <c r="I28" i="12"/>
  <c r="H28" i="12"/>
  <c r="G28" i="12"/>
  <c r="F28" i="12"/>
  <c r="E28" i="12"/>
  <c r="D28" i="12"/>
  <c r="C28" i="12"/>
  <c r="B28" i="12"/>
  <c r="O27" i="12"/>
  <c r="N27" i="12"/>
  <c r="M27" i="12"/>
  <c r="K27" i="12"/>
  <c r="J27" i="12"/>
  <c r="I27" i="12"/>
  <c r="H27" i="12"/>
  <c r="G27" i="12"/>
  <c r="F27" i="12"/>
  <c r="E27" i="12"/>
  <c r="D27" i="12"/>
  <c r="C27" i="12"/>
  <c r="B27" i="12"/>
  <c r="O26" i="12"/>
  <c r="N26" i="12"/>
  <c r="M26" i="12"/>
  <c r="K26" i="12"/>
  <c r="J26" i="12"/>
  <c r="I26" i="12"/>
  <c r="H26" i="12"/>
  <c r="G26" i="12"/>
  <c r="F26" i="12"/>
  <c r="E26" i="12"/>
  <c r="D26" i="12"/>
  <c r="C26" i="12"/>
  <c r="B26" i="12"/>
  <c r="O25" i="12"/>
  <c r="N25" i="12"/>
  <c r="M25" i="12"/>
  <c r="K25" i="12"/>
  <c r="J25" i="12"/>
  <c r="I25" i="12"/>
  <c r="H25" i="12"/>
  <c r="G25" i="12"/>
  <c r="F25" i="12"/>
  <c r="E25" i="12"/>
  <c r="D25" i="12"/>
  <c r="C25" i="12"/>
  <c r="B25" i="12"/>
  <c r="O24" i="12"/>
  <c r="N24" i="12"/>
  <c r="M24" i="12"/>
  <c r="K24" i="12"/>
  <c r="J24" i="12"/>
  <c r="I24" i="12"/>
  <c r="H24" i="12"/>
  <c r="G24" i="12"/>
  <c r="F24" i="12"/>
  <c r="E24" i="12"/>
  <c r="D24" i="12"/>
  <c r="C24" i="12"/>
  <c r="B24" i="12"/>
  <c r="O23" i="12"/>
  <c r="N23" i="12"/>
  <c r="M23" i="12"/>
  <c r="K23" i="12"/>
  <c r="J23" i="12"/>
  <c r="I23" i="12"/>
  <c r="H23" i="12"/>
  <c r="G23" i="12"/>
  <c r="F23" i="12"/>
  <c r="E23" i="12"/>
  <c r="D23" i="12"/>
  <c r="C23" i="12"/>
  <c r="B23" i="12"/>
  <c r="O22" i="12"/>
  <c r="N22" i="12"/>
  <c r="M22" i="12"/>
  <c r="F22" i="12"/>
  <c r="E22" i="12"/>
  <c r="D22" i="12"/>
  <c r="C22" i="12"/>
  <c r="B22" i="12"/>
  <c r="O21" i="12"/>
  <c r="N21" i="12"/>
  <c r="M21" i="12"/>
  <c r="F21" i="12"/>
  <c r="E21" i="12"/>
  <c r="D21" i="12"/>
  <c r="C21" i="12"/>
  <c r="B21" i="12"/>
  <c r="O20" i="12"/>
  <c r="N20" i="12"/>
  <c r="M20" i="12"/>
  <c r="F20" i="12"/>
  <c r="E20" i="12"/>
  <c r="D20" i="12"/>
  <c r="C20" i="12"/>
  <c r="B20" i="12"/>
  <c r="O19" i="12"/>
  <c r="N19" i="12"/>
  <c r="M19" i="12"/>
  <c r="F19" i="12"/>
  <c r="E19" i="12"/>
  <c r="D19" i="12"/>
  <c r="C19" i="12"/>
  <c r="B19" i="12"/>
  <c r="O18" i="12"/>
  <c r="N18" i="12"/>
  <c r="M18" i="12"/>
  <c r="F18" i="12"/>
  <c r="E18" i="12"/>
  <c r="D18" i="12"/>
  <c r="C18" i="12"/>
  <c r="B18" i="12"/>
  <c r="O17" i="12"/>
  <c r="N17" i="12"/>
  <c r="M17" i="12"/>
  <c r="K17" i="12"/>
  <c r="J17" i="12"/>
  <c r="I17" i="12"/>
  <c r="H17" i="12"/>
  <c r="G17" i="12"/>
  <c r="F17" i="12"/>
  <c r="E17" i="12"/>
  <c r="D17" i="12"/>
  <c r="C17" i="12"/>
  <c r="B17" i="12"/>
  <c r="O16" i="12"/>
  <c r="N16" i="12"/>
  <c r="M16" i="12"/>
  <c r="K16" i="12"/>
  <c r="J16" i="12"/>
  <c r="I16" i="12"/>
  <c r="H16" i="12"/>
  <c r="G16" i="12"/>
  <c r="F16" i="12"/>
  <c r="E16" i="12"/>
  <c r="D16" i="12"/>
  <c r="C16" i="12"/>
  <c r="B16" i="12"/>
  <c r="O15" i="12"/>
  <c r="N15" i="12"/>
  <c r="M15" i="12"/>
  <c r="K15" i="12"/>
  <c r="J15" i="12"/>
  <c r="I15" i="12"/>
  <c r="H15" i="12"/>
  <c r="G15" i="12"/>
  <c r="F15" i="12"/>
  <c r="E15" i="12"/>
  <c r="D15" i="12"/>
  <c r="C15" i="12"/>
  <c r="B15" i="12"/>
  <c r="O14" i="12"/>
  <c r="N14" i="12"/>
  <c r="M14" i="12"/>
  <c r="K14" i="12"/>
  <c r="J14" i="12"/>
  <c r="I14" i="12"/>
  <c r="H14" i="12"/>
  <c r="G14" i="12"/>
  <c r="F14" i="12"/>
  <c r="E14" i="12"/>
  <c r="D14" i="12"/>
  <c r="C14" i="12"/>
  <c r="B14" i="12"/>
  <c r="O13" i="12"/>
  <c r="N13" i="12"/>
  <c r="M13" i="12"/>
  <c r="K13" i="12"/>
  <c r="J13" i="12"/>
  <c r="I13" i="12"/>
  <c r="H13" i="12"/>
  <c r="G13" i="12"/>
  <c r="F13" i="12"/>
  <c r="E13" i="12"/>
  <c r="D13" i="12"/>
  <c r="C13" i="12"/>
  <c r="B13" i="12"/>
  <c r="O12" i="12"/>
  <c r="N12" i="12"/>
  <c r="M12" i="12"/>
  <c r="K12" i="12"/>
  <c r="J12" i="12"/>
  <c r="I12" i="12"/>
  <c r="H12" i="12"/>
  <c r="G12" i="12"/>
  <c r="F12" i="12"/>
  <c r="E12" i="12"/>
  <c r="D12" i="12"/>
  <c r="C12" i="12"/>
  <c r="B12" i="12"/>
  <c r="O11" i="12"/>
  <c r="N11" i="12"/>
  <c r="M11" i="12"/>
  <c r="K11" i="12"/>
  <c r="J11" i="12"/>
  <c r="I11" i="12"/>
  <c r="H11" i="12"/>
  <c r="G11" i="12"/>
  <c r="F11" i="12"/>
  <c r="E11" i="12"/>
  <c r="D11" i="12"/>
  <c r="C11" i="12"/>
  <c r="B11" i="12"/>
  <c r="O10" i="12"/>
  <c r="N10" i="12"/>
  <c r="M10" i="12"/>
  <c r="K10" i="12"/>
  <c r="J10" i="12"/>
  <c r="I10" i="12"/>
  <c r="H10" i="12"/>
  <c r="G10" i="12"/>
  <c r="F10" i="12"/>
  <c r="E10" i="12"/>
  <c r="D10" i="12"/>
  <c r="C10" i="12"/>
  <c r="B10" i="12"/>
  <c r="O9" i="12"/>
  <c r="N9" i="12"/>
  <c r="M9" i="12"/>
  <c r="K9" i="12"/>
  <c r="J9" i="12"/>
  <c r="I9" i="12"/>
  <c r="H9" i="12"/>
  <c r="G9" i="12"/>
  <c r="F9" i="12"/>
  <c r="E9" i="12"/>
  <c r="D9" i="12"/>
  <c r="C9" i="12"/>
  <c r="B9" i="12"/>
  <c r="O8" i="12"/>
  <c r="N8" i="12"/>
  <c r="M8" i="12"/>
  <c r="K8" i="12"/>
  <c r="J8" i="12"/>
  <c r="I8" i="12"/>
  <c r="H8" i="12"/>
  <c r="G8" i="12"/>
  <c r="F8" i="12"/>
  <c r="E8" i="12"/>
  <c r="D8" i="12"/>
  <c r="C8" i="12"/>
  <c r="B8" i="12"/>
  <c r="O7" i="12"/>
  <c r="N7" i="12"/>
  <c r="M7" i="12"/>
  <c r="K7" i="12"/>
  <c r="J7" i="12"/>
  <c r="I7" i="12"/>
  <c r="H7" i="12"/>
  <c r="G7" i="12"/>
  <c r="F7" i="12"/>
  <c r="E7" i="12"/>
  <c r="D7" i="12"/>
  <c r="C7" i="12"/>
  <c r="B7" i="12"/>
  <c r="A1" i="12"/>
  <c r="I129" i="11"/>
  <c r="J129" i="11" s="1"/>
  <c r="H129" i="11"/>
  <c r="I128" i="11"/>
  <c r="J128" i="11" s="1"/>
  <c r="H128" i="11"/>
  <c r="I110" i="11"/>
  <c r="J110" i="11" s="1"/>
  <c r="H110" i="11"/>
  <c r="A110" i="11"/>
  <c r="I94" i="11"/>
  <c r="J94" i="11" s="1"/>
  <c r="H94" i="11"/>
  <c r="A94" i="11"/>
  <c r="I93" i="11"/>
  <c r="J93" i="11" s="1"/>
  <c r="H93" i="11"/>
  <c r="A93" i="11"/>
  <c r="I92" i="11"/>
  <c r="J92" i="11" s="1"/>
  <c r="H92" i="11"/>
  <c r="A92" i="11"/>
  <c r="I91" i="11"/>
  <c r="J91" i="11" s="1"/>
  <c r="H91" i="11"/>
  <c r="A91" i="11"/>
  <c r="I90" i="11"/>
  <c r="J90" i="11" s="1"/>
  <c r="H90" i="11"/>
  <c r="I75" i="11"/>
  <c r="J75" i="11" s="1"/>
  <c r="H75" i="11"/>
  <c r="A75" i="11"/>
  <c r="I74" i="11"/>
  <c r="J74" i="11" s="1"/>
  <c r="H74" i="11"/>
  <c r="A74" i="11"/>
  <c r="I55" i="11"/>
  <c r="J55" i="11" s="1"/>
  <c r="H55" i="11"/>
  <c r="A55" i="11"/>
  <c r="I54" i="11"/>
  <c r="J54" i="11" s="1"/>
  <c r="H54" i="11"/>
  <c r="A54" i="11"/>
  <c r="I53" i="11"/>
  <c r="J53" i="11" s="1"/>
  <c r="H53" i="11"/>
  <c r="A53" i="11"/>
  <c r="I37" i="11"/>
  <c r="J37" i="11" s="1"/>
  <c r="H37" i="11"/>
  <c r="A37" i="11"/>
  <c r="I36" i="11"/>
  <c r="J36" i="11" s="1"/>
  <c r="H36" i="11"/>
  <c r="A36" i="11"/>
  <c r="I35" i="11"/>
  <c r="J35" i="11" s="1"/>
  <c r="H35" i="11"/>
  <c r="A35" i="11"/>
  <c r="I34" i="11"/>
  <c r="J34" i="11" s="1"/>
  <c r="H34" i="11"/>
  <c r="A34" i="11"/>
  <c r="I33" i="11"/>
  <c r="J33" i="11" s="1"/>
  <c r="H33" i="11"/>
  <c r="A33" i="11"/>
  <c r="I19" i="11"/>
  <c r="J19" i="11" s="1"/>
  <c r="H19" i="11"/>
  <c r="A19" i="11"/>
  <c r="I18" i="11"/>
  <c r="J18" i="11" s="1"/>
  <c r="H18" i="11"/>
  <c r="A18" i="11"/>
  <c r="I17" i="11"/>
  <c r="J17" i="11" s="1"/>
  <c r="H17" i="11"/>
  <c r="A17" i="11"/>
  <c r="I16" i="11"/>
  <c r="J16" i="11" s="1"/>
  <c r="H16" i="11"/>
  <c r="A16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J1" i="11"/>
  <c r="O2" i="10"/>
  <c r="A1" i="10"/>
  <c r="O2" i="9"/>
  <c r="A1" i="9"/>
  <c r="O2" i="8"/>
  <c r="A1" i="8"/>
  <c r="W6" i="7"/>
  <c r="O2" i="7"/>
  <c r="A1" i="7"/>
  <c r="O2" i="6"/>
  <c r="A1" i="6"/>
  <c r="O2" i="5"/>
  <c r="A1" i="5"/>
  <c r="O2" i="4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B12" i="1"/>
  <c r="C8" i="1"/>
  <c r="D8" i="1" s="1"/>
  <c r="C7" i="1"/>
  <c r="D7" i="1" s="1"/>
  <c r="C6" i="1"/>
  <c r="D6" i="1" s="1"/>
  <c r="C5" i="1"/>
  <c r="G5" i="1" s="1"/>
  <c r="C4" i="1"/>
  <c r="G4" i="1" s="1"/>
  <c r="C3" i="1"/>
  <c r="G3" i="1" s="1"/>
  <c r="C2" i="1"/>
  <c r="C9" i="1" s="1"/>
  <c r="M6" i="12" l="1" a="1"/>
  <c r="M6" i="12" s="1"/>
  <c r="N6" i="12" a="1"/>
  <c r="N6" i="12" s="1"/>
  <c r="G9" i="1"/>
  <c r="D9" i="1"/>
  <c r="G7" i="1"/>
  <c r="G6" i="1"/>
  <c r="D2" i="1"/>
  <c r="D3" i="1"/>
  <c r="H126" i="11"/>
  <c r="I126" i="11" s="1"/>
  <c r="J126" i="11" s="1"/>
  <c r="H125" i="11"/>
  <c r="I125" i="11" s="1"/>
  <c r="J125" i="11" s="1"/>
  <c r="H127" i="11"/>
  <c r="I127" i="11" s="1"/>
  <c r="J127" i="11" s="1"/>
  <c r="H88" i="11"/>
  <c r="I88" i="11" s="1"/>
  <c r="J88" i="11" s="1"/>
  <c r="H114" i="11"/>
  <c r="I114" i="11" s="1"/>
  <c r="J114" i="11" s="1"/>
  <c r="H111" i="11"/>
  <c r="I111" i="11" s="1"/>
  <c r="J111" i="11" s="1"/>
  <c r="H102" i="11"/>
  <c r="I102" i="11" s="1"/>
  <c r="J102" i="11" s="1"/>
  <c r="H99" i="11"/>
  <c r="I99" i="11" s="1"/>
  <c r="J99" i="11" s="1"/>
  <c r="H85" i="11"/>
  <c r="I85" i="11" s="1"/>
  <c r="J85" i="11" s="1"/>
  <c r="H77" i="11"/>
  <c r="I77" i="11" s="1"/>
  <c r="J77" i="11" s="1"/>
  <c r="H72" i="11"/>
  <c r="I72" i="11" s="1"/>
  <c r="J72" i="11" s="1"/>
  <c r="H64" i="11"/>
  <c r="I64" i="11" s="1"/>
  <c r="J64" i="11" s="1"/>
  <c r="H56" i="11"/>
  <c r="I56" i="11" s="1"/>
  <c r="J56" i="11" s="1"/>
  <c r="H51" i="11"/>
  <c r="I51" i="11" s="1"/>
  <c r="J51" i="11" s="1"/>
  <c r="H43" i="11"/>
  <c r="I43" i="11" s="1"/>
  <c r="J43" i="11" s="1"/>
  <c r="H25" i="11"/>
  <c r="I25" i="11" s="1"/>
  <c r="J25" i="11" s="1"/>
  <c r="H15" i="11"/>
  <c r="I15" i="11" s="1"/>
  <c r="J15" i="11" s="1"/>
  <c r="H7" i="11"/>
  <c r="I7" i="11" s="1"/>
  <c r="J7" i="11" s="1"/>
  <c r="H120" i="11"/>
  <c r="I120" i="11" s="1"/>
  <c r="J120" i="11" s="1"/>
  <c r="H117" i="11"/>
  <c r="I117" i="11" s="1"/>
  <c r="J117" i="11" s="1"/>
  <c r="H108" i="11"/>
  <c r="I108" i="11" s="1"/>
  <c r="J108" i="11" s="1"/>
  <c r="H105" i="11"/>
  <c r="I105" i="11" s="1"/>
  <c r="J105" i="11" s="1"/>
  <c r="H82" i="11"/>
  <c r="I82" i="11" s="1"/>
  <c r="J82" i="11" s="1"/>
  <c r="H69" i="11"/>
  <c r="I69" i="11" s="1"/>
  <c r="J69" i="11" s="1"/>
  <c r="H123" i="11"/>
  <c r="I123" i="11" s="1"/>
  <c r="J123" i="11" s="1"/>
  <c r="H98" i="11"/>
  <c r="I98" i="11" s="1"/>
  <c r="J98" i="11" s="1"/>
  <c r="H122" i="11"/>
  <c r="I122" i="11" s="1"/>
  <c r="J122" i="11" s="1"/>
  <c r="H119" i="11"/>
  <c r="I119" i="11" s="1"/>
  <c r="J119" i="11" s="1"/>
  <c r="H107" i="11"/>
  <c r="I107" i="11" s="1"/>
  <c r="J107" i="11" s="1"/>
  <c r="H81" i="11"/>
  <c r="I81" i="11" s="1"/>
  <c r="J81" i="11" s="1"/>
  <c r="H68" i="11"/>
  <c r="I68" i="11" s="1"/>
  <c r="J68" i="11" s="1"/>
  <c r="H60" i="11"/>
  <c r="I60" i="11" s="1"/>
  <c r="J60" i="11" s="1"/>
  <c r="H47" i="11"/>
  <c r="I47" i="11" s="1"/>
  <c r="J47" i="11" s="1"/>
  <c r="H39" i="11"/>
  <c r="I39" i="11" s="1"/>
  <c r="J39" i="11" s="1"/>
  <c r="H29" i="11"/>
  <c r="I29" i="11" s="1"/>
  <c r="J29" i="11" s="1"/>
  <c r="H21" i="11"/>
  <c r="I21" i="11" s="1"/>
  <c r="J21" i="11" s="1"/>
  <c r="H11" i="11"/>
  <c r="I11" i="11" s="1"/>
  <c r="J11" i="11" s="1"/>
  <c r="H3" i="11"/>
  <c r="I3" i="11" s="1"/>
  <c r="J3" i="11" s="1"/>
  <c r="H118" i="11"/>
  <c r="I118" i="11" s="1"/>
  <c r="J118" i="11" s="1"/>
  <c r="H115" i="11"/>
  <c r="I115" i="11" s="1"/>
  <c r="J115" i="11" s="1"/>
  <c r="H106" i="11"/>
  <c r="I106" i="11" s="1"/>
  <c r="J106" i="11" s="1"/>
  <c r="H103" i="11"/>
  <c r="I103" i="11" s="1"/>
  <c r="J103" i="11" s="1"/>
  <c r="H83" i="11"/>
  <c r="I83" i="11" s="1"/>
  <c r="J83" i="11" s="1"/>
  <c r="H70" i="11"/>
  <c r="I70" i="11" s="1"/>
  <c r="J70" i="11" s="1"/>
  <c r="H62" i="11"/>
  <c r="I62" i="11" s="1"/>
  <c r="J62" i="11" s="1"/>
  <c r="H49" i="11"/>
  <c r="I49" i="11" s="1"/>
  <c r="J49" i="11" s="1"/>
  <c r="H41" i="11"/>
  <c r="I41" i="11" s="1"/>
  <c r="J41" i="11" s="1"/>
  <c r="H31" i="11"/>
  <c r="I31" i="11" s="1"/>
  <c r="J31" i="11" s="1"/>
  <c r="H23" i="11"/>
  <c r="I23" i="11" s="1"/>
  <c r="J23" i="11" s="1"/>
  <c r="H13" i="11"/>
  <c r="I13" i="11" s="1"/>
  <c r="J13" i="11" s="1"/>
  <c r="H5" i="11"/>
  <c r="I5" i="11" s="1"/>
  <c r="J5" i="11" s="1"/>
  <c r="H124" i="11"/>
  <c r="I124" i="11" s="1"/>
  <c r="J124" i="11" s="1"/>
  <c r="H121" i="11"/>
  <c r="I121" i="11" s="1"/>
  <c r="J121" i="11" s="1"/>
  <c r="H109" i="11"/>
  <c r="I109" i="11" s="1"/>
  <c r="J109" i="11" s="1"/>
  <c r="H96" i="11"/>
  <c r="I96" i="11" s="1"/>
  <c r="J96" i="11" s="1"/>
  <c r="H80" i="11"/>
  <c r="I80" i="11" s="1"/>
  <c r="J80" i="11" s="1"/>
  <c r="H67" i="11"/>
  <c r="I67" i="11" s="1"/>
  <c r="J67" i="11" s="1"/>
  <c r="H59" i="11"/>
  <c r="I59" i="11" s="1"/>
  <c r="J59" i="11" s="1"/>
  <c r="H46" i="11"/>
  <c r="I46" i="11" s="1"/>
  <c r="J46" i="11" s="1"/>
  <c r="H38" i="11"/>
  <c r="I38" i="11" s="1"/>
  <c r="J38" i="11" s="1"/>
  <c r="H28" i="11"/>
  <c r="I28" i="11" s="1"/>
  <c r="J28" i="11" s="1"/>
  <c r="H20" i="11"/>
  <c r="I20" i="11" s="1"/>
  <c r="J20" i="11" s="1"/>
  <c r="H10" i="11"/>
  <c r="I10" i="11" s="1"/>
  <c r="J10" i="11" s="1"/>
  <c r="H2" i="11"/>
  <c r="I2" i="11" s="1"/>
  <c r="J2" i="11" s="1"/>
  <c r="H100" i="11"/>
  <c r="I100" i="11" s="1"/>
  <c r="J100" i="11" s="1"/>
  <c r="H78" i="11"/>
  <c r="I78" i="11" s="1"/>
  <c r="J78" i="11" s="1"/>
  <c r="H84" i="11"/>
  <c r="I84" i="11" s="1"/>
  <c r="J84" i="11" s="1"/>
  <c r="H66" i="11"/>
  <c r="I66" i="11" s="1"/>
  <c r="J66" i="11" s="1"/>
  <c r="H42" i="11"/>
  <c r="I42" i="11" s="1"/>
  <c r="J42" i="11" s="1"/>
  <c r="H32" i="11"/>
  <c r="I32" i="11" s="1"/>
  <c r="J32" i="11" s="1"/>
  <c r="H4" i="11"/>
  <c r="I4" i="11" s="1"/>
  <c r="J4" i="11" s="1"/>
  <c r="H97" i="11"/>
  <c r="I97" i="11" s="1"/>
  <c r="J97" i="11" s="1"/>
  <c r="H76" i="11"/>
  <c r="I76" i="11" s="1"/>
  <c r="J76" i="11" s="1"/>
  <c r="H73" i="11"/>
  <c r="I73" i="11" s="1"/>
  <c r="J73" i="11" s="1"/>
  <c r="H52" i="11"/>
  <c r="I52" i="11" s="1"/>
  <c r="J52" i="11" s="1"/>
  <c r="H26" i="11"/>
  <c r="I26" i="11" s="1"/>
  <c r="J26" i="11" s="1"/>
  <c r="H9" i="11"/>
  <c r="I9" i="11" s="1"/>
  <c r="J9" i="11" s="1"/>
  <c r="H116" i="11"/>
  <c r="I116" i="11" s="1"/>
  <c r="J116" i="11" s="1"/>
  <c r="H89" i="11"/>
  <c r="I89" i="11" s="1"/>
  <c r="J89" i="11" s="1"/>
  <c r="H71" i="11"/>
  <c r="I71" i="11" s="1"/>
  <c r="J71" i="11" s="1"/>
  <c r="H113" i="11"/>
  <c r="I113" i="11" s="1"/>
  <c r="J113" i="11" s="1"/>
  <c r="H104" i="11"/>
  <c r="I104" i="11" s="1"/>
  <c r="J104" i="11" s="1"/>
  <c r="H87" i="11"/>
  <c r="I87" i="11" s="1"/>
  <c r="J87" i="11" s="1"/>
  <c r="H63" i="11"/>
  <c r="I63" i="11" s="1"/>
  <c r="J63" i="11" s="1"/>
  <c r="H50" i="11"/>
  <c r="I50" i="11" s="1"/>
  <c r="J50" i="11" s="1"/>
  <c r="H24" i="11"/>
  <c r="I24" i="11" s="1"/>
  <c r="J24" i="11" s="1"/>
  <c r="H12" i="11"/>
  <c r="I12" i="11" s="1"/>
  <c r="J12" i="11" s="1"/>
  <c r="H101" i="11"/>
  <c r="I101" i="11" s="1"/>
  <c r="J101" i="11" s="1"/>
  <c r="H86" i="11"/>
  <c r="I86" i="11" s="1"/>
  <c r="J86" i="11" s="1"/>
  <c r="H57" i="11"/>
  <c r="I57" i="11" s="1"/>
  <c r="J57" i="11" s="1"/>
  <c r="H95" i="11"/>
  <c r="I95" i="11" s="1"/>
  <c r="J95" i="11" s="1"/>
  <c r="H61" i="11"/>
  <c r="I61" i="11" s="1"/>
  <c r="J61" i="11" s="1"/>
  <c r="H58" i="11"/>
  <c r="I58" i="11" s="1"/>
  <c r="J58" i="11" s="1"/>
  <c r="H44" i="11"/>
  <c r="I44" i="11" s="1"/>
  <c r="J44" i="11" s="1"/>
  <c r="H40" i="11"/>
  <c r="I40" i="11" s="1"/>
  <c r="J40" i="11" s="1"/>
  <c r="H14" i="11"/>
  <c r="I14" i="11" s="1"/>
  <c r="J14" i="11" s="1"/>
  <c r="H79" i="11"/>
  <c r="I79" i="11" s="1"/>
  <c r="J79" i="11" s="1"/>
  <c r="H22" i="11"/>
  <c r="I22" i="11" s="1"/>
  <c r="J22" i="11" s="1"/>
  <c r="H8" i="11"/>
  <c r="I8" i="11" s="1"/>
  <c r="J8" i="11" s="1"/>
  <c r="H112" i="11"/>
  <c r="I112" i="11" s="1"/>
  <c r="J112" i="11" s="1"/>
  <c r="H65" i="11"/>
  <c r="I65" i="11" s="1"/>
  <c r="J65" i="11" s="1"/>
  <c r="H48" i="11"/>
  <c r="I48" i="11" s="1"/>
  <c r="J48" i="11" s="1"/>
  <c r="H30" i="11"/>
  <c r="I30" i="11" s="1"/>
  <c r="J30" i="11" s="1"/>
  <c r="H45" i="11"/>
  <c r="I45" i="11" s="1"/>
  <c r="J45" i="11" s="1"/>
  <c r="H27" i="11"/>
  <c r="I27" i="11" s="1"/>
  <c r="J27" i="11" s="1"/>
  <c r="H6" i="11"/>
  <c r="I6" i="11" s="1"/>
  <c r="J6" i="11" s="1"/>
  <c r="G8" i="1"/>
  <c r="D4" i="1"/>
  <c r="G2" i="1"/>
  <c r="D5" i="1"/>
  <c r="O6" i="12" a="1"/>
  <c r="O6" i="12" s="1"/>
  <c r="A7" i="12" a="1"/>
  <c r="O3" i="12" l="1"/>
  <c r="A2199" i="12"/>
  <c r="A2191" i="12"/>
  <c r="A2183" i="12"/>
  <c r="A2175" i="12"/>
  <c r="A2167" i="12"/>
  <c r="A2159" i="12"/>
  <c r="A2151" i="12"/>
  <c r="A2143" i="12"/>
  <c r="A2135" i="12"/>
  <c r="A2127" i="12"/>
  <c r="A2119" i="12"/>
  <c r="A2111" i="12"/>
  <c r="A2103" i="12"/>
  <c r="A2095" i="12"/>
  <c r="A2087" i="12"/>
  <c r="A2079" i="12"/>
  <c r="A2071" i="12"/>
  <c r="A2063" i="12"/>
  <c r="A2055" i="12"/>
  <c r="A2047" i="12"/>
  <c r="A2039" i="12"/>
  <c r="A2031" i="12"/>
  <c r="A2023" i="12"/>
  <c r="A2015" i="12"/>
  <c r="A2007" i="12"/>
  <c r="A1999" i="12"/>
  <c r="A1991" i="12"/>
  <c r="A1983" i="12"/>
  <c r="A1975" i="12"/>
  <c r="A1967" i="12"/>
  <c r="A1959" i="12"/>
  <c r="A1951" i="12"/>
  <c r="A1943" i="12"/>
  <c r="A1935" i="12"/>
  <c r="A1927" i="12"/>
  <c r="A1919" i="12"/>
  <c r="A1911" i="12"/>
  <c r="A1903" i="12"/>
  <c r="A1895" i="12"/>
  <c r="A1887" i="12"/>
  <c r="A1879" i="12"/>
  <c r="A1871" i="12"/>
  <c r="A1863" i="12"/>
  <c r="A1855" i="12"/>
  <c r="A1847" i="12"/>
  <c r="A1839" i="12"/>
  <c r="A1831" i="12"/>
  <c r="A1823" i="12"/>
  <c r="A1815" i="12"/>
  <c r="A1807" i="12"/>
  <c r="A1799" i="12"/>
  <c r="A1791" i="12"/>
  <c r="A1783" i="12"/>
  <c r="A1775" i="12"/>
  <c r="A1767" i="12"/>
  <c r="A1759" i="12"/>
  <c r="A1751" i="12"/>
  <c r="A1743" i="12"/>
  <c r="A1735" i="12"/>
  <c r="A1727" i="12"/>
  <c r="A1719" i="12"/>
  <c r="A1711" i="12"/>
  <c r="A1703" i="12"/>
  <c r="A1695" i="12"/>
  <c r="A1687" i="12"/>
  <c r="A1679" i="12"/>
  <c r="A1671" i="12"/>
  <c r="A1663" i="12"/>
  <c r="A1655" i="12"/>
  <c r="A1647" i="12"/>
  <c r="A1639" i="12"/>
  <c r="A1631" i="12"/>
  <c r="A1623" i="12"/>
  <c r="A1615" i="12"/>
  <c r="A1607" i="12"/>
  <c r="A1599" i="12"/>
  <c r="A1591" i="12"/>
  <c r="A1583" i="12"/>
  <c r="A1575" i="12"/>
  <c r="A1567" i="12"/>
  <c r="A2198" i="12"/>
  <c r="A2190" i="12"/>
  <c r="A2182" i="12"/>
  <c r="A2174" i="12"/>
  <c r="A2166" i="12"/>
  <c r="A2158" i="12"/>
  <c r="A2150" i="12"/>
  <c r="A2142" i="12"/>
  <c r="A2134" i="12"/>
  <c r="A2126" i="12"/>
  <c r="A2118" i="12"/>
  <c r="A2110" i="12"/>
  <c r="A2102" i="12"/>
  <c r="A2094" i="12"/>
  <c r="A2086" i="12"/>
  <c r="A2078" i="12"/>
  <c r="A2070" i="12"/>
  <c r="A2062" i="12"/>
  <c r="A2054" i="12"/>
  <c r="A2046" i="12"/>
  <c r="A2038" i="12"/>
  <c r="A2030" i="12"/>
  <c r="A2022" i="12"/>
  <c r="A2014" i="12"/>
  <c r="A2006" i="12"/>
  <c r="A1998" i="12"/>
  <c r="A1990" i="12"/>
  <c r="A1982" i="12"/>
  <c r="A1974" i="12"/>
  <c r="A1966" i="12"/>
  <c r="A1958" i="12"/>
  <c r="A1950" i="12"/>
  <c r="A1942" i="12"/>
  <c r="A1934" i="12"/>
  <c r="A1926" i="12"/>
  <c r="A1918" i="12"/>
  <c r="A1910" i="12"/>
  <c r="A1902" i="12"/>
  <c r="A1894" i="12"/>
  <c r="A1886" i="12"/>
  <c r="A1878" i="12"/>
  <c r="A1870" i="12"/>
  <c r="A1862" i="12"/>
  <c r="A1854" i="12"/>
  <c r="A1846" i="12"/>
  <c r="A1838" i="12"/>
  <c r="A1830" i="12"/>
  <c r="A1822" i="12"/>
  <c r="A1814" i="12"/>
  <c r="A1806" i="12"/>
  <c r="A1798" i="12"/>
  <c r="A1790" i="12"/>
  <c r="A1782" i="12"/>
  <c r="A1774" i="12"/>
  <c r="A1766" i="12"/>
  <c r="A1758" i="12"/>
  <c r="A1750" i="12"/>
  <c r="A1742" i="12"/>
  <c r="A1734" i="12"/>
  <c r="A1726" i="12"/>
  <c r="A1718" i="12"/>
  <c r="A1710" i="12"/>
  <c r="A1702" i="12"/>
  <c r="A1694" i="12"/>
  <c r="A1686" i="12"/>
  <c r="A2195" i="12"/>
  <c r="A2187" i="12"/>
  <c r="A2179" i="12"/>
  <c r="A2171" i="12"/>
  <c r="A2163" i="12"/>
  <c r="A2155" i="12"/>
  <c r="A2147" i="12"/>
  <c r="A2139" i="12"/>
  <c r="A2131" i="12"/>
  <c r="A2123" i="12"/>
  <c r="A2115" i="12"/>
  <c r="A2107" i="12"/>
  <c r="A2099" i="12"/>
  <c r="A2091" i="12"/>
  <c r="A2083" i="12"/>
  <c r="A2075" i="12"/>
  <c r="A2067" i="12"/>
  <c r="A2059" i="12"/>
  <c r="A2051" i="12"/>
  <c r="A2043" i="12"/>
  <c r="A2035" i="12"/>
  <c r="A2027" i="12"/>
  <c r="A2019" i="12"/>
  <c r="A2011" i="12"/>
  <c r="A2003" i="12"/>
  <c r="A1995" i="12"/>
  <c r="A1987" i="12"/>
  <c r="A1979" i="12"/>
  <c r="A1971" i="12"/>
  <c r="A1963" i="12"/>
  <c r="A1955" i="12"/>
  <c r="A1947" i="12"/>
  <c r="A1939" i="12"/>
  <c r="A1931" i="12"/>
  <c r="A1923" i="12"/>
  <c r="A1915" i="12"/>
  <c r="A1907" i="12"/>
  <c r="A1899" i="12"/>
  <c r="A1891" i="12"/>
  <c r="A1883" i="12"/>
  <c r="A1875" i="12"/>
  <c r="A1867" i="12"/>
  <c r="A1859" i="12"/>
  <c r="A1851" i="12"/>
  <c r="A1843" i="12"/>
  <c r="A1835" i="12"/>
  <c r="A1827" i="12"/>
  <c r="A1819" i="12"/>
  <c r="A1811" i="12"/>
  <c r="A1803" i="12"/>
  <c r="A1795" i="12"/>
  <c r="A1787" i="12"/>
  <c r="A1779" i="12"/>
  <c r="A1771" i="12"/>
  <c r="A1763" i="12"/>
  <c r="A1755" i="12"/>
  <c r="A1747" i="12"/>
  <c r="A1739" i="12"/>
  <c r="A1731" i="12"/>
  <c r="A1723" i="12"/>
  <c r="A1715" i="12"/>
  <c r="A1707" i="12"/>
  <c r="A1699" i="12"/>
  <c r="A1691" i="12"/>
  <c r="A1683" i="12"/>
  <c r="A1675" i="12"/>
  <c r="A1667" i="12"/>
  <c r="A1659" i="12"/>
  <c r="A1651" i="12"/>
  <c r="A1643" i="12"/>
  <c r="A1635" i="12"/>
  <c r="A1627" i="12"/>
  <c r="A1619" i="12"/>
  <c r="A1611" i="12"/>
  <c r="A1603" i="12"/>
  <c r="A1595" i="12"/>
  <c r="A1587" i="12"/>
  <c r="A1579" i="12"/>
  <c r="A1571" i="12"/>
  <c r="A1563" i="12"/>
  <c r="A1555" i="12"/>
  <c r="A1547" i="12"/>
  <c r="A1539" i="12"/>
  <c r="A1531" i="12"/>
  <c r="A1523" i="12"/>
  <c r="A2202" i="12"/>
  <c r="A2194" i="12"/>
  <c r="A2186" i="12"/>
  <c r="A2178" i="12"/>
  <c r="A2170" i="12"/>
  <c r="A2162" i="12"/>
  <c r="A2154" i="12"/>
  <c r="A2146" i="12"/>
  <c r="A2138" i="12"/>
  <c r="A2130" i="12"/>
  <c r="A2122" i="12"/>
  <c r="A2114" i="12"/>
  <c r="A2106" i="12"/>
  <c r="A2098" i="12"/>
  <c r="A2090" i="12"/>
  <c r="A2082" i="12"/>
  <c r="A2074" i="12"/>
  <c r="A2066" i="12"/>
  <c r="A2058" i="12"/>
  <c r="A2050" i="12"/>
  <c r="A2042" i="12"/>
  <c r="A2034" i="12"/>
  <c r="A2026" i="12"/>
  <c r="A2018" i="12"/>
  <c r="A2010" i="12"/>
  <c r="A2002" i="12"/>
  <c r="A1994" i="12"/>
  <c r="A1986" i="12"/>
  <c r="A1978" i="12"/>
  <c r="A1970" i="12"/>
  <c r="A1962" i="12"/>
  <c r="A1954" i="12"/>
  <c r="A1946" i="12"/>
  <c r="A1938" i="12"/>
  <c r="A1930" i="12"/>
  <c r="A1922" i="12"/>
  <c r="A1914" i="12"/>
  <c r="A1906" i="12"/>
  <c r="A1898" i="12"/>
  <c r="A1890" i="12"/>
  <c r="A1882" i="12"/>
  <c r="A1874" i="12"/>
  <c r="A1866" i="12"/>
  <c r="A1858" i="12"/>
  <c r="A1850" i="12"/>
  <c r="A1842" i="12"/>
  <c r="A1834" i="12"/>
  <c r="A1826" i="12"/>
  <c r="A1818" i="12"/>
  <c r="A1810" i="12"/>
  <c r="A1802" i="12"/>
  <c r="A1794" i="12"/>
  <c r="A1786" i="12"/>
  <c r="A1778" i="12"/>
  <c r="A1770" i="12"/>
  <c r="A1762" i="12"/>
  <c r="A1754" i="12"/>
  <c r="A1746" i="12"/>
  <c r="A1738" i="12"/>
  <c r="A1730" i="12"/>
  <c r="A1722" i="12"/>
  <c r="A1714" i="12"/>
  <c r="A1706" i="12"/>
  <c r="A1698" i="12"/>
  <c r="A1690" i="12"/>
  <c r="A1682" i="12"/>
  <c r="A1674" i="12"/>
  <c r="A1666" i="12"/>
  <c r="A1658" i="12"/>
  <c r="A1650" i="12"/>
  <c r="A1642" i="12"/>
  <c r="A1634" i="12"/>
  <c r="A1626" i="12"/>
  <c r="A1618" i="12"/>
  <c r="A1610" i="12"/>
  <c r="A1602" i="12"/>
  <c r="A1594" i="12"/>
  <c r="A1586" i="12"/>
  <c r="A1578" i="12"/>
  <c r="A1570" i="12"/>
  <c r="A1562" i="12"/>
  <c r="A1554" i="12"/>
  <c r="A1546" i="12"/>
  <c r="A2201" i="12"/>
  <c r="A2193" i="12"/>
  <c r="A2185" i="12"/>
  <c r="A2177" i="12"/>
  <c r="A2169" i="12"/>
  <c r="A2161" i="12"/>
  <c r="A2153" i="12"/>
  <c r="A2145" i="12"/>
  <c r="A2137" i="12"/>
  <c r="A2129" i="12"/>
  <c r="A2121" i="12"/>
  <c r="A2113" i="12"/>
  <c r="A2105" i="12"/>
  <c r="A2097" i="12"/>
  <c r="A2089" i="12"/>
  <c r="A2081" i="12"/>
  <c r="A2073" i="12"/>
  <c r="A2065" i="12"/>
  <c r="A2057" i="12"/>
  <c r="A2049" i="12"/>
  <c r="A2041" i="12"/>
  <c r="A2033" i="12"/>
  <c r="A2025" i="12"/>
  <c r="A2017" i="12"/>
  <c r="A2009" i="12"/>
  <c r="A2001" i="12"/>
  <c r="A1993" i="12"/>
  <c r="A1985" i="12"/>
  <c r="A1977" i="12"/>
  <c r="A1969" i="12"/>
  <c r="A1961" i="12"/>
  <c r="A1953" i="12"/>
  <c r="A1945" i="12"/>
  <c r="A1937" i="12"/>
  <c r="A1929" i="12"/>
  <c r="A1921" i="12"/>
  <c r="A1913" i="12"/>
  <c r="A1905" i="12"/>
  <c r="A1897" i="12"/>
  <c r="A1889" i="12"/>
  <c r="A1881" i="12"/>
  <c r="A1873" i="12"/>
  <c r="A1865" i="12"/>
  <c r="A1857" i="12"/>
  <c r="A1849" i="12"/>
  <c r="A1841" i="12"/>
  <c r="A1833" i="12"/>
  <c r="A1825" i="12"/>
  <c r="A1817" i="12"/>
  <c r="A1809" i="12"/>
  <c r="A1801" i="12"/>
  <c r="A1793" i="12"/>
  <c r="A1785" i="12"/>
  <c r="A1777" i="12"/>
  <c r="A1769" i="12"/>
  <c r="A1761" i="12"/>
  <c r="A1753" i="12"/>
  <c r="A1745" i="12"/>
  <c r="A1737" i="12"/>
  <c r="A1729" i="12"/>
  <c r="A1721" i="12"/>
  <c r="A1713" i="12"/>
  <c r="A1705" i="12"/>
  <c r="A1697" i="12"/>
  <c r="A1689" i="12"/>
  <c r="A1681" i="12"/>
  <c r="A1673" i="12"/>
  <c r="A1665" i="12"/>
  <c r="A1657" i="12"/>
  <c r="A1649" i="12"/>
  <c r="A1641" i="12"/>
  <c r="A1633" i="12"/>
  <c r="A1625" i="12"/>
  <c r="A1617" i="12"/>
  <c r="A1609" i="12"/>
  <c r="A1601" i="12"/>
  <c r="A1593" i="12"/>
  <c r="A1585" i="12"/>
  <c r="A1577" i="12"/>
  <c r="A1569" i="12"/>
  <c r="A1561" i="12"/>
  <c r="A1553" i="12"/>
  <c r="A1545" i="12"/>
  <c r="A1537" i="12"/>
  <c r="A1529" i="12"/>
  <c r="A2192" i="12"/>
  <c r="A2172" i="12"/>
  <c r="A2149" i="12"/>
  <c r="A2128" i="12"/>
  <c r="A2108" i="12"/>
  <c r="A2085" i="12"/>
  <c r="A2064" i="12"/>
  <c r="A2044" i="12"/>
  <c r="A2021" i="12"/>
  <c r="A2000" i="12"/>
  <c r="A1980" i="12"/>
  <c r="A1957" i="12"/>
  <c r="A1936" i="12"/>
  <c r="A1916" i="12"/>
  <c r="A1893" i="12"/>
  <c r="A1872" i="12"/>
  <c r="A1852" i="12"/>
  <c r="A1829" i="12"/>
  <c r="A1808" i="12"/>
  <c r="A1788" i="12"/>
  <c r="A1765" i="12"/>
  <c r="A1744" i="12"/>
  <c r="A1724" i="12"/>
  <c r="A1701" i="12"/>
  <c r="A1680" i="12"/>
  <c r="A1664" i="12"/>
  <c r="A1648" i="12"/>
  <c r="A1632" i="12"/>
  <c r="A1616" i="12"/>
  <c r="A1600" i="12"/>
  <c r="A1584" i="12"/>
  <c r="A1568" i="12"/>
  <c r="A1556" i="12"/>
  <c r="A1542" i="12"/>
  <c r="A1532" i="12"/>
  <c r="A1521" i="12"/>
  <c r="A1513" i="12"/>
  <c r="A1505" i="12"/>
  <c r="A1497" i="12"/>
  <c r="A1489" i="12"/>
  <c r="A1481" i="12"/>
  <c r="A1473" i="12"/>
  <c r="A1465" i="12"/>
  <c r="A1457" i="12"/>
  <c r="A1449" i="12"/>
  <c r="A1441" i="12"/>
  <c r="A1433" i="12"/>
  <c r="A1425" i="12"/>
  <c r="A1417" i="12"/>
  <c r="A1409" i="12"/>
  <c r="A1401" i="12"/>
  <c r="A1393" i="12"/>
  <c r="A1385" i="12"/>
  <c r="A1377" i="12"/>
  <c r="A1369" i="12"/>
  <c r="A1361" i="12"/>
  <c r="A1353" i="12"/>
  <c r="A1345" i="12"/>
  <c r="A1337" i="12"/>
  <c r="A1329" i="12"/>
  <c r="A1321" i="12"/>
  <c r="A1313" i="12"/>
  <c r="A1305" i="12"/>
  <c r="A1297" i="12"/>
  <c r="A1289" i="12"/>
  <c r="A1281" i="12"/>
  <c r="A1273" i="12"/>
  <c r="A1265" i="12"/>
  <c r="A1257" i="12"/>
  <c r="A1249" i="12"/>
  <c r="A1241" i="12"/>
  <c r="A1233" i="12"/>
  <c r="A1225" i="12"/>
  <c r="A1217" i="12"/>
  <c r="A1209" i="12"/>
  <c r="A1201" i="12"/>
  <c r="A1193" i="12"/>
  <c r="A1185" i="12"/>
  <c r="A1177" i="12"/>
  <c r="A1169" i="12"/>
  <c r="A1161" i="12"/>
  <c r="A1153" i="12"/>
  <c r="A1145" i="12"/>
  <c r="A1137" i="12"/>
  <c r="A1129" i="12"/>
  <c r="A2189" i="12"/>
  <c r="A2168" i="12"/>
  <c r="A2148" i="12"/>
  <c r="A2125" i="12"/>
  <c r="A2104" i="12"/>
  <c r="A2084" i="12"/>
  <c r="A2061" i="12"/>
  <c r="A2040" i="12"/>
  <c r="A2020" i="12"/>
  <c r="A1997" i="12"/>
  <c r="A1976" i="12"/>
  <c r="A1956" i="12"/>
  <c r="A1933" i="12"/>
  <c r="A1912" i="12"/>
  <c r="A1892" i="12"/>
  <c r="A1869" i="12"/>
  <c r="A1848" i="12"/>
  <c r="A1828" i="12"/>
  <c r="A1805" i="12"/>
  <c r="A1784" i="12"/>
  <c r="A1764" i="12"/>
  <c r="A1741" i="12"/>
  <c r="A1720" i="12"/>
  <c r="A1700" i="12"/>
  <c r="A1678" i="12"/>
  <c r="A1662" i="12"/>
  <c r="A1646" i="12"/>
  <c r="A1630" i="12"/>
  <c r="A1614" i="12"/>
  <c r="A1598" i="12"/>
  <c r="A1582" i="12"/>
  <c r="A1566" i="12"/>
  <c r="A1552" i="12"/>
  <c r="A1541" i="12"/>
  <c r="A1530" i="12"/>
  <c r="A1520" i="12"/>
  <c r="A1512" i="12"/>
  <c r="A1504" i="12"/>
  <c r="A1496" i="12"/>
  <c r="A1488" i="12"/>
  <c r="A1480" i="12"/>
  <c r="A1472" i="12"/>
  <c r="A1464" i="12"/>
  <c r="A1456" i="12"/>
  <c r="A1448" i="12"/>
  <c r="A1440" i="12"/>
  <c r="A1432" i="12"/>
  <c r="A1424" i="12"/>
  <c r="A1416" i="12"/>
  <c r="A1408" i="12"/>
  <c r="A1400" i="12"/>
  <c r="A1392" i="12"/>
  <c r="A1384" i="12"/>
  <c r="A1376" i="12"/>
  <c r="A1368" i="12"/>
  <c r="A1360" i="12"/>
  <c r="A1352" i="12"/>
  <c r="A1344" i="12"/>
  <c r="A1336" i="12"/>
  <c r="A1328" i="12"/>
  <c r="A1320" i="12"/>
  <c r="A1312" i="12"/>
  <c r="A1304" i="12"/>
  <c r="A1296" i="12"/>
  <c r="A1288" i="12"/>
  <c r="A1280" i="12"/>
  <c r="A1272" i="12"/>
  <c r="A1264" i="12"/>
  <c r="A1256" i="12"/>
  <c r="A1248" i="12"/>
  <c r="A1240" i="12"/>
  <c r="A1232" i="12"/>
  <c r="A1224" i="12"/>
  <c r="A1216" i="12"/>
  <c r="A1208" i="12"/>
  <c r="A1200" i="12"/>
  <c r="A1192" i="12"/>
  <c r="A1184" i="12"/>
  <c r="A1176" i="12"/>
  <c r="A1168" i="12"/>
  <c r="A1160" i="12"/>
  <c r="A1152" i="12"/>
  <c r="A1144" i="12"/>
  <c r="A1136" i="12"/>
  <c r="A1128" i="12"/>
  <c r="A2181" i="12"/>
  <c r="A2160" i="12"/>
  <c r="A2140" i="12"/>
  <c r="A2117" i="12"/>
  <c r="A2096" i="12"/>
  <c r="A2076" i="12"/>
  <c r="A2053" i="12"/>
  <c r="A2032" i="12"/>
  <c r="A2012" i="12"/>
  <c r="A1989" i="12"/>
  <c r="A1968" i="12"/>
  <c r="A1948" i="12"/>
  <c r="A1925" i="12"/>
  <c r="A1904" i="12"/>
  <c r="A1884" i="12"/>
  <c r="A1861" i="12"/>
  <c r="A1840" i="12"/>
  <c r="A1820" i="12"/>
  <c r="A1797" i="12"/>
  <c r="A1776" i="12"/>
  <c r="A1756" i="12"/>
  <c r="A1733" i="12"/>
  <c r="A1712" i="12"/>
  <c r="A1692" i="12"/>
  <c r="A1672" i="12"/>
  <c r="A1656" i="12"/>
  <c r="A1640" i="12"/>
  <c r="A1624" i="12"/>
  <c r="A1608" i="12"/>
  <c r="A1592" i="12"/>
  <c r="A1576" i="12"/>
  <c r="A1560" i="12"/>
  <c r="A1549" i="12"/>
  <c r="A1536" i="12"/>
  <c r="A1526" i="12"/>
  <c r="A1517" i="12"/>
  <c r="A1509" i="12"/>
  <c r="A1501" i="12"/>
  <c r="A1493" i="12"/>
  <c r="A1485" i="12"/>
  <c r="A1477" i="12"/>
  <c r="A1469" i="12"/>
  <c r="A1461" i="12"/>
  <c r="A1453" i="12"/>
  <c r="A1445" i="12"/>
  <c r="A1437" i="12"/>
  <c r="A1429" i="12"/>
  <c r="A1421" i="12"/>
  <c r="A1413" i="12"/>
  <c r="A1405" i="12"/>
  <c r="A1397" i="12"/>
  <c r="A1389" i="12"/>
  <c r="A1381" i="12"/>
  <c r="A1373" i="12"/>
  <c r="A1365" i="12"/>
  <c r="A1357" i="12"/>
  <c r="A1349" i="12"/>
  <c r="A1341" i="12"/>
  <c r="A1333" i="12"/>
  <c r="A1325" i="12"/>
  <c r="A1317" i="12"/>
  <c r="A1309" i="12"/>
  <c r="A1301" i="12"/>
  <c r="A1293" i="12"/>
  <c r="A1285" i="12"/>
  <c r="A1277" i="12"/>
  <c r="A1269" i="12"/>
  <c r="A1261" i="12"/>
  <c r="A1253" i="12"/>
  <c r="A1245" i="12"/>
  <c r="A1237" i="12"/>
  <c r="A1229" i="12"/>
  <c r="A1221" i="12"/>
  <c r="A1213" i="12"/>
  <c r="A1205" i="12"/>
  <c r="A1197" i="12"/>
  <c r="A1189" i="12"/>
  <c r="A1181" i="12"/>
  <c r="A1173" i="12"/>
  <c r="A1165" i="12"/>
  <c r="A1157" i="12"/>
  <c r="A1149" i="12"/>
  <c r="A1141" i="12"/>
  <c r="A1133" i="12"/>
  <c r="A1125" i="12"/>
  <c r="A1117" i="12"/>
  <c r="A1109" i="12"/>
  <c r="A1101" i="12"/>
  <c r="A1093" i="12"/>
  <c r="A2200" i="12"/>
  <c r="A2180" i="12"/>
  <c r="A2157" i="12"/>
  <c r="A2136" i="12"/>
  <c r="A2116" i="12"/>
  <c r="A2093" i="12"/>
  <c r="A2072" i="12"/>
  <c r="A2052" i="12"/>
  <c r="A2029" i="12"/>
  <c r="A2008" i="12"/>
  <c r="A1988" i="12"/>
  <c r="A1965" i="12"/>
  <c r="A1944" i="12"/>
  <c r="A1924" i="12"/>
  <c r="A1901" i="12"/>
  <c r="A1880" i="12"/>
  <c r="A1860" i="12"/>
  <c r="A1837" i="12"/>
  <c r="A1816" i="12"/>
  <c r="A1796" i="12"/>
  <c r="A1773" i="12"/>
  <c r="A1752" i="12"/>
  <c r="A1732" i="12"/>
  <c r="A1709" i="12"/>
  <c r="A1688" i="12"/>
  <c r="A1670" i="12"/>
  <c r="A1654" i="12"/>
  <c r="A1638" i="12"/>
  <c r="A1622" i="12"/>
  <c r="A1606" i="12"/>
  <c r="A1590" i="12"/>
  <c r="A1574" i="12"/>
  <c r="A1559" i="12"/>
  <c r="A1548" i="12"/>
  <c r="A1535" i="12"/>
  <c r="A1525" i="12"/>
  <c r="A1516" i="12"/>
  <c r="A1508" i="12"/>
  <c r="A1500" i="12"/>
  <c r="A1492" i="12"/>
  <c r="A1484" i="12"/>
  <c r="A1476" i="12"/>
  <c r="A1468" i="12"/>
  <c r="A1460" i="12"/>
  <c r="A1452" i="12"/>
  <c r="A1444" i="12"/>
  <c r="A1436" i="12"/>
  <c r="A1428" i="12"/>
  <c r="A1420" i="12"/>
  <c r="A1412" i="12"/>
  <c r="A1404" i="12"/>
  <c r="A1396" i="12"/>
  <c r="A1388" i="12"/>
  <c r="A1380" i="12"/>
  <c r="A1372" i="12"/>
  <c r="A1364" i="12"/>
  <c r="A1356" i="12"/>
  <c r="A1348" i="12"/>
  <c r="A1340" i="12"/>
  <c r="A1332" i="12"/>
  <c r="A1324" i="12"/>
  <c r="A1316" i="12"/>
  <c r="A1308" i="12"/>
  <c r="A1300" i="12"/>
  <c r="A1292" i="12"/>
  <c r="A1284" i="12"/>
  <c r="A1276" i="12"/>
  <c r="A1268" i="12"/>
  <c r="A1260" i="12"/>
  <c r="A1252" i="12"/>
  <c r="A1244" i="12"/>
  <c r="A1236" i="12"/>
  <c r="A1228" i="12"/>
  <c r="A1220" i="12"/>
  <c r="A1212" i="12"/>
  <c r="A1204" i="12"/>
  <c r="A1196" i="12"/>
  <c r="A1188" i="12"/>
  <c r="A1180" i="12"/>
  <c r="A1172" i="12"/>
  <c r="A1164" i="12"/>
  <c r="A1156" i="12"/>
  <c r="A1148" i="12"/>
  <c r="A1140" i="12"/>
  <c r="A1132" i="12"/>
  <c r="A2196" i="12"/>
  <c r="A2173" i="12"/>
  <c r="A2152" i="12"/>
  <c r="A2132" i="12"/>
  <c r="A2109" i="12"/>
  <c r="A2088" i="12"/>
  <c r="A2068" i="12"/>
  <c r="A2045" i="12"/>
  <c r="A2024" i="12"/>
  <c r="A2004" i="12"/>
  <c r="A1981" i="12"/>
  <c r="A1960" i="12"/>
  <c r="A1940" i="12"/>
  <c r="A1917" i="12"/>
  <c r="A1896" i="12"/>
  <c r="A1876" i="12"/>
  <c r="A1853" i="12"/>
  <c r="A1832" i="12"/>
  <c r="A1812" i="12"/>
  <c r="A1789" i="12"/>
  <c r="A1768" i="12"/>
  <c r="A1748" i="12"/>
  <c r="A1725" i="12"/>
  <c r="A1704" i="12"/>
  <c r="A1684" i="12"/>
  <c r="A1668" i="12"/>
  <c r="A1652" i="12"/>
  <c r="A1636" i="12"/>
  <c r="A1620" i="12"/>
  <c r="A1604" i="12"/>
  <c r="A1588" i="12"/>
  <c r="A1572" i="12"/>
  <c r="A1557" i="12"/>
  <c r="A1543" i="12"/>
  <c r="A1533" i="12"/>
  <c r="A1522" i="12"/>
  <c r="A1514" i="12"/>
  <c r="A1506" i="12"/>
  <c r="A1498" i="12"/>
  <c r="A1490" i="12"/>
  <c r="A1482" i="12"/>
  <c r="A1474" i="12"/>
  <c r="A1466" i="12"/>
  <c r="A1458" i="12"/>
  <c r="A1450" i="12"/>
  <c r="A1442" i="12"/>
  <c r="A1434" i="12"/>
  <c r="A1426" i="12"/>
  <c r="A1418" i="12"/>
  <c r="A1410" i="12"/>
  <c r="A1402" i="12"/>
  <c r="A1394" i="12"/>
  <c r="A1386" i="12"/>
  <c r="A1378" i="12"/>
  <c r="A1370" i="12"/>
  <c r="A1362" i="12"/>
  <c r="A1354" i="12"/>
  <c r="A1346" i="12"/>
  <c r="A1338" i="12"/>
  <c r="A1330" i="12"/>
  <c r="A1322" i="12"/>
  <c r="A1314" i="12"/>
  <c r="A1306" i="12"/>
  <c r="A1298" i="12"/>
  <c r="A1290" i="12"/>
  <c r="A1282" i="12"/>
  <c r="A1274" i="12"/>
  <c r="A1266" i="12"/>
  <c r="A1258" i="12"/>
  <c r="A1250" i="12"/>
  <c r="A1242" i="12"/>
  <c r="A1234" i="12"/>
  <c r="A1226" i="12"/>
  <c r="A1218" i="12"/>
  <c r="A1210" i="12"/>
  <c r="A1202" i="12"/>
  <c r="A1194" i="12"/>
  <c r="A1186" i="12"/>
  <c r="A1178" i="12"/>
  <c r="A1170" i="12"/>
  <c r="A1162" i="12"/>
  <c r="A1154" i="12"/>
  <c r="A1146" i="12"/>
  <c r="A1138" i="12"/>
  <c r="A1130" i="12"/>
  <c r="A2165" i="12"/>
  <c r="A2112" i="12"/>
  <c r="A2056" i="12"/>
  <c r="A1996" i="12"/>
  <c r="A1941" i="12"/>
  <c r="A1885" i="12"/>
  <c r="A1824" i="12"/>
  <c r="A1772" i="12"/>
  <c r="A1716" i="12"/>
  <c r="A1661" i="12"/>
  <c r="A1621" i="12"/>
  <c r="A1580" i="12"/>
  <c r="A1540" i="12"/>
  <c r="A1515" i="12"/>
  <c r="A1494" i="12"/>
  <c r="A1471" i="12"/>
  <c r="A1451" i="12"/>
  <c r="A1430" i="12"/>
  <c r="A1407" i="12"/>
  <c r="A1387" i="12"/>
  <c r="A1366" i="12"/>
  <c r="A1343" i="12"/>
  <c r="A1323" i="12"/>
  <c r="A1302" i="12"/>
  <c r="A1279" i="12"/>
  <c r="A1259" i="12"/>
  <c r="A1238" i="12"/>
  <c r="A1215" i="12"/>
  <c r="A1195" i="12"/>
  <c r="A1174" i="12"/>
  <c r="A1151" i="12"/>
  <c r="A1131" i="12"/>
  <c r="A1119" i="12"/>
  <c r="A1110" i="12"/>
  <c r="A1100" i="12"/>
  <c r="A1091" i="12"/>
  <c r="A1083" i="12"/>
  <c r="A1075" i="12"/>
  <c r="A1067" i="12"/>
  <c r="A1059" i="12"/>
  <c r="A1051" i="12"/>
  <c r="A1043" i="12"/>
  <c r="A1035" i="12"/>
  <c r="A1027" i="12"/>
  <c r="A1019" i="12"/>
  <c r="A1011" i="12"/>
  <c r="A1003" i="12"/>
  <c r="A995" i="12"/>
  <c r="A987" i="12"/>
  <c r="A979" i="12"/>
  <c r="A971" i="12"/>
  <c r="A963" i="12"/>
  <c r="A955" i="12"/>
  <c r="A947" i="12"/>
  <c r="A939" i="12"/>
  <c r="A931" i="12"/>
  <c r="A923" i="12"/>
  <c r="A915" i="12"/>
  <c r="A907" i="12"/>
  <c r="A899" i="12"/>
  <c r="A891" i="12"/>
  <c r="A883" i="12"/>
  <c r="A875" i="12"/>
  <c r="A867" i="12"/>
  <c r="A859" i="12"/>
  <c r="A851" i="12"/>
  <c r="A843" i="12"/>
  <c r="A835" i="12"/>
  <c r="A827" i="12"/>
  <c r="A819" i="12"/>
  <c r="A811" i="12"/>
  <c r="A803" i="12"/>
  <c r="A795" i="12"/>
  <c r="A787" i="12"/>
  <c r="A779" i="12"/>
  <c r="A771" i="12"/>
  <c r="A763" i="12"/>
  <c r="A755" i="12"/>
  <c r="A747" i="12"/>
  <c r="A739" i="12"/>
  <c r="A731" i="12"/>
  <c r="A723" i="12"/>
  <c r="A715" i="12"/>
  <c r="A707" i="12"/>
  <c r="A699" i="12"/>
  <c r="A691" i="12"/>
  <c r="A683" i="12"/>
  <c r="A675" i="12"/>
  <c r="A667" i="12"/>
  <c r="A659" i="12"/>
  <c r="A651" i="12"/>
  <c r="A643" i="12"/>
  <c r="A635" i="12"/>
  <c r="A627" i="12"/>
  <c r="A619" i="12"/>
  <c r="A611" i="12"/>
  <c r="A603" i="12"/>
  <c r="A595" i="12"/>
  <c r="A587" i="12"/>
  <c r="A579" i="12"/>
  <c r="A571" i="12"/>
  <c r="A563" i="12"/>
  <c r="A555" i="12"/>
  <c r="A547" i="12"/>
  <c r="A539" i="12"/>
  <c r="A531" i="12"/>
  <c r="A523" i="12"/>
  <c r="A515" i="12"/>
  <c r="A507" i="12"/>
  <c r="A499" i="12"/>
  <c r="A2197" i="12"/>
  <c r="A2141" i="12"/>
  <c r="A2080" i="12"/>
  <c r="A2028" i="12"/>
  <c r="A1972" i="12"/>
  <c r="A1909" i="12"/>
  <c r="A1856" i="12"/>
  <c r="A1800" i="12"/>
  <c r="A1740" i="12"/>
  <c r="A1685" i="12"/>
  <c r="A1644" i="12"/>
  <c r="A1597" i="12"/>
  <c r="A1558" i="12"/>
  <c r="A1527" i="12"/>
  <c r="A1503" i="12"/>
  <c r="A1483" i="12"/>
  <c r="A1462" i="12"/>
  <c r="A1439" i="12"/>
  <c r="A1419" i="12"/>
  <c r="A1398" i="12"/>
  <c r="A1375" i="12"/>
  <c r="A1355" i="12"/>
  <c r="A1334" i="12"/>
  <c r="A1311" i="12"/>
  <c r="A1291" i="12"/>
  <c r="A1270" i="12"/>
  <c r="A1247" i="12"/>
  <c r="A1227" i="12"/>
  <c r="A1206" i="12"/>
  <c r="A1183" i="12"/>
  <c r="A1163" i="12"/>
  <c r="A1142" i="12"/>
  <c r="A1123" i="12"/>
  <c r="A1114" i="12"/>
  <c r="A1105" i="12"/>
  <c r="A1096" i="12"/>
  <c r="A1087" i="12"/>
  <c r="A1079" i="12"/>
  <c r="A1071" i="12"/>
  <c r="A1063" i="12"/>
  <c r="A1055" i="12"/>
  <c r="A1047" i="12"/>
  <c r="A1039" i="12"/>
  <c r="A1031" i="12"/>
  <c r="A1023" i="12"/>
  <c r="A1015" i="12"/>
  <c r="A1007" i="12"/>
  <c r="A999" i="12"/>
  <c r="A991" i="12"/>
  <c r="A983" i="12"/>
  <c r="A975" i="12"/>
  <c r="A967" i="12"/>
  <c r="A959" i="12"/>
  <c r="A951" i="12"/>
  <c r="A943" i="12"/>
  <c r="A935" i="12"/>
  <c r="A927" i="12"/>
  <c r="A919" i="12"/>
  <c r="A911" i="12"/>
  <c r="A903" i="12"/>
  <c r="A895" i="12"/>
  <c r="A887" i="12"/>
  <c r="A879" i="12"/>
  <c r="A871" i="12"/>
  <c r="A863" i="12"/>
  <c r="A855" i="12"/>
  <c r="A847" i="12"/>
  <c r="A839" i="12"/>
  <c r="A831" i="12"/>
  <c r="A823" i="12"/>
  <c r="A815" i="12"/>
  <c r="A807" i="12"/>
  <c r="A799" i="12"/>
  <c r="A791" i="12"/>
  <c r="A783" i="12"/>
  <c r="A775" i="12"/>
  <c r="A767" i="12"/>
  <c r="A759" i="12"/>
  <c r="A751" i="12"/>
  <c r="A743" i="12"/>
  <c r="A735" i="12"/>
  <c r="A727" i="12"/>
  <c r="A719" i="12"/>
  <c r="A711" i="12"/>
  <c r="A703" i="12"/>
  <c r="A695" i="12"/>
  <c r="A687" i="12"/>
  <c r="A679" i="12"/>
  <c r="A671" i="12"/>
  <c r="A663" i="12"/>
  <c r="A655" i="12"/>
  <c r="A647" i="12"/>
  <c r="A639" i="12"/>
  <c r="A631" i="12"/>
  <c r="A623" i="12"/>
  <c r="A615" i="12"/>
  <c r="A607" i="12"/>
  <c r="A599" i="12"/>
  <c r="A591" i="12"/>
  <c r="A583" i="12"/>
  <c r="A575" i="12"/>
  <c r="A567" i="12"/>
  <c r="A559" i="12"/>
  <c r="A551" i="12"/>
  <c r="A543" i="12"/>
  <c r="A535" i="12"/>
  <c r="A527" i="12"/>
  <c r="A519" i="12"/>
  <c r="A511" i="12"/>
  <c r="A503" i="12"/>
  <c r="A2188" i="12"/>
  <c r="A2133" i="12"/>
  <c r="A2077" i="12"/>
  <c r="A2016" i="12"/>
  <c r="A1964" i="12"/>
  <c r="A1908" i="12"/>
  <c r="A1845" i="12"/>
  <c r="A1792" i="12"/>
  <c r="A1736" i="12"/>
  <c r="A1677" i="12"/>
  <c r="A1637" i="12"/>
  <c r="A1596" i="12"/>
  <c r="A1551" i="12"/>
  <c r="A1524" i="12"/>
  <c r="A1502" i="12"/>
  <c r="A1479" i="12"/>
  <c r="A1459" i="12"/>
  <c r="A1438" i="12"/>
  <c r="A1415" i="12"/>
  <c r="A1395" i="12"/>
  <c r="A1374" i="12"/>
  <c r="A1351" i="12"/>
  <c r="A1331" i="12"/>
  <c r="A1310" i="12"/>
  <c r="A1287" i="12"/>
  <c r="A1267" i="12"/>
  <c r="A1246" i="12"/>
  <c r="A1223" i="12"/>
  <c r="A1203" i="12"/>
  <c r="A1182" i="12"/>
  <c r="A1159" i="12"/>
  <c r="A1139" i="12"/>
  <c r="A1122" i="12"/>
  <c r="A1113" i="12"/>
  <c r="A1104" i="12"/>
  <c r="A1095" i="12"/>
  <c r="A1086" i="12"/>
  <c r="A1078" i="12"/>
  <c r="A1070" i="12"/>
  <c r="A1062" i="12"/>
  <c r="A1054" i="12"/>
  <c r="A1046" i="12"/>
  <c r="A1038" i="12"/>
  <c r="A1030" i="12"/>
  <c r="A1022" i="12"/>
  <c r="A1014" i="12"/>
  <c r="A1006" i="12"/>
  <c r="A998" i="12"/>
  <c r="A990" i="12"/>
  <c r="A982" i="12"/>
  <c r="A974" i="12"/>
  <c r="A966" i="12"/>
  <c r="A958" i="12"/>
  <c r="A950" i="12"/>
  <c r="A942" i="12"/>
  <c r="A934" i="12"/>
  <c r="A926" i="12"/>
  <c r="A918" i="12"/>
  <c r="A910" i="12"/>
  <c r="A902" i="12"/>
  <c r="A894" i="12"/>
  <c r="A886" i="12"/>
  <c r="A878" i="12"/>
  <c r="A870" i="12"/>
  <c r="A862" i="12"/>
  <c r="A854" i="12"/>
  <c r="A846" i="12"/>
  <c r="A838" i="12"/>
  <c r="A830" i="12"/>
  <c r="A822" i="12"/>
  <c r="A814" i="12"/>
  <c r="A806" i="12"/>
  <c r="A798" i="12"/>
  <c r="A790" i="12"/>
  <c r="A782" i="12"/>
  <c r="A774" i="12"/>
  <c r="A766" i="12"/>
  <c r="A758" i="12"/>
  <c r="A750" i="12"/>
  <c r="A742" i="12"/>
  <c r="A734" i="12"/>
  <c r="A726" i="12"/>
  <c r="A718" i="12"/>
  <c r="A710" i="12"/>
  <c r="A702" i="12"/>
  <c r="A694" i="12"/>
  <c r="A686" i="12"/>
  <c r="A678" i="12"/>
  <c r="A670" i="12"/>
  <c r="A662" i="12"/>
  <c r="A654" i="12"/>
  <c r="A646" i="12"/>
  <c r="A638" i="12"/>
  <c r="A630" i="12"/>
  <c r="A622" i="12"/>
  <c r="A614" i="12"/>
  <c r="A606" i="12"/>
  <c r="A598" i="12"/>
  <c r="A590" i="12"/>
  <c r="A582" i="12"/>
  <c r="A574" i="12"/>
  <c r="A566" i="12"/>
  <c r="A558" i="12"/>
  <c r="A550" i="12"/>
  <c r="A542" i="12"/>
  <c r="A534" i="12"/>
  <c r="A526" i="12"/>
  <c r="A518" i="12"/>
  <c r="A510" i="12"/>
  <c r="A502" i="12"/>
  <c r="A494" i="12"/>
  <c r="A486" i="12"/>
  <c r="A478" i="12"/>
  <c r="A470" i="12"/>
  <c r="A462" i="12"/>
  <c r="A454" i="12"/>
  <c r="A446" i="12"/>
  <c r="A438" i="12"/>
  <c r="A430" i="12"/>
  <c r="A422" i="12"/>
  <c r="A414" i="12"/>
  <c r="A406" i="12"/>
  <c r="A398" i="12"/>
  <c r="A390" i="12"/>
  <c r="A382" i="12"/>
  <c r="A374" i="12"/>
  <c r="A366" i="12"/>
  <c r="A358" i="12"/>
  <c r="A350" i="12"/>
  <c r="A342" i="12"/>
  <c r="A334" i="12"/>
  <c r="A326" i="12"/>
  <c r="A318" i="12"/>
  <c r="A310" i="12"/>
  <c r="A302" i="12"/>
  <c r="A294" i="12"/>
  <c r="A286" i="12"/>
  <c r="A278" i="12"/>
  <c r="A270" i="12"/>
  <c r="A262" i="12"/>
  <c r="A254" i="12"/>
  <c r="A246" i="12"/>
  <c r="A238" i="12"/>
  <c r="A230" i="12"/>
  <c r="A222" i="12"/>
  <c r="A214" i="12"/>
  <c r="A206" i="12"/>
  <c r="A198" i="12"/>
  <c r="A190" i="12"/>
  <c r="A182" i="12"/>
  <c r="A174" i="12"/>
  <c r="A166" i="12"/>
  <c r="A158" i="12"/>
  <c r="A150" i="12"/>
  <c r="A142" i="12"/>
  <c r="A134" i="12"/>
  <c r="A126" i="12"/>
  <c r="A118" i="12"/>
  <c r="A110" i="12"/>
  <c r="A102" i="12"/>
  <c r="A94" i="12"/>
  <c r="A86" i="12"/>
  <c r="A78" i="12"/>
  <c r="A70" i="12"/>
  <c r="A62" i="12"/>
  <c r="A54" i="12"/>
  <c r="A46" i="12"/>
  <c r="A38" i="12"/>
  <c r="A30" i="12"/>
  <c r="A22" i="12"/>
  <c r="A2184" i="12"/>
  <c r="A2124" i="12"/>
  <c r="A2069" i="12"/>
  <c r="A2013" i="12"/>
  <c r="A1952" i="12"/>
  <c r="A1900" i="12"/>
  <c r="A1844" i="12"/>
  <c r="A1781" i="12"/>
  <c r="A1728" i="12"/>
  <c r="A1676" i="12"/>
  <c r="A1629" i="12"/>
  <c r="A1589" i="12"/>
  <c r="A1550" i="12"/>
  <c r="A1519" i="12"/>
  <c r="A1499" i="12"/>
  <c r="A1478" i="12"/>
  <c r="A1455" i="12"/>
  <c r="A1435" i="12"/>
  <c r="A1414" i="12"/>
  <c r="A1391" i="12"/>
  <c r="A1371" i="12"/>
  <c r="A1350" i="12"/>
  <c r="A1327" i="12"/>
  <c r="A1307" i="12"/>
  <c r="A1286" i="12"/>
  <c r="A1263" i="12"/>
  <c r="A1243" i="12"/>
  <c r="A1222" i="12"/>
  <c r="A1199" i="12"/>
  <c r="A1179" i="12"/>
  <c r="A1158" i="12"/>
  <c r="A1135" i="12"/>
  <c r="A1121" i="12"/>
  <c r="A1112" i="12"/>
  <c r="A1103" i="12"/>
  <c r="A1094" i="12"/>
  <c r="A1085" i="12"/>
  <c r="A1077" i="12"/>
  <c r="A1069" i="12"/>
  <c r="A1061" i="12"/>
  <c r="A1053" i="12"/>
  <c r="A1045" i="12"/>
  <c r="A1037" i="12"/>
  <c r="A1029" i="12"/>
  <c r="A1021" i="12"/>
  <c r="A1013" i="12"/>
  <c r="A1005" i="12"/>
  <c r="A997" i="12"/>
  <c r="A989" i="12"/>
  <c r="A981" i="12"/>
  <c r="A973" i="12"/>
  <c r="A965" i="12"/>
  <c r="A957" i="12"/>
  <c r="A949" i="12"/>
  <c r="A941" i="12"/>
  <c r="A933" i="12"/>
  <c r="A925" i="12"/>
  <c r="A917" i="12"/>
  <c r="A909" i="12"/>
  <c r="A901" i="12"/>
  <c r="A893" i="12"/>
  <c r="A885" i="12"/>
  <c r="A877" i="12"/>
  <c r="A869" i="12"/>
  <c r="A861" i="12"/>
  <c r="A853" i="12"/>
  <c r="A845" i="12"/>
  <c r="A837" i="12"/>
  <c r="A829" i="12"/>
  <c r="A821" i="12"/>
  <c r="A813" i="12"/>
  <c r="A805" i="12"/>
  <c r="A797" i="12"/>
  <c r="A789" i="12"/>
  <c r="A781" i="12"/>
  <c r="A773" i="12"/>
  <c r="A765" i="12"/>
  <c r="A757" i="12"/>
  <c r="A749" i="12"/>
  <c r="A741" i="12"/>
  <c r="A733" i="12"/>
  <c r="A725" i="12"/>
  <c r="A717" i="12"/>
  <c r="A709" i="12"/>
  <c r="A701" i="12"/>
  <c r="A693" i="12"/>
  <c r="A685" i="12"/>
  <c r="A677" i="12"/>
  <c r="A669" i="12"/>
  <c r="A661" i="12"/>
  <c r="A653" i="12"/>
  <c r="A645" i="12"/>
  <c r="A637" i="12"/>
  <c r="A629" i="12"/>
  <c r="A621" i="12"/>
  <c r="A613" i="12"/>
  <c r="A605" i="12"/>
  <c r="A597" i="12"/>
  <c r="A589" i="12"/>
  <c r="A581" i="12"/>
  <c r="A573" i="12"/>
  <c r="A565" i="12"/>
  <c r="A557" i="12"/>
  <c r="A549" i="12"/>
  <c r="A541" i="12"/>
  <c r="A533" i="12"/>
  <c r="A525" i="12"/>
  <c r="A517" i="12"/>
  <c r="A509" i="12"/>
  <c r="A501" i="12"/>
  <c r="A493" i="12"/>
  <c r="A485" i="12"/>
  <c r="A477" i="12"/>
  <c r="A469" i="12"/>
  <c r="A461" i="12"/>
  <c r="A453" i="12"/>
  <c r="A445" i="12"/>
  <c r="A437" i="12"/>
  <c r="A429" i="12"/>
  <c r="A421" i="12"/>
  <c r="A413" i="12"/>
  <c r="A405" i="12"/>
  <c r="A397" i="12"/>
  <c r="A389" i="12"/>
  <c r="A381" i="12"/>
  <c r="A373" i="12"/>
  <c r="A365" i="12"/>
  <c r="A357" i="12"/>
  <c r="A349" i="12"/>
  <c r="A341" i="12"/>
  <c r="A333" i="12"/>
  <c r="A325" i="12"/>
  <c r="A317" i="12"/>
  <c r="A309" i="12"/>
  <c r="A301" i="12"/>
  <c r="A293" i="12"/>
  <c r="A285" i="12"/>
  <c r="A277" i="12"/>
  <c r="A2144" i="12"/>
  <c r="A2036" i="12"/>
  <c r="A1920" i="12"/>
  <c r="A1804" i="12"/>
  <c r="A1693" i="12"/>
  <c r="A1605" i="12"/>
  <c r="A1528" i="12"/>
  <c r="A1486" i="12"/>
  <c r="A1443" i="12"/>
  <c r="A1399" i="12"/>
  <c r="A1358" i="12"/>
  <c r="A1315" i="12"/>
  <c r="A1271" i="12"/>
  <c r="A1230" i="12"/>
  <c r="A1187" i="12"/>
  <c r="A1143" i="12"/>
  <c r="A1115" i="12"/>
  <c r="A1097" i="12"/>
  <c r="A1080" i="12"/>
  <c r="A1064" i="12"/>
  <c r="A1048" i="12"/>
  <c r="A1032" i="12"/>
  <c r="A1016" i="12"/>
  <c r="A1000" i="12"/>
  <c r="A984" i="12"/>
  <c r="A968" i="12"/>
  <c r="A952" i="12"/>
  <c r="A936" i="12"/>
  <c r="A920" i="12"/>
  <c r="A904" i="12"/>
  <c r="A888" i="12"/>
  <c r="A872" i="12"/>
  <c r="A856" i="12"/>
  <c r="A840" i="12"/>
  <c r="A824" i="12"/>
  <c r="A808" i="12"/>
  <c r="A792" i="12"/>
  <c r="A776" i="12"/>
  <c r="A760" i="12"/>
  <c r="A744" i="12"/>
  <c r="A728" i="12"/>
  <c r="A712" i="12"/>
  <c r="A696" i="12"/>
  <c r="A680" i="12"/>
  <c r="A664" i="12"/>
  <c r="A648" i="12"/>
  <c r="A632" i="12"/>
  <c r="A616" i="12"/>
  <c r="A600" i="12"/>
  <c r="A584" i="12"/>
  <c r="A568" i="12"/>
  <c r="A552" i="12"/>
  <c r="A536" i="12"/>
  <c r="A520" i="12"/>
  <c r="A504" i="12"/>
  <c r="A490" i="12"/>
  <c r="A480" i="12"/>
  <c r="A468" i="12"/>
  <c r="A458" i="12"/>
  <c r="A448" i="12"/>
  <c r="A436" i="12"/>
  <c r="A426" i="12"/>
  <c r="A416" i="12"/>
  <c r="A404" i="12"/>
  <c r="A394" i="12"/>
  <c r="A384" i="12"/>
  <c r="A372" i="12"/>
  <c r="A362" i="12"/>
  <c r="A352" i="12"/>
  <c r="A340" i="12"/>
  <c r="A330" i="12"/>
  <c r="A320" i="12"/>
  <c r="A308" i="12"/>
  <c r="A298" i="12"/>
  <c r="A288" i="12"/>
  <c r="A276" i="12"/>
  <c r="A267" i="12"/>
  <c r="A258" i="12"/>
  <c r="A249" i="12"/>
  <c r="A240" i="12"/>
  <c r="A231" i="12"/>
  <c r="A221" i="12"/>
  <c r="A212" i="12"/>
  <c r="A203" i="12"/>
  <c r="A194" i="12"/>
  <c r="A185" i="12"/>
  <c r="A176" i="12"/>
  <c r="A167" i="12"/>
  <c r="A157" i="12"/>
  <c r="A148" i="12"/>
  <c r="A139" i="12"/>
  <c r="A130" i="12"/>
  <c r="A121" i="12"/>
  <c r="A112" i="12"/>
  <c r="A103" i="12"/>
  <c r="A93" i="12"/>
  <c r="A84" i="12"/>
  <c r="A75" i="12"/>
  <c r="A66" i="12"/>
  <c r="A57" i="12"/>
  <c r="A48" i="12"/>
  <c r="A39" i="12"/>
  <c r="A29" i="12"/>
  <c r="A20" i="12"/>
  <c r="A12" i="12"/>
  <c r="A2120" i="12"/>
  <c r="A2005" i="12"/>
  <c r="A1888" i="12"/>
  <c r="A1780" i="12"/>
  <c r="A1669" i="12"/>
  <c r="A1581" i="12"/>
  <c r="A1518" i="12"/>
  <c r="A1475" i="12"/>
  <c r="A1431" i="12"/>
  <c r="A1390" i="12"/>
  <c r="A1347" i="12"/>
  <c r="A1303" i="12"/>
  <c r="A1262" i="12"/>
  <c r="A1219" i="12"/>
  <c r="A1175" i="12"/>
  <c r="A1134" i="12"/>
  <c r="A1111" i="12"/>
  <c r="A1092" i="12"/>
  <c r="A1076" i="12"/>
  <c r="A1060" i="12"/>
  <c r="A1044" i="12"/>
  <c r="A1028" i="12"/>
  <c r="A1012" i="12"/>
  <c r="A996" i="12"/>
  <c r="A980" i="12"/>
  <c r="A964" i="12"/>
  <c r="A948" i="12"/>
  <c r="A932" i="12"/>
  <c r="A916" i="12"/>
  <c r="A900" i="12"/>
  <c r="A884" i="12"/>
  <c r="A868" i="12"/>
  <c r="A852" i="12"/>
  <c r="A836" i="12"/>
  <c r="A820" i="12"/>
  <c r="A804" i="12"/>
  <c r="A788" i="12"/>
  <c r="A772" i="12"/>
  <c r="A756" i="12"/>
  <c r="A740" i="12"/>
  <c r="A724" i="12"/>
  <c r="A708" i="12"/>
  <c r="A692" i="12"/>
  <c r="A676" i="12"/>
  <c r="A660" i="12"/>
  <c r="A644" i="12"/>
  <c r="A628" i="12"/>
  <c r="A612" i="12"/>
  <c r="A596" i="12"/>
  <c r="A580" i="12"/>
  <c r="A564" i="12"/>
  <c r="A548" i="12"/>
  <c r="A532" i="12"/>
  <c r="A516" i="12"/>
  <c r="A500" i="12"/>
  <c r="A489" i="12"/>
  <c r="A479" i="12"/>
  <c r="A467" i="12"/>
  <c r="A457" i="12"/>
  <c r="A447" i="12"/>
  <c r="A435" i="12"/>
  <c r="A425" i="12"/>
  <c r="A415" i="12"/>
  <c r="A403" i="12"/>
  <c r="A393" i="12"/>
  <c r="A383" i="12"/>
  <c r="A371" i="12"/>
  <c r="A361" i="12"/>
  <c r="A351" i="12"/>
  <c r="A339" i="12"/>
  <c r="A329" i="12"/>
  <c r="A319" i="12"/>
  <c r="A307" i="12"/>
  <c r="A297" i="12"/>
  <c r="A287" i="12"/>
  <c r="A275" i="12"/>
  <c r="A266" i="12"/>
  <c r="A257" i="12"/>
  <c r="A248" i="12"/>
  <c r="A239" i="12"/>
  <c r="A229" i="12"/>
  <c r="A220" i="12"/>
  <c r="A211" i="12"/>
  <c r="A202" i="12"/>
  <c r="A193" i="12"/>
  <c r="A184" i="12"/>
  <c r="A175" i="12"/>
  <c r="A165" i="12"/>
  <c r="A156" i="12"/>
  <c r="A147" i="12"/>
  <c r="A138" i="12"/>
  <c r="A129" i="12"/>
  <c r="A120" i="12"/>
  <c r="A111" i="12"/>
  <c r="A101" i="12"/>
  <c r="A92" i="12"/>
  <c r="A83" i="12"/>
  <c r="A74" i="12"/>
  <c r="A65" i="12"/>
  <c r="A56" i="12"/>
  <c r="A47" i="12"/>
  <c r="A37" i="12"/>
  <c r="A28" i="12"/>
  <c r="A19" i="12"/>
  <c r="A11" i="12"/>
  <c r="A2101" i="12"/>
  <c r="A1992" i="12"/>
  <c r="A1877" i="12"/>
  <c r="A1760" i="12"/>
  <c r="A1660" i="12"/>
  <c r="A1573" i="12"/>
  <c r="A1511" i="12"/>
  <c r="A1470" i="12"/>
  <c r="A1427" i="12"/>
  <c r="A1383" i="12"/>
  <c r="A1342" i="12"/>
  <c r="A1299" i="12"/>
  <c r="A1255" i="12"/>
  <c r="A1214" i="12"/>
  <c r="A1171" i="12"/>
  <c r="A1127" i="12"/>
  <c r="A1108" i="12"/>
  <c r="A1090" i="12"/>
  <c r="A1074" i="12"/>
  <c r="A1058" i="12"/>
  <c r="A1042" i="12"/>
  <c r="A1026" i="12"/>
  <c r="A1010" i="12"/>
  <c r="A994" i="12"/>
  <c r="A978" i="12"/>
  <c r="A962" i="12"/>
  <c r="A946" i="12"/>
  <c r="A930" i="12"/>
  <c r="A914" i="12"/>
  <c r="A898" i="12"/>
  <c r="A882" i="12"/>
  <c r="A866" i="12"/>
  <c r="A850" i="12"/>
  <c r="A834" i="12"/>
  <c r="A818" i="12"/>
  <c r="A802" i="12"/>
  <c r="A786" i="12"/>
  <c r="A770" i="12"/>
  <c r="A754" i="12"/>
  <c r="A738" i="12"/>
  <c r="A722" i="12"/>
  <c r="A706" i="12"/>
  <c r="A690" i="12"/>
  <c r="A674" i="12"/>
  <c r="A658" i="12"/>
  <c r="A642" i="12"/>
  <c r="A626" i="12"/>
  <c r="A610" i="12"/>
  <c r="A594" i="12"/>
  <c r="A578" i="12"/>
  <c r="A562" i="12"/>
  <c r="A546" i="12"/>
  <c r="A530" i="12"/>
  <c r="A514" i="12"/>
  <c r="A498" i="12"/>
  <c r="A488" i="12"/>
  <c r="A476" i="12"/>
  <c r="A466" i="12"/>
  <c r="A456" i="12"/>
  <c r="A444" i="12"/>
  <c r="A434" i="12"/>
  <c r="A424" i="12"/>
  <c r="A412" i="12"/>
  <c r="A402" i="12"/>
  <c r="A392" i="12"/>
  <c r="A380" i="12"/>
  <c r="A370" i="12"/>
  <c r="A360" i="12"/>
  <c r="A348" i="12"/>
  <c r="A338" i="12"/>
  <c r="A328" i="12"/>
  <c r="A316" i="12"/>
  <c r="A306" i="12"/>
  <c r="A296" i="12"/>
  <c r="A284" i="12"/>
  <c r="A274" i="12"/>
  <c r="A265" i="12"/>
  <c r="A256" i="12"/>
  <c r="A247" i="12"/>
  <c r="A237" i="12"/>
  <c r="A228" i="12"/>
  <c r="A219" i="12"/>
  <c r="A210" i="12"/>
  <c r="A201" i="12"/>
  <c r="A192" i="12"/>
  <c r="A2092" i="12"/>
  <c r="A1973" i="12"/>
  <c r="A1864" i="12"/>
  <c r="A1749" i="12"/>
  <c r="A1645" i="12"/>
  <c r="A1564" i="12"/>
  <c r="A1507" i="12"/>
  <c r="A1463" i="12"/>
  <c r="A1422" i="12"/>
  <c r="A1379" i="12"/>
  <c r="A1335" i="12"/>
  <c r="A1294" i="12"/>
  <c r="A1251" i="12"/>
  <c r="A1207" i="12"/>
  <c r="A1166" i="12"/>
  <c r="A1124" i="12"/>
  <c r="A1106" i="12"/>
  <c r="A1088" i="12"/>
  <c r="A1072" i="12"/>
  <c r="A1056" i="12"/>
  <c r="A1040" i="12"/>
  <c r="A1024" i="12"/>
  <c r="A1008" i="12"/>
  <c r="A992" i="12"/>
  <c r="A976" i="12"/>
  <c r="A960" i="12"/>
  <c r="A944" i="12"/>
  <c r="A928" i="12"/>
  <c r="A912" i="12"/>
  <c r="A896" i="12"/>
  <c r="A880" i="12"/>
  <c r="A864" i="12"/>
  <c r="A848" i="12"/>
  <c r="A832" i="12"/>
  <c r="A816" i="12"/>
  <c r="A800" i="12"/>
  <c r="A784" i="12"/>
  <c r="A768" i="12"/>
  <c r="A752" i="12"/>
  <c r="A736" i="12"/>
  <c r="A720" i="12"/>
  <c r="A704" i="12"/>
  <c r="A688" i="12"/>
  <c r="A672" i="12"/>
  <c r="A656" i="12"/>
  <c r="A640" i="12"/>
  <c r="A624" i="12"/>
  <c r="A608" i="12"/>
  <c r="A592" i="12"/>
  <c r="A576" i="12"/>
  <c r="A560" i="12"/>
  <c r="A544" i="12"/>
  <c r="A528" i="12"/>
  <c r="A512" i="12"/>
  <c r="A496" i="12"/>
  <c r="A484" i="12"/>
  <c r="A474" i="12"/>
  <c r="A464" i="12"/>
  <c r="A452" i="12"/>
  <c r="A442" i="12"/>
  <c r="A432" i="12"/>
  <c r="A420" i="12"/>
  <c r="A410" i="12"/>
  <c r="A400" i="12"/>
  <c r="A388" i="12"/>
  <c r="A378" i="12"/>
  <c r="A368" i="12"/>
  <c r="A356" i="12"/>
  <c r="A346" i="12"/>
  <c r="A336" i="12"/>
  <c r="A324" i="12"/>
  <c r="A314" i="12"/>
  <c r="A304" i="12"/>
  <c r="A292" i="12"/>
  <c r="A282" i="12"/>
  <c r="A272" i="12"/>
  <c r="A263" i="12"/>
  <c r="A253" i="12"/>
  <c r="A244" i="12"/>
  <c r="A235" i="12"/>
  <c r="A226" i="12"/>
  <c r="A217" i="12"/>
  <c r="A208" i="12"/>
  <c r="A199" i="12"/>
  <c r="A189" i="12"/>
  <c r="A180" i="12"/>
  <c r="A171" i="12"/>
  <c r="A162" i="12"/>
  <c r="A153" i="12"/>
  <c r="A144" i="12"/>
  <c r="A135" i="12"/>
  <c r="A125" i="12"/>
  <c r="A116" i="12"/>
  <c r="A107" i="12"/>
  <c r="A98" i="12"/>
  <c r="A89" i="12"/>
  <c r="A80" i="12"/>
  <c r="A71" i="12"/>
  <c r="A61" i="12"/>
  <c r="A52" i="12"/>
  <c r="A43" i="12"/>
  <c r="A34" i="12"/>
  <c r="A25" i="12"/>
  <c r="A16" i="12"/>
  <c r="A8" i="12"/>
  <c r="A2176" i="12"/>
  <c r="A2060" i="12"/>
  <c r="A1949" i="12"/>
  <c r="A1836" i="12"/>
  <c r="A1717" i="12"/>
  <c r="A1628" i="12"/>
  <c r="A1544" i="12"/>
  <c r="A1495" i="12"/>
  <c r="A1454" i="12"/>
  <c r="A1411" i="12"/>
  <c r="A1367" i="12"/>
  <c r="A1326" i="12"/>
  <c r="A1283" i="12"/>
  <c r="A1239" i="12"/>
  <c r="A1198" i="12"/>
  <c r="A1155" i="12"/>
  <c r="A1120" i="12"/>
  <c r="A1102" i="12"/>
  <c r="A1084" i="12"/>
  <c r="A1068" i="12"/>
  <c r="A1052" i="12"/>
  <c r="A1036" i="12"/>
  <c r="A1020" i="12"/>
  <c r="A1004" i="12"/>
  <c r="A988" i="12"/>
  <c r="A972" i="12"/>
  <c r="A956" i="12"/>
  <c r="A940" i="12"/>
  <c r="A924" i="12"/>
  <c r="A908" i="12"/>
  <c r="A892" i="12"/>
  <c r="A876" i="12"/>
  <c r="A860" i="12"/>
  <c r="A844" i="12"/>
  <c r="A828" i="12"/>
  <c r="A812" i="12"/>
  <c r="A796" i="12"/>
  <c r="A780" i="12"/>
  <c r="A764" i="12"/>
  <c r="A748" i="12"/>
  <c r="A732" i="12"/>
  <c r="A716" i="12"/>
  <c r="A700" i="12"/>
  <c r="A684" i="12"/>
  <c r="A668" i="12"/>
  <c r="A652" i="12"/>
  <c r="A636" i="12"/>
  <c r="A620" i="12"/>
  <c r="A604" i="12"/>
  <c r="A588" i="12"/>
  <c r="A572" i="12"/>
  <c r="A556" i="12"/>
  <c r="A540" i="12"/>
  <c r="A524" i="12"/>
  <c r="A508" i="12"/>
  <c r="A495" i="12"/>
  <c r="A483" i="12"/>
  <c r="A473" i="12"/>
  <c r="A463" i="12"/>
  <c r="A451" i="12"/>
  <c r="A441" i="12"/>
  <c r="A431" i="12"/>
  <c r="A419" i="12"/>
  <c r="A409" i="12"/>
  <c r="A399" i="12"/>
  <c r="A387" i="12"/>
  <c r="A377" i="12"/>
  <c r="A367" i="12"/>
  <c r="A355" i="12"/>
  <c r="A345" i="12"/>
  <c r="A335" i="12"/>
  <c r="A323" i="12"/>
  <c r="A313" i="12"/>
  <c r="A303" i="12"/>
  <c r="A291" i="12"/>
  <c r="A281" i="12"/>
  <c r="A271" i="12"/>
  <c r="A261" i="12"/>
  <c r="A252" i="12"/>
  <c r="A243" i="12"/>
  <c r="A234" i="12"/>
  <c r="A225" i="12"/>
  <c r="A216" i="12"/>
  <c r="A207" i="12"/>
  <c r="A197" i="12"/>
  <c r="A188" i="12"/>
  <c r="A179" i="12"/>
  <c r="A170" i="12"/>
  <c r="A161" i="12"/>
  <c r="A152" i="12"/>
  <c r="A143" i="12"/>
  <c r="A133" i="12"/>
  <c r="A124" i="12"/>
  <c r="A115" i="12"/>
  <c r="A106" i="12"/>
  <c r="A97" i="12"/>
  <c r="A88" i="12"/>
  <c r="A79" i="12"/>
  <c r="A69" i="12"/>
  <c r="A60" i="12"/>
  <c r="A51" i="12"/>
  <c r="A42" i="12"/>
  <c r="A33" i="12"/>
  <c r="A24" i="12"/>
  <c r="A15" i="12"/>
  <c r="A2164" i="12"/>
  <c r="A2048" i="12"/>
  <c r="A1932" i="12"/>
  <c r="A1821" i="12"/>
  <c r="A1708" i="12"/>
  <c r="A1613" i="12"/>
  <c r="A1538" i="12"/>
  <c r="A1491" i="12"/>
  <c r="A1447" i="12"/>
  <c r="A1406" i="12"/>
  <c r="A1363" i="12"/>
  <c r="A1319" i="12"/>
  <c r="A1278" i="12"/>
  <c r="A1235" i="12"/>
  <c r="A1191" i="12"/>
  <c r="A1150" i="12"/>
  <c r="A1118" i="12"/>
  <c r="A1099" i="12"/>
  <c r="A1082" i="12"/>
  <c r="A1066" i="12"/>
  <c r="A1050" i="12"/>
  <c r="A1034" i="12"/>
  <c r="A1018" i="12"/>
  <c r="A1002" i="12"/>
  <c r="A986" i="12"/>
  <c r="A970" i="12"/>
  <c r="A954" i="12"/>
  <c r="A938" i="12"/>
  <c r="A922" i="12"/>
  <c r="A906" i="12"/>
  <c r="A890" i="12"/>
  <c r="A874" i="12"/>
  <c r="A858" i="12"/>
  <c r="A842" i="12"/>
  <c r="A826" i="12"/>
  <c r="A810" i="12"/>
  <c r="A794" i="12"/>
  <c r="A778" i="12"/>
  <c r="A762" i="12"/>
  <c r="A746" i="12"/>
  <c r="A730" i="12"/>
  <c r="A714" i="12"/>
  <c r="A698" i="12"/>
  <c r="A682" i="12"/>
  <c r="A666" i="12"/>
  <c r="A650" i="12"/>
  <c r="A634" i="12"/>
  <c r="A618" i="12"/>
  <c r="A602" i="12"/>
  <c r="A586" i="12"/>
  <c r="A570" i="12"/>
  <c r="A554" i="12"/>
  <c r="A538" i="12"/>
  <c r="A522" i="12"/>
  <c r="A506" i="12"/>
  <c r="A492" i="12"/>
  <c r="A482" i="12"/>
  <c r="A472" i="12"/>
  <c r="A460" i="12"/>
  <c r="A450" i="12"/>
  <c r="A440" i="12"/>
  <c r="A428" i="12"/>
  <c r="A418" i="12"/>
  <c r="A408" i="12"/>
  <c r="A396" i="12"/>
  <c r="A386" i="12"/>
  <c r="A376" i="12"/>
  <c r="A364" i="12"/>
  <c r="A354" i="12"/>
  <c r="A344" i="12"/>
  <c r="A332" i="12"/>
  <c r="A322" i="12"/>
  <c r="A312" i="12"/>
  <c r="A300" i="12"/>
  <c r="A290" i="12"/>
  <c r="A280" i="12"/>
  <c r="A269" i="12"/>
  <c r="A260" i="12"/>
  <c r="A251" i="12"/>
  <c r="A242" i="12"/>
  <c r="A233" i="12"/>
  <c r="A224" i="12"/>
  <c r="A215" i="12"/>
  <c r="A205" i="12"/>
  <c r="A196" i="12"/>
  <c r="A187" i="12"/>
  <c r="A178" i="12"/>
  <c r="A169" i="12"/>
  <c r="A160" i="12"/>
  <c r="A151" i="12"/>
  <c r="A141" i="12"/>
  <c r="A132" i="12"/>
  <c r="A123" i="12"/>
  <c r="A114" i="12"/>
  <c r="A105" i="12"/>
  <c r="A96" i="12"/>
  <c r="A87" i="12"/>
  <c r="A77" i="12"/>
  <c r="A68" i="12"/>
  <c r="A59" i="12"/>
  <c r="A50" i="12"/>
  <c r="A41" i="12"/>
  <c r="A32" i="12"/>
  <c r="A23" i="12"/>
  <c r="A14" i="12"/>
  <c r="A7" i="12"/>
  <c r="A2156" i="12"/>
  <c r="A2037" i="12"/>
  <c r="A1928" i="12"/>
  <c r="A1813" i="12"/>
  <c r="A1696" i="12"/>
  <c r="A1612" i="12"/>
  <c r="A1534" i="12"/>
  <c r="A1487" i="12"/>
  <c r="A1446" i="12"/>
  <c r="A1403" i="12"/>
  <c r="A1359" i="12"/>
  <c r="A1318" i="12"/>
  <c r="A1275" i="12"/>
  <c r="A1231" i="12"/>
  <c r="A1190" i="12"/>
  <c r="A1147" i="12"/>
  <c r="A1116" i="12"/>
  <c r="A1098" i="12"/>
  <c r="A1081" i="12"/>
  <c r="A1065" i="12"/>
  <c r="A1049" i="12"/>
  <c r="A1033" i="12"/>
  <c r="A1017" i="12"/>
  <c r="A1001" i="12"/>
  <c r="A985" i="12"/>
  <c r="A969" i="12"/>
  <c r="A953" i="12"/>
  <c r="A937" i="12"/>
  <c r="A921" i="12"/>
  <c r="A905" i="12"/>
  <c r="A889" i="12"/>
  <c r="A873" i="12"/>
  <c r="A857" i="12"/>
  <c r="A841" i="12"/>
  <c r="A825" i="12"/>
  <c r="A809" i="12"/>
  <c r="A793" i="12"/>
  <c r="A777" i="12"/>
  <c r="A761" i="12"/>
  <c r="A745" i="12"/>
  <c r="A729" i="12"/>
  <c r="A713" i="12"/>
  <c r="A697" i="12"/>
  <c r="A681" i="12"/>
  <c r="A665" i="12"/>
  <c r="A649" i="12"/>
  <c r="A633" i="12"/>
  <c r="A617" i="12"/>
  <c r="A601" i="12"/>
  <c r="A585" i="12"/>
  <c r="A569" i="12"/>
  <c r="A553" i="12"/>
  <c r="A537" i="12"/>
  <c r="A521" i="12"/>
  <c r="A505" i="12"/>
  <c r="A491" i="12"/>
  <c r="A481" i="12"/>
  <c r="A471" i="12"/>
  <c r="A459" i="12"/>
  <c r="A449" i="12"/>
  <c r="A439" i="12"/>
  <c r="A427" i="12"/>
  <c r="A417" i="12"/>
  <c r="A407" i="12"/>
  <c r="A395" i="12"/>
  <c r="A385" i="12"/>
  <c r="A375" i="12"/>
  <c r="A363" i="12"/>
  <c r="A353" i="12"/>
  <c r="A343" i="12"/>
  <c r="A331" i="12"/>
  <c r="A321" i="12"/>
  <c r="A311" i="12"/>
  <c r="A299" i="12"/>
  <c r="A289" i="12"/>
  <c r="A279" i="12"/>
  <c r="A268" i="12"/>
  <c r="A259" i="12"/>
  <c r="A250" i="12"/>
  <c r="A241" i="12"/>
  <c r="A232" i="12"/>
  <c r="A223" i="12"/>
  <c r="A213" i="12"/>
  <c r="A204" i="12"/>
  <c r="A195" i="12"/>
  <c r="A186" i="12"/>
  <c r="A177" i="12"/>
  <c r="A168" i="12"/>
  <c r="A159" i="12"/>
  <c r="A149" i="12"/>
  <c r="A140" i="12"/>
  <c r="A131" i="12"/>
  <c r="A122" i="12"/>
  <c r="A113" i="12"/>
  <c r="A104" i="12"/>
  <c r="A95" i="12"/>
  <c r="A85" i="12"/>
  <c r="A76" i="12"/>
  <c r="A67" i="12"/>
  <c r="A58" i="12"/>
  <c r="A49" i="12"/>
  <c r="A40" i="12"/>
  <c r="A31" i="12"/>
  <c r="A21" i="12"/>
  <c r="A13" i="12"/>
  <c r="A1757" i="12"/>
  <c r="A1295" i="12"/>
  <c r="A1057" i="12"/>
  <c r="A929" i="12"/>
  <c r="A801" i="12"/>
  <c r="A673" i="12"/>
  <c r="A545" i="12"/>
  <c r="A443" i="12"/>
  <c r="A359" i="12"/>
  <c r="A273" i="12"/>
  <c r="A200" i="12"/>
  <c r="A155" i="12"/>
  <c r="A119" i="12"/>
  <c r="A82" i="12"/>
  <c r="A45" i="12"/>
  <c r="A10" i="12"/>
  <c r="A1653" i="12"/>
  <c r="A1254" i="12"/>
  <c r="A1041" i="12"/>
  <c r="A913" i="12"/>
  <c r="A785" i="12"/>
  <c r="A657" i="12"/>
  <c r="A529" i="12"/>
  <c r="A433" i="12"/>
  <c r="A347" i="12"/>
  <c r="A264" i="12"/>
  <c r="A191" i="12"/>
  <c r="A154" i="12"/>
  <c r="A117" i="12"/>
  <c r="A81" i="12"/>
  <c r="A44" i="12"/>
  <c r="A9" i="12"/>
  <c r="A1510" i="12"/>
  <c r="A1167" i="12"/>
  <c r="A1009" i="12"/>
  <c r="A881" i="12"/>
  <c r="A753" i="12"/>
  <c r="A625" i="12"/>
  <c r="A497" i="12"/>
  <c r="A411" i="12"/>
  <c r="A327" i="12"/>
  <c r="A245" i="12"/>
  <c r="A181" i="12"/>
  <c r="A145" i="12"/>
  <c r="A108" i="12"/>
  <c r="A72" i="12"/>
  <c r="A35" i="12"/>
  <c r="A1467" i="12"/>
  <c r="A1126" i="12"/>
  <c r="A993" i="12"/>
  <c r="A865" i="12"/>
  <c r="A737" i="12"/>
  <c r="A609" i="12"/>
  <c r="A487" i="12"/>
  <c r="A401" i="12"/>
  <c r="A315" i="12"/>
  <c r="A236" i="12"/>
  <c r="A173" i="12"/>
  <c r="A137" i="12"/>
  <c r="A100" i="12"/>
  <c r="A64" i="12"/>
  <c r="A27" i="12"/>
  <c r="A2100" i="12"/>
  <c r="A1423" i="12"/>
  <c r="A1107" i="12"/>
  <c r="A977" i="12"/>
  <c r="A849" i="12"/>
  <c r="A721" i="12"/>
  <c r="A593" i="12"/>
  <c r="A475" i="12"/>
  <c r="A391" i="12"/>
  <c r="A305" i="12"/>
  <c r="A227" i="12"/>
  <c r="A172" i="12"/>
  <c r="A136" i="12"/>
  <c r="A99" i="12"/>
  <c r="A63" i="12"/>
  <c r="A26" i="12"/>
  <c r="A1984" i="12"/>
  <c r="A1382" i="12"/>
  <c r="A1089" i="12"/>
  <c r="A961" i="12"/>
  <c r="A833" i="12"/>
  <c r="A705" i="12"/>
  <c r="A577" i="12"/>
  <c r="A465" i="12"/>
  <c r="A379" i="12"/>
  <c r="A295" i="12"/>
  <c r="A218" i="12"/>
  <c r="A164" i="12"/>
  <c r="A128" i="12"/>
  <c r="A91" i="12"/>
  <c r="A55" i="12"/>
  <c r="A18" i="12"/>
  <c r="A1868" i="12"/>
  <c r="A1339" i="12"/>
  <c r="A1073" i="12"/>
  <c r="A945" i="12"/>
  <c r="A817" i="12"/>
  <c r="A689" i="12"/>
  <c r="A561" i="12"/>
  <c r="A455" i="12"/>
  <c r="A369" i="12"/>
  <c r="A283" i="12"/>
  <c r="A209" i="12"/>
  <c r="A163" i="12"/>
  <c r="A127" i="12"/>
  <c r="A90" i="12"/>
  <c r="A53" i="12"/>
  <c r="A17" i="12"/>
  <c r="A897" i="12"/>
  <c r="A146" i="12"/>
  <c r="A769" i="12"/>
  <c r="A109" i="12"/>
  <c r="A641" i="12"/>
  <c r="A73" i="12"/>
  <c r="A513" i="12"/>
  <c r="A36" i="12"/>
  <c r="A423" i="12"/>
  <c r="A1211" i="12"/>
  <c r="A255" i="12"/>
  <c r="A1025" i="12"/>
  <c r="A183" i="12"/>
  <c r="A1565" i="12"/>
  <c r="A337" i="12"/>
  <c r="A166" i="10"/>
  <c r="A215" i="10"/>
  <c r="A258" i="8"/>
  <c r="A190" i="9"/>
  <c r="A239" i="7"/>
  <c r="A35" i="10"/>
  <c r="A294" i="7"/>
  <c r="A252" i="9"/>
  <c r="A222" i="7"/>
  <c r="A257" i="7"/>
  <c r="A51" i="6"/>
  <c r="A137" i="8"/>
  <c r="A16" i="6"/>
  <c r="A9" i="7"/>
  <c r="A110" i="5"/>
  <c r="A225" i="10"/>
  <c r="A15" i="9"/>
  <c r="A79" i="8"/>
  <c r="A248" i="10"/>
  <c r="A12" i="8"/>
  <c r="A120" i="10"/>
  <c r="A162" i="7"/>
  <c r="A39" i="10"/>
  <c r="A198" i="8"/>
  <c r="A223" i="8"/>
  <c r="A106" i="7"/>
  <c r="A249" i="7"/>
  <c r="A43" i="6"/>
  <c r="A160" i="7"/>
  <c r="A145" i="10"/>
  <c r="A20" i="10"/>
  <c r="A130" i="8"/>
  <c r="A50" i="10"/>
  <c r="A8" i="8"/>
  <c r="A196" i="9"/>
  <c r="A166" i="7"/>
  <c r="A157" i="9"/>
  <c r="A68" i="9"/>
  <c r="A18" i="8"/>
  <c r="A209" i="5"/>
  <c r="A97" i="7"/>
  <c r="A182" i="5"/>
  <c r="A112" i="7"/>
  <c r="A15" i="6"/>
  <c r="A258" i="7"/>
  <c r="A195" i="9"/>
  <c r="A144" i="10"/>
  <c r="A178" i="7"/>
  <c r="A54" i="9"/>
  <c r="A225" i="8"/>
  <c r="A53" i="9"/>
  <c r="A268" i="7"/>
  <c r="A141" i="9"/>
  <c r="A196" i="7"/>
  <c r="A149" i="7"/>
  <c r="A255" i="5"/>
  <c r="A31" i="7"/>
  <c r="A165" i="10"/>
  <c r="A126" i="6"/>
  <c r="A79" i="10"/>
  <c r="A214" i="7"/>
  <c r="A8" i="10"/>
  <c r="A54" i="10"/>
  <c r="A208" i="7"/>
  <c r="A81" i="9"/>
  <c r="A65" i="7"/>
  <c r="A255" i="8"/>
  <c r="A216" i="6"/>
  <c r="A183" i="8"/>
  <c r="A181" i="10"/>
  <c r="A175" i="7"/>
  <c r="A85" i="10"/>
  <c r="A85" i="7"/>
  <c r="A177" i="9"/>
  <c r="A172" i="6"/>
  <c r="A206" i="9"/>
  <c r="A215" i="9"/>
  <c r="A144" i="7"/>
  <c r="A114" i="9"/>
  <c r="A288" i="6"/>
  <c r="A191" i="8"/>
  <c r="A152" i="6"/>
  <c r="A119" i="8"/>
  <c r="A117" i="10"/>
  <c r="A56" i="7"/>
  <c r="A37" i="10"/>
  <c r="A21" i="7"/>
  <c r="A231" i="9"/>
  <c r="A191" i="7"/>
  <c r="A32" i="10"/>
  <c r="A179" i="7"/>
  <c r="A153" i="10"/>
  <c r="A228" i="10"/>
  <c r="A49" i="8"/>
  <c r="A272" i="10"/>
  <c r="A250" i="6"/>
  <c r="A281" i="8"/>
  <c r="A210" i="4"/>
  <c r="A21" i="8"/>
  <c r="A83" i="5"/>
  <c r="A291" i="7"/>
  <c r="A75" i="5"/>
  <c r="A272" i="6"/>
  <c r="A266" i="8"/>
  <c r="A292" i="4"/>
  <c r="A253" i="10"/>
  <c r="A281" i="7"/>
  <c r="A174" i="8"/>
  <c r="A26" i="6"/>
  <c r="A236" i="9"/>
  <c r="A289" i="5"/>
  <c r="A202" i="6"/>
  <c r="A41" i="4"/>
  <c r="A225" i="6"/>
  <c r="A48" i="4"/>
  <c r="A209" i="6"/>
  <c r="A40" i="4"/>
  <c r="A45" i="6"/>
  <c r="A150" i="6"/>
  <c r="A218" i="9"/>
  <c r="A185" i="9"/>
  <c r="A278" i="7"/>
  <c r="A96" i="10"/>
  <c r="A58" i="7"/>
  <c r="A73" i="7"/>
  <c r="A27" i="5"/>
  <c r="A16" i="7"/>
  <c r="A236" i="10"/>
  <c r="A176" i="10"/>
  <c r="A132" i="8"/>
  <c r="A95" i="9"/>
  <c r="A269" i="7"/>
  <c r="A110" i="9"/>
  <c r="A133" i="7"/>
  <c r="A38" i="9"/>
  <c r="A180" i="8"/>
  <c r="A27" i="9"/>
  <c r="A128" i="5"/>
  <c r="A207" i="6"/>
  <c r="A125" i="5"/>
  <c r="A23" i="7"/>
  <c r="A263" i="10"/>
  <c r="A204" i="10"/>
  <c r="A240" i="10"/>
  <c r="A31" i="9"/>
  <c r="A11" i="10"/>
  <c r="A212" i="8"/>
  <c r="A46" i="10"/>
  <c r="A256" i="7"/>
  <c r="A255" i="9"/>
  <c r="A184" i="7"/>
  <c r="A226" i="8"/>
  <c r="A163" i="5"/>
  <c r="A289" i="8"/>
  <c r="A120" i="5"/>
  <c r="A36" i="9"/>
  <c r="A259" i="9"/>
  <c r="A160" i="10"/>
  <c r="A242" i="7"/>
  <c r="A139" i="9"/>
  <c r="A141" i="7"/>
  <c r="A140" i="9"/>
  <c r="A48" i="8"/>
  <c r="A45" i="9"/>
  <c r="A260" i="7"/>
  <c r="A237" i="7"/>
  <c r="A33" i="6"/>
  <c r="A95" i="7"/>
  <c r="A233" i="10"/>
  <c r="A190" i="6"/>
  <c r="A137" i="10"/>
  <c r="A34" i="8"/>
  <c r="A80" i="10"/>
  <c r="A145" i="9"/>
  <c r="A272" i="7"/>
  <c r="A130" i="9"/>
  <c r="A147" i="7"/>
  <c r="A60" i="9"/>
  <c r="A280" i="6"/>
  <c r="A247" i="8"/>
  <c r="A258" i="10"/>
  <c r="A232" i="6"/>
  <c r="A71" i="10"/>
  <c r="A125" i="6"/>
  <c r="A186" i="9"/>
  <c r="A236" i="6"/>
  <c r="A183" i="9"/>
  <c r="A265" i="8"/>
  <c r="A48" i="9"/>
  <c r="A212" i="9"/>
  <c r="A209" i="10"/>
  <c r="A293" i="8"/>
  <c r="A143" i="10"/>
  <c r="A157" i="8"/>
  <c r="A189" i="10"/>
  <c r="A85" i="8"/>
  <c r="A214" i="10"/>
  <c r="A206" i="6"/>
  <c r="A164" i="9"/>
  <c r="A171" i="6"/>
  <c r="A240" i="9"/>
  <c r="A282" i="6"/>
  <c r="A111" i="9"/>
  <c r="A221" i="9"/>
  <c r="A218" i="10"/>
  <c r="A229" i="8"/>
  <c r="A194" i="10"/>
  <c r="A93" i="8"/>
  <c r="A125" i="10"/>
  <c r="A156" i="9"/>
  <c r="A239" i="10"/>
  <c r="A142" i="6"/>
  <c r="A171" i="9"/>
  <c r="A155" i="7"/>
  <c r="A160" i="9"/>
  <c r="A218" i="6"/>
  <c r="A159" i="8"/>
  <c r="A139" i="7"/>
  <c r="A155" i="9"/>
  <c r="A59" i="9"/>
  <c r="A134" i="6"/>
  <c r="A37" i="9"/>
  <c r="A21" i="6"/>
  <c r="A238" i="6"/>
  <c r="A18" i="5"/>
  <c r="A285" i="6"/>
  <c r="A247" i="4"/>
  <c r="A269" i="6"/>
  <c r="A183" i="4"/>
  <c r="A195" i="7"/>
  <c r="A102" i="8"/>
  <c r="A290" i="4"/>
  <c r="A142" i="9"/>
  <c r="A224" i="6"/>
  <c r="A195" i="10"/>
  <c r="A222" i="9"/>
  <c r="A146" i="8"/>
  <c r="A113" i="6"/>
  <c r="A83" i="6"/>
  <c r="A116" i="4"/>
  <c r="A105" i="5"/>
  <c r="A7" i="6"/>
  <c r="A106" i="6"/>
  <c r="A30" i="6"/>
  <c r="A232" i="5"/>
  <c r="A83" i="7"/>
  <c r="A199" i="8"/>
  <c r="A24" i="9"/>
  <c r="A180" i="6"/>
  <c r="A245" i="8"/>
  <c r="A115" i="5"/>
  <c r="A165" i="6"/>
  <c r="A76" i="4"/>
  <c r="A212" i="6"/>
  <c r="A153" i="9"/>
  <c r="A162" i="9"/>
  <c r="A161" i="7"/>
  <c r="A149" i="9"/>
  <c r="A246" i="8"/>
  <c r="A200" i="9"/>
  <c r="A267" i="7"/>
  <c r="A128" i="9"/>
  <c r="A249" i="10"/>
  <c r="A283" i="7"/>
  <c r="A95" i="10"/>
  <c r="A30" i="7"/>
  <c r="A224" i="10"/>
  <c r="A227" i="7"/>
  <c r="A219" i="9"/>
  <c r="A78" i="10"/>
  <c r="A94" i="10"/>
  <c r="A194" i="8"/>
  <c r="A126" i="9"/>
  <c r="A100" i="8"/>
  <c r="A260" i="9"/>
  <c r="A230" i="7"/>
  <c r="A188" i="9"/>
  <c r="A158" i="7"/>
  <c r="A129" i="7"/>
  <c r="A273" i="5"/>
  <c r="A259" i="7"/>
  <c r="A246" i="5"/>
  <c r="A200" i="6"/>
  <c r="A223" i="9"/>
  <c r="A209" i="9"/>
  <c r="A68" i="8"/>
  <c r="A232" i="9"/>
  <c r="A275" i="7"/>
  <c r="A73" i="9"/>
  <c r="A57" i="7"/>
  <c r="A25" i="9"/>
  <c r="A191" i="10"/>
  <c r="A25" i="7"/>
  <c r="A256" i="10"/>
  <c r="A189" i="6"/>
  <c r="A13" i="10"/>
  <c r="A13" i="7"/>
  <c r="A169" i="9"/>
  <c r="A180" i="7"/>
  <c r="A112" i="9"/>
  <c r="A29" i="10"/>
  <c r="A273" i="10"/>
  <c r="A270" i="8"/>
  <c r="A212" i="10"/>
  <c r="A221" i="8"/>
  <c r="A271" i="10"/>
  <c r="A149" i="8"/>
  <c r="A184" i="10"/>
  <c r="A270" i="6"/>
  <c r="A55" i="10"/>
  <c r="A235" i="6"/>
  <c r="A85" i="9"/>
  <c r="A59" i="7"/>
  <c r="A143" i="9"/>
  <c r="A231" i="6"/>
  <c r="A84" i="9"/>
  <c r="A165" i="9"/>
  <c r="A182" i="10"/>
  <c r="A195" i="8"/>
  <c r="A245" i="10"/>
  <c r="A59" i="8"/>
  <c r="A103" i="10"/>
  <c r="A12" i="9"/>
  <c r="A38" i="10"/>
  <c r="A29" i="7"/>
  <c r="A261" i="8"/>
  <c r="A257" i="6"/>
  <c r="A283" i="8"/>
  <c r="A53" i="6"/>
  <c r="A176" i="9"/>
  <c r="A69" i="9"/>
  <c r="A114" i="10"/>
  <c r="A131" i="8"/>
  <c r="A111" i="10"/>
  <c r="A20" i="9"/>
  <c r="A197" i="10"/>
  <c r="A234" i="8"/>
  <c r="A242" i="9"/>
  <c r="A252" i="6"/>
  <c r="A133" i="8"/>
  <c r="A193" i="6"/>
  <c r="A155" i="8"/>
  <c r="A275" i="5"/>
  <c r="A97" i="10"/>
  <c r="A213" i="6"/>
  <c r="A168" i="8"/>
  <c r="A282" i="7"/>
  <c r="A210" i="5"/>
  <c r="A258" i="9"/>
  <c r="A106" i="5"/>
  <c r="A147" i="6"/>
  <c r="A26" i="4"/>
  <c r="A194" i="6"/>
  <c r="A33" i="4"/>
  <c r="A178" i="6"/>
  <c r="A25" i="4"/>
  <c r="A18" i="7"/>
  <c r="A111" i="7"/>
  <c r="A98" i="5"/>
  <c r="A159" i="10"/>
  <c r="A146" i="9"/>
  <c r="A13" i="9"/>
  <c r="A268" i="8"/>
  <c r="A263" i="7"/>
  <c r="A206" i="5"/>
  <c r="A32" i="6"/>
  <c r="A289" i="4"/>
  <c r="A128" i="6"/>
  <c r="A216" i="4"/>
  <c r="A123" i="6"/>
  <c r="A151" i="4"/>
  <c r="A138" i="6"/>
  <c r="A210" i="10"/>
  <c r="A217" i="7"/>
  <c r="A26" i="8"/>
  <c r="A248" i="5"/>
  <c r="A72" i="9"/>
  <c r="A225" i="5"/>
  <c r="A74" i="7"/>
  <c r="A215" i="4"/>
  <c r="A93" i="6"/>
  <c r="A30" i="10"/>
  <c r="A198" i="9"/>
  <c r="A247" i="7"/>
  <c r="A135" i="8"/>
  <c r="A246" i="10"/>
  <c r="A42" i="9"/>
  <c r="A257" i="10"/>
  <c r="A120" i="9"/>
  <c r="A107" i="10"/>
  <c r="A151" i="6"/>
  <c r="A239" i="9"/>
  <c r="A223" i="7"/>
  <c r="A21" i="10"/>
  <c r="A227" i="6"/>
  <c r="A86" i="9"/>
  <c r="A43" i="10"/>
  <c r="A65" i="10"/>
  <c r="A20" i="8"/>
  <c r="A77" i="10"/>
  <c r="A205" i="7"/>
  <c r="A46" i="9"/>
  <c r="A206" i="8"/>
  <c r="A109" i="9"/>
  <c r="A38" i="8"/>
  <c r="A94" i="8"/>
  <c r="A97" i="6"/>
  <c r="A143" i="6"/>
  <c r="A86" i="6"/>
  <c r="A254" i="6"/>
  <c r="A253" i="9"/>
  <c r="A62" i="10"/>
  <c r="A254" i="10"/>
  <c r="A106" i="9"/>
  <c r="A201" i="10"/>
  <c r="A285" i="8"/>
  <c r="A199" i="10"/>
  <c r="A213" i="8"/>
  <c r="A90" i="10"/>
  <c r="A39" i="7"/>
  <c r="A73" i="10"/>
  <c r="A12" i="7"/>
  <c r="A94" i="9"/>
  <c r="A123" i="7"/>
  <c r="A208" i="9"/>
  <c r="A8" i="7"/>
  <c r="A205" i="9"/>
  <c r="A62" i="9"/>
  <c r="A127" i="10"/>
  <c r="A259" i="8"/>
  <c r="A106" i="10"/>
  <c r="A123" i="8"/>
  <c r="A211" i="10"/>
  <c r="A51" i="8"/>
  <c r="A93" i="10"/>
  <c r="A93" i="7"/>
  <c r="A31" i="8"/>
  <c r="A34" i="7"/>
  <c r="A66" i="9"/>
  <c r="A117" i="6"/>
  <c r="A95" i="11"/>
  <c r="A54" i="7"/>
  <c r="A215" i="8"/>
  <c r="A89" i="9"/>
  <c r="A64" i="10"/>
  <c r="A10" i="9"/>
  <c r="A122" i="10"/>
  <c r="A160" i="8"/>
  <c r="A76" i="10"/>
  <c r="A241" i="8"/>
  <c r="A181" i="9"/>
  <c r="A187" i="7"/>
  <c r="A264" i="8"/>
  <c r="A52" i="6"/>
  <c r="A194" i="7"/>
  <c r="A138" i="5"/>
  <c r="A151" i="8"/>
  <c r="A122" i="9"/>
  <c r="A112" i="10"/>
  <c r="A232" i="8"/>
  <c r="A124" i="10"/>
  <c r="A260" i="8"/>
  <c r="A155" i="10"/>
  <c r="A72" i="8"/>
  <c r="A101" i="9"/>
  <c r="A75" i="7"/>
  <c r="A136" i="8"/>
  <c r="A274" i="5"/>
  <c r="A134" i="8"/>
  <c r="A99" i="6"/>
  <c r="A150" i="9"/>
  <c r="A57" i="10"/>
  <c r="A212" i="7"/>
  <c r="A42" i="8"/>
  <c r="A229" i="10"/>
  <c r="A61" i="8"/>
  <c r="A208" i="5"/>
  <c r="A28" i="6"/>
  <c r="A95" i="4"/>
  <c r="A75" i="6"/>
  <c r="A104" i="4"/>
  <c r="A59" i="6"/>
  <c r="A91" i="4"/>
  <c r="A185" i="5"/>
  <c r="A28" i="7"/>
  <c r="A270" i="10"/>
  <c r="A75" i="10"/>
  <c r="A127" i="8"/>
  <c r="A279" i="6"/>
  <c r="A68" i="7"/>
  <c r="A248" i="6"/>
  <c r="A46" i="6"/>
  <c r="A196" i="5"/>
  <c r="A136" i="10"/>
  <c r="A56" i="5"/>
  <c r="A82" i="10"/>
  <c r="A48" i="5"/>
  <c r="A180" i="10"/>
  <c r="A147" i="4"/>
  <c r="A70" i="10"/>
  <c r="A160" i="6"/>
  <c r="A132" i="10"/>
  <c r="A33" i="10"/>
  <c r="A50" i="9"/>
  <c r="A49" i="6"/>
  <c r="A241" i="5"/>
  <c r="A45" i="4"/>
  <c r="A280" i="5"/>
  <c r="A70" i="9"/>
  <c r="A141" i="10"/>
  <c r="A162" i="10"/>
  <c r="A115" i="10"/>
  <c r="A44" i="10"/>
  <c r="A35" i="9"/>
  <c r="A16" i="9"/>
  <c r="A278" i="10"/>
  <c r="A45" i="10"/>
  <c r="A75" i="9"/>
  <c r="A129" i="9"/>
  <c r="A65" i="9"/>
  <c r="A105" i="7"/>
  <c r="A253" i="6"/>
  <c r="A77" i="7"/>
  <c r="A151" i="9"/>
  <c r="A32" i="9"/>
  <c r="A187" i="8"/>
  <c r="A115" i="8"/>
  <c r="A133" i="6"/>
  <c r="A98" i="7"/>
  <c r="A185" i="6"/>
  <c r="A135" i="7"/>
  <c r="A131" i="9"/>
  <c r="A58" i="8"/>
  <c r="A224" i="8"/>
  <c r="A152" i="8"/>
  <c r="A179" i="6"/>
  <c r="A116" i="6"/>
  <c r="A202" i="5"/>
  <c r="A226" i="10"/>
  <c r="A7" i="9"/>
  <c r="A236" i="8"/>
  <c r="A273" i="7"/>
  <c r="A201" i="7"/>
  <c r="A201" i="6"/>
  <c r="A137" i="5"/>
  <c r="A157" i="10"/>
  <c r="A237" i="8"/>
  <c r="A70" i="8"/>
  <c r="A209" i="7"/>
  <c r="A137" i="7"/>
  <c r="A137" i="6"/>
  <c r="A90" i="6"/>
  <c r="A176" i="5"/>
  <c r="A87" i="8"/>
  <c r="A92" i="9"/>
  <c r="A224" i="7"/>
  <c r="A223" i="5"/>
  <c r="A24" i="6"/>
  <c r="A294" i="5"/>
  <c r="A190" i="5"/>
  <c r="A217" i="9"/>
  <c r="A145" i="7"/>
  <c r="A35" i="6"/>
  <c r="A100" i="9"/>
  <c r="A197" i="8"/>
  <c r="A181" i="8"/>
  <c r="A275" i="8"/>
  <c r="A220" i="10"/>
  <c r="A171" i="8"/>
  <c r="A126" i="7"/>
  <c r="A222" i="5"/>
  <c r="A39" i="6"/>
  <c r="A52" i="4"/>
  <c r="A31" i="6"/>
  <c r="A97" i="5"/>
  <c r="A236" i="5"/>
  <c r="A144" i="6"/>
  <c r="A168" i="4"/>
  <c r="A52" i="7"/>
  <c r="A151" i="10"/>
  <c r="A208" i="10"/>
  <c r="A93" i="9"/>
  <c r="A79" i="6"/>
  <c r="A195" i="6"/>
  <c r="A252" i="8"/>
  <c r="A171" i="4"/>
  <c r="A134" i="7"/>
  <c r="A44" i="5"/>
  <c r="A118" i="7"/>
  <c r="A36" i="5"/>
  <c r="A213" i="7"/>
  <c r="A105" i="9"/>
  <c r="A237" i="4"/>
  <c r="A72" i="5"/>
  <c r="A73" i="6"/>
  <c r="A254" i="9"/>
  <c r="A34" i="10"/>
  <c r="A156" i="7"/>
  <c r="A214" i="9"/>
  <c r="A217" i="6"/>
  <c r="A24" i="7"/>
  <c r="A185" i="4"/>
  <c r="A63" i="7"/>
  <c r="A74" i="5"/>
  <c r="A47" i="7"/>
  <c r="A66" i="5"/>
  <c r="A182" i="6"/>
  <c r="A216" i="7"/>
  <c r="A260" i="10"/>
  <c r="A60" i="10"/>
  <c r="A90" i="9"/>
  <c r="A78" i="6"/>
  <c r="A91" i="7"/>
  <c r="A142" i="7"/>
  <c r="A52" i="5"/>
  <c r="A244" i="8"/>
  <c r="A202" i="4"/>
  <c r="A142" i="8"/>
  <c r="A194" i="4"/>
  <c r="A116" i="7"/>
  <c r="A213" i="10"/>
  <c r="A62" i="8"/>
  <c r="A125" i="7"/>
  <c r="A189" i="5"/>
  <c r="A52" i="9"/>
  <c r="A272" i="5"/>
  <c r="A131" i="5"/>
  <c r="A7" i="4"/>
  <c r="A178" i="5"/>
  <c r="A132" i="9"/>
  <c r="A203" i="10"/>
  <c r="A235" i="10"/>
  <c r="A108" i="10"/>
  <c r="A16" i="10"/>
  <c r="A163" i="8"/>
  <c r="A82" i="8"/>
  <c r="A56" i="10"/>
  <c r="A134" i="9"/>
  <c r="A71" i="8"/>
  <c r="A15" i="10"/>
  <c r="A277" i="8"/>
  <c r="A103" i="7"/>
  <c r="A76" i="7"/>
  <c r="A163" i="6"/>
  <c r="A7" i="10"/>
  <c r="A122" i="8"/>
  <c r="A288" i="8"/>
  <c r="A216" i="8"/>
  <c r="A243" i="6"/>
  <c r="A155" i="5"/>
  <c r="A266" i="5"/>
  <c r="A167" i="10"/>
  <c r="A278" i="8"/>
  <c r="A170" i="7"/>
  <c r="A54" i="8"/>
  <c r="A265" i="7"/>
  <c r="A265" i="6"/>
  <c r="A201" i="5"/>
  <c r="A18" i="6"/>
  <c r="A152" i="10"/>
  <c r="A203" i="8"/>
  <c r="A200" i="7"/>
  <c r="A124" i="8"/>
  <c r="A287" i="7"/>
  <c r="A282" i="5"/>
  <c r="A247" i="5"/>
  <c r="A267" i="10"/>
  <c r="A139" i="8"/>
  <c r="A136" i="7"/>
  <c r="A9" i="8"/>
  <c r="A228" i="8"/>
  <c r="A218" i="5"/>
  <c r="A183" i="5"/>
  <c r="A8" i="6"/>
  <c r="A187" i="9"/>
  <c r="A164" i="7"/>
  <c r="A13" i="8"/>
  <c r="A62" i="6"/>
  <c r="A188" i="5"/>
  <c r="A180" i="5"/>
  <c r="A261" i="4"/>
  <c r="A23" i="10"/>
  <c r="A80" i="7"/>
  <c r="A238" i="5"/>
  <c r="A36" i="8"/>
  <c r="A233" i="8"/>
  <c r="A188" i="8"/>
  <c r="A262" i="7"/>
  <c r="A262" i="9"/>
  <c r="A215" i="6"/>
  <c r="A168" i="6"/>
  <c r="A132" i="5"/>
  <c r="A286" i="4"/>
  <c r="A216" i="10"/>
  <c r="A278" i="4"/>
  <c r="A211" i="9"/>
  <c r="A186" i="4"/>
  <c r="A56" i="6"/>
  <c r="A140" i="8"/>
  <c r="A216" i="9"/>
  <c r="A67" i="10"/>
  <c r="A266" i="10"/>
  <c r="A244" i="7"/>
  <c r="A178" i="9"/>
  <c r="A281" i="6"/>
  <c r="A184" i="6"/>
  <c r="A249" i="4"/>
  <c r="A175" i="6"/>
  <c r="A113" i="4"/>
  <c r="A159" i="6"/>
  <c r="A105" i="4"/>
  <c r="A15" i="7"/>
  <c r="A169" i="7"/>
  <c r="A251" i="4"/>
  <c r="A114" i="4"/>
  <c r="A125" i="4"/>
  <c r="A101" i="8"/>
  <c r="A21" i="9"/>
  <c r="A290" i="6"/>
  <c r="A119" i="10"/>
  <c r="A12" i="6"/>
  <c r="A220" i="6"/>
  <c r="A80" i="4"/>
  <c r="A267" i="6"/>
  <c r="A87" i="4"/>
  <c r="A251" i="6"/>
  <c r="A74" i="4"/>
  <c r="A115" i="7"/>
  <c r="A240" i="6"/>
  <c r="A96" i="9"/>
  <c r="A245" i="9"/>
  <c r="A48" i="7"/>
  <c r="A137" i="9"/>
  <c r="A153" i="6"/>
  <c r="A183" i="6"/>
  <c r="A121" i="4"/>
  <c r="A230" i="6"/>
  <c r="A10" i="5"/>
  <c r="A214" i="6"/>
  <c r="A288" i="4"/>
  <c r="A78" i="7"/>
  <c r="A22" i="10"/>
  <c r="A68" i="10"/>
  <c r="A247" i="9"/>
  <c r="A210" i="8"/>
  <c r="A110" i="8"/>
  <c r="A104" i="6"/>
  <c r="A65" i="6"/>
  <c r="A94" i="5"/>
  <c r="A120" i="6"/>
  <c r="A92" i="5"/>
  <c r="A112" i="6"/>
  <c r="A250" i="4"/>
  <c r="A286" i="8"/>
  <c r="A170" i="10"/>
  <c r="A142" i="10"/>
  <c r="A99" i="10"/>
  <c r="A57" i="9"/>
  <c r="A153" i="8"/>
  <c r="A288" i="7"/>
  <c r="A55" i="9"/>
  <c r="A39" i="9"/>
  <c r="A30" i="9"/>
  <c r="A251" i="8"/>
  <c r="A179" i="8"/>
  <c r="A197" i="6"/>
  <c r="A162" i="6"/>
  <c r="A244" i="10"/>
  <c r="A121" i="9"/>
  <c r="A234" i="7"/>
  <c r="A217" i="8"/>
  <c r="A46" i="8"/>
  <c r="A42" i="7"/>
  <c r="A265" i="5"/>
  <c r="A82" i="6"/>
  <c r="A20" i="11"/>
  <c r="A267" i="8"/>
  <c r="A264" i="7"/>
  <c r="A128" i="7"/>
  <c r="A105" i="8"/>
  <c r="A60" i="6"/>
  <c r="A25" i="6"/>
  <c r="A111" i="5"/>
  <c r="A269" i="10"/>
  <c r="A18" i="9"/>
  <c r="A174" i="7"/>
  <c r="A185" i="8"/>
  <c r="A23" i="8"/>
  <c r="A98" i="6"/>
  <c r="A87" i="6"/>
  <c r="A205" i="10"/>
  <c r="A240" i="8"/>
  <c r="A261" i="9"/>
  <c r="A41" i="8"/>
  <c r="A253" i="7"/>
  <c r="A34" i="6"/>
  <c r="A23" i="6"/>
  <c r="A117" i="5"/>
  <c r="A271" i="8"/>
  <c r="A11" i="7"/>
  <c r="A222" i="6"/>
  <c r="A102" i="4"/>
  <c r="A277" i="4"/>
  <c r="A269" i="4"/>
  <c r="A88" i="4"/>
  <c r="A226" i="9"/>
  <c r="A249" i="9"/>
  <c r="A219" i="10"/>
  <c r="A29" i="8"/>
  <c r="A176" i="6"/>
  <c r="A207" i="7"/>
  <c r="A255" i="6"/>
  <c r="A109" i="8"/>
  <c r="A291" i="5"/>
  <c r="A149" i="6"/>
  <c r="A221" i="4"/>
  <c r="A85" i="4"/>
  <c r="A82" i="9"/>
  <c r="A102" i="5"/>
  <c r="A74" i="9"/>
  <c r="A186" i="10"/>
  <c r="A212" i="5"/>
  <c r="A241" i="6"/>
  <c r="A79" i="7"/>
  <c r="A165" i="8"/>
  <c r="A14" i="9"/>
  <c r="A67" i="7"/>
  <c r="A175" i="10"/>
  <c r="A76" i="6"/>
  <c r="A61" i="7"/>
  <c r="A12" i="4"/>
  <c r="A108" i="7"/>
  <c r="A11" i="4"/>
  <c r="A92" i="7"/>
  <c r="A41" i="5"/>
  <c r="A219" i="6"/>
  <c r="A113" i="7"/>
  <c r="A43" i="5"/>
  <c r="A31" i="4"/>
  <c r="A28" i="10"/>
  <c r="A17" i="8"/>
  <c r="A286" i="7"/>
  <c r="A80" i="6"/>
  <c r="A113" i="9"/>
  <c r="A114" i="6"/>
  <c r="A101" i="6"/>
  <c r="A17" i="5"/>
  <c r="A123" i="5"/>
  <c r="A73" i="5"/>
  <c r="A107" i="5"/>
  <c r="A9" i="5"/>
  <c r="A258" i="5"/>
  <c r="A101" i="7"/>
  <c r="A67" i="8"/>
  <c r="A170" i="8"/>
  <c r="A129" i="6"/>
  <c r="A89" i="10"/>
  <c r="A234" i="5"/>
  <c r="A127" i="7"/>
  <c r="A19" i="4"/>
  <c r="A139" i="6"/>
  <c r="A18" i="4"/>
  <c r="A219" i="7"/>
  <c r="A10" i="4"/>
  <c r="A274" i="6"/>
  <c r="A234" i="10"/>
  <c r="A27" i="10"/>
  <c r="A198" i="7"/>
  <c r="A87" i="7"/>
  <c r="A292" i="7"/>
  <c r="A213" i="5"/>
  <c r="A141" i="5"/>
  <c r="A21" i="4"/>
  <c r="A252" i="5"/>
  <c r="A65" i="5"/>
  <c r="A244" i="5"/>
  <c r="A26" i="10"/>
  <c r="A270" i="4"/>
  <c r="A200" i="5"/>
  <c r="A23" i="9"/>
  <c r="A149" i="10"/>
  <c r="A154" i="9"/>
  <c r="A193" i="9"/>
  <c r="A10" i="10"/>
  <c r="A43" i="8"/>
  <c r="A190" i="7"/>
  <c r="A221" i="7"/>
  <c r="A189" i="8"/>
  <c r="A83" i="9"/>
  <c r="A186" i="8"/>
  <c r="A50" i="8"/>
  <c r="A280" i="8"/>
  <c r="A20" i="7"/>
  <c r="A219" i="5"/>
  <c r="A135" i="10"/>
  <c r="A44" i="9"/>
  <c r="A52" i="8"/>
  <c r="A192" i="7"/>
  <c r="A120" i="7"/>
  <c r="A130" i="6"/>
  <c r="A89" i="6"/>
  <c r="A175" i="5"/>
  <c r="A177" i="10"/>
  <c r="A66" i="8"/>
  <c r="A238" i="7"/>
  <c r="A124" i="9"/>
  <c r="A166" i="8"/>
  <c r="A145" i="5"/>
  <c r="A118" i="5"/>
  <c r="A245" i="5"/>
  <c r="A234" i="9"/>
  <c r="A262" i="8"/>
  <c r="A60" i="8"/>
  <c r="A204" i="7"/>
  <c r="A132" i="7"/>
  <c r="A191" i="5"/>
  <c r="A223" i="10"/>
  <c r="A170" i="9"/>
  <c r="A86" i="8"/>
  <c r="A276" i="7"/>
  <c r="A140" i="7"/>
  <c r="A201" i="8"/>
  <c r="A241" i="10"/>
  <c r="A87" i="10"/>
  <c r="A255" i="10"/>
  <c r="A289" i="7"/>
  <c r="A173" i="10"/>
  <c r="A140" i="6"/>
  <c r="A212" i="4"/>
  <c r="A291" i="4"/>
  <c r="A283" i="4"/>
  <c r="A74" i="10"/>
  <c r="A207" i="8"/>
  <c r="A55" i="8"/>
  <c r="A8" i="9"/>
  <c r="A293" i="6"/>
  <c r="A53" i="7"/>
  <c r="A37" i="7"/>
  <c r="A164" i="6"/>
  <c r="A25" i="8"/>
  <c r="A225" i="9"/>
  <c r="A259" i="6"/>
  <c r="A235" i="4"/>
  <c r="A99" i="4"/>
  <c r="A24" i="8"/>
  <c r="A100" i="5"/>
  <c r="A249" i="8"/>
  <c r="A25" i="10"/>
  <c r="A7" i="5"/>
  <c r="A228" i="5"/>
  <c r="A110" i="10"/>
  <c r="A150" i="8"/>
  <c r="A80" i="8"/>
  <c r="A119" i="5"/>
  <c r="A248" i="9"/>
  <c r="A161" i="5"/>
  <c r="A233" i="6"/>
  <c r="A56" i="4"/>
  <c r="A251" i="5"/>
  <c r="A63" i="4"/>
  <c r="A235" i="5"/>
  <c r="A55" i="4"/>
  <c r="A100" i="6"/>
  <c r="A205" i="6"/>
  <c r="A111" i="4"/>
  <c r="A272" i="4"/>
  <c r="A168" i="9"/>
  <c r="A221" i="10"/>
  <c r="A172" i="10"/>
  <c r="A167" i="8"/>
  <c r="A177" i="8"/>
  <c r="A207" i="5"/>
  <c r="A288" i="5"/>
  <c r="A206" i="4"/>
  <c r="A57" i="6"/>
  <c r="A252" i="4"/>
  <c r="A41" i="6"/>
  <c r="A188" i="4"/>
  <c r="A167" i="5"/>
  <c r="A100" i="10"/>
  <c r="A204" i="8"/>
  <c r="A189" i="7"/>
  <c r="A253" i="5"/>
  <c r="A95" i="8"/>
  <c r="A50" i="6"/>
  <c r="A259" i="5"/>
  <c r="A71" i="4"/>
  <c r="A20" i="6"/>
  <c r="A90" i="4"/>
  <c r="A290" i="5"/>
  <c r="A84" i="4"/>
  <c r="A130" i="5"/>
  <c r="A76" i="9"/>
  <c r="A178" i="8"/>
  <c r="A103" i="9"/>
  <c r="A37" i="8"/>
  <c r="A29" i="9"/>
  <c r="A243" i="8"/>
  <c r="A261" i="6"/>
  <c r="A226" i="6"/>
  <c r="A26" i="7"/>
  <c r="A58" i="10"/>
  <c r="A238" i="8"/>
  <c r="A81" i="8"/>
  <c r="A119" i="7"/>
  <c r="A276" i="10"/>
  <c r="A36" i="10"/>
  <c r="A104" i="10"/>
  <c r="A77" i="9"/>
  <c r="A168" i="10"/>
  <c r="A169" i="10"/>
  <c r="A98" i="10"/>
  <c r="A192" i="10"/>
  <c r="A175" i="8"/>
  <c r="A125" i="8"/>
  <c r="A261" i="10"/>
  <c r="A279" i="8"/>
  <c r="A147" i="10"/>
  <c r="A102" i="10"/>
  <c r="A101" i="10"/>
  <c r="A56" i="9"/>
  <c r="A90" i="8"/>
  <c r="A32" i="8"/>
  <c r="A69" i="10"/>
  <c r="A217" i="10"/>
  <c r="A41" i="10"/>
  <c r="A91" i="10"/>
  <c r="A202" i="9"/>
  <c r="A141" i="8"/>
  <c r="A168" i="7"/>
  <c r="A270" i="7"/>
  <c r="A231" i="10"/>
  <c r="A243" i="9"/>
  <c r="A210" i="9"/>
  <c r="A138" i="9"/>
  <c r="A119" i="9"/>
  <c r="A73" i="8"/>
  <c r="A182" i="7"/>
  <c r="A239" i="8"/>
  <c r="A161" i="10"/>
  <c r="A241" i="7"/>
  <c r="A40" i="6"/>
  <c r="A275" i="4"/>
  <c r="A122" i="4"/>
  <c r="A67" i="5"/>
  <c r="A171" i="5"/>
  <c r="A173" i="8"/>
  <c r="A69" i="6"/>
  <c r="A277" i="6"/>
  <c r="A285" i="4"/>
  <c r="A149" i="4"/>
  <c r="A141" i="4"/>
  <c r="A70" i="4"/>
  <c r="A257" i="9"/>
  <c r="A15" i="8"/>
  <c r="A142" i="5"/>
  <c r="A58" i="5"/>
  <c r="A177" i="4"/>
  <c r="A287" i="6"/>
  <c r="A169" i="4"/>
  <c r="A127" i="6"/>
  <c r="A122" i="7"/>
  <c r="A29" i="5"/>
  <c r="A12" i="5"/>
  <c r="A47" i="9"/>
  <c r="A133" i="10"/>
  <c r="A130" i="10"/>
  <c r="A41" i="9"/>
  <c r="A192" i="8"/>
  <c r="A271" i="5"/>
  <c r="A113" i="5"/>
  <c r="A205" i="5"/>
  <c r="A152" i="5"/>
  <c r="A31" i="5"/>
  <c r="A136" i="5"/>
  <c r="A133" i="4"/>
  <c r="A9" i="6"/>
  <c r="A114" i="7"/>
  <c r="A25" i="5"/>
  <c r="A96" i="5"/>
  <c r="A146" i="10"/>
  <c r="A118" i="9"/>
  <c r="A172" i="8"/>
  <c r="A89" i="7"/>
  <c r="A165" i="7"/>
  <c r="A47" i="6"/>
  <c r="A55" i="6"/>
  <c r="A124" i="4"/>
  <c r="A133" i="5"/>
  <c r="A17" i="4"/>
  <c r="A109" i="5"/>
  <c r="A78" i="4"/>
  <c r="A108" i="5"/>
  <c r="A91" i="9"/>
  <c r="A200" i="10"/>
  <c r="A233" i="9"/>
  <c r="A125" i="9"/>
  <c r="A19" i="8"/>
  <c r="A143" i="5"/>
  <c r="A160" i="5"/>
  <c r="A197" i="4"/>
  <c r="A215" i="5"/>
  <c r="A53" i="5"/>
  <c r="A199" i="5"/>
  <c r="A211" i="4"/>
  <c r="A96" i="6"/>
  <c r="A112" i="8"/>
  <c r="A197" i="7"/>
  <c r="A192" i="5"/>
  <c r="A81" i="6"/>
  <c r="A204" i="6"/>
  <c r="A162" i="8"/>
  <c r="A276" i="4"/>
  <c r="A266" i="7"/>
  <c r="A69" i="5"/>
  <c r="A250" i="7"/>
  <c r="A61" i="5"/>
  <c r="A233" i="7"/>
  <c r="A116" i="10"/>
  <c r="A246" i="4"/>
  <c r="A121" i="6"/>
  <c r="A159" i="9"/>
  <c r="A250" i="8"/>
  <c r="A114" i="8"/>
  <c r="A229" i="9"/>
  <c r="A84" i="7"/>
  <c r="A283" i="5"/>
  <c r="A108" i="6"/>
  <c r="A220" i="9"/>
  <c r="A126" i="8"/>
  <c r="A265" i="10"/>
  <c r="A193" i="10"/>
  <c r="A150" i="10"/>
  <c r="A230" i="9"/>
  <c r="A147" i="9"/>
  <c r="A197" i="9"/>
  <c r="A247" i="10"/>
  <c r="A277" i="10"/>
  <c r="A275" i="10"/>
  <c r="A180" i="9"/>
  <c r="A218" i="8"/>
  <c r="A128" i="8"/>
  <c r="A63" i="10"/>
  <c r="A198" i="10"/>
  <c r="A138" i="10"/>
  <c r="A235" i="9"/>
  <c r="A12" i="10"/>
  <c r="A269" i="8"/>
  <c r="A10" i="8"/>
  <c r="A164" i="8"/>
  <c r="A99" i="9"/>
  <c r="A202" i="10"/>
  <c r="A47" i="10"/>
  <c r="A48" i="10"/>
  <c r="A238" i="9"/>
  <c r="A144" i="8"/>
  <c r="A117" i="7"/>
  <c r="A124" i="7"/>
  <c r="A134" i="10"/>
  <c r="A207" i="9"/>
  <c r="A246" i="9"/>
  <c r="A174" i="9"/>
  <c r="A56" i="8"/>
  <c r="A92" i="8"/>
  <c r="A118" i="8"/>
  <c r="A274" i="8"/>
  <c r="A117" i="9"/>
  <c r="A245" i="6"/>
  <c r="A149" i="5"/>
  <c r="A203" i="9"/>
  <c r="A196" i="10"/>
  <c r="A250" i="10"/>
  <c r="A105" i="6"/>
  <c r="A169" i="8"/>
  <c r="A194" i="9"/>
  <c r="A36" i="7"/>
  <c r="A13" i="5"/>
  <c r="A163" i="4"/>
  <c r="A155" i="4"/>
  <c r="A135" i="9"/>
  <c r="A63" i="8"/>
  <c r="A291" i="6"/>
  <c r="A268" i="5"/>
  <c r="A84" i="10"/>
  <c r="A75" i="4"/>
  <c r="A196" i="6"/>
  <c r="A67" i="4"/>
  <c r="A60" i="7"/>
  <c r="A182" i="8"/>
  <c r="A98" i="4"/>
  <c r="A64" i="4"/>
  <c r="A264" i="10"/>
  <c r="A182" i="9"/>
  <c r="A210" i="7"/>
  <c r="A251" i="7"/>
  <c r="A277" i="7"/>
  <c r="A111" i="6"/>
  <c r="A126" i="5"/>
  <c r="A231" i="4"/>
  <c r="A229" i="5"/>
  <c r="A66" i="4"/>
  <c r="A221" i="5"/>
  <c r="A164" i="4"/>
  <c r="A172" i="5"/>
  <c r="A281" i="5"/>
  <c r="A61" i="4"/>
  <c r="A195" i="5"/>
  <c r="A40" i="9"/>
  <c r="A22" i="9"/>
  <c r="A38" i="7"/>
  <c r="A90" i="7"/>
  <c r="A167" i="6"/>
  <c r="A105" i="10"/>
  <c r="A294" i="4"/>
  <c r="A161" i="9"/>
  <c r="A158" i="4"/>
  <c r="A83" i="10"/>
  <c r="A150" i="4"/>
  <c r="A244" i="9"/>
  <c r="A280" i="4"/>
  <c r="A171" i="10"/>
  <c r="A87" i="9"/>
  <c r="A16" i="8"/>
  <c r="A135" i="6"/>
  <c r="A161" i="8"/>
  <c r="A277" i="5"/>
  <c r="A237" i="5"/>
  <c r="A263" i="4"/>
  <c r="A54" i="6"/>
  <c r="A47" i="4"/>
  <c r="A38" i="6"/>
  <c r="A183" i="10"/>
  <c r="A40" i="5"/>
  <c r="A140" i="10"/>
  <c r="A232" i="10"/>
  <c r="A291" i="8"/>
  <c r="A14" i="6"/>
  <c r="A27" i="7"/>
  <c r="A293" i="7"/>
  <c r="A274" i="4"/>
  <c r="A188" i="7"/>
  <c r="A138" i="4"/>
  <c r="A172" i="7"/>
  <c r="A130" i="4"/>
  <c r="A243" i="7"/>
  <c r="A211" i="8"/>
  <c r="A70" i="5"/>
  <c r="A165" i="4"/>
  <c r="A206" i="10"/>
  <c r="A154" i="7"/>
  <c r="A184" i="9"/>
  <c r="A268" i="10"/>
  <c r="A154" i="10"/>
  <c r="A121" i="7"/>
  <c r="A53" i="10"/>
  <c r="A229" i="7"/>
  <c r="A204" i="9"/>
  <c r="A208" i="6"/>
  <c r="A224" i="9"/>
  <c r="A199" i="6"/>
  <c r="A158" i="9"/>
  <c r="A165" i="5"/>
  <c r="A91" i="5"/>
  <c r="A193" i="8"/>
  <c r="A271" i="4"/>
  <c r="A46" i="7"/>
  <c r="A88" i="10"/>
  <c r="A131" i="10"/>
  <c r="A51" i="10"/>
  <c r="A254" i="5"/>
  <c r="A96" i="8"/>
  <c r="A292" i="8"/>
  <c r="A138" i="8"/>
  <c r="A172" i="9"/>
  <c r="A55" i="7"/>
  <c r="A94" i="4"/>
  <c r="A175" i="4"/>
  <c r="A61" i="6"/>
  <c r="A71" i="7"/>
  <c r="A47" i="5"/>
  <c r="A39" i="5"/>
  <c r="A286" i="5"/>
  <c r="A137" i="4"/>
  <c r="A63" i="5"/>
  <c r="A72" i="6"/>
  <c r="A40" i="8"/>
  <c r="A266" i="6"/>
  <c r="A187" i="10"/>
  <c r="A104" i="7"/>
  <c r="A122" i="5"/>
  <c r="A191" i="4"/>
  <c r="A244" i="4"/>
  <c r="A101" i="4"/>
  <c r="A128" i="4"/>
  <c r="A63" i="6"/>
  <c r="A163" i="9"/>
  <c r="A141" i="6"/>
  <c r="A72" i="4"/>
  <c r="A32" i="5"/>
  <c r="A211" i="6"/>
  <c r="A228" i="6"/>
  <c r="A110" i="4"/>
  <c r="A131" i="4"/>
  <c r="A199" i="4"/>
  <c r="A146" i="5"/>
  <c r="A143" i="4"/>
  <c r="A152" i="7"/>
  <c r="A200" i="4"/>
  <c r="A246" i="6"/>
  <c r="A179" i="10"/>
  <c r="A29" i="4"/>
  <c r="A192" i="6"/>
  <c r="A204" i="5"/>
  <c r="A102" i="6"/>
  <c r="A161" i="4"/>
  <c r="A114" i="5"/>
  <c r="A97" i="8"/>
  <c r="A173" i="7"/>
  <c r="A262" i="5"/>
  <c r="A136" i="6"/>
  <c r="A123" i="4"/>
  <c r="A139" i="10"/>
  <c r="A290" i="7"/>
  <c r="A127" i="4"/>
  <c r="A64" i="6"/>
  <c r="A32" i="7"/>
  <c r="A106" i="4"/>
  <c r="A262" i="6"/>
  <c r="A208" i="8"/>
  <c r="A57" i="5"/>
  <c r="A238" i="10"/>
  <c r="A142" i="4"/>
  <c r="A254" i="8"/>
  <c r="A148" i="5"/>
  <c r="A64" i="8"/>
  <c r="A268" i="6"/>
  <c r="A204" i="4"/>
  <c r="A211" i="5"/>
  <c r="A232" i="4"/>
  <c r="A224" i="4"/>
  <c r="A59" i="4"/>
  <c r="A279" i="7"/>
  <c r="A17" i="10"/>
  <c r="A14" i="5"/>
  <c r="A53" i="8"/>
  <c r="A50" i="4"/>
  <c r="A156" i="4"/>
  <c r="A243" i="4"/>
  <c r="A222" i="8"/>
  <c r="A90" i="5"/>
  <c r="A278" i="5"/>
  <c r="A153" i="4"/>
  <c r="A18" i="10"/>
  <c r="A88" i="6"/>
  <c r="A9" i="9"/>
  <c r="A74" i="6"/>
  <c r="A129" i="10"/>
  <c r="A248" i="7"/>
  <c r="A97" i="9"/>
  <c r="A92" i="10"/>
  <c r="A201" i="9"/>
  <c r="A78" i="8"/>
  <c r="A14" i="10"/>
  <c r="A17" i="7"/>
  <c r="A148" i="9"/>
  <c r="A143" i="8"/>
  <c r="A170" i="6"/>
  <c r="A227" i="10"/>
  <c r="A49" i="9"/>
  <c r="A40" i="10"/>
  <c r="A57" i="8"/>
  <c r="A199" i="9"/>
  <c r="A236" i="7"/>
  <c r="A88" i="9"/>
  <c r="A263" i="6"/>
  <c r="A79" i="9"/>
  <c r="A177" i="7"/>
  <c r="A115" i="9"/>
  <c r="A179" i="9"/>
  <c r="A241" i="4"/>
  <c r="A257" i="5"/>
  <c r="A77" i="6"/>
  <c r="A192" i="4"/>
  <c r="A102" i="7"/>
  <c r="A64" i="5"/>
  <c r="A214" i="4"/>
  <c r="A33" i="9"/>
  <c r="A115" i="6"/>
  <c r="A93" i="4"/>
  <c r="A260" i="4"/>
  <c r="A242" i="8"/>
  <c r="A251" i="10"/>
  <c r="A31" i="10"/>
  <c r="A256" i="9"/>
  <c r="A144" i="9"/>
  <c r="A166" i="4"/>
  <c r="A136" i="4"/>
  <c r="A103" i="4"/>
  <c r="A206" i="7"/>
  <c r="A100" i="4"/>
  <c r="A258" i="6"/>
  <c r="A274" i="7"/>
  <c r="A187" i="6"/>
  <c r="A255" i="4"/>
  <c r="A220" i="7"/>
  <c r="A273" i="6"/>
  <c r="A77" i="4"/>
  <c r="A43" i="4"/>
  <c r="A35" i="5"/>
  <c r="A76" i="5"/>
  <c r="A170" i="4"/>
  <c r="A127" i="9"/>
  <c r="A17" i="9"/>
  <c r="A292" i="6"/>
  <c r="A121" i="5"/>
  <c r="A209" i="4"/>
  <c r="A21" i="5"/>
  <c r="A236" i="4"/>
  <c r="A69" i="4"/>
  <c r="A195" i="4"/>
  <c r="A256" i="6"/>
  <c r="A67" i="6"/>
  <c r="A255" i="7"/>
  <c r="A257" i="4"/>
  <c r="A257" i="8"/>
  <c r="A131" i="7"/>
  <c r="A144" i="5"/>
  <c r="A157" i="7"/>
  <c r="A81" i="4"/>
  <c r="A239" i="6"/>
  <c r="A22" i="8"/>
  <c r="A81" i="7"/>
  <c r="A38" i="11"/>
  <c r="A273" i="8"/>
  <c r="A97" i="4"/>
  <c r="A171" i="7"/>
  <c r="A108" i="4"/>
  <c r="A24" i="5"/>
  <c r="A164" i="5"/>
  <c r="A51" i="4"/>
  <c r="A156" i="8"/>
  <c r="A116" i="5"/>
  <c r="A46" i="4"/>
  <c r="A37" i="5"/>
  <c r="A91" i="6"/>
  <c r="A84" i="6"/>
  <c r="A259" i="4"/>
  <c r="A44" i="6"/>
  <c r="A117" i="8"/>
  <c r="A44" i="7"/>
  <c r="A24" i="4"/>
  <c r="A293" i="4"/>
  <c r="A126" i="4"/>
  <c r="A89" i="5"/>
  <c r="A86" i="4"/>
  <c r="A19" i="9"/>
  <c r="A28" i="8"/>
  <c r="A10" i="7"/>
  <c r="A261" i="5"/>
  <c r="A159" i="5"/>
  <c r="A249" i="5"/>
  <c r="A55" i="5"/>
  <c r="A150" i="7"/>
  <c r="A289" i="6"/>
  <c r="A143" i="7"/>
  <c r="A284" i="8"/>
  <c r="A72" i="7"/>
  <c r="A124" i="6"/>
  <c r="A146" i="6"/>
  <c r="A196" i="8"/>
  <c r="A42" i="4"/>
  <c r="A157" i="6"/>
  <c r="A181" i="4"/>
  <c r="A154" i="4"/>
  <c r="A20" i="5"/>
  <c r="A176" i="4"/>
  <c r="A34" i="5"/>
  <c r="A169" i="6"/>
  <c r="A139" i="5"/>
  <c r="A28" i="5"/>
  <c r="A232" i="7"/>
  <c r="A45" i="8"/>
  <c r="A227" i="5"/>
  <c r="A81" i="10"/>
  <c r="A35" i="8"/>
  <c r="A9" i="10"/>
  <c r="A76" i="8"/>
  <c r="A167" i="9"/>
  <c r="A40" i="7"/>
  <c r="A152" i="9"/>
  <c r="A86" i="7"/>
  <c r="A116" i="9"/>
  <c r="A121" i="8"/>
  <c r="A27" i="8"/>
  <c r="A263" i="8"/>
  <c r="A49" i="5"/>
  <c r="A174" i="5"/>
  <c r="A264" i="5"/>
  <c r="A57" i="4"/>
  <c r="A154" i="5"/>
  <c r="A157" i="4"/>
  <c r="A38" i="5"/>
  <c r="A187" i="5"/>
  <c r="A24" i="10"/>
  <c r="A107" i="4"/>
  <c r="A258" i="4"/>
  <c r="A261" i="7"/>
  <c r="A107" i="8"/>
  <c r="A184" i="8"/>
  <c r="A28" i="9"/>
  <c r="A109" i="10"/>
  <c r="A82" i="5"/>
  <c r="A22" i="4"/>
  <c r="A14" i="4"/>
  <c r="A223" i="6"/>
  <c r="A70" i="7"/>
  <c r="A157" i="5"/>
  <c r="A77" i="5"/>
  <c r="A135" i="5"/>
  <c r="A163" i="7"/>
  <c r="A146" i="4"/>
  <c r="A150" i="5"/>
  <c r="A267" i="5"/>
  <c r="A281" i="4"/>
  <c r="A79" i="5"/>
  <c r="A167" i="4"/>
  <c r="A158" i="5"/>
  <c r="A224" i="5"/>
  <c r="A243" i="5"/>
  <c r="A26" i="9"/>
  <c r="A179" i="4"/>
  <c r="A237" i="10"/>
  <c r="A81" i="5"/>
  <c r="A9" i="4"/>
  <c r="A79" i="4"/>
  <c r="A203" i="6"/>
  <c r="A37" i="6"/>
  <c r="A43" i="7"/>
  <c r="A68" i="6"/>
  <c r="A285" i="5"/>
  <c r="A240" i="7"/>
  <c r="A117" i="4"/>
  <c r="A186" i="5"/>
  <c r="A226" i="5"/>
  <c r="A254" i="4"/>
  <c r="A191" i="6"/>
  <c r="A14" i="8"/>
  <c r="A53" i="4"/>
  <c r="A136" i="9"/>
  <c r="A214" i="8"/>
  <c r="A119" i="6"/>
  <c r="A173" i="5"/>
  <c r="A49" i="4"/>
  <c r="A99" i="5"/>
  <c r="A234" i="4"/>
  <c r="A173" i="6"/>
  <c r="A181" i="6"/>
  <c r="A178" i="10"/>
  <c r="A69" i="7"/>
  <c r="A65" i="4"/>
  <c r="A134" i="4"/>
  <c r="A8" i="5"/>
  <c r="A34" i="4"/>
  <c r="A158" i="6"/>
  <c r="A32" i="4"/>
  <c r="A23" i="5"/>
  <c r="A135" i="4"/>
  <c r="A58" i="4"/>
  <c r="A193" i="4"/>
  <c r="A216" i="5"/>
  <c r="A78" i="5"/>
  <c r="A238" i="4"/>
  <c r="A93" i="5"/>
  <c r="A202" i="8"/>
  <c r="A89" i="4"/>
  <c r="A122" i="6"/>
  <c r="A279" i="4"/>
  <c r="A166" i="6"/>
  <c r="A82" i="7"/>
  <c r="A263" i="5"/>
  <c r="A177" i="5"/>
  <c r="A112" i="4"/>
  <c r="A226" i="7"/>
  <c r="A193" i="5"/>
  <c r="A262" i="10"/>
  <c r="A128" i="10"/>
  <c r="A72" i="10"/>
  <c r="A189" i="9"/>
  <c r="A103" i="8"/>
  <c r="A104" i="9"/>
  <c r="A223" i="4"/>
  <c r="A113" i="8"/>
  <c r="A107" i="6"/>
  <c r="A126" i="10"/>
  <c r="A253" i="8"/>
  <c r="A227" i="9"/>
  <c r="A108" i="9"/>
  <c r="A19" i="10"/>
  <c r="A219" i="8"/>
  <c r="A192" i="9"/>
  <c r="A118" i="10"/>
  <c r="A209" i="8"/>
  <c r="A88" i="8"/>
  <c r="A107" i="9"/>
  <c r="A190" i="8"/>
  <c r="A233" i="4"/>
  <c r="A287" i="8"/>
  <c r="A207" i="4"/>
  <c r="A178" i="4"/>
  <c r="A154" i="6"/>
  <c r="A86" i="10"/>
  <c r="A61" i="10"/>
  <c r="A77" i="8"/>
  <c r="A240" i="5"/>
  <c r="A154" i="8"/>
  <c r="A120" i="8"/>
  <c r="A188" i="6"/>
  <c r="A230" i="4"/>
  <c r="A103" i="5"/>
  <c r="A102" i="9"/>
  <c r="A286" i="6"/>
  <c r="A96" i="4"/>
  <c r="A213" i="9"/>
  <c r="A51" i="9"/>
  <c r="A132" i="6"/>
  <c r="A208" i="4"/>
  <c r="A139" i="4"/>
  <c r="A129" i="8"/>
  <c r="A71" i="5"/>
  <c r="A88" i="5"/>
  <c r="A49" i="7"/>
  <c r="A173" i="4"/>
  <c r="A85" i="5"/>
  <c r="A276" i="5"/>
  <c r="A197" i="5"/>
  <c r="A211" i="7"/>
  <c r="A210" i="6"/>
  <c r="A26" i="5"/>
  <c r="A199" i="7"/>
  <c r="A145" i="6"/>
  <c r="A250" i="5"/>
  <c r="A166" i="9"/>
  <c r="A62" i="4"/>
  <c r="A145" i="4"/>
  <c r="A44" i="4"/>
  <c r="A245" i="4"/>
  <c r="A156" i="5"/>
  <c r="A148" i="4"/>
  <c r="A94" i="6"/>
  <c r="A60" i="5"/>
  <c r="A54" i="4"/>
  <c r="A194" i="5"/>
  <c r="A30" i="4"/>
  <c r="A284" i="5"/>
  <c r="A294" i="8"/>
  <c r="A148" i="10"/>
  <c r="A287" i="4"/>
  <c r="A235" i="8"/>
  <c r="A248" i="4"/>
  <c r="A270" i="5"/>
  <c r="A64" i="7"/>
  <c r="A20" i="4"/>
  <c r="A107" i="7"/>
  <c r="A174" i="6"/>
  <c r="A148" i="6"/>
  <c r="A159" i="7"/>
  <c r="A41" i="7"/>
  <c r="A30" i="5"/>
  <c r="A190" i="4"/>
  <c r="A16" i="4"/>
  <c r="A184" i="4"/>
  <c r="A59" i="5"/>
  <c r="A29" i="6"/>
  <c r="A71" i="9"/>
  <c r="A260" i="6"/>
  <c r="A73" i="4"/>
  <c r="A22" i="6"/>
  <c r="A230" i="5"/>
  <c r="A140" i="5"/>
  <c r="A166" i="5"/>
  <c r="A189" i="4"/>
  <c r="A233" i="5"/>
  <c r="A36" i="4"/>
  <c r="A221" i="6"/>
  <c r="A153" i="5"/>
  <c r="A264" i="6"/>
  <c r="A110" i="6"/>
  <c r="A278" i="6"/>
  <c r="A160" i="4"/>
  <c r="A10" i="6"/>
  <c r="A292" i="5"/>
  <c r="A169" i="5"/>
  <c r="A163" i="10"/>
  <c r="A39" i="8"/>
  <c r="A272" i="8"/>
  <c r="A89" i="8"/>
  <c r="A147" i="5"/>
  <c r="A151" i="7"/>
  <c r="A203" i="5"/>
  <c r="A222" i="4"/>
  <c r="A225" i="4"/>
  <c r="A45" i="7"/>
  <c r="A259" i="10"/>
  <c r="A249" i="6"/>
  <c r="A190" i="10"/>
  <c r="A170" i="5"/>
  <c r="A19" i="7"/>
  <c r="A84" i="8"/>
  <c r="A113" i="10"/>
  <c r="A220" i="5"/>
  <c r="A273" i="4"/>
  <c r="A148" i="7"/>
  <c r="A145" i="8"/>
  <c r="A153" i="7"/>
  <c r="A184" i="5"/>
  <c r="A123" i="10"/>
  <c r="A256" i="8"/>
  <c r="A191" i="9"/>
  <c r="A276" i="8"/>
  <c r="A80" i="9"/>
  <c r="A130" i="7"/>
  <c r="A49" i="10"/>
  <c r="A251" i="9"/>
  <c r="A252" i="7"/>
  <c r="A220" i="8"/>
  <c r="A11" i="8"/>
  <c r="A244" i="6"/>
  <c r="A239" i="4"/>
  <c r="A148" i="8"/>
  <c r="A95" i="5"/>
  <c r="A151" i="5"/>
  <c r="A129" i="5"/>
  <c r="A99" i="8"/>
  <c r="A74" i="8"/>
  <c r="A62" i="7"/>
  <c r="A181" i="5"/>
  <c r="A285" i="7"/>
  <c r="A30" i="8"/>
  <c r="A256" i="5"/>
  <c r="A54" i="5"/>
  <c r="A196" i="4"/>
  <c r="A106" i="8"/>
  <c r="A85" i="6"/>
  <c r="A63" i="9"/>
  <c r="A110" i="7"/>
  <c r="A237" i="6"/>
  <c r="A13" i="6"/>
  <c r="A252" i="10"/>
  <c r="A225" i="7"/>
  <c r="A227" i="4"/>
  <c r="A162" i="4"/>
  <c r="A158" i="10"/>
  <c r="A19" i="5"/>
  <c r="A265" i="4"/>
  <c r="A284" i="6"/>
  <c r="A173" i="9"/>
  <c r="A34" i="9"/>
  <c r="A36" i="6"/>
  <c r="A227" i="8"/>
  <c r="A119" i="4"/>
  <c r="A240" i="4"/>
  <c r="A71" i="6"/>
  <c r="A62" i="5"/>
  <c r="A27" i="4"/>
  <c r="A203" i="4"/>
  <c r="A66" i="10"/>
  <c r="A22" i="5"/>
  <c r="A83" i="4"/>
  <c r="A87" i="5"/>
  <c r="A66" i="7"/>
  <c r="A228" i="4"/>
  <c r="A121" i="10"/>
  <c r="A118" i="6"/>
  <c r="A158" i="8"/>
  <c r="A58" i="9"/>
  <c r="A268" i="4"/>
  <c r="A78" i="9"/>
  <c r="A167" i="7"/>
  <c r="A269" i="5"/>
  <c r="A65" i="8"/>
  <c r="A33" i="7"/>
  <c r="A276" i="6"/>
  <c r="A229" i="6"/>
  <c r="A262" i="4"/>
  <c r="A264" i="4"/>
  <c r="A14" i="7"/>
  <c r="A109" i="4"/>
  <c r="A198" i="4"/>
  <c r="A247" i="6"/>
  <c r="A104" i="8"/>
  <c r="A267" i="4"/>
  <c r="A37" i="4"/>
  <c r="A256" i="4"/>
  <c r="A181" i="7"/>
  <c r="A231" i="5"/>
  <c r="A39" i="4"/>
  <c r="A80" i="5"/>
  <c r="A33" i="8"/>
  <c r="A17" i="6"/>
  <c r="A274" i="10"/>
  <c r="A188" i="10"/>
  <c r="A98" i="8"/>
  <c r="A164" i="10"/>
  <c r="A176" i="7"/>
  <c r="A42" i="10"/>
  <c r="A116" i="8"/>
  <c r="A61" i="9"/>
  <c r="A198" i="6"/>
  <c r="A239" i="5"/>
  <c r="A280" i="7"/>
  <c r="A179" i="5"/>
  <c r="A284" i="7"/>
  <c r="A44" i="8"/>
  <c r="A104" i="5"/>
  <c r="A75" i="8"/>
  <c r="A109" i="7"/>
  <c r="A46" i="5"/>
  <c r="A228" i="9"/>
  <c r="A207" i="10"/>
  <c r="A131" i="6"/>
  <c r="A266" i="4"/>
  <c r="A98" i="9"/>
  <c r="A112" i="5"/>
  <c r="A200" i="8"/>
  <c r="A186" i="7"/>
  <c r="A271" i="6"/>
  <c r="A241" i="9"/>
  <c r="A35" i="7"/>
  <c r="A162" i="5"/>
  <c r="A27" i="6"/>
  <c r="A68" i="5"/>
  <c r="A129" i="4"/>
  <c r="A242" i="10"/>
  <c r="A219" i="4"/>
  <c r="A64" i="9"/>
  <c r="A202" i="7"/>
  <c r="A11" i="5"/>
  <c r="A282" i="8"/>
  <c r="A217" i="4"/>
  <c r="A48" i="6"/>
  <c r="A279" i="5"/>
  <c r="A51" i="5"/>
  <c r="A193" i="7"/>
  <c r="A174" i="10"/>
  <c r="A68" i="4"/>
  <c r="A201" i="4"/>
  <c r="A283" i="6"/>
  <c r="A108" i="8"/>
  <c r="A123" i="9"/>
  <c r="A11" i="6"/>
  <c r="A271" i="7"/>
  <c r="A69" i="8"/>
  <c r="A218" i="7"/>
  <c r="A50" i="7"/>
  <c r="A8" i="4"/>
  <c r="A174" i="4"/>
  <c r="A33" i="5"/>
  <c r="A230" i="10"/>
  <c r="A217" i="5"/>
  <c r="A23" i="4"/>
  <c r="A15" i="5"/>
  <c r="A161" i="6"/>
  <c r="A215" i="7"/>
  <c r="A86" i="5"/>
  <c r="A242" i="5"/>
  <c r="A214" i="5"/>
  <c r="A187" i="4"/>
  <c r="A138" i="7"/>
  <c r="A82" i="4"/>
  <c r="A172" i="4"/>
  <c r="A156" i="6"/>
  <c r="A152" i="4"/>
  <c r="A175" i="9"/>
  <c r="A16" i="5"/>
  <c r="A231" i="7"/>
  <c r="A203" i="7"/>
  <c r="A290" i="8"/>
  <c r="A185" i="7"/>
  <c r="A218" i="4"/>
  <c r="A213" i="4"/>
  <c r="A226" i="4"/>
  <c r="A11" i="9"/>
  <c r="A237" i="9"/>
  <c r="A250" i="9"/>
  <c r="A183" i="7"/>
  <c r="A103" i="6"/>
  <c r="A180" i="4"/>
  <c r="A132" i="4"/>
  <c r="A144" i="4"/>
  <c r="A243" i="10"/>
  <c r="A28" i="4"/>
  <c r="A124" i="5"/>
  <c r="A7" i="8"/>
  <c r="A38" i="4"/>
  <c r="A155" i="6"/>
  <c r="A111" i="8"/>
  <c r="A7" i="7"/>
  <c r="A70" i="6"/>
  <c r="A294" i="6"/>
  <c r="A59" i="10"/>
  <c r="A22" i="7"/>
  <c r="A182" i="4"/>
  <c r="A242" i="6"/>
  <c r="A205" i="8"/>
  <c r="A83" i="8"/>
  <c r="A156" i="10"/>
  <c r="A245" i="7"/>
  <c r="A176" i="8"/>
  <c r="A52" i="10"/>
  <c r="A275" i="6"/>
  <c r="A35" i="4"/>
  <c r="A100" i="7"/>
  <c r="A186" i="6"/>
  <c r="A45" i="5"/>
  <c r="A159" i="4"/>
  <c r="A94" i="7"/>
  <c r="A60" i="4"/>
  <c r="A146" i="7"/>
  <c r="A95" i="6"/>
  <c r="A47" i="8"/>
  <c r="A133" i="9"/>
  <c r="A177" i="6"/>
  <c r="A50" i="5"/>
  <c r="A91" i="8"/>
  <c r="A120" i="4"/>
  <c r="A42" i="6"/>
  <c r="A242" i="4"/>
  <c r="A235" i="7"/>
  <c r="A127" i="5"/>
  <c r="A246" i="7"/>
  <c r="A109" i="6"/>
  <c r="A92" i="4"/>
  <c r="A293" i="5"/>
  <c r="A282" i="4"/>
  <c r="A15" i="4"/>
  <c r="A287" i="5"/>
  <c r="A134" i="5"/>
  <c r="A88" i="7"/>
  <c r="A222" i="10"/>
  <c r="A115" i="4"/>
  <c r="A43" i="9"/>
  <c r="A248" i="8"/>
  <c r="A147" i="8"/>
  <c r="A42" i="5"/>
  <c r="A51" i="7"/>
  <c r="A228" i="7"/>
  <c r="A67" i="9"/>
  <c r="A19" i="6"/>
  <c r="A118" i="4"/>
  <c r="A254" i="7"/>
  <c r="A185" i="10"/>
  <c r="A13" i="4"/>
  <c r="A198" i="5"/>
  <c r="A220" i="4"/>
  <c r="A66" i="6"/>
  <c r="A234" i="6"/>
  <c r="A58" i="6"/>
  <c r="A253" i="4"/>
  <c r="A140" i="4"/>
  <c r="A229" i="4"/>
  <c r="A168" i="5"/>
  <c r="A231" i="8"/>
  <c r="A284" i="4"/>
  <c r="A205" i="4"/>
  <c r="A230" i="8"/>
  <c r="A260" i="5"/>
  <c r="A99" i="7"/>
  <c r="A92" i="6"/>
  <c r="A84" i="5"/>
  <c r="A101" i="5"/>
  <c r="A96" i="7"/>
  <c r="F96" i="7" l="1"/>
  <c r="F101" i="5"/>
  <c r="F84" i="5"/>
  <c r="F92" i="6"/>
  <c r="F99" i="7"/>
  <c r="F260" i="5"/>
  <c r="C260" i="5"/>
  <c r="B260" i="5"/>
  <c r="E260" i="5"/>
  <c r="D260" i="5"/>
  <c r="F230" i="8"/>
  <c r="F205" i="4"/>
  <c r="E284" i="4"/>
  <c r="D284" i="4"/>
  <c r="B284" i="4"/>
  <c r="F284" i="4"/>
  <c r="C284" i="4"/>
  <c r="B231" i="8"/>
  <c r="F231" i="8"/>
  <c r="D231" i="8"/>
  <c r="E231" i="8"/>
  <c r="C231" i="8"/>
  <c r="F168" i="5"/>
  <c r="F229" i="4"/>
  <c r="F140" i="4"/>
  <c r="B253" i="4"/>
  <c r="F253" i="4"/>
  <c r="E253" i="4"/>
  <c r="C253" i="4"/>
  <c r="D253" i="4"/>
  <c r="F58" i="6"/>
  <c r="C234" i="6"/>
  <c r="B234" i="6"/>
  <c r="F234" i="6"/>
  <c r="E234" i="6"/>
  <c r="D234" i="6"/>
  <c r="F66" i="6"/>
  <c r="F220" i="4"/>
  <c r="F198" i="5"/>
  <c r="F13" i="4"/>
  <c r="F185" i="10"/>
  <c r="F254" i="7"/>
  <c r="F118" i="4"/>
  <c r="F19" i="6"/>
  <c r="F67" i="9"/>
  <c r="F228" i="7"/>
  <c r="F51" i="7"/>
  <c r="F42" i="5"/>
  <c r="F147" i="8"/>
  <c r="E248" i="8"/>
  <c r="C248" i="8"/>
  <c r="B248" i="8"/>
  <c r="F248" i="8"/>
  <c r="D248" i="8"/>
  <c r="F43" i="9"/>
  <c r="F115" i="4"/>
  <c r="F222" i="10"/>
  <c r="F88" i="7"/>
  <c r="F134" i="5"/>
  <c r="F287" i="5"/>
  <c r="B287" i="5"/>
  <c r="E287" i="5"/>
  <c r="C287" i="5"/>
  <c r="D287" i="5"/>
  <c r="F15" i="4"/>
  <c r="F282" i="4"/>
  <c r="D282" i="4"/>
  <c r="E282" i="4"/>
  <c r="C282" i="4"/>
  <c r="B282" i="4"/>
  <c r="D293" i="5"/>
  <c r="C293" i="5"/>
  <c r="B293" i="5"/>
  <c r="F293" i="5"/>
  <c r="E293" i="5"/>
  <c r="F92" i="4"/>
  <c r="F109" i="6"/>
  <c r="F246" i="7"/>
  <c r="F127" i="5"/>
  <c r="F235" i="7"/>
  <c r="F242" i="4"/>
  <c r="E242" i="4"/>
  <c r="D242" i="4"/>
  <c r="B242" i="4"/>
  <c r="C242" i="4"/>
  <c r="F42" i="6"/>
  <c r="F120" i="4"/>
  <c r="F91" i="8"/>
  <c r="F50" i="5"/>
  <c r="F177" i="6"/>
  <c r="F133" i="9"/>
  <c r="F47" i="8"/>
  <c r="F95" i="6"/>
  <c r="F146" i="7"/>
  <c r="F60" i="4"/>
  <c r="F94" i="7"/>
  <c r="F159" i="4"/>
  <c r="F45" i="5"/>
  <c r="F186" i="6"/>
  <c r="F100" i="7"/>
  <c r="F35" i="4"/>
  <c r="E275" i="6"/>
  <c r="C275" i="6"/>
  <c r="B275" i="6"/>
  <c r="F275" i="6"/>
  <c r="D275" i="6"/>
  <c r="F52" i="10"/>
  <c r="F176" i="8"/>
  <c r="F245" i="7"/>
  <c r="F156" i="10"/>
  <c r="F83" i="8"/>
  <c r="F205" i="8"/>
  <c r="B242" i="6"/>
  <c r="F242" i="6"/>
  <c r="E242" i="6"/>
  <c r="C242" i="6"/>
  <c r="D242" i="6"/>
  <c r="F182" i="4"/>
  <c r="F22" i="7"/>
  <c r="F59" i="10"/>
  <c r="E294" i="6"/>
  <c r="C294" i="6"/>
  <c r="B294" i="6"/>
  <c r="D294" i="6"/>
  <c r="F294" i="6"/>
  <c r="F70" i="6"/>
  <c r="B7" i="7"/>
  <c r="F7" i="7"/>
  <c r="F111" i="8"/>
  <c r="F155" i="6"/>
  <c r="F38" i="4"/>
  <c r="F7" i="8"/>
  <c r="B7" i="8"/>
  <c r="F124" i="5"/>
  <c r="F28" i="4"/>
  <c r="F243" i="10"/>
  <c r="F144" i="4"/>
  <c r="F132" i="4"/>
  <c r="F180" i="4"/>
  <c r="F103" i="6"/>
  <c r="F183" i="7"/>
  <c r="E250" i="9"/>
  <c r="B250" i="9"/>
  <c r="F250" i="9"/>
  <c r="D250" i="9"/>
  <c r="C250" i="9"/>
  <c r="F237" i="9"/>
  <c r="F11" i="9"/>
  <c r="F226" i="4"/>
  <c r="F213" i="4"/>
  <c r="F218" i="4"/>
  <c r="F185" i="7"/>
  <c r="F290" i="8"/>
  <c r="E290" i="8"/>
  <c r="D290" i="8"/>
  <c r="B290" i="8"/>
  <c r="C290" i="8"/>
  <c r="F203" i="7"/>
  <c r="F231" i="7"/>
  <c r="F16" i="5"/>
  <c r="F175" i="9"/>
  <c r="F152" i="4"/>
  <c r="F156" i="6"/>
  <c r="F172" i="4"/>
  <c r="F82" i="4"/>
  <c r="F138" i="7"/>
  <c r="F187" i="4"/>
  <c r="F214" i="5"/>
  <c r="F242" i="5"/>
  <c r="F86" i="5"/>
  <c r="F215" i="7"/>
  <c r="F161" i="6"/>
  <c r="F15" i="5"/>
  <c r="F23" i="4"/>
  <c r="F217" i="5"/>
  <c r="F230" i="10"/>
  <c r="F33" i="5"/>
  <c r="F174" i="4"/>
  <c r="F8" i="4"/>
  <c r="F50" i="7"/>
  <c r="F218" i="7"/>
  <c r="F69" i="8"/>
  <c r="F271" i="7"/>
  <c r="F11" i="6"/>
  <c r="F123" i="9"/>
  <c r="F108" i="8"/>
  <c r="E283" i="6"/>
  <c r="F283" i="6"/>
  <c r="B283" i="6"/>
  <c r="D283" i="6"/>
  <c r="C283" i="6"/>
  <c r="F201" i="4"/>
  <c r="F68" i="4"/>
  <c r="F174" i="10"/>
  <c r="F193" i="7"/>
  <c r="F51" i="5"/>
  <c r="D279" i="5"/>
  <c r="E279" i="5"/>
  <c r="F279" i="5"/>
  <c r="C279" i="5"/>
  <c r="B279" i="5"/>
  <c r="F48" i="6"/>
  <c r="F217" i="4"/>
  <c r="B282" i="8"/>
  <c r="F282" i="8"/>
  <c r="E282" i="8"/>
  <c r="D282" i="8"/>
  <c r="C282" i="8"/>
  <c r="F11" i="5"/>
  <c r="F202" i="7"/>
  <c r="F64" i="9"/>
  <c r="F219" i="4"/>
  <c r="F242" i="10"/>
  <c r="F129" i="4"/>
  <c r="F68" i="5"/>
  <c r="F27" i="6"/>
  <c r="F162" i="5"/>
  <c r="F35" i="7"/>
  <c r="F241" i="9"/>
  <c r="D271" i="6"/>
  <c r="B271" i="6"/>
  <c r="F271" i="6"/>
  <c r="E271" i="6"/>
  <c r="C271" i="6"/>
  <c r="F186" i="7"/>
  <c r="F200" i="8"/>
  <c r="F112" i="5"/>
  <c r="F98" i="9"/>
  <c r="F266" i="4"/>
  <c r="D266" i="4"/>
  <c r="C266" i="4"/>
  <c r="E266" i="4"/>
  <c r="B266" i="4"/>
  <c r="F131" i="6"/>
  <c r="F207" i="10"/>
  <c r="F228" i="9"/>
  <c r="F46" i="5"/>
  <c r="F109" i="7"/>
  <c r="F75" i="8"/>
  <c r="F104" i="5"/>
  <c r="F44" i="8"/>
  <c r="F284" i="7"/>
  <c r="F179" i="5"/>
  <c r="F280" i="7"/>
  <c r="F239" i="5"/>
  <c r="F198" i="6"/>
  <c r="F61" i="9"/>
  <c r="F116" i="8"/>
  <c r="F42" i="10"/>
  <c r="F176" i="7"/>
  <c r="F164" i="10"/>
  <c r="F98" i="8"/>
  <c r="F188" i="10"/>
  <c r="F274" i="10"/>
  <c r="F17" i="6"/>
  <c r="F33" i="8"/>
  <c r="F80" i="5"/>
  <c r="F39" i="4"/>
  <c r="F231" i="5"/>
  <c r="F181" i="7"/>
  <c r="F256" i="4"/>
  <c r="D256" i="4"/>
  <c r="B256" i="4"/>
  <c r="C256" i="4"/>
  <c r="E256" i="4"/>
  <c r="F37" i="4"/>
  <c r="D267" i="4"/>
  <c r="B267" i="4"/>
  <c r="F267" i="4"/>
  <c r="E267" i="4"/>
  <c r="C267" i="4"/>
  <c r="F104" i="8"/>
  <c r="B247" i="6"/>
  <c r="E247" i="6"/>
  <c r="C247" i="6"/>
  <c r="F247" i="6"/>
  <c r="D247" i="6"/>
  <c r="F198" i="4"/>
  <c r="F109" i="4"/>
  <c r="F14" i="7"/>
  <c r="B264" i="4"/>
  <c r="F264" i="4"/>
  <c r="E264" i="4"/>
  <c r="D264" i="4"/>
  <c r="C264" i="4"/>
  <c r="F262" i="4"/>
  <c r="D262" i="4"/>
  <c r="C262" i="4"/>
  <c r="B262" i="4"/>
  <c r="E262" i="4"/>
  <c r="D229" i="6"/>
  <c r="C229" i="6"/>
  <c r="E229" i="6"/>
  <c r="F229" i="6"/>
  <c r="B229" i="6"/>
  <c r="D276" i="6"/>
  <c r="C276" i="6"/>
  <c r="B276" i="6"/>
  <c r="F276" i="6"/>
  <c r="E276" i="6"/>
  <c r="F33" i="7"/>
  <c r="F65" i="8"/>
  <c r="F269" i="5"/>
  <c r="E269" i="5"/>
  <c r="D269" i="5"/>
  <c r="C269" i="5"/>
  <c r="B269" i="5"/>
  <c r="F167" i="7"/>
  <c r="F78" i="9"/>
  <c r="D268" i="4"/>
  <c r="B268" i="4"/>
  <c r="C268" i="4"/>
  <c r="E268" i="4"/>
  <c r="F268" i="4"/>
  <c r="F58" i="9"/>
  <c r="F158" i="8"/>
  <c r="F118" i="6"/>
  <c r="F121" i="10"/>
  <c r="F228" i="4"/>
  <c r="F66" i="7"/>
  <c r="F87" i="5"/>
  <c r="F83" i="4"/>
  <c r="F22" i="5"/>
  <c r="F66" i="10"/>
  <c r="F203" i="4"/>
  <c r="F27" i="4"/>
  <c r="F62" i="5"/>
  <c r="F71" i="6"/>
  <c r="E240" i="4"/>
  <c r="C240" i="4"/>
  <c r="B240" i="4"/>
  <c r="D240" i="4"/>
  <c r="F240" i="4"/>
  <c r="F119" i="4"/>
  <c r="F227" i="8"/>
  <c r="F36" i="6"/>
  <c r="F34" i="9"/>
  <c r="F173" i="9"/>
  <c r="C284" i="6"/>
  <c r="D284" i="6"/>
  <c r="E284" i="6"/>
  <c r="F284" i="6"/>
  <c r="B284" i="6"/>
  <c r="B265" i="4"/>
  <c r="E265" i="4"/>
  <c r="D265" i="4"/>
  <c r="C265" i="4"/>
  <c r="F265" i="4"/>
  <c r="F19" i="5"/>
  <c r="F158" i="10"/>
  <c r="F162" i="4"/>
  <c r="F227" i="4"/>
  <c r="F225" i="7"/>
  <c r="F252" i="10"/>
  <c r="F13" i="6"/>
  <c r="E237" i="6"/>
  <c r="B237" i="6"/>
  <c r="D237" i="6"/>
  <c r="F237" i="6"/>
  <c r="C237" i="6"/>
  <c r="F110" i="7"/>
  <c r="F63" i="9"/>
  <c r="F85" i="6"/>
  <c r="F106" i="8"/>
  <c r="F196" i="4"/>
  <c r="F54" i="5"/>
  <c r="B256" i="5"/>
  <c r="F256" i="5"/>
  <c r="E256" i="5"/>
  <c r="D256" i="5"/>
  <c r="C256" i="5"/>
  <c r="F30" i="8"/>
  <c r="F285" i="7"/>
  <c r="F181" i="5"/>
  <c r="F62" i="7"/>
  <c r="F74" i="8"/>
  <c r="F99" i="8"/>
  <c r="F129" i="5"/>
  <c r="F151" i="5"/>
  <c r="F95" i="5"/>
  <c r="F148" i="8"/>
  <c r="F239" i="4"/>
  <c r="E239" i="4"/>
  <c r="D239" i="4"/>
  <c r="C239" i="4"/>
  <c r="B239" i="4"/>
  <c r="E244" i="6"/>
  <c r="D244" i="6"/>
  <c r="F244" i="6"/>
  <c r="B244" i="6"/>
  <c r="C244" i="6"/>
  <c r="F11" i="8"/>
  <c r="F220" i="8"/>
  <c r="F252" i="7"/>
  <c r="F251" i="9"/>
  <c r="C251" i="9"/>
  <c r="E251" i="9"/>
  <c r="D251" i="9"/>
  <c r="B251" i="9"/>
  <c r="F49" i="10"/>
  <c r="F130" i="7"/>
  <c r="F80" i="9"/>
  <c r="C276" i="8"/>
  <c r="B276" i="8"/>
  <c r="M276" i="8" s="1"/>
  <c r="F276" i="8"/>
  <c r="D276" i="8"/>
  <c r="E276" i="8"/>
  <c r="F191" i="9"/>
  <c r="F256" i="8"/>
  <c r="D256" i="8"/>
  <c r="E256" i="8"/>
  <c r="B256" i="8"/>
  <c r="C256" i="8"/>
  <c r="F123" i="10"/>
  <c r="F184" i="5"/>
  <c r="F153" i="7"/>
  <c r="F145" i="8"/>
  <c r="F148" i="7"/>
  <c r="C273" i="4"/>
  <c r="B273" i="4"/>
  <c r="F273" i="4"/>
  <c r="E273" i="4"/>
  <c r="D273" i="4"/>
  <c r="F220" i="5"/>
  <c r="F113" i="10"/>
  <c r="F84" i="8"/>
  <c r="F19" i="7"/>
  <c r="F170" i="5"/>
  <c r="F190" i="10"/>
  <c r="E249" i="6"/>
  <c r="F249" i="6"/>
  <c r="D249" i="6"/>
  <c r="B249" i="6"/>
  <c r="C249" i="6"/>
  <c r="F259" i="10"/>
  <c r="F45" i="7"/>
  <c r="F225" i="4"/>
  <c r="F222" i="4"/>
  <c r="F203" i="5"/>
  <c r="F151" i="7"/>
  <c r="F147" i="5"/>
  <c r="F89" i="8"/>
  <c r="F272" i="8"/>
  <c r="D272" i="8"/>
  <c r="E272" i="8"/>
  <c r="B272" i="8"/>
  <c r="C272" i="8"/>
  <c r="F39" i="8"/>
  <c r="F163" i="10"/>
  <c r="F169" i="5"/>
  <c r="D292" i="5"/>
  <c r="B292" i="5"/>
  <c r="C292" i="5"/>
  <c r="F292" i="5"/>
  <c r="E292" i="5"/>
  <c r="F10" i="6"/>
  <c r="F160" i="4"/>
  <c r="B278" i="6"/>
  <c r="F278" i="6"/>
  <c r="C278" i="6"/>
  <c r="D278" i="6"/>
  <c r="E278" i="6"/>
  <c r="F110" i="6"/>
  <c r="E264" i="6"/>
  <c r="D264" i="6"/>
  <c r="C264" i="6"/>
  <c r="B264" i="6"/>
  <c r="F264" i="6"/>
  <c r="F153" i="5"/>
  <c r="C221" i="6"/>
  <c r="F221" i="6"/>
  <c r="E221" i="6"/>
  <c r="D221" i="6"/>
  <c r="B221" i="6"/>
  <c r="F36" i="4"/>
  <c r="F233" i="5"/>
  <c r="F189" i="4"/>
  <c r="F166" i="5"/>
  <c r="F140" i="5"/>
  <c r="F230" i="5"/>
  <c r="F22" i="6"/>
  <c r="F73" i="4"/>
  <c r="F260" i="6"/>
  <c r="D260" i="6"/>
  <c r="E260" i="6"/>
  <c r="C260" i="6"/>
  <c r="B260" i="6"/>
  <c r="F71" i="9"/>
  <c r="F29" i="6"/>
  <c r="F59" i="5"/>
  <c r="F184" i="4"/>
  <c r="F16" i="4"/>
  <c r="F190" i="4"/>
  <c r="F30" i="5"/>
  <c r="F41" i="7"/>
  <c r="F159" i="7"/>
  <c r="F148" i="6"/>
  <c r="F174" i="6"/>
  <c r="F107" i="7"/>
  <c r="F20" i="4"/>
  <c r="F64" i="7"/>
  <c r="B270" i="5"/>
  <c r="F270" i="5"/>
  <c r="C270" i="5"/>
  <c r="E270" i="5"/>
  <c r="D270" i="5"/>
  <c r="E248" i="4"/>
  <c r="D248" i="4"/>
  <c r="B248" i="4"/>
  <c r="C248" i="4"/>
  <c r="F248" i="4"/>
  <c r="E235" i="8"/>
  <c r="F235" i="8"/>
  <c r="B235" i="8"/>
  <c r="D235" i="8"/>
  <c r="C235" i="8"/>
  <c r="F287" i="4"/>
  <c r="E287" i="4"/>
  <c r="D287" i="4"/>
  <c r="B287" i="4"/>
  <c r="C287" i="4"/>
  <c r="F148" i="10"/>
  <c r="F294" i="8"/>
  <c r="C294" i="8"/>
  <c r="E294" i="8"/>
  <c r="D294" i="8"/>
  <c r="B294" i="8"/>
  <c r="F284" i="5"/>
  <c r="B284" i="5"/>
  <c r="E284" i="5"/>
  <c r="C284" i="5"/>
  <c r="D284" i="5"/>
  <c r="F30" i="4"/>
  <c r="F194" i="5"/>
  <c r="F54" i="4"/>
  <c r="F60" i="5"/>
  <c r="F94" i="6"/>
  <c r="F148" i="4"/>
  <c r="F156" i="5"/>
  <c r="F245" i="4"/>
  <c r="B245" i="4"/>
  <c r="D245" i="4"/>
  <c r="C245" i="4"/>
  <c r="E245" i="4"/>
  <c r="F44" i="4"/>
  <c r="F145" i="4"/>
  <c r="F62" i="4"/>
  <c r="F166" i="9"/>
  <c r="D250" i="5"/>
  <c r="B250" i="5"/>
  <c r="C250" i="5"/>
  <c r="F250" i="5"/>
  <c r="E250" i="5"/>
  <c r="F145" i="6"/>
  <c r="F199" i="7"/>
  <c r="F26" i="5"/>
  <c r="F210" i="6"/>
  <c r="F211" i="7"/>
  <c r="F197" i="5"/>
  <c r="E276" i="5"/>
  <c r="D276" i="5"/>
  <c r="F276" i="5"/>
  <c r="C276" i="5"/>
  <c r="B276" i="5"/>
  <c r="F85" i="5"/>
  <c r="F173" i="4"/>
  <c r="F49" i="7"/>
  <c r="F88" i="5"/>
  <c r="F71" i="5"/>
  <c r="F129" i="8"/>
  <c r="F139" i="4"/>
  <c r="F208" i="4"/>
  <c r="F132" i="6"/>
  <c r="F51" i="9"/>
  <c r="F213" i="9"/>
  <c r="F96" i="4"/>
  <c r="E286" i="6"/>
  <c r="C286" i="6"/>
  <c r="B286" i="6"/>
  <c r="F286" i="6"/>
  <c r="D286" i="6"/>
  <c r="F102" i="9"/>
  <c r="F103" i="5"/>
  <c r="F230" i="4"/>
  <c r="F188" i="6"/>
  <c r="F120" i="8"/>
  <c r="F154" i="8"/>
  <c r="F240" i="5"/>
  <c r="F77" i="8"/>
  <c r="F61" i="10"/>
  <c r="F86" i="10"/>
  <c r="F154" i="6"/>
  <c r="F178" i="4"/>
  <c r="F207" i="4"/>
  <c r="C287" i="8"/>
  <c r="F287" i="8"/>
  <c r="D287" i="8"/>
  <c r="E287" i="8"/>
  <c r="B287" i="8"/>
  <c r="C233" i="4"/>
  <c r="B233" i="4"/>
  <c r="O233" i="4" s="1"/>
  <c r="F233" i="4"/>
  <c r="D233" i="4"/>
  <c r="E233" i="4"/>
  <c r="F190" i="8"/>
  <c r="F107" i="9"/>
  <c r="F88" i="8"/>
  <c r="F209" i="8"/>
  <c r="F118" i="10"/>
  <c r="F192" i="9"/>
  <c r="F219" i="8"/>
  <c r="F19" i="10"/>
  <c r="F108" i="9"/>
  <c r="F227" i="9"/>
  <c r="F253" i="8"/>
  <c r="D253" i="8"/>
  <c r="E253" i="8"/>
  <c r="B253" i="8"/>
  <c r="C253" i="8"/>
  <c r="F126" i="10"/>
  <c r="F107" i="6"/>
  <c r="F113" i="8"/>
  <c r="F223" i="4"/>
  <c r="F104" i="9"/>
  <c r="F103" i="8"/>
  <c r="F189" i="9"/>
  <c r="F72" i="10"/>
  <c r="F128" i="10"/>
  <c r="F262" i="10"/>
  <c r="F193" i="5"/>
  <c r="F226" i="7"/>
  <c r="F112" i="4"/>
  <c r="F177" i="5"/>
  <c r="B263" i="5"/>
  <c r="F263" i="5"/>
  <c r="C263" i="5"/>
  <c r="E263" i="5"/>
  <c r="D263" i="5"/>
  <c r="F82" i="7"/>
  <c r="F166" i="6"/>
  <c r="E279" i="4"/>
  <c r="D279" i="4"/>
  <c r="C279" i="4"/>
  <c r="B279" i="4"/>
  <c r="F279" i="4"/>
  <c r="F122" i="6"/>
  <c r="F89" i="4"/>
  <c r="F202" i="8"/>
  <c r="F93" i="5"/>
  <c r="D238" i="4"/>
  <c r="B238" i="4"/>
  <c r="E238" i="4"/>
  <c r="C238" i="4"/>
  <c r="F238" i="4"/>
  <c r="F78" i="5"/>
  <c r="F216" i="5"/>
  <c r="F193" i="4"/>
  <c r="F58" i="4"/>
  <c r="F135" i="4"/>
  <c r="F23" i="5"/>
  <c r="F32" i="4"/>
  <c r="F158" i="6"/>
  <c r="F34" i="4"/>
  <c r="F8" i="5"/>
  <c r="F134" i="4"/>
  <c r="F65" i="4"/>
  <c r="F69" i="7"/>
  <c r="F178" i="10"/>
  <c r="F181" i="6"/>
  <c r="F173" i="6"/>
  <c r="B234" i="4"/>
  <c r="F234" i="4"/>
  <c r="D234" i="4"/>
  <c r="E234" i="4"/>
  <c r="C234" i="4"/>
  <c r="F99" i="5"/>
  <c r="F49" i="4"/>
  <c r="F173" i="5"/>
  <c r="F119" i="6"/>
  <c r="F214" i="8"/>
  <c r="F136" i="9"/>
  <c r="F53" i="4"/>
  <c r="F14" i="8"/>
  <c r="F191" i="6"/>
  <c r="F254" i="4"/>
  <c r="E254" i="4"/>
  <c r="B254" i="4"/>
  <c r="D254" i="4"/>
  <c r="C254" i="4"/>
  <c r="F226" i="5"/>
  <c r="F186" i="5"/>
  <c r="F117" i="4"/>
  <c r="F240" i="7"/>
  <c r="B285" i="5"/>
  <c r="D285" i="5"/>
  <c r="E285" i="5"/>
  <c r="C285" i="5"/>
  <c r="F285" i="5"/>
  <c r="F68" i="6"/>
  <c r="F43" i="7"/>
  <c r="F37" i="6"/>
  <c r="F203" i="6"/>
  <c r="F79" i="4"/>
  <c r="F9" i="4"/>
  <c r="F81" i="5"/>
  <c r="F237" i="10"/>
  <c r="F179" i="4"/>
  <c r="F26" i="9"/>
  <c r="F243" i="5"/>
  <c r="F224" i="5"/>
  <c r="F158" i="5"/>
  <c r="F167" i="4"/>
  <c r="F79" i="5"/>
  <c r="E281" i="4"/>
  <c r="C281" i="4"/>
  <c r="D281" i="4"/>
  <c r="B281" i="4"/>
  <c r="F281" i="4"/>
  <c r="B267" i="5"/>
  <c r="D267" i="5"/>
  <c r="C267" i="5"/>
  <c r="F267" i="5"/>
  <c r="E267" i="5"/>
  <c r="F150" i="5"/>
  <c r="F146" i="4"/>
  <c r="F163" i="7"/>
  <c r="F135" i="5"/>
  <c r="F77" i="5"/>
  <c r="F157" i="5"/>
  <c r="F70" i="7"/>
  <c r="D223" i="6"/>
  <c r="B223" i="6"/>
  <c r="E223" i="6"/>
  <c r="C223" i="6"/>
  <c r="F223" i="6"/>
  <c r="F14" i="4"/>
  <c r="F22" i="4"/>
  <c r="F82" i="5"/>
  <c r="F109" i="10"/>
  <c r="F28" i="9"/>
  <c r="F184" i="8"/>
  <c r="F107" i="8"/>
  <c r="F261" i="7"/>
  <c r="D258" i="4"/>
  <c r="C258" i="4"/>
  <c r="E258" i="4"/>
  <c r="B258" i="4"/>
  <c r="F258" i="4"/>
  <c r="F107" i="4"/>
  <c r="F24" i="10"/>
  <c r="F187" i="5"/>
  <c r="F38" i="5"/>
  <c r="F157" i="4"/>
  <c r="F154" i="5"/>
  <c r="F57" i="4"/>
  <c r="C264" i="5"/>
  <c r="F264" i="5"/>
  <c r="B264" i="5"/>
  <c r="E264" i="5"/>
  <c r="D264" i="5"/>
  <c r="F174" i="5"/>
  <c r="F49" i="5"/>
  <c r="D263" i="8"/>
  <c r="B263" i="8"/>
  <c r="E263" i="8"/>
  <c r="C263" i="8"/>
  <c r="F263" i="8"/>
  <c r="F27" i="8"/>
  <c r="F121" i="8"/>
  <c r="F116" i="9"/>
  <c r="F86" i="7"/>
  <c r="F152" i="9"/>
  <c r="F40" i="7"/>
  <c r="F167" i="9"/>
  <c r="F76" i="8"/>
  <c r="F9" i="10"/>
  <c r="F35" i="8"/>
  <c r="F81" i="10"/>
  <c r="F227" i="5"/>
  <c r="F45" i="8"/>
  <c r="F232" i="7"/>
  <c r="F28" i="5"/>
  <c r="F139" i="5"/>
  <c r="F169" i="6"/>
  <c r="F34" i="5"/>
  <c r="F176" i="4"/>
  <c r="F20" i="5"/>
  <c r="F154" i="4"/>
  <c r="F181" i="4"/>
  <c r="F157" i="6"/>
  <c r="F42" i="4"/>
  <c r="F196" i="8"/>
  <c r="F146" i="6"/>
  <c r="F124" i="6"/>
  <c r="F72" i="7"/>
  <c r="C284" i="8"/>
  <c r="E284" i="8"/>
  <c r="D284" i="8"/>
  <c r="B284" i="8"/>
  <c r="F284" i="8"/>
  <c r="F143" i="7"/>
  <c r="D289" i="6"/>
  <c r="C289" i="6"/>
  <c r="B289" i="6"/>
  <c r="F289" i="6"/>
  <c r="E289" i="6"/>
  <c r="F150" i="7"/>
  <c r="F55" i="5"/>
  <c r="D249" i="5"/>
  <c r="C249" i="5"/>
  <c r="B249" i="5"/>
  <c r="F249" i="5"/>
  <c r="E249" i="5"/>
  <c r="F159" i="5"/>
  <c r="E261" i="5"/>
  <c r="D261" i="5"/>
  <c r="C261" i="5"/>
  <c r="B261" i="5"/>
  <c r="F261" i="5"/>
  <c r="F10" i="7"/>
  <c r="F28" i="8"/>
  <c r="F19" i="9"/>
  <c r="F86" i="4"/>
  <c r="F89" i="5"/>
  <c r="F126" i="4"/>
  <c r="C293" i="4"/>
  <c r="E293" i="4"/>
  <c r="B293" i="4"/>
  <c r="D293" i="4"/>
  <c r="F293" i="4"/>
  <c r="F24" i="4"/>
  <c r="F44" i="7"/>
  <c r="F117" i="8"/>
  <c r="F44" i="6"/>
  <c r="E259" i="4"/>
  <c r="C259" i="4"/>
  <c r="D259" i="4"/>
  <c r="F259" i="4"/>
  <c r="B259" i="4"/>
  <c r="F84" i="6"/>
  <c r="F91" i="6"/>
  <c r="F37" i="5"/>
  <c r="F46" i="4"/>
  <c r="F116" i="5"/>
  <c r="F156" i="8"/>
  <c r="F51" i="4"/>
  <c r="F164" i="5"/>
  <c r="F24" i="5"/>
  <c r="F108" i="4"/>
  <c r="F171" i="7"/>
  <c r="F97" i="4"/>
  <c r="F273" i="8"/>
  <c r="C273" i="8"/>
  <c r="D273" i="8"/>
  <c r="E273" i="8"/>
  <c r="B273" i="8"/>
  <c r="A39" i="1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F81" i="7"/>
  <c r="F22" i="8"/>
  <c r="E239" i="6"/>
  <c r="C239" i="6"/>
  <c r="F239" i="6"/>
  <c r="B239" i="6"/>
  <c r="D239" i="6"/>
  <c r="F81" i="4"/>
  <c r="F157" i="7"/>
  <c r="F144" i="5"/>
  <c r="F131" i="7"/>
  <c r="B257" i="8"/>
  <c r="D257" i="8"/>
  <c r="C257" i="8"/>
  <c r="F257" i="8"/>
  <c r="E257" i="8"/>
  <c r="F257" i="4"/>
  <c r="D257" i="4"/>
  <c r="B257" i="4"/>
  <c r="E257" i="4"/>
  <c r="C257" i="4"/>
  <c r="F255" i="7"/>
  <c r="F67" i="6"/>
  <c r="C256" i="6"/>
  <c r="B256" i="6"/>
  <c r="F256" i="6"/>
  <c r="D256" i="6"/>
  <c r="E256" i="6"/>
  <c r="F195" i="4"/>
  <c r="F69" i="4"/>
  <c r="C236" i="4"/>
  <c r="F236" i="4"/>
  <c r="D236" i="4"/>
  <c r="B236" i="4"/>
  <c r="E236" i="4"/>
  <c r="F21" i="5"/>
  <c r="F209" i="4"/>
  <c r="F121" i="5"/>
  <c r="E292" i="6"/>
  <c r="C292" i="6"/>
  <c r="F292" i="6"/>
  <c r="D292" i="6"/>
  <c r="B292" i="6"/>
  <c r="F17" i="9"/>
  <c r="F127" i="9"/>
  <c r="F170" i="4"/>
  <c r="F76" i="5"/>
  <c r="F35" i="5"/>
  <c r="F43" i="4"/>
  <c r="F77" i="4"/>
  <c r="C273" i="6"/>
  <c r="B273" i="6"/>
  <c r="F273" i="6"/>
  <c r="D273" i="6"/>
  <c r="E273" i="6"/>
  <c r="F220" i="7"/>
  <c r="B255" i="4"/>
  <c r="C255" i="4"/>
  <c r="F255" i="4"/>
  <c r="D255" i="4"/>
  <c r="E255" i="4"/>
  <c r="F187" i="6"/>
  <c r="F274" i="7"/>
  <c r="D258" i="6"/>
  <c r="C258" i="6"/>
  <c r="B258" i="6"/>
  <c r="F258" i="6"/>
  <c r="E258" i="6"/>
  <c r="F100" i="4"/>
  <c r="F206" i="7"/>
  <c r="F103" i="4"/>
  <c r="F136" i="4"/>
  <c r="F166" i="4"/>
  <c r="F144" i="9"/>
  <c r="D256" i="9"/>
  <c r="B256" i="9"/>
  <c r="F256" i="9"/>
  <c r="C256" i="9"/>
  <c r="E256" i="9"/>
  <c r="F31" i="10"/>
  <c r="F251" i="10"/>
  <c r="E242" i="8"/>
  <c r="D242" i="8"/>
  <c r="B242" i="8"/>
  <c r="F242" i="8"/>
  <c r="C242" i="8"/>
  <c r="B260" i="4"/>
  <c r="F260" i="4"/>
  <c r="E260" i="4"/>
  <c r="D260" i="4"/>
  <c r="C260" i="4"/>
  <c r="F93" i="4"/>
  <c r="F115" i="6"/>
  <c r="F33" i="9"/>
  <c r="F214" i="4"/>
  <c r="F64" i="5"/>
  <c r="F102" i="7"/>
  <c r="F192" i="4"/>
  <c r="F77" i="6"/>
  <c r="D257" i="5"/>
  <c r="B257" i="5"/>
  <c r="C257" i="5"/>
  <c r="E257" i="5"/>
  <c r="F257" i="5"/>
  <c r="F241" i="4"/>
  <c r="E241" i="4"/>
  <c r="D241" i="4"/>
  <c r="C241" i="4"/>
  <c r="B241" i="4"/>
  <c r="F179" i="9"/>
  <c r="F115" i="9"/>
  <c r="F177" i="7"/>
  <c r="F79" i="9"/>
  <c r="D263" i="6"/>
  <c r="C263" i="6"/>
  <c r="B263" i="6"/>
  <c r="F263" i="6"/>
  <c r="E263" i="6"/>
  <c r="F88" i="9"/>
  <c r="F236" i="7"/>
  <c r="F199" i="9"/>
  <c r="F57" i="8"/>
  <c r="F40" i="10"/>
  <c r="F49" i="9"/>
  <c r="F227" i="10"/>
  <c r="F170" i="6"/>
  <c r="F143" i="8"/>
  <c r="F148" i="9"/>
  <c r="F17" i="7"/>
  <c r="F14" i="10"/>
  <c r="F78" i="8"/>
  <c r="F201" i="9"/>
  <c r="F92" i="10"/>
  <c r="F97" i="9"/>
  <c r="F248" i="7"/>
  <c r="F129" i="10"/>
  <c r="F74" i="6"/>
  <c r="F9" i="9"/>
  <c r="F88" i="6"/>
  <c r="F18" i="10"/>
  <c r="F153" i="4"/>
  <c r="D278" i="5"/>
  <c r="C278" i="5"/>
  <c r="F278" i="5"/>
  <c r="E278" i="5"/>
  <c r="B278" i="5"/>
  <c r="F90" i="5"/>
  <c r="F222" i="8"/>
  <c r="B243" i="4"/>
  <c r="C243" i="4"/>
  <c r="F243" i="4"/>
  <c r="E243" i="4"/>
  <c r="D243" i="4"/>
  <c r="F156" i="4"/>
  <c r="F50" i="4"/>
  <c r="F53" i="8"/>
  <c r="F14" i="5"/>
  <c r="F17" i="10"/>
  <c r="F279" i="7"/>
  <c r="F59" i="4"/>
  <c r="F224" i="4"/>
  <c r="B232" i="4"/>
  <c r="E232" i="4"/>
  <c r="D232" i="4"/>
  <c r="C232" i="4"/>
  <c r="F232" i="4"/>
  <c r="F211" i="5"/>
  <c r="F204" i="4"/>
  <c r="E268" i="6"/>
  <c r="D268" i="6"/>
  <c r="C268" i="6"/>
  <c r="B268" i="6"/>
  <c r="F268" i="6"/>
  <c r="F64" i="8"/>
  <c r="F148" i="5"/>
  <c r="F254" i="8"/>
  <c r="D254" i="8"/>
  <c r="B254" i="8"/>
  <c r="E254" i="8"/>
  <c r="C254" i="8"/>
  <c r="F142" i="4"/>
  <c r="F238" i="10"/>
  <c r="F57" i="5"/>
  <c r="F208" i="8"/>
  <c r="C262" i="6"/>
  <c r="B262" i="6"/>
  <c r="E262" i="6"/>
  <c r="D262" i="6"/>
  <c r="F262" i="6"/>
  <c r="F106" i="4"/>
  <c r="F32" i="7"/>
  <c r="F64" i="6"/>
  <c r="F127" i="4"/>
  <c r="F290" i="7"/>
  <c r="F139" i="10"/>
  <c r="F123" i="4"/>
  <c r="F136" i="6"/>
  <c r="D262" i="5"/>
  <c r="C262" i="5"/>
  <c r="B262" i="5"/>
  <c r="E262" i="5"/>
  <c r="F262" i="5"/>
  <c r="F173" i="7"/>
  <c r="F97" i="8"/>
  <c r="F114" i="5"/>
  <c r="F161" i="4"/>
  <c r="F102" i="6"/>
  <c r="F204" i="5"/>
  <c r="F192" i="6"/>
  <c r="F29" i="4"/>
  <c r="F179" i="10"/>
  <c r="D246" i="6"/>
  <c r="C246" i="6"/>
  <c r="F246" i="6"/>
  <c r="B246" i="6"/>
  <c r="E246" i="6"/>
  <c r="F200" i="4"/>
  <c r="F152" i="7"/>
  <c r="F143" i="4"/>
  <c r="F146" i="5"/>
  <c r="F199" i="4"/>
  <c r="F131" i="4"/>
  <c r="F110" i="4"/>
  <c r="E228" i="6"/>
  <c r="C228" i="6"/>
  <c r="F228" i="6"/>
  <c r="B228" i="6"/>
  <c r="D228" i="6"/>
  <c r="F211" i="6"/>
  <c r="F32" i="5"/>
  <c r="F72" i="4"/>
  <c r="F141" i="6"/>
  <c r="F163" i="9"/>
  <c r="F63" i="6"/>
  <c r="F128" i="4"/>
  <c r="F101" i="4"/>
  <c r="C244" i="4"/>
  <c r="F244" i="4"/>
  <c r="E244" i="4"/>
  <c r="D244" i="4"/>
  <c r="B244" i="4"/>
  <c r="F191" i="4"/>
  <c r="F122" i="5"/>
  <c r="F104" i="7"/>
  <c r="F187" i="10"/>
  <c r="F266" i="6"/>
  <c r="D266" i="6"/>
  <c r="C266" i="6"/>
  <c r="B266" i="6"/>
  <c r="E266" i="6"/>
  <c r="F40" i="8"/>
  <c r="F72" i="6"/>
  <c r="F63" i="5"/>
  <c r="F137" i="4"/>
  <c r="B286" i="5"/>
  <c r="F286" i="5"/>
  <c r="E286" i="5"/>
  <c r="D286" i="5"/>
  <c r="C286" i="5"/>
  <c r="F39" i="5"/>
  <c r="F47" i="5"/>
  <c r="F71" i="7"/>
  <c r="F61" i="6"/>
  <c r="F175" i="4"/>
  <c r="F94" i="4"/>
  <c r="F55" i="7"/>
  <c r="F172" i="9"/>
  <c r="F138" i="8"/>
  <c r="D292" i="8"/>
  <c r="B292" i="8"/>
  <c r="C292" i="8"/>
  <c r="F292" i="8"/>
  <c r="E292" i="8"/>
  <c r="F96" i="8"/>
  <c r="F254" i="5"/>
  <c r="E254" i="5"/>
  <c r="D254" i="5"/>
  <c r="C254" i="5"/>
  <c r="B254" i="5"/>
  <c r="F51" i="10"/>
  <c r="F131" i="10"/>
  <c r="F88" i="10"/>
  <c r="F46" i="7"/>
  <c r="F271" i="4"/>
  <c r="D271" i="4"/>
  <c r="B271" i="4"/>
  <c r="E271" i="4"/>
  <c r="C271" i="4"/>
  <c r="F193" i="8"/>
  <c r="F91" i="5"/>
  <c r="F165" i="5"/>
  <c r="F158" i="9"/>
  <c r="F199" i="6"/>
  <c r="F224" i="9"/>
  <c r="F208" i="6"/>
  <c r="F204" i="9"/>
  <c r="F229" i="7"/>
  <c r="F53" i="10"/>
  <c r="F121" i="7"/>
  <c r="F154" i="10"/>
  <c r="F268" i="10"/>
  <c r="F184" i="9"/>
  <c r="F154" i="7"/>
  <c r="F206" i="10"/>
  <c r="F165" i="4"/>
  <c r="F70" i="5"/>
  <c r="F211" i="8"/>
  <c r="F243" i="7"/>
  <c r="F130" i="4"/>
  <c r="F172" i="7"/>
  <c r="F138" i="4"/>
  <c r="F188" i="7"/>
  <c r="E274" i="4"/>
  <c r="D274" i="4"/>
  <c r="C274" i="4"/>
  <c r="F274" i="4"/>
  <c r="B274" i="4"/>
  <c r="F293" i="7"/>
  <c r="F27" i="7"/>
  <c r="F14" i="6"/>
  <c r="E291" i="8"/>
  <c r="D291" i="8"/>
  <c r="C291" i="8"/>
  <c r="F291" i="8"/>
  <c r="B291" i="8"/>
  <c r="F232" i="10"/>
  <c r="F140" i="10"/>
  <c r="F40" i="5"/>
  <c r="F183" i="10"/>
  <c r="F38" i="6"/>
  <c r="F47" i="4"/>
  <c r="F54" i="6"/>
  <c r="F263" i="4"/>
  <c r="D263" i="4"/>
  <c r="E263" i="4"/>
  <c r="B263" i="4"/>
  <c r="C263" i="4"/>
  <c r="F237" i="5"/>
  <c r="B277" i="5"/>
  <c r="D277" i="5"/>
  <c r="C277" i="5"/>
  <c r="F277" i="5"/>
  <c r="E277" i="5"/>
  <c r="F161" i="8"/>
  <c r="F135" i="6"/>
  <c r="F16" i="8"/>
  <c r="F87" i="9"/>
  <c r="F171" i="10"/>
  <c r="C280" i="4"/>
  <c r="B280" i="4"/>
  <c r="D280" i="4"/>
  <c r="F280" i="4"/>
  <c r="E280" i="4"/>
  <c r="F244" i="9"/>
  <c r="F150" i="4"/>
  <c r="F83" i="10"/>
  <c r="F158" i="4"/>
  <c r="F161" i="9"/>
  <c r="F294" i="4"/>
  <c r="E294" i="4"/>
  <c r="C294" i="4"/>
  <c r="B294" i="4"/>
  <c r="D294" i="4"/>
  <c r="F105" i="10"/>
  <c r="F167" i="6"/>
  <c r="F90" i="7"/>
  <c r="F38" i="7"/>
  <c r="F22" i="9"/>
  <c r="F40" i="9"/>
  <c r="F195" i="5"/>
  <c r="F61" i="4"/>
  <c r="D281" i="5"/>
  <c r="F281" i="5"/>
  <c r="E281" i="5"/>
  <c r="C281" i="5"/>
  <c r="B281" i="5"/>
  <c r="F172" i="5"/>
  <c r="F164" i="4"/>
  <c r="F221" i="5"/>
  <c r="F66" i="4"/>
  <c r="F229" i="5"/>
  <c r="D231" i="4"/>
  <c r="C231" i="4"/>
  <c r="F231" i="4"/>
  <c r="B231" i="4"/>
  <c r="E231" i="4"/>
  <c r="F126" i="5"/>
  <c r="F111" i="6"/>
  <c r="F277" i="7"/>
  <c r="F251" i="7"/>
  <c r="F210" i="7"/>
  <c r="F182" i="9"/>
  <c r="F264" i="10"/>
  <c r="F64" i="4"/>
  <c r="F98" i="4"/>
  <c r="F182" i="8"/>
  <c r="F60" i="7"/>
  <c r="F67" i="4"/>
  <c r="F196" i="6"/>
  <c r="F75" i="4"/>
  <c r="F84" i="10"/>
  <c r="E268" i="5"/>
  <c r="D268" i="5"/>
  <c r="C268" i="5"/>
  <c r="B268" i="5"/>
  <c r="F268" i="5"/>
  <c r="F291" i="6"/>
  <c r="E291" i="6"/>
  <c r="D291" i="6"/>
  <c r="B291" i="6"/>
  <c r="C291" i="6"/>
  <c r="F63" i="8"/>
  <c r="F135" i="9"/>
  <c r="F155" i="4"/>
  <c r="F163" i="4"/>
  <c r="F13" i="5"/>
  <c r="F36" i="7"/>
  <c r="F194" i="9"/>
  <c r="F169" i="8"/>
  <c r="F105" i="6"/>
  <c r="F250" i="10"/>
  <c r="F196" i="10"/>
  <c r="F203" i="9"/>
  <c r="F149" i="5"/>
  <c r="C245" i="6"/>
  <c r="F245" i="6"/>
  <c r="B245" i="6"/>
  <c r="E245" i="6"/>
  <c r="D245" i="6"/>
  <c r="F117" i="9"/>
  <c r="E274" i="8"/>
  <c r="C274" i="8"/>
  <c r="F274" i="8"/>
  <c r="D274" i="8"/>
  <c r="B274" i="8"/>
  <c r="F118" i="8"/>
  <c r="F92" i="8"/>
  <c r="F56" i="8"/>
  <c r="F174" i="9"/>
  <c r="F246" i="9"/>
  <c r="F207" i="9"/>
  <c r="F134" i="10"/>
  <c r="F124" i="7"/>
  <c r="F117" i="7"/>
  <c r="F144" i="8"/>
  <c r="F238" i="9"/>
  <c r="F48" i="10"/>
  <c r="F47" i="10"/>
  <c r="F202" i="10"/>
  <c r="F99" i="9"/>
  <c r="F164" i="8"/>
  <c r="F10" i="8"/>
  <c r="B269" i="8"/>
  <c r="F269" i="8"/>
  <c r="D269" i="8"/>
  <c r="E269" i="8"/>
  <c r="C269" i="8"/>
  <c r="F12" i="10"/>
  <c r="F235" i="9"/>
  <c r="F138" i="10"/>
  <c r="F198" i="10"/>
  <c r="F63" i="10"/>
  <c r="F128" i="8"/>
  <c r="F218" i="8"/>
  <c r="F180" i="9"/>
  <c r="F275" i="10"/>
  <c r="F277" i="10"/>
  <c r="F247" i="10"/>
  <c r="F197" i="9"/>
  <c r="F147" i="9"/>
  <c r="F230" i="9"/>
  <c r="F150" i="10"/>
  <c r="F193" i="10"/>
  <c r="F265" i="10"/>
  <c r="F126" i="8"/>
  <c r="F220" i="9"/>
  <c r="F108" i="6"/>
  <c r="B283" i="5"/>
  <c r="D283" i="5"/>
  <c r="C283" i="5"/>
  <c r="E283" i="5"/>
  <c r="F283" i="5"/>
  <c r="F84" i="7"/>
  <c r="F229" i="9"/>
  <c r="F114" i="8"/>
  <c r="C250" i="8"/>
  <c r="D250" i="8"/>
  <c r="B250" i="8"/>
  <c r="F250" i="8"/>
  <c r="E250" i="8"/>
  <c r="F159" i="9"/>
  <c r="F121" i="6"/>
  <c r="F246" i="4"/>
  <c r="C246" i="4"/>
  <c r="D246" i="4"/>
  <c r="E246" i="4"/>
  <c r="B246" i="4"/>
  <c r="F116" i="10"/>
  <c r="F233" i="7"/>
  <c r="F61" i="5"/>
  <c r="F250" i="7"/>
  <c r="F69" i="5"/>
  <c r="F266" i="7"/>
  <c r="B276" i="4"/>
  <c r="D276" i="4"/>
  <c r="E276" i="4"/>
  <c r="C276" i="4"/>
  <c r="F276" i="4"/>
  <c r="F162" i="8"/>
  <c r="F204" i="6"/>
  <c r="F81" i="6"/>
  <c r="F192" i="5"/>
  <c r="F197" i="7"/>
  <c r="F112" i="8"/>
  <c r="F96" i="6"/>
  <c r="F211" i="4"/>
  <c r="F199" i="5"/>
  <c r="F53" i="5"/>
  <c r="F215" i="5"/>
  <c r="F197" i="4"/>
  <c r="F160" i="5"/>
  <c r="F143" i="5"/>
  <c r="F19" i="8"/>
  <c r="F125" i="9"/>
  <c r="F233" i="9"/>
  <c r="F200" i="10"/>
  <c r="F91" i="9"/>
  <c r="F108" i="5"/>
  <c r="F78" i="4"/>
  <c r="F109" i="5"/>
  <c r="F17" i="4"/>
  <c r="F133" i="5"/>
  <c r="F124" i="4"/>
  <c r="F55" i="6"/>
  <c r="F47" i="6"/>
  <c r="F165" i="7"/>
  <c r="F89" i="7"/>
  <c r="F172" i="8"/>
  <c r="F118" i="9"/>
  <c r="F146" i="10"/>
  <c r="F96" i="5"/>
  <c r="F25" i="5"/>
  <c r="F114" i="7"/>
  <c r="F9" i="6"/>
  <c r="F133" i="4"/>
  <c r="F136" i="5"/>
  <c r="F31" i="5"/>
  <c r="F152" i="5"/>
  <c r="F205" i="5"/>
  <c r="F113" i="5"/>
  <c r="D271" i="5"/>
  <c r="B271" i="5"/>
  <c r="C271" i="5"/>
  <c r="E271" i="5"/>
  <c r="F271" i="5"/>
  <c r="F192" i="8"/>
  <c r="F41" i="9"/>
  <c r="F130" i="10"/>
  <c r="F133" i="10"/>
  <c r="F47" i="9"/>
  <c r="F12" i="5"/>
  <c r="F29" i="5"/>
  <c r="F122" i="7"/>
  <c r="F127" i="6"/>
  <c r="F169" i="4"/>
  <c r="E287" i="6"/>
  <c r="C287" i="6"/>
  <c r="B287" i="6"/>
  <c r="F287" i="6"/>
  <c r="D287" i="6"/>
  <c r="F177" i="4"/>
  <c r="F58" i="5"/>
  <c r="F142" i="5"/>
  <c r="F15" i="8"/>
  <c r="B257" i="9"/>
  <c r="F257" i="9"/>
  <c r="E257" i="9"/>
  <c r="D257" i="9"/>
  <c r="C257" i="9"/>
  <c r="F70" i="4"/>
  <c r="F141" i="4"/>
  <c r="F149" i="4"/>
  <c r="E285" i="4"/>
  <c r="D285" i="4"/>
  <c r="C285" i="4"/>
  <c r="F285" i="4"/>
  <c r="B285" i="4"/>
  <c r="F277" i="6"/>
  <c r="E277" i="6"/>
  <c r="D277" i="6"/>
  <c r="B277" i="6"/>
  <c r="C277" i="6"/>
  <c r="F69" i="6"/>
  <c r="F173" i="8"/>
  <c r="F171" i="5"/>
  <c r="F67" i="5"/>
  <c r="F122" i="4"/>
  <c r="D275" i="4"/>
  <c r="B275" i="4"/>
  <c r="C275" i="4"/>
  <c r="E275" i="4"/>
  <c r="F275" i="4"/>
  <c r="F40" i="6"/>
  <c r="F241" i="7"/>
  <c r="F161" i="10"/>
  <c r="D239" i="8"/>
  <c r="F239" i="8"/>
  <c r="B239" i="8"/>
  <c r="E239" i="8"/>
  <c r="C239" i="8"/>
  <c r="F182" i="7"/>
  <c r="F73" i="8"/>
  <c r="F119" i="9"/>
  <c r="F138" i="9"/>
  <c r="F210" i="9"/>
  <c r="F243" i="9"/>
  <c r="F231" i="10"/>
  <c r="F270" i="7"/>
  <c r="F168" i="7"/>
  <c r="F141" i="8"/>
  <c r="F202" i="9"/>
  <c r="F91" i="10"/>
  <c r="F41" i="10"/>
  <c r="F217" i="10"/>
  <c r="F69" i="10"/>
  <c r="F32" i="8"/>
  <c r="F90" i="8"/>
  <c r="F56" i="9"/>
  <c r="F101" i="10"/>
  <c r="F102" i="10"/>
  <c r="F147" i="10"/>
  <c r="C279" i="8"/>
  <c r="D279" i="8"/>
  <c r="B279" i="8"/>
  <c r="F279" i="8"/>
  <c r="E279" i="8"/>
  <c r="F261" i="10"/>
  <c r="F125" i="8"/>
  <c r="F175" i="8"/>
  <c r="F192" i="10"/>
  <c r="F98" i="10"/>
  <c r="F169" i="10"/>
  <c r="F168" i="10"/>
  <c r="F77" i="9"/>
  <c r="F104" i="10"/>
  <c r="F36" i="10"/>
  <c r="F276" i="10"/>
  <c r="F119" i="7"/>
  <c r="F81" i="8"/>
  <c r="C238" i="8"/>
  <c r="D238" i="8"/>
  <c r="B238" i="8"/>
  <c r="O238" i="8" s="1"/>
  <c r="F238" i="8"/>
  <c r="E238" i="8"/>
  <c r="F58" i="10"/>
  <c r="F26" i="7"/>
  <c r="F226" i="6"/>
  <c r="E226" i="6"/>
  <c r="C226" i="6"/>
  <c r="D226" i="6"/>
  <c r="B226" i="6"/>
  <c r="C261" i="6"/>
  <c r="E261" i="6"/>
  <c r="D261" i="6"/>
  <c r="B261" i="6"/>
  <c r="F261" i="6"/>
  <c r="E243" i="8"/>
  <c r="C243" i="8"/>
  <c r="B243" i="8"/>
  <c r="D243" i="8"/>
  <c r="F243" i="8"/>
  <c r="F29" i="9"/>
  <c r="F37" i="8"/>
  <c r="F103" i="9"/>
  <c r="F178" i="8"/>
  <c r="F76" i="9"/>
  <c r="F130" i="5"/>
  <c r="F84" i="4"/>
  <c r="C290" i="5"/>
  <c r="F290" i="5"/>
  <c r="E290" i="5"/>
  <c r="D290" i="5"/>
  <c r="B290" i="5"/>
  <c r="F90" i="4"/>
  <c r="F20" i="6"/>
  <c r="F71" i="4"/>
  <c r="C259" i="5"/>
  <c r="F259" i="5"/>
  <c r="E259" i="5"/>
  <c r="D259" i="5"/>
  <c r="B259" i="5"/>
  <c r="F50" i="6"/>
  <c r="F95" i="8"/>
  <c r="F253" i="5"/>
  <c r="E253" i="5"/>
  <c r="B253" i="5"/>
  <c r="D253" i="5"/>
  <c r="C253" i="5"/>
  <c r="F189" i="7"/>
  <c r="F204" i="8"/>
  <c r="F100" i="10"/>
  <c r="F167" i="5"/>
  <c r="F188" i="4"/>
  <c r="F41" i="6"/>
  <c r="C252" i="4"/>
  <c r="B252" i="4"/>
  <c r="D252" i="4"/>
  <c r="E252" i="4"/>
  <c r="F252" i="4"/>
  <c r="F57" i="6"/>
  <c r="F206" i="4"/>
  <c r="C288" i="5"/>
  <c r="B288" i="5"/>
  <c r="E288" i="5"/>
  <c r="F288" i="5"/>
  <c r="D288" i="5"/>
  <c r="F207" i="5"/>
  <c r="F177" i="8"/>
  <c r="F167" i="8"/>
  <c r="F172" i="10"/>
  <c r="F221" i="10"/>
  <c r="F168" i="9"/>
  <c r="B272" i="4"/>
  <c r="F272" i="4"/>
  <c r="D272" i="4"/>
  <c r="C272" i="4"/>
  <c r="E272" i="4"/>
  <c r="F111" i="4"/>
  <c r="F205" i="6"/>
  <c r="F100" i="6"/>
  <c r="F55" i="4"/>
  <c r="F235" i="5"/>
  <c r="F63" i="4"/>
  <c r="C251" i="5"/>
  <c r="B251" i="5"/>
  <c r="F251" i="5"/>
  <c r="E251" i="5"/>
  <c r="D251" i="5"/>
  <c r="F56" i="4"/>
  <c r="D233" i="6"/>
  <c r="B233" i="6"/>
  <c r="C233" i="6"/>
  <c r="E233" i="6"/>
  <c r="F233" i="6"/>
  <c r="F161" i="5"/>
  <c r="D248" i="9"/>
  <c r="E248" i="9"/>
  <c r="F248" i="9"/>
  <c r="C248" i="9"/>
  <c r="B248" i="9"/>
  <c r="F119" i="5"/>
  <c r="F80" i="8"/>
  <c r="F150" i="8"/>
  <c r="F110" i="10"/>
  <c r="F228" i="5"/>
  <c r="F7" i="5"/>
  <c r="B7" i="5"/>
  <c r="F25" i="10"/>
  <c r="B249" i="8"/>
  <c r="E249" i="8"/>
  <c r="F249" i="8"/>
  <c r="C249" i="8"/>
  <c r="D249" i="8"/>
  <c r="F100" i="5"/>
  <c r="F24" i="8"/>
  <c r="F99" i="4"/>
  <c r="F235" i="4"/>
  <c r="E235" i="4"/>
  <c r="D235" i="4"/>
  <c r="C235" i="4"/>
  <c r="B235" i="4"/>
  <c r="D259" i="6"/>
  <c r="C259" i="6"/>
  <c r="B259" i="6"/>
  <c r="E259" i="6"/>
  <c r="F259" i="6"/>
  <c r="F225" i="9"/>
  <c r="F25" i="8"/>
  <c r="F164" i="6"/>
  <c r="F37" i="7"/>
  <c r="F53" i="7"/>
  <c r="E293" i="6"/>
  <c r="D293" i="6"/>
  <c r="C293" i="6"/>
  <c r="F293" i="6"/>
  <c r="B293" i="6"/>
  <c r="F8" i="9"/>
  <c r="F55" i="8"/>
  <c r="F207" i="8"/>
  <c r="F74" i="10"/>
  <c r="D283" i="4"/>
  <c r="B283" i="4"/>
  <c r="F283" i="4"/>
  <c r="C283" i="4"/>
  <c r="E283" i="4"/>
  <c r="F291" i="4"/>
  <c r="E291" i="4"/>
  <c r="B291" i="4"/>
  <c r="D291" i="4"/>
  <c r="C291" i="4"/>
  <c r="F212" i="4"/>
  <c r="F140" i="6"/>
  <c r="F173" i="10"/>
  <c r="F289" i="7"/>
  <c r="F255" i="10"/>
  <c r="F87" i="10"/>
  <c r="F241" i="10"/>
  <c r="F201" i="8"/>
  <c r="F140" i="7"/>
  <c r="F276" i="7"/>
  <c r="F86" i="8"/>
  <c r="F170" i="9"/>
  <c r="F223" i="10"/>
  <c r="F191" i="5"/>
  <c r="F132" i="7"/>
  <c r="F204" i="7"/>
  <c r="F60" i="8"/>
  <c r="F262" i="8"/>
  <c r="E262" i="8"/>
  <c r="C262" i="8"/>
  <c r="D262" i="8"/>
  <c r="B262" i="8"/>
  <c r="F234" i="9"/>
  <c r="F245" i="5"/>
  <c r="F118" i="5"/>
  <c r="F145" i="5"/>
  <c r="F166" i="8"/>
  <c r="F124" i="9"/>
  <c r="F238" i="7"/>
  <c r="F66" i="8"/>
  <c r="F177" i="10"/>
  <c r="F175" i="5"/>
  <c r="F89" i="6"/>
  <c r="F130" i="6"/>
  <c r="F120" i="7"/>
  <c r="F192" i="7"/>
  <c r="F52" i="8"/>
  <c r="F44" i="9"/>
  <c r="F135" i="10"/>
  <c r="F219" i="5"/>
  <c r="F20" i="7"/>
  <c r="C280" i="8"/>
  <c r="B280" i="8"/>
  <c r="F280" i="8"/>
  <c r="E280" i="8"/>
  <c r="D280" i="8"/>
  <c r="F50" i="8"/>
  <c r="F186" i="8"/>
  <c r="F83" i="9"/>
  <c r="F189" i="8"/>
  <c r="F221" i="7"/>
  <c r="F190" i="7"/>
  <c r="F43" i="8"/>
  <c r="F10" i="10"/>
  <c r="F193" i="9"/>
  <c r="F154" i="9"/>
  <c r="F149" i="10"/>
  <c r="F23" i="9"/>
  <c r="F200" i="5"/>
  <c r="B270" i="4"/>
  <c r="F270" i="4"/>
  <c r="D270" i="4"/>
  <c r="E270" i="4"/>
  <c r="C270" i="4"/>
  <c r="F26" i="10"/>
  <c r="F244" i="5"/>
  <c r="F65" i="5"/>
  <c r="C252" i="5"/>
  <c r="F252" i="5"/>
  <c r="D252" i="5"/>
  <c r="E252" i="5"/>
  <c r="B252" i="5"/>
  <c r="F21" i="4"/>
  <c r="F141" i="5"/>
  <c r="F213" i="5"/>
  <c r="F292" i="7"/>
  <c r="F87" i="7"/>
  <c r="F198" i="7"/>
  <c r="F27" i="10"/>
  <c r="F234" i="10"/>
  <c r="E274" i="6"/>
  <c r="C274" i="6"/>
  <c r="F274" i="6"/>
  <c r="D274" i="6"/>
  <c r="B274" i="6"/>
  <c r="F10" i="4"/>
  <c r="F219" i="7"/>
  <c r="F18" i="4"/>
  <c r="F139" i="6"/>
  <c r="F19" i="4"/>
  <c r="F127" i="7"/>
  <c r="F234" i="5"/>
  <c r="F89" i="10"/>
  <c r="F129" i="6"/>
  <c r="F170" i="8"/>
  <c r="F67" i="8"/>
  <c r="F101" i="7"/>
  <c r="E258" i="5"/>
  <c r="B258" i="5"/>
  <c r="C258" i="5"/>
  <c r="D258" i="5"/>
  <c r="F258" i="5"/>
  <c r="F9" i="5"/>
  <c r="F107" i="5"/>
  <c r="F73" i="5"/>
  <c r="F123" i="5"/>
  <c r="F17" i="5"/>
  <c r="F101" i="6"/>
  <c r="F114" i="6"/>
  <c r="F113" i="9"/>
  <c r="F80" i="6"/>
  <c r="F286" i="7"/>
  <c r="F17" i="8"/>
  <c r="F28" i="10"/>
  <c r="F31" i="4"/>
  <c r="F43" i="5"/>
  <c r="F113" i="7"/>
  <c r="C219" i="6"/>
  <c r="B219" i="6"/>
  <c r="F219" i="6"/>
  <c r="E219" i="6"/>
  <c r="D219" i="6"/>
  <c r="F41" i="5"/>
  <c r="F92" i="7"/>
  <c r="F11" i="4"/>
  <c r="F108" i="7"/>
  <c r="F12" i="4"/>
  <c r="F61" i="7"/>
  <c r="F76" i="6"/>
  <c r="F175" i="10"/>
  <c r="F67" i="7"/>
  <c r="F14" i="9"/>
  <c r="F165" i="8"/>
  <c r="F79" i="7"/>
  <c r="B241" i="6"/>
  <c r="F241" i="6"/>
  <c r="C241" i="6"/>
  <c r="D241" i="6"/>
  <c r="E241" i="6"/>
  <c r="F212" i="5"/>
  <c r="F186" i="10"/>
  <c r="F74" i="9"/>
  <c r="F102" i="5"/>
  <c r="F82" i="9"/>
  <c r="F85" i="4"/>
  <c r="F221" i="4"/>
  <c r="F149" i="6"/>
  <c r="B291" i="5"/>
  <c r="F291" i="5"/>
  <c r="E291" i="5"/>
  <c r="C291" i="5"/>
  <c r="D291" i="5"/>
  <c r="F109" i="8"/>
  <c r="B255" i="6"/>
  <c r="F255" i="6"/>
  <c r="E255" i="6"/>
  <c r="D255" i="6"/>
  <c r="C255" i="6"/>
  <c r="F207" i="7"/>
  <c r="F176" i="6"/>
  <c r="F29" i="8"/>
  <c r="F219" i="10"/>
  <c r="B249" i="9"/>
  <c r="C249" i="9"/>
  <c r="F249" i="9"/>
  <c r="E249" i="9"/>
  <c r="D249" i="9"/>
  <c r="F226" i="9"/>
  <c r="F88" i="4"/>
  <c r="C269" i="4"/>
  <c r="F269" i="4"/>
  <c r="D269" i="4"/>
  <c r="E269" i="4"/>
  <c r="B269" i="4"/>
  <c r="B277" i="4"/>
  <c r="E277" i="4"/>
  <c r="F277" i="4"/>
  <c r="D277" i="4"/>
  <c r="C277" i="4"/>
  <c r="F102" i="4"/>
  <c r="C222" i="6"/>
  <c r="F222" i="6"/>
  <c r="B222" i="6"/>
  <c r="D222" i="6"/>
  <c r="E222" i="6"/>
  <c r="F11" i="7"/>
  <c r="D271" i="8"/>
  <c r="B271" i="8"/>
  <c r="E271" i="8"/>
  <c r="C271" i="8"/>
  <c r="F271" i="8"/>
  <c r="F117" i="5"/>
  <c r="F23" i="6"/>
  <c r="F34" i="6"/>
  <c r="F253" i="7"/>
  <c r="F41" i="8"/>
  <c r="F261" i="9"/>
  <c r="E261" i="9"/>
  <c r="C261" i="9"/>
  <c r="D261" i="9"/>
  <c r="B261" i="9"/>
  <c r="C240" i="8"/>
  <c r="E240" i="8"/>
  <c r="B240" i="8"/>
  <c r="F240" i="8"/>
  <c r="D240" i="8"/>
  <c r="F205" i="10"/>
  <c r="F87" i="6"/>
  <c r="F98" i="6"/>
  <c r="F23" i="8"/>
  <c r="F185" i="8"/>
  <c r="F174" i="7"/>
  <c r="F18" i="9"/>
  <c r="F269" i="10"/>
  <c r="F111" i="5"/>
  <c r="F25" i="6"/>
  <c r="F60" i="6"/>
  <c r="F105" i="8"/>
  <c r="F128" i="7"/>
  <c r="F264" i="7"/>
  <c r="E267" i="8"/>
  <c r="C267" i="8"/>
  <c r="B267" i="8"/>
  <c r="D267" i="8"/>
  <c r="F267" i="8"/>
  <c r="A21" i="1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F82" i="6"/>
  <c r="F265" i="5"/>
  <c r="E265" i="5"/>
  <c r="D265" i="5"/>
  <c r="C265" i="5"/>
  <c r="B265" i="5"/>
  <c r="F42" i="7"/>
  <c r="F46" i="8"/>
  <c r="F217" i="8"/>
  <c r="F234" i="7"/>
  <c r="F121" i="9"/>
  <c r="F244" i="10"/>
  <c r="F162" i="6"/>
  <c r="F197" i="6"/>
  <c r="F179" i="8"/>
  <c r="E251" i="8"/>
  <c r="F251" i="8"/>
  <c r="D251" i="8"/>
  <c r="B251" i="8"/>
  <c r="C251" i="8"/>
  <c r="F30" i="9"/>
  <c r="F39" i="9"/>
  <c r="F55" i="9"/>
  <c r="F288" i="7"/>
  <c r="F153" i="8"/>
  <c r="F57" i="9"/>
  <c r="F99" i="10"/>
  <c r="F142" i="10"/>
  <c r="F170" i="10"/>
  <c r="B286" i="8"/>
  <c r="E286" i="8"/>
  <c r="C286" i="8"/>
  <c r="F286" i="8"/>
  <c r="D286" i="8"/>
  <c r="D250" i="4"/>
  <c r="B250" i="4"/>
  <c r="C250" i="4"/>
  <c r="F250" i="4"/>
  <c r="E250" i="4"/>
  <c r="F112" i="6"/>
  <c r="F92" i="5"/>
  <c r="F120" i="6"/>
  <c r="F94" i="5"/>
  <c r="F65" i="6"/>
  <c r="F104" i="6"/>
  <c r="F110" i="8"/>
  <c r="F210" i="8"/>
  <c r="E247" i="9"/>
  <c r="C247" i="9"/>
  <c r="F247" i="9"/>
  <c r="D247" i="9"/>
  <c r="B247" i="9"/>
  <c r="F68" i="10"/>
  <c r="F22" i="10"/>
  <c r="F78" i="7"/>
  <c r="C288" i="4"/>
  <c r="F288" i="4"/>
  <c r="E288" i="4"/>
  <c r="D288" i="4"/>
  <c r="B288" i="4"/>
  <c r="F214" i="6"/>
  <c r="F10" i="5"/>
  <c r="F230" i="6"/>
  <c r="E230" i="6"/>
  <c r="D230" i="6"/>
  <c r="C230" i="6"/>
  <c r="B230" i="6"/>
  <c r="F121" i="4"/>
  <c r="F183" i="6"/>
  <c r="F153" i="6"/>
  <c r="F137" i="9"/>
  <c r="F48" i="7"/>
  <c r="F245" i="9"/>
  <c r="F96" i="9"/>
  <c r="C240" i="6"/>
  <c r="B240" i="6"/>
  <c r="D240" i="6"/>
  <c r="F240" i="6"/>
  <c r="E240" i="6"/>
  <c r="F115" i="7"/>
  <c r="F74" i="4"/>
  <c r="F251" i="6"/>
  <c r="E251" i="6"/>
  <c r="D251" i="6"/>
  <c r="C251" i="6"/>
  <c r="B251" i="6"/>
  <c r="F87" i="4"/>
  <c r="F267" i="6"/>
  <c r="E267" i="6"/>
  <c r="C267" i="6"/>
  <c r="B267" i="6"/>
  <c r="D267" i="6"/>
  <c r="F80" i="4"/>
  <c r="D220" i="6"/>
  <c r="F220" i="6"/>
  <c r="B220" i="6"/>
  <c r="E220" i="6"/>
  <c r="C220" i="6"/>
  <c r="F12" i="6"/>
  <c r="F119" i="10"/>
  <c r="F290" i="6"/>
  <c r="E290" i="6"/>
  <c r="B290" i="6"/>
  <c r="C290" i="6"/>
  <c r="D290" i="6"/>
  <c r="F21" i="9"/>
  <c r="F101" i="8"/>
  <c r="F125" i="4"/>
  <c r="F114" i="4"/>
  <c r="E251" i="4"/>
  <c r="D251" i="4"/>
  <c r="F251" i="4"/>
  <c r="C251" i="4"/>
  <c r="B251" i="4"/>
  <c r="F169" i="7"/>
  <c r="F15" i="7"/>
  <c r="F105" i="4"/>
  <c r="F159" i="6"/>
  <c r="F113" i="4"/>
  <c r="F175" i="6"/>
  <c r="C249" i="4"/>
  <c r="B249" i="4"/>
  <c r="E249" i="4"/>
  <c r="F249" i="4"/>
  <c r="D249" i="4"/>
  <c r="F184" i="6"/>
  <c r="F281" i="6"/>
  <c r="E281" i="6"/>
  <c r="B281" i="6"/>
  <c r="D281" i="6"/>
  <c r="C281" i="6"/>
  <c r="F178" i="9"/>
  <c r="F244" i="7"/>
  <c r="F266" i="10"/>
  <c r="F67" i="10"/>
  <c r="F216" i="9"/>
  <c r="F140" i="8"/>
  <c r="F56" i="6"/>
  <c r="F186" i="4"/>
  <c r="F211" i="9"/>
  <c r="F278" i="4"/>
  <c r="D278" i="4"/>
  <c r="E278" i="4"/>
  <c r="C278" i="4"/>
  <c r="B278" i="4"/>
  <c r="F216" i="10"/>
  <c r="C286" i="4"/>
  <c r="F286" i="4"/>
  <c r="E286" i="4"/>
  <c r="D286" i="4"/>
  <c r="B286" i="4"/>
  <c r="F132" i="5"/>
  <c r="F168" i="6"/>
  <c r="E215" i="6"/>
  <c r="D215" i="6"/>
  <c r="C215" i="6"/>
  <c r="F215" i="6"/>
  <c r="B215" i="6"/>
  <c r="B262" i="9"/>
  <c r="E262" i="9"/>
  <c r="C262" i="9"/>
  <c r="D262" i="9"/>
  <c r="F262" i="9"/>
  <c r="F262" i="7"/>
  <c r="F188" i="8"/>
  <c r="D233" i="8"/>
  <c r="E233" i="8"/>
  <c r="C233" i="8"/>
  <c r="B233" i="8"/>
  <c r="F233" i="8"/>
  <c r="F36" i="8"/>
  <c r="F238" i="5"/>
  <c r="F80" i="7"/>
  <c r="F23" i="10"/>
  <c r="D261" i="4"/>
  <c r="B261" i="4"/>
  <c r="E261" i="4"/>
  <c r="C261" i="4"/>
  <c r="F261" i="4"/>
  <c r="F180" i="5"/>
  <c r="F188" i="5"/>
  <c r="F62" i="6"/>
  <c r="F13" i="8"/>
  <c r="F164" i="7"/>
  <c r="F187" i="9"/>
  <c r="F8" i="6"/>
  <c r="F183" i="5"/>
  <c r="F218" i="5"/>
  <c r="F228" i="8"/>
  <c r="F9" i="8"/>
  <c r="F136" i="7"/>
  <c r="F139" i="8"/>
  <c r="F267" i="10"/>
  <c r="E247" i="5"/>
  <c r="D247" i="5"/>
  <c r="B247" i="5"/>
  <c r="F247" i="5"/>
  <c r="C247" i="5"/>
  <c r="E282" i="5"/>
  <c r="C282" i="5"/>
  <c r="D282" i="5"/>
  <c r="B282" i="5"/>
  <c r="F282" i="5"/>
  <c r="F287" i="7"/>
  <c r="F124" i="8"/>
  <c r="F200" i="7"/>
  <c r="F203" i="8"/>
  <c r="F152" i="10"/>
  <c r="F18" i="6"/>
  <c r="F201" i="5"/>
  <c r="D265" i="6"/>
  <c r="C265" i="6"/>
  <c r="B265" i="6"/>
  <c r="F265" i="6"/>
  <c r="E265" i="6"/>
  <c r="F265" i="7"/>
  <c r="F54" i="8"/>
  <c r="F170" i="7"/>
  <c r="F278" i="8"/>
  <c r="D278" i="8"/>
  <c r="E278" i="8"/>
  <c r="C278" i="8"/>
  <c r="B278" i="8"/>
  <c r="F167" i="10"/>
  <c r="F266" i="5"/>
  <c r="D266" i="5"/>
  <c r="C266" i="5"/>
  <c r="E266" i="5"/>
  <c r="B266" i="5"/>
  <c r="F155" i="5"/>
  <c r="F243" i="6"/>
  <c r="C243" i="6"/>
  <c r="E243" i="6"/>
  <c r="D243" i="6"/>
  <c r="B243" i="6"/>
  <c r="F216" i="8"/>
  <c r="F288" i="8"/>
  <c r="C288" i="8"/>
  <c r="E288" i="8"/>
  <c r="D288" i="8"/>
  <c r="B288" i="8"/>
  <c r="F122" i="8"/>
  <c r="B7" i="10"/>
  <c r="F7" i="10"/>
  <c r="F163" i="6"/>
  <c r="F76" i="7"/>
  <c r="F103" i="7"/>
  <c r="C277" i="8"/>
  <c r="F277" i="8"/>
  <c r="D277" i="8"/>
  <c r="B277" i="8"/>
  <c r="E277" i="8"/>
  <c r="F15" i="10"/>
  <c r="F71" i="8"/>
  <c r="F134" i="9"/>
  <c r="F56" i="10"/>
  <c r="F82" i="8"/>
  <c r="F163" i="8"/>
  <c r="F16" i="10"/>
  <c r="F108" i="10"/>
  <c r="F235" i="10"/>
  <c r="F203" i="10"/>
  <c r="F132" i="9"/>
  <c r="F178" i="5"/>
  <c r="B7" i="4"/>
  <c r="F7" i="4"/>
  <c r="F131" i="5"/>
  <c r="C272" i="5"/>
  <c r="B272" i="5"/>
  <c r="D272" i="5"/>
  <c r="F272" i="5"/>
  <c r="E272" i="5"/>
  <c r="F52" i="9"/>
  <c r="F189" i="5"/>
  <c r="F125" i="7"/>
  <c r="F62" i="8"/>
  <c r="F213" i="10"/>
  <c r="F116" i="7"/>
  <c r="F194" i="4"/>
  <c r="F142" i="8"/>
  <c r="F202" i="4"/>
  <c r="D244" i="8"/>
  <c r="B244" i="8"/>
  <c r="E244" i="8"/>
  <c r="F244" i="8"/>
  <c r="C244" i="8"/>
  <c r="F52" i="5"/>
  <c r="F142" i="7"/>
  <c r="F91" i="7"/>
  <c r="F78" i="6"/>
  <c r="F90" i="9"/>
  <c r="F60" i="10"/>
  <c r="F260" i="10"/>
  <c r="F216" i="7"/>
  <c r="F182" i="6"/>
  <c r="F66" i="5"/>
  <c r="F47" i="7"/>
  <c r="F74" i="5"/>
  <c r="F63" i="7"/>
  <c r="F185" i="4"/>
  <c r="F24" i="7"/>
  <c r="D217" i="6"/>
  <c r="B217" i="6"/>
  <c r="C217" i="6"/>
  <c r="E217" i="6"/>
  <c r="F217" i="6"/>
  <c r="F214" i="9"/>
  <c r="F156" i="7"/>
  <c r="F34" i="10"/>
  <c r="E254" i="9"/>
  <c r="D254" i="9"/>
  <c r="B254" i="9"/>
  <c r="F254" i="9"/>
  <c r="C254" i="9"/>
  <c r="F73" i="6"/>
  <c r="F72" i="5"/>
  <c r="F237" i="4"/>
  <c r="D237" i="4"/>
  <c r="B237" i="4"/>
  <c r="C237" i="4"/>
  <c r="E237" i="4"/>
  <c r="F105" i="9"/>
  <c r="F213" i="7"/>
  <c r="F36" i="5"/>
  <c r="F118" i="7"/>
  <c r="F44" i="5"/>
  <c r="F134" i="7"/>
  <c r="F171" i="4"/>
  <c r="D252" i="8"/>
  <c r="E252" i="8"/>
  <c r="B252" i="8"/>
  <c r="F252" i="8"/>
  <c r="C252" i="8"/>
  <c r="F195" i="6"/>
  <c r="F79" i="6"/>
  <c r="F93" i="9"/>
  <c r="F208" i="10"/>
  <c r="F151" i="10"/>
  <c r="F52" i="7"/>
  <c r="F168" i="4"/>
  <c r="F144" i="6"/>
  <c r="F236" i="5"/>
  <c r="F97" i="5"/>
  <c r="F31" i="6"/>
  <c r="F52" i="4"/>
  <c r="F39" i="6"/>
  <c r="F222" i="5"/>
  <c r="F126" i="7"/>
  <c r="F171" i="8"/>
  <c r="F220" i="10"/>
  <c r="C275" i="8"/>
  <c r="F275" i="8"/>
  <c r="B275" i="8"/>
  <c r="E275" i="8"/>
  <c r="D275" i="8"/>
  <c r="F181" i="8"/>
  <c r="F197" i="8"/>
  <c r="F100" i="9"/>
  <c r="F35" i="6"/>
  <c r="F145" i="7"/>
  <c r="F217" i="9"/>
  <c r="F190" i="5"/>
  <c r="D294" i="5"/>
  <c r="F294" i="5"/>
  <c r="B294" i="5"/>
  <c r="E294" i="5"/>
  <c r="C294" i="5"/>
  <c r="F24" i="6"/>
  <c r="F223" i="5"/>
  <c r="F224" i="7"/>
  <c r="F92" i="9"/>
  <c r="F87" i="8"/>
  <c r="F176" i="5"/>
  <c r="F90" i="6"/>
  <c r="F137" i="6"/>
  <c r="F137" i="7"/>
  <c r="F209" i="7"/>
  <c r="F70" i="8"/>
  <c r="E237" i="8"/>
  <c r="B237" i="8"/>
  <c r="F237" i="8"/>
  <c r="C237" i="8"/>
  <c r="D237" i="8"/>
  <c r="F157" i="10"/>
  <c r="F137" i="5"/>
  <c r="F201" i="6"/>
  <c r="F201" i="7"/>
  <c r="F273" i="7"/>
  <c r="D236" i="8"/>
  <c r="B236" i="8"/>
  <c r="E236" i="8"/>
  <c r="C236" i="8"/>
  <c r="F236" i="8"/>
  <c r="F7" i="9"/>
  <c r="B7" i="9"/>
  <c r="F226" i="10"/>
  <c r="F202" i="5"/>
  <c r="F116" i="6"/>
  <c r="F179" i="6"/>
  <c r="F152" i="8"/>
  <c r="F224" i="8"/>
  <c r="F58" i="8"/>
  <c r="F131" i="9"/>
  <c r="F135" i="7"/>
  <c r="F185" i="6"/>
  <c r="F98" i="7"/>
  <c r="F133" i="6"/>
  <c r="F115" i="8"/>
  <c r="F187" i="8"/>
  <c r="F32" i="9"/>
  <c r="F151" i="9"/>
  <c r="F77" i="7"/>
  <c r="D253" i="6"/>
  <c r="C253" i="6"/>
  <c r="B253" i="6"/>
  <c r="F253" i="6"/>
  <c r="E253" i="6"/>
  <c r="F105" i="7"/>
  <c r="F65" i="9"/>
  <c r="F129" i="9"/>
  <c r="F75" i="9"/>
  <c r="F45" i="10"/>
  <c r="F278" i="10"/>
  <c r="F16" i="9"/>
  <c r="F35" i="9"/>
  <c r="F44" i="10"/>
  <c r="F115" i="10"/>
  <c r="F162" i="10"/>
  <c r="F141" i="10"/>
  <c r="F70" i="9"/>
  <c r="B280" i="5"/>
  <c r="F280" i="5"/>
  <c r="E280" i="5"/>
  <c r="C280" i="5"/>
  <c r="D280" i="5"/>
  <c r="F45" i="4"/>
  <c r="F241" i="5"/>
  <c r="F49" i="6"/>
  <c r="F50" i="9"/>
  <c r="F33" i="10"/>
  <c r="F132" i="10"/>
  <c r="F160" i="6"/>
  <c r="F70" i="10"/>
  <c r="F147" i="4"/>
  <c r="F180" i="10"/>
  <c r="F48" i="5"/>
  <c r="F82" i="10"/>
  <c r="F56" i="5"/>
  <c r="F136" i="10"/>
  <c r="F196" i="5"/>
  <c r="F46" i="6"/>
  <c r="E248" i="6"/>
  <c r="F248" i="6"/>
  <c r="B248" i="6"/>
  <c r="D248" i="6"/>
  <c r="C248" i="6"/>
  <c r="F68" i="7"/>
  <c r="F279" i="6"/>
  <c r="E279" i="6"/>
  <c r="C279" i="6"/>
  <c r="D279" i="6"/>
  <c r="B279" i="6"/>
  <c r="F127" i="8"/>
  <c r="F75" i="10"/>
  <c r="F270" i="10"/>
  <c r="F28" i="7"/>
  <c r="F185" i="5"/>
  <c r="F91" i="4"/>
  <c r="F59" i="6"/>
  <c r="F104" i="4"/>
  <c r="F75" i="6"/>
  <c r="F95" i="4"/>
  <c r="F28" i="6"/>
  <c r="F208" i="5"/>
  <c r="F61" i="8"/>
  <c r="F229" i="10"/>
  <c r="F42" i="8"/>
  <c r="F212" i="7"/>
  <c r="F57" i="10"/>
  <c r="F150" i="9"/>
  <c r="F99" i="6"/>
  <c r="F134" i="8"/>
  <c r="E274" i="5"/>
  <c r="C274" i="5"/>
  <c r="F274" i="5"/>
  <c r="B274" i="5"/>
  <c r="D274" i="5"/>
  <c r="F136" i="8"/>
  <c r="F75" i="7"/>
  <c r="F101" i="9"/>
  <c r="F72" i="8"/>
  <c r="F155" i="10"/>
  <c r="F260" i="8"/>
  <c r="E260" i="8"/>
  <c r="C260" i="8"/>
  <c r="D260" i="8"/>
  <c r="B260" i="8"/>
  <c r="F124" i="10"/>
  <c r="F232" i="8"/>
  <c r="D232" i="8"/>
  <c r="C232" i="8"/>
  <c r="E232" i="8"/>
  <c r="B232" i="8"/>
  <c r="F112" i="10"/>
  <c r="F122" i="9"/>
  <c r="F151" i="8"/>
  <c r="F138" i="5"/>
  <c r="F194" i="7"/>
  <c r="F52" i="6"/>
  <c r="E264" i="8"/>
  <c r="B264" i="8"/>
  <c r="C264" i="8"/>
  <c r="F264" i="8"/>
  <c r="D264" i="8"/>
  <c r="F187" i="7"/>
  <c r="F181" i="9"/>
  <c r="D241" i="8"/>
  <c r="B241" i="8"/>
  <c r="E241" i="8"/>
  <c r="F241" i="8"/>
  <c r="C241" i="8"/>
  <c r="F76" i="10"/>
  <c r="F160" i="8"/>
  <c r="F122" i="10"/>
  <c r="F10" i="9"/>
  <c r="F64" i="10"/>
  <c r="F89" i="9"/>
  <c r="F215" i="8"/>
  <c r="F54" i="7"/>
  <c r="A96" i="1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F117" i="6"/>
  <c r="F66" i="9"/>
  <c r="F34" i="7"/>
  <c r="F31" i="8"/>
  <c r="F93" i="7"/>
  <c r="F93" i="10"/>
  <c r="F51" i="8"/>
  <c r="F211" i="10"/>
  <c r="F123" i="8"/>
  <c r="F106" i="10"/>
  <c r="E259" i="8"/>
  <c r="C259" i="8"/>
  <c r="D259" i="8"/>
  <c r="B259" i="8"/>
  <c r="F259" i="8"/>
  <c r="F127" i="10"/>
  <c r="F62" i="9"/>
  <c r="F205" i="9"/>
  <c r="F8" i="7"/>
  <c r="F208" i="9"/>
  <c r="F123" i="7"/>
  <c r="F94" i="9"/>
  <c r="F12" i="7"/>
  <c r="F73" i="10"/>
  <c r="F39" i="7"/>
  <c r="F90" i="10"/>
  <c r="F213" i="8"/>
  <c r="F199" i="10"/>
  <c r="B285" i="8"/>
  <c r="F285" i="8"/>
  <c r="E285" i="8"/>
  <c r="C285" i="8"/>
  <c r="D285" i="8"/>
  <c r="F201" i="10"/>
  <c r="F106" i="9"/>
  <c r="F254" i="10"/>
  <c r="F62" i="10"/>
  <c r="E253" i="9"/>
  <c r="C253" i="9"/>
  <c r="B253" i="9"/>
  <c r="D253" i="9"/>
  <c r="F253" i="9"/>
  <c r="E254" i="6"/>
  <c r="D254" i="6"/>
  <c r="B254" i="6"/>
  <c r="F254" i="6"/>
  <c r="C254" i="6"/>
  <c r="F86" i="6"/>
  <c r="F143" i="6"/>
  <c r="F97" i="6"/>
  <c r="F94" i="8"/>
  <c r="F38" i="8"/>
  <c r="F109" i="9"/>
  <c r="F206" i="8"/>
  <c r="F46" i="9"/>
  <c r="F205" i="7"/>
  <c r="F77" i="10"/>
  <c r="F20" i="8"/>
  <c r="F65" i="10"/>
  <c r="F43" i="10"/>
  <c r="F86" i="9"/>
  <c r="F227" i="6"/>
  <c r="E227" i="6"/>
  <c r="B227" i="6"/>
  <c r="C227" i="6"/>
  <c r="D227" i="6"/>
  <c r="F21" i="10"/>
  <c r="F223" i="7"/>
  <c r="F239" i="9"/>
  <c r="F151" i="6"/>
  <c r="F107" i="10"/>
  <c r="F120" i="9"/>
  <c r="F257" i="10"/>
  <c r="F42" i="9"/>
  <c r="F246" i="10"/>
  <c r="F135" i="8"/>
  <c r="F247" i="7"/>
  <c r="F198" i="9"/>
  <c r="F30" i="10"/>
  <c r="F93" i="6"/>
  <c r="F215" i="4"/>
  <c r="F74" i="7"/>
  <c r="F225" i="5"/>
  <c r="F72" i="9"/>
  <c r="D248" i="5"/>
  <c r="C248" i="5"/>
  <c r="B248" i="5"/>
  <c r="F248" i="5"/>
  <c r="E248" i="5"/>
  <c r="F26" i="8"/>
  <c r="F217" i="7"/>
  <c r="F210" i="10"/>
  <c r="F138" i="6"/>
  <c r="F151" i="4"/>
  <c r="F123" i="6"/>
  <c r="F216" i="4"/>
  <c r="F128" i="6"/>
  <c r="D289" i="4"/>
  <c r="C289" i="4"/>
  <c r="B289" i="4"/>
  <c r="F289" i="4"/>
  <c r="E289" i="4"/>
  <c r="F32" i="6"/>
  <c r="F206" i="5"/>
  <c r="F263" i="7"/>
  <c r="D268" i="8"/>
  <c r="E268" i="8"/>
  <c r="C268" i="8"/>
  <c r="F268" i="8"/>
  <c r="B268" i="8"/>
  <c r="M268" i="8" s="1"/>
  <c r="F13" i="9"/>
  <c r="F146" i="9"/>
  <c r="F159" i="10"/>
  <c r="F98" i="5"/>
  <c r="F111" i="7"/>
  <c r="F18" i="7"/>
  <c r="F25" i="4"/>
  <c r="F178" i="6"/>
  <c r="F33" i="4"/>
  <c r="F194" i="6"/>
  <c r="F26" i="4"/>
  <c r="F147" i="6"/>
  <c r="F106" i="5"/>
  <c r="C258" i="9"/>
  <c r="B258" i="9"/>
  <c r="D258" i="9"/>
  <c r="F258" i="9"/>
  <c r="E258" i="9"/>
  <c r="F210" i="5"/>
  <c r="F282" i="7"/>
  <c r="F168" i="8"/>
  <c r="F213" i="6"/>
  <c r="F97" i="10"/>
  <c r="E275" i="5"/>
  <c r="D275" i="5"/>
  <c r="F275" i="5"/>
  <c r="C275" i="5"/>
  <c r="B275" i="5"/>
  <c r="F155" i="8"/>
  <c r="F193" i="6"/>
  <c r="F133" i="8"/>
  <c r="F252" i="6"/>
  <c r="E252" i="6"/>
  <c r="D252" i="6"/>
  <c r="C252" i="6"/>
  <c r="B252" i="6"/>
  <c r="F242" i="9"/>
  <c r="D234" i="8"/>
  <c r="B234" i="8"/>
  <c r="E234" i="8"/>
  <c r="F234" i="8"/>
  <c r="C234" i="8"/>
  <c r="F197" i="10"/>
  <c r="F20" i="9"/>
  <c r="F111" i="10"/>
  <c r="F131" i="8"/>
  <c r="F114" i="10"/>
  <c r="F69" i="9"/>
  <c r="F176" i="9"/>
  <c r="F53" i="6"/>
  <c r="F283" i="8"/>
  <c r="E283" i="8"/>
  <c r="B283" i="8"/>
  <c r="C283" i="8"/>
  <c r="D283" i="8"/>
  <c r="F257" i="6"/>
  <c r="E257" i="6"/>
  <c r="C257" i="6"/>
  <c r="D257" i="6"/>
  <c r="B257" i="6"/>
  <c r="N257" i="6" s="1"/>
  <c r="C261" i="8"/>
  <c r="F261" i="8"/>
  <c r="E261" i="8"/>
  <c r="B261" i="8"/>
  <c r="D261" i="8"/>
  <c r="F29" i="7"/>
  <c r="F38" i="10"/>
  <c r="F12" i="9"/>
  <c r="F103" i="10"/>
  <c r="F59" i="8"/>
  <c r="F245" i="10"/>
  <c r="F195" i="8"/>
  <c r="F182" i="10"/>
  <c r="F165" i="9"/>
  <c r="F84" i="9"/>
  <c r="F231" i="6"/>
  <c r="E231" i="6"/>
  <c r="C231" i="6"/>
  <c r="D231" i="6"/>
  <c r="B231" i="6"/>
  <c r="F143" i="9"/>
  <c r="F59" i="7"/>
  <c r="F85" i="9"/>
  <c r="D235" i="6"/>
  <c r="C235" i="6"/>
  <c r="F235" i="6"/>
  <c r="E235" i="6"/>
  <c r="B235" i="6"/>
  <c r="O235" i="6" s="1"/>
  <c r="F55" i="10"/>
  <c r="E270" i="6"/>
  <c r="D270" i="6"/>
  <c r="C270" i="6"/>
  <c r="B270" i="6"/>
  <c r="F270" i="6"/>
  <c r="F184" i="10"/>
  <c r="F149" i="8"/>
  <c r="F271" i="10"/>
  <c r="F221" i="8"/>
  <c r="F212" i="10"/>
  <c r="E270" i="8"/>
  <c r="C270" i="8"/>
  <c r="F270" i="8"/>
  <c r="B270" i="8"/>
  <c r="D270" i="8"/>
  <c r="F273" i="10"/>
  <c r="F29" i="10"/>
  <c r="F112" i="9"/>
  <c r="F180" i="7"/>
  <c r="F169" i="9"/>
  <c r="F13" i="7"/>
  <c r="F13" i="10"/>
  <c r="F189" i="6"/>
  <c r="F256" i="10"/>
  <c r="F25" i="7"/>
  <c r="F191" i="10"/>
  <c r="F25" i="9"/>
  <c r="F57" i="7"/>
  <c r="F73" i="9"/>
  <c r="F275" i="7"/>
  <c r="F232" i="9"/>
  <c r="F68" i="8"/>
  <c r="F209" i="9"/>
  <c r="F223" i="9"/>
  <c r="F200" i="6"/>
  <c r="F246" i="5"/>
  <c r="F259" i="7"/>
  <c r="D273" i="5"/>
  <c r="C273" i="5"/>
  <c r="B273" i="5"/>
  <c r="F273" i="5"/>
  <c r="E273" i="5"/>
  <c r="F129" i="7"/>
  <c r="F158" i="7"/>
  <c r="F188" i="9"/>
  <c r="F230" i="7"/>
  <c r="D260" i="9"/>
  <c r="E260" i="9"/>
  <c r="B260" i="9"/>
  <c r="C260" i="9"/>
  <c r="F260" i="9"/>
  <c r="F100" i="8"/>
  <c r="F126" i="9"/>
  <c r="F194" i="8"/>
  <c r="F94" i="10"/>
  <c r="F78" i="10"/>
  <c r="F219" i="9"/>
  <c r="F227" i="7"/>
  <c r="F224" i="10"/>
  <c r="F30" i="7"/>
  <c r="F95" i="10"/>
  <c r="F283" i="7"/>
  <c r="F249" i="10"/>
  <c r="F128" i="9"/>
  <c r="F267" i="7"/>
  <c r="F200" i="9"/>
  <c r="B246" i="8"/>
  <c r="E246" i="8"/>
  <c r="C246" i="8"/>
  <c r="F246" i="8"/>
  <c r="D246" i="8"/>
  <c r="F149" i="9"/>
  <c r="F161" i="7"/>
  <c r="F162" i="9"/>
  <c r="F153" i="9"/>
  <c r="F212" i="6"/>
  <c r="F76" i="4"/>
  <c r="F165" i="6"/>
  <c r="F115" i="5"/>
  <c r="B245" i="8"/>
  <c r="D245" i="8"/>
  <c r="E245" i="8"/>
  <c r="F245" i="8"/>
  <c r="C245" i="8"/>
  <c r="F180" i="6"/>
  <c r="F24" i="9"/>
  <c r="F199" i="8"/>
  <c r="F83" i="7"/>
  <c r="F232" i="5"/>
  <c r="F30" i="6"/>
  <c r="F106" i="6"/>
  <c r="B7" i="6"/>
  <c r="F7" i="6"/>
  <c r="F105" i="5"/>
  <c r="F116" i="4"/>
  <c r="F83" i="6"/>
  <c r="F113" i="6"/>
  <c r="F146" i="8"/>
  <c r="F222" i="9"/>
  <c r="F195" i="10"/>
  <c r="D224" i="6"/>
  <c r="F224" i="6"/>
  <c r="B224" i="6"/>
  <c r="E224" i="6"/>
  <c r="C224" i="6"/>
  <c r="F142" i="9"/>
  <c r="C290" i="4"/>
  <c r="F290" i="4"/>
  <c r="D290" i="4"/>
  <c r="B290" i="4"/>
  <c r="E290" i="4"/>
  <c r="F102" i="8"/>
  <c r="F195" i="7"/>
  <c r="F183" i="4"/>
  <c r="C269" i="6"/>
  <c r="E269" i="6"/>
  <c r="B269" i="6"/>
  <c r="F269" i="6"/>
  <c r="D269" i="6"/>
  <c r="E247" i="4"/>
  <c r="D247" i="4"/>
  <c r="C247" i="4"/>
  <c r="F247" i="4"/>
  <c r="B247" i="4"/>
  <c r="C285" i="6"/>
  <c r="B285" i="6"/>
  <c r="D285" i="6"/>
  <c r="E285" i="6"/>
  <c r="F285" i="6"/>
  <c r="F18" i="5"/>
  <c r="F238" i="6"/>
  <c r="D238" i="6"/>
  <c r="E238" i="6"/>
  <c r="B238" i="6"/>
  <c r="C238" i="6"/>
  <c r="F21" i="6"/>
  <c r="F37" i="9"/>
  <c r="F134" i="6"/>
  <c r="F59" i="9"/>
  <c r="F155" i="9"/>
  <c r="F139" i="7"/>
  <c r="F159" i="8"/>
  <c r="B218" i="6"/>
  <c r="D218" i="6"/>
  <c r="E218" i="6"/>
  <c r="C218" i="6"/>
  <c r="F218" i="6"/>
  <c r="F160" i="9"/>
  <c r="F155" i="7"/>
  <c r="F171" i="9"/>
  <c r="F142" i="6"/>
  <c r="F239" i="10"/>
  <c r="F156" i="9"/>
  <c r="F125" i="10"/>
  <c r="F93" i="8"/>
  <c r="F194" i="10"/>
  <c r="F229" i="8"/>
  <c r="F218" i="10"/>
  <c r="F221" i="9"/>
  <c r="F111" i="9"/>
  <c r="C282" i="6"/>
  <c r="B282" i="6"/>
  <c r="E282" i="6"/>
  <c r="D282" i="6"/>
  <c r="F282" i="6"/>
  <c r="F240" i="9"/>
  <c r="F171" i="6"/>
  <c r="F164" i="9"/>
  <c r="F206" i="6"/>
  <c r="F214" i="10"/>
  <c r="F85" i="8"/>
  <c r="F189" i="10"/>
  <c r="F157" i="8"/>
  <c r="F143" i="10"/>
  <c r="F293" i="8"/>
  <c r="D293" i="8"/>
  <c r="E293" i="8"/>
  <c r="C293" i="8"/>
  <c r="B293" i="8"/>
  <c r="F209" i="10"/>
  <c r="F212" i="9"/>
  <c r="F48" i="9"/>
  <c r="E265" i="8"/>
  <c r="B265" i="8"/>
  <c r="F265" i="8"/>
  <c r="D265" i="8"/>
  <c r="C265" i="8"/>
  <c r="F183" i="9"/>
  <c r="F236" i="6"/>
  <c r="E236" i="6"/>
  <c r="D236" i="6"/>
  <c r="C236" i="6"/>
  <c r="B236" i="6"/>
  <c r="F186" i="9"/>
  <c r="F125" i="6"/>
  <c r="F71" i="10"/>
  <c r="B232" i="6"/>
  <c r="E232" i="6"/>
  <c r="D232" i="6"/>
  <c r="F232" i="6"/>
  <c r="C232" i="6"/>
  <c r="F258" i="10"/>
  <c r="C247" i="8"/>
  <c r="B247" i="8"/>
  <c r="E247" i="8"/>
  <c r="D247" i="8"/>
  <c r="F247" i="8"/>
  <c r="F280" i="6"/>
  <c r="D280" i="6"/>
  <c r="B280" i="6"/>
  <c r="E280" i="6"/>
  <c r="C280" i="6"/>
  <c r="F60" i="9"/>
  <c r="F147" i="7"/>
  <c r="F130" i="9"/>
  <c r="F272" i="7"/>
  <c r="F145" i="9"/>
  <c r="F80" i="10"/>
  <c r="F34" i="8"/>
  <c r="F137" i="10"/>
  <c r="F190" i="6"/>
  <c r="F233" i="10"/>
  <c r="F95" i="7"/>
  <c r="F33" i="6"/>
  <c r="F237" i="7"/>
  <c r="F260" i="7"/>
  <c r="F45" i="9"/>
  <c r="F48" i="8"/>
  <c r="F140" i="9"/>
  <c r="F141" i="7"/>
  <c r="F139" i="9"/>
  <c r="F242" i="7"/>
  <c r="F160" i="10"/>
  <c r="D259" i="9"/>
  <c r="B259" i="9"/>
  <c r="E259" i="9"/>
  <c r="F259" i="9"/>
  <c r="C259" i="9"/>
  <c r="F36" i="9"/>
  <c r="F120" i="5"/>
  <c r="B289" i="8"/>
  <c r="E289" i="8"/>
  <c r="D289" i="8"/>
  <c r="C289" i="8"/>
  <c r="F289" i="8"/>
  <c r="F163" i="5"/>
  <c r="F226" i="8"/>
  <c r="F184" i="7"/>
  <c r="B255" i="9"/>
  <c r="F255" i="9"/>
  <c r="E255" i="9"/>
  <c r="C255" i="9"/>
  <c r="D255" i="9"/>
  <c r="F256" i="7"/>
  <c r="F46" i="10"/>
  <c r="F212" i="8"/>
  <c r="F11" i="10"/>
  <c r="F31" i="9"/>
  <c r="F240" i="10"/>
  <c r="F204" i="10"/>
  <c r="F263" i="10"/>
  <c r="F23" i="7"/>
  <c r="F125" i="5"/>
  <c r="F207" i="6"/>
  <c r="F128" i="5"/>
  <c r="F27" i="9"/>
  <c r="F180" i="8"/>
  <c r="F38" i="9"/>
  <c r="F133" i="7"/>
  <c r="F110" i="9"/>
  <c r="F269" i="7"/>
  <c r="F95" i="9"/>
  <c r="F132" i="8"/>
  <c r="F176" i="10"/>
  <c r="F236" i="10"/>
  <c r="F16" i="7"/>
  <c r="F27" i="5"/>
  <c r="F73" i="7"/>
  <c r="F58" i="7"/>
  <c r="F96" i="10"/>
  <c r="F278" i="7"/>
  <c r="F185" i="9"/>
  <c r="F218" i="9"/>
  <c r="F150" i="6"/>
  <c r="F45" i="6"/>
  <c r="F40" i="4"/>
  <c r="F209" i="6"/>
  <c r="F48" i="4"/>
  <c r="E225" i="6"/>
  <c r="D225" i="6"/>
  <c r="C225" i="6"/>
  <c r="F225" i="6"/>
  <c r="B225" i="6"/>
  <c r="F41" i="4"/>
  <c r="F202" i="6"/>
  <c r="B289" i="5"/>
  <c r="F289" i="5"/>
  <c r="E289" i="5"/>
  <c r="C289" i="5"/>
  <c r="D289" i="5"/>
  <c r="F236" i="9"/>
  <c r="F26" i="6"/>
  <c r="F174" i="8"/>
  <c r="F281" i="7"/>
  <c r="F253" i="10"/>
  <c r="C292" i="4"/>
  <c r="F292" i="4"/>
  <c r="B292" i="4"/>
  <c r="D292" i="4"/>
  <c r="E292" i="4"/>
  <c r="E266" i="8"/>
  <c r="F266" i="8"/>
  <c r="B266" i="8"/>
  <c r="D266" i="8"/>
  <c r="C266" i="8"/>
  <c r="D272" i="6"/>
  <c r="C272" i="6"/>
  <c r="E272" i="6"/>
  <c r="F272" i="6"/>
  <c r="B272" i="6"/>
  <c r="F75" i="5"/>
  <c r="F291" i="7"/>
  <c r="F83" i="5"/>
  <c r="F21" i="8"/>
  <c r="F210" i="4"/>
  <c r="F281" i="8"/>
  <c r="E281" i="8"/>
  <c r="D281" i="8"/>
  <c r="B281" i="8"/>
  <c r="C281" i="8"/>
  <c r="C250" i="6"/>
  <c r="F250" i="6"/>
  <c r="B250" i="6"/>
  <c r="E250" i="6"/>
  <c r="D250" i="6"/>
  <c r="F272" i="10"/>
  <c r="F49" i="8"/>
  <c r="F228" i="10"/>
  <c r="F153" i="10"/>
  <c r="F179" i="7"/>
  <c r="F32" i="10"/>
  <c r="F191" i="7"/>
  <c r="F231" i="9"/>
  <c r="F21" i="7"/>
  <c r="F37" i="10"/>
  <c r="F56" i="7"/>
  <c r="F117" i="10"/>
  <c r="F119" i="8"/>
  <c r="F152" i="6"/>
  <c r="F191" i="8"/>
  <c r="E288" i="6"/>
  <c r="C288" i="6"/>
  <c r="B288" i="6"/>
  <c r="D288" i="6"/>
  <c r="F288" i="6"/>
  <c r="F114" i="9"/>
  <c r="F144" i="7"/>
  <c r="F215" i="9"/>
  <c r="F206" i="9"/>
  <c r="F172" i="6"/>
  <c r="F177" i="9"/>
  <c r="F85" i="7"/>
  <c r="F85" i="10"/>
  <c r="F175" i="7"/>
  <c r="F181" i="10"/>
  <c r="F183" i="8"/>
  <c r="F216" i="6"/>
  <c r="D216" i="6"/>
  <c r="B216" i="6"/>
  <c r="E216" i="6"/>
  <c r="C216" i="6"/>
  <c r="B255" i="8"/>
  <c r="C255" i="8"/>
  <c r="F255" i="8"/>
  <c r="E255" i="8"/>
  <c r="D255" i="8"/>
  <c r="F65" i="7"/>
  <c r="F81" i="9"/>
  <c r="F208" i="7"/>
  <c r="F54" i="10"/>
  <c r="F8" i="10"/>
  <c r="B8" i="10"/>
  <c r="O8" i="10" s="1"/>
  <c r="F214" i="7"/>
  <c r="F79" i="10"/>
  <c r="F126" i="6"/>
  <c r="F165" i="10"/>
  <c r="F31" i="7"/>
  <c r="B255" i="5"/>
  <c r="F255" i="5"/>
  <c r="E255" i="5"/>
  <c r="D255" i="5"/>
  <c r="C255" i="5"/>
  <c r="F149" i="7"/>
  <c r="F196" i="7"/>
  <c r="F141" i="9"/>
  <c r="F268" i="7"/>
  <c r="F53" i="9"/>
  <c r="F225" i="8"/>
  <c r="F54" i="9"/>
  <c r="F178" i="7"/>
  <c r="F144" i="10"/>
  <c r="F195" i="9"/>
  <c r="F258" i="7"/>
  <c r="F15" i="6"/>
  <c r="F112" i="7"/>
  <c r="F182" i="5"/>
  <c r="F97" i="7"/>
  <c r="F209" i="5"/>
  <c r="F18" i="8"/>
  <c r="F68" i="9"/>
  <c r="F157" i="9"/>
  <c r="F166" i="7"/>
  <c r="F196" i="9"/>
  <c r="F8" i="8"/>
  <c r="F50" i="10"/>
  <c r="F130" i="8"/>
  <c r="F20" i="10"/>
  <c r="F145" i="10"/>
  <c r="F160" i="7"/>
  <c r="F43" i="6"/>
  <c r="F249" i="7"/>
  <c r="F106" i="7"/>
  <c r="F223" i="8"/>
  <c r="F198" i="8"/>
  <c r="F39" i="10"/>
  <c r="F162" i="7"/>
  <c r="F120" i="10"/>
  <c r="F12" i="8"/>
  <c r="F248" i="10"/>
  <c r="F79" i="8"/>
  <c r="F15" i="9"/>
  <c r="F225" i="10"/>
  <c r="F110" i="5"/>
  <c r="F9" i="7"/>
  <c r="F16" i="6"/>
  <c r="F137" i="8"/>
  <c r="F51" i="6"/>
  <c r="F257" i="7"/>
  <c r="F222" i="7"/>
  <c r="D252" i="9"/>
  <c r="C252" i="9"/>
  <c r="F252" i="9"/>
  <c r="B252" i="9"/>
  <c r="E252" i="9"/>
  <c r="F294" i="7"/>
  <c r="F35" i="10"/>
  <c r="F239" i="7"/>
  <c r="F190" i="9"/>
  <c r="D258" i="8"/>
  <c r="F258" i="8"/>
  <c r="B258" i="8"/>
  <c r="E258" i="8"/>
  <c r="C258" i="8"/>
  <c r="F215" i="10"/>
  <c r="F166" i="10"/>
  <c r="N276" i="8"/>
  <c r="N268" i="8"/>
  <c r="O276" i="8"/>
  <c r="O268" i="8"/>
  <c r="M233" i="4"/>
  <c r="N233" i="4"/>
  <c r="M227" i="6"/>
  <c r="M285" i="8"/>
  <c r="M253" i="6"/>
  <c r="M238" i="8"/>
  <c r="O277" i="8"/>
  <c r="N238" i="8"/>
  <c r="M254" i="6"/>
  <c r="M286" i="8"/>
  <c r="N8" i="10"/>
  <c r="B9" i="10"/>
  <c r="C205" i="4"/>
  <c r="D229" i="4"/>
  <c r="D66" i="6"/>
  <c r="E198" i="5"/>
  <c r="E185" i="10"/>
  <c r="D118" i="4"/>
  <c r="C67" i="9"/>
  <c r="D51" i="7"/>
  <c r="C147" i="8"/>
  <c r="C43" i="9"/>
  <c r="C222" i="10"/>
  <c r="D134" i="5"/>
  <c r="D15" i="4"/>
  <c r="E92" i="4"/>
  <c r="C246" i="7"/>
  <c r="C235" i="7"/>
  <c r="E42" i="6"/>
  <c r="D91" i="8"/>
  <c r="C177" i="6"/>
  <c r="D47" i="8"/>
  <c r="E146" i="7"/>
  <c r="E94" i="7"/>
  <c r="E45" i="5"/>
  <c r="C100" i="7"/>
  <c r="E176" i="8"/>
  <c r="C156" i="10"/>
  <c r="D205" i="8"/>
  <c r="D7" i="7"/>
  <c r="E155" i="6"/>
  <c r="D7" i="8"/>
  <c r="E28" i="4"/>
  <c r="C144" i="4"/>
  <c r="E180" i="4"/>
  <c r="E183" i="7"/>
  <c r="C203" i="7"/>
  <c r="D16" i="5"/>
  <c r="E152" i="4"/>
  <c r="C172" i="4"/>
  <c r="E138" i="7"/>
  <c r="E214" i="5"/>
  <c r="C86" i="5"/>
  <c r="E161" i="6"/>
  <c r="C23" i="4"/>
  <c r="C230" i="10"/>
  <c r="E174" i="4"/>
  <c r="E50" i="7"/>
  <c r="C69" i="8"/>
  <c r="E11" i="6"/>
  <c r="D108" i="8"/>
  <c r="D201" i="4"/>
  <c r="E174" i="10"/>
  <c r="D51" i="5"/>
  <c r="D48" i="6"/>
  <c r="D186" i="7"/>
  <c r="C112" i="5"/>
  <c r="C207" i="10"/>
  <c r="C46" i="5"/>
  <c r="E75" i="8"/>
  <c r="D44" i="8"/>
  <c r="C179" i="5"/>
  <c r="D239" i="5"/>
  <c r="C61" i="9"/>
  <c r="D42" i="10"/>
  <c r="C164" i="10"/>
  <c r="D188" i="10"/>
  <c r="D17" i="6"/>
  <c r="C80" i="5"/>
  <c r="D231" i="5"/>
  <c r="C198" i="4"/>
  <c r="E14" i="7"/>
  <c r="D33" i="7"/>
  <c r="C78" i="9"/>
  <c r="E58" i="9"/>
  <c r="E118" i="6"/>
  <c r="D228" i="4"/>
  <c r="E87" i="5"/>
  <c r="C22" i="5"/>
  <c r="D203" i="4"/>
  <c r="E62" i="5"/>
  <c r="E158" i="10"/>
  <c r="D227" i="4"/>
  <c r="C252" i="10"/>
  <c r="C63" i="9"/>
  <c r="E106" i="8"/>
  <c r="D54" i="5"/>
  <c r="E220" i="8"/>
  <c r="D130" i="7"/>
  <c r="D123" i="10"/>
  <c r="E153" i="7"/>
  <c r="E148" i="7"/>
  <c r="D220" i="5"/>
  <c r="C84" i="8"/>
  <c r="C170" i="5"/>
  <c r="D45" i="7"/>
  <c r="D222" i="4"/>
  <c r="D151" i="7"/>
  <c r="D89" i="8"/>
  <c r="C160" i="4"/>
  <c r="D110" i="6"/>
  <c r="C233" i="5"/>
  <c r="D166" i="5"/>
  <c r="D230" i="5"/>
  <c r="E73" i="4"/>
  <c r="D71" i="9"/>
  <c r="E59" i="5"/>
  <c r="D16" i="4"/>
  <c r="E30" i="5"/>
  <c r="D159" i="7"/>
  <c r="E174" i="6"/>
  <c r="E20" i="4"/>
  <c r="E145" i="4"/>
  <c r="E166" i="9"/>
  <c r="C145" i="6"/>
  <c r="E26" i="5"/>
  <c r="C211" i="7"/>
  <c r="C173" i="4"/>
  <c r="E88" i="5"/>
  <c r="D129" i="8"/>
  <c r="E208" i="4"/>
  <c r="C51" i="9"/>
  <c r="E96" i="4"/>
  <c r="D190" i="8"/>
  <c r="D88" i="8"/>
  <c r="D118" i="10"/>
  <c r="C219" i="8"/>
  <c r="E108" i="9"/>
  <c r="E107" i="6"/>
  <c r="C223" i="4"/>
  <c r="C103" i="8"/>
  <c r="C72" i="10"/>
  <c r="D262" i="10"/>
  <c r="C226" i="7"/>
  <c r="D177" i="5"/>
  <c r="E122" i="6"/>
  <c r="E202" i="8"/>
  <c r="E216" i="5"/>
  <c r="C58" i="4"/>
  <c r="D23" i="5"/>
  <c r="D158" i="6"/>
  <c r="D8" i="5"/>
  <c r="C65" i="4"/>
  <c r="E178" i="10"/>
  <c r="D173" i="6"/>
  <c r="D186" i="5"/>
  <c r="E240" i="7"/>
  <c r="D68" i="6"/>
  <c r="C37" i="6"/>
  <c r="E79" i="4"/>
  <c r="E81" i="5"/>
  <c r="D179" i="4"/>
  <c r="E243" i="5"/>
  <c r="C158" i="5"/>
  <c r="E79" i="5"/>
  <c r="C14" i="4"/>
  <c r="C82" i="5"/>
  <c r="C28" i="9"/>
  <c r="E107" i="8"/>
  <c r="C24" i="10"/>
  <c r="E38" i="5"/>
  <c r="E154" i="5"/>
  <c r="D49" i="5"/>
  <c r="D143" i="7"/>
  <c r="C150" i="7"/>
  <c r="E10" i="7"/>
  <c r="C19" i="9"/>
  <c r="E89" i="5"/>
  <c r="D44" i="7"/>
  <c r="C44" i="6"/>
  <c r="D84" i="6"/>
  <c r="E37" i="5"/>
  <c r="C116" i="5"/>
  <c r="C51" i="4"/>
  <c r="C24" i="5"/>
  <c r="C171" i="7"/>
  <c r="D81" i="7"/>
  <c r="C157" i="7"/>
  <c r="C131" i="7"/>
  <c r="C69" i="4"/>
  <c r="D21" i="5"/>
  <c r="C121" i="5"/>
  <c r="D17" i="9"/>
  <c r="C170" i="4"/>
  <c r="C35" i="5"/>
  <c r="D77" i="4"/>
  <c r="D274" i="7"/>
  <c r="C100" i="4"/>
  <c r="C103" i="4"/>
  <c r="D166" i="4"/>
  <c r="E251" i="10"/>
  <c r="D93" i="4"/>
  <c r="E33" i="9"/>
  <c r="D64" i="5"/>
  <c r="D192" i="4"/>
  <c r="C179" i="9"/>
  <c r="C177" i="7"/>
  <c r="D90" i="5"/>
  <c r="D50" i="4"/>
  <c r="D14" i="5"/>
  <c r="D279" i="7"/>
  <c r="D224" i="4"/>
  <c r="C211" i="5"/>
  <c r="E238" i="10"/>
  <c r="C208" i="8"/>
  <c r="D106" i="4"/>
  <c r="C64" i="6"/>
  <c r="C290" i="7"/>
  <c r="D123" i="4"/>
  <c r="C97" i="8"/>
  <c r="D161" i="4"/>
  <c r="E204" i="5"/>
  <c r="D29" i="4"/>
  <c r="E211" i="6"/>
  <c r="D72" i="4"/>
  <c r="D163" i="9"/>
  <c r="C128" i="4"/>
  <c r="E122" i="5"/>
  <c r="C187" i="10"/>
  <c r="D40" i="8"/>
  <c r="E63" i="5"/>
  <c r="C96" i="8"/>
  <c r="C51" i="10"/>
  <c r="C88" i="10"/>
  <c r="C91" i="5"/>
  <c r="C158" i="9"/>
  <c r="D224" i="9"/>
  <c r="E204" i="9"/>
  <c r="E53" i="10"/>
  <c r="D154" i="10"/>
  <c r="D184" i="9"/>
  <c r="E206" i="10"/>
  <c r="E70" i="5"/>
  <c r="E243" i="7"/>
  <c r="E172" i="7"/>
  <c r="D188" i="7"/>
  <c r="C140" i="10"/>
  <c r="E183" i="10"/>
  <c r="E47" i="4"/>
  <c r="D135" i="6"/>
  <c r="C87" i="9"/>
  <c r="E105" i="10"/>
  <c r="D90" i="7"/>
  <c r="C22" i="9"/>
  <c r="D195" i="5"/>
  <c r="E164" i="4"/>
  <c r="C66" i="4"/>
  <c r="D111" i="6"/>
  <c r="E251" i="7"/>
  <c r="C182" i="9"/>
  <c r="D64" i="4"/>
  <c r="E182" i="8"/>
  <c r="D67" i="4"/>
  <c r="D75" i="4"/>
  <c r="E135" i="9"/>
  <c r="E163" i="4"/>
  <c r="C36" i="7"/>
  <c r="C169" i="8"/>
  <c r="E250" i="10"/>
  <c r="C203" i="9"/>
  <c r="E92" i="8"/>
  <c r="C174" i="9"/>
  <c r="D207" i="9"/>
  <c r="E124" i="7"/>
  <c r="C144" i="8"/>
  <c r="D48" i="10"/>
  <c r="C202" i="10"/>
  <c r="E164" i="8"/>
  <c r="E229" i="9"/>
  <c r="D121" i="6"/>
  <c r="E116" i="10"/>
  <c r="E61" i="5"/>
  <c r="D69" i="5"/>
  <c r="C41" i="9"/>
  <c r="D133" i="10"/>
  <c r="D12" i="5"/>
  <c r="E122" i="7"/>
  <c r="C169" i="4"/>
  <c r="C177" i="4"/>
  <c r="D142" i="5"/>
  <c r="D141" i="4"/>
  <c r="D173" i="8"/>
  <c r="C67" i="5"/>
  <c r="C241" i="7"/>
  <c r="C73" i="8"/>
  <c r="E138" i="9"/>
  <c r="D243" i="9"/>
  <c r="C270" i="7"/>
  <c r="D141" i="8"/>
  <c r="E91" i="10"/>
  <c r="D217" i="10"/>
  <c r="C32" i="8"/>
  <c r="C56" i="9"/>
  <c r="D102" i="10"/>
  <c r="C58" i="10"/>
  <c r="D90" i="4"/>
  <c r="C71" i="4"/>
  <c r="C50" i="6"/>
  <c r="C204" i="8"/>
  <c r="E167" i="5"/>
  <c r="D41" i="6"/>
  <c r="D207" i="5"/>
  <c r="D167" i="8"/>
  <c r="D221" i="10"/>
  <c r="C205" i="6"/>
  <c r="C55" i="4"/>
  <c r="E63" i="4"/>
  <c r="C56" i="4"/>
  <c r="E80" i="8"/>
  <c r="E110" i="10"/>
  <c r="D7" i="5"/>
  <c r="C24" i="8"/>
  <c r="C25" i="8"/>
  <c r="C37" i="7"/>
  <c r="C55" i="8"/>
  <c r="E74" i="10"/>
  <c r="D234" i="9"/>
  <c r="E118" i="5"/>
  <c r="C166" i="8"/>
  <c r="E238" i="7"/>
  <c r="E177" i="10"/>
  <c r="E89" i="6"/>
  <c r="D120" i="7"/>
  <c r="C52" i="8"/>
  <c r="D135" i="10"/>
  <c r="E20" i="7"/>
  <c r="D50" i="8"/>
  <c r="D83" i="9"/>
  <c r="C221" i="7"/>
  <c r="D43" i="8"/>
  <c r="E193" i="9"/>
  <c r="E149" i="10"/>
  <c r="E200" i="5"/>
  <c r="D26" i="10"/>
  <c r="E65" i="5"/>
  <c r="C10" i="4"/>
  <c r="C18" i="4"/>
  <c r="C19" i="4"/>
  <c r="C234" i="5"/>
  <c r="D129" i="6"/>
  <c r="C67" i="8"/>
  <c r="E107" i="5"/>
  <c r="D123" i="5"/>
  <c r="C101" i="6"/>
  <c r="D113" i="9"/>
  <c r="E286" i="7"/>
  <c r="C28" i="10"/>
  <c r="D43" i="5"/>
  <c r="C186" i="10"/>
  <c r="C102" i="5"/>
  <c r="D85" i="4"/>
  <c r="E149" i="6"/>
  <c r="C109" i="8"/>
  <c r="D207" i="7"/>
  <c r="D29" i="8"/>
  <c r="E102" i="4"/>
  <c r="D11" i="7"/>
  <c r="C205" i="10"/>
  <c r="E98" i="6"/>
  <c r="C185" i="8"/>
  <c r="C18" i="9"/>
  <c r="C111" i="5"/>
  <c r="E60" i="6"/>
  <c r="C128" i="7"/>
  <c r="E42" i="7"/>
  <c r="D217" i="8"/>
  <c r="D121" i="9"/>
  <c r="E162" i="6"/>
  <c r="C179" i="8"/>
  <c r="E30" i="9"/>
  <c r="C55" i="9"/>
  <c r="E153" i="8"/>
  <c r="E99" i="10"/>
  <c r="C170" i="10"/>
  <c r="E96" i="7"/>
  <c r="C84" i="5"/>
  <c r="E99" i="7"/>
  <c r="C229" i="4"/>
  <c r="D43" i="9"/>
  <c r="D222" i="10"/>
  <c r="E134" i="5"/>
  <c r="C15" i="4"/>
  <c r="D42" i="6"/>
  <c r="C91" i="8"/>
  <c r="E177" i="6"/>
  <c r="E47" i="8"/>
  <c r="D146" i="7"/>
  <c r="C94" i="7"/>
  <c r="C45" i="5"/>
  <c r="D100" i="7"/>
  <c r="C176" i="8"/>
  <c r="D156" i="10"/>
  <c r="E205" i="8"/>
  <c r="D182" i="4"/>
  <c r="E59" i="10"/>
  <c r="E7" i="7"/>
  <c r="C155" i="6"/>
  <c r="C7" i="8"/>
  <c r="C28" i="4"/>
  <c r="E144" i="4"/>
  <c r="C180" i="4"/>
  <c r="C183" i="7"/>
  <c r="D237" i="9"/>
  <c r="E226" i="4"/>
  <c r="C218" i="4"/>
  <c r="E201" i="4"/>
  <c r="C174" i="10"/>
  <c r="C51" i="5"/>
  <c r="E48" i="6"/>
  <c r="C202" i="7"/>
  <c r="E219" i="4"/>
  <c r="E129" i="4"/>
  <c r="E27" i="6"/>
  <c r="C35" i="7"/>
  <c r="D207" i="10"/>
  <c r="D46" i="5"/>
  <c r="D75" i="8"/>
  <c r="C44" i="8"/>
  <c r="E179" i="5"/>
  <c r="E239" i="5"/>
  <c r="D61" i="9"/>
  <c r="E42" i="10"/>
  <c r="D164" i="10"/>
  <c r="E188" i="10"/>
  <c r="C17" i="6"/>
  <c r="E80" i="5"/>
  <c r="C231" i="5"/>
  <c r="E78" i="9"/>
  <c r="D58" i="9"/>
  <c r="D118" i="6"/>
  <c r="C228" i="4"/>
  <c r="C87" i="5"/>
  <c r="D22" i="5"/>
  <c r="E203" i="4"/>
  <c r="D62" i="5"/>
  <c r="E227" i="8"/>
  <c r="C34" i="9"/>
  <c r="D158" i="10"/>
  <c r="E227" i="4"/>
  <c r="E252" i="10"/>
  <c r="D63" i="9"/>
  <c r="D106" i="8"/>
  <c r="C54" i="5"/>
  <c r="D30" i="8"/>
  <c r="E181" i="5"/>
  <c r="D74" i="8"/>
  <c r="E129" i="5"/>
  <c r="C95" i="5"/>
  <c r="C220" i="8"/>
  <c r="C130" i="7"/>
  <c r="E220" i="5"/>
  <c r="E84" i="8"/>
  <c r="D170" i="5"/>
  <c r="C45" i="7"/>
  <c r="E222" i="4"/>
  <c r="E151" i="7"/>
  <c r="C89" i="8"/>
  <c r="D39" i="8"/>
  <c r="D169" i="5"/>
  <c r="E160" i="4"/>
  <c r="E110" i="6"/>
  <c r="C153" i="5"/>
  <c r="E71" i="9"/>
  <c r="C59" i="5"/>
  <c r="E16" i="4"/>
  <c r="C30" i="5"/>
  <c r="C159" i="7"/>
  <c r="C174" i="6"/>
  <c r="C20" i="4"/>
  <c r="D30" i="4"/>
  <c r="D54" i="4"/>
  <c r="E94" i="6"/>
  <c r="D156" i="5"/>
  <c r="E145" i="6"/>
  <c r="C26" i="5"/>
  <c r="E211" i="7"/>
  <c r="D173" i="4"/>
  <c r="D88" i="5"/>
  <c r="C129" i="8"/>
  <c r="C208" i="4"/>
  <c r="D51" i="9"/>
  <c r="D96" i="4"/>
  <c r="E102" i="9"/>
  <c r="D230" i="4"/>
  <c r="D120" i="8"/>
  <c r="D240" i="5"/>
  <c r="C61" i="10"/>
  <c r="C154" i="6"/>
  <c r="D207" i="4"/>
  <c r="C190" i="8"/>
  <c r="C88" i="8"/>
  <c r="C118" i="10"/>
  <c r="D219" i="8"/>
  <c r="D108" i="9"/>
  <c r="C107" i="6"/>
  <c r="D223" i="4"/>
  <c r="D103" i="8"/>
  <c r="E72" i="10"/>
  <c r="C262" i="10"/>
  <c r="D226" i="7"/>
  <c r="C177" i="5"/>
  <c r="D82" i="7"/>
  <c r="C216" i="5"/>
  <c r="E58" i="4"/>
  <c r="E23" i="5"/>
  <c r="E158" i="6"/>
  <c r="C8" i="5"/>
  <c r="D65" i="4"/>
  <c r="D178" i="10"/>
  <c r="E173" i="6"/>
  <c r="C99" i="5"/>
  <c r="E173" i="5"/>
  <c r="C214" i="8"/>
  <c r="D53" i="4"/>
  <c r="C191" i="6"/>
  <c r="C68" i="6"/>
  <c r="E37" i="6"/>
  <c r="C79" i="4"/>
  <c r="C81" i="5"/>
  <c r="E179" i="4"/>
  <c r="D243" i="5"/>
  <c r="E158" i="5"/>
  <c r="D79" i="5"/>
  <c r="C146" i="4"/>
  <c r="C135" i="5"/>
  <c r="E157" i="5"/>
  <c r="E24" i="10"/>
  <c r="D38" i="5"/>
  <c r="D154" i="5"/>
  <c r="C49" i="5"/>
  <c r="E27" i="8"/>
  <c r="D116" i="9"/>
  <c r="C152" i="9"/>
  <c r="C167" i="9"/>
  <c r="E9" i="10"/>
  <c r="E81" i="10"/>
  <c r="E45" i="8"/>
  <c r="E28" i="5"/>
  <c r="D169" i="6"/>
  <c r="C176" i="4"/>
  <c r="E154" i="4"/>
  <c r="E157" i="6"/>
  <c r="E196" i="8"/>
  <c r="E124" i="6"/>
  <c r="D150" i="7"/>
  <c r="E44" i="7"/>
  <c r="E44" i="6"/>
  <c r="C84" i="6"/>
  <c r="D37" i="5"/>
  <c r="E116" i="5"/>
  <c r="E51" i="4"/>
  <c r="E24" i="5"/>
  <c r="E171" i="7"/>
  <c r="E157" i="7"/>
  <c r="E131" i="7"/>
  <c r="E67" i="6"/>
  <c r="E21" i="5"/>
  <c r="D121" i="5"/>
  <c r="E17" i="9"/>
  <c r="D170" i="4"/>
  <c r="D35" i="5"/>
  <c r="E77" i="4"/>
  <c r="D220" i="7"/>
  <c r="E100" i="4"/>
  <c r="D103" i="4"/>
  <c r="E166" i="4"/>
  <c r="C251" i="10"/>
  <c r="E179" i="9"/>
  <c r="D177" i="7"/>
  <c r="D236" i="7"/>
  <c r="C57" i="8"/>
  <c r="D49" i="9"/>
  <c r="D170" i="6"/>
  <c r="D148" i="9"/>
  <c r="E14" i="10"/>
  <c r="D201" i="9"/>
  <c r="E97" i="9"/>
  <c r="C129" i="10"/>
  <c r="E9" i="9"/>
  <c r="D18" i="10"/>
  <c r="C50" i="4"/>
  <c r="E14" i="5"/>
  <c r="E279" i="7"/>
  <c r="C224" i="4"/>
  <c r="E211" i="5"/>
  <c r="E148" i="5"/>
  <c r="C106" i="4"/>
  <c r="E64" i="6"/>
  <c r="E290" i="7"/>
  <c r="E123" i="4"/>
  <c r="E97" i="8"/>
  <c r="E161" i="4"/>
  <c r="C204" i="5"/>
  <c r="C29" i="4"/>
  <c r="C152" i="7"/>
  <c r="C146" i="5"/>
  <c r="C131" i="4"/>
  <c r="D122" i="5"/>
  <c r="E187" i="10"/>
  <c r="E40" i="8"/>
  <c r="C63" i="5"/>
  <c r="C47" i="5"/>
  <c r="E61" i="6"/>
  <c r="D94" i="4"/>
  <c r="E172" i="9"/>
  <c r="E51" i="10"/>
  <c r="D88" i="10"/>
  <c r="E91" i="5"/>
  <c r="D158" i="9"/>
  <c r="E224" i="9"/>
  <c r="C204" i="9"/>
  <c r="C53" i="10"/>
  <c r="E154" i="10"/>
  <c r="E184" i="9"/>
  <c r="D206" i="10"/>
  <c r="C70" i="5"/>
  <c r="D243" i="7"/>
  <c r="D172" i="7"/>
  <c r="C188" i="7"/>
  <c r="E293" i="7"/>
  <c r="C14" i="6"/>
  <c r="E135" i="6"/>
  <c r="D87" i="9"/>
  <c r="C150" i="4"/>
  <c r="E158" i="4"/>
  <c r="D164" i="4"/>
  <c r="D66" i="4"/>
  <c r="C111" i="6"/>
  <c r="C251" i="7"/>
  <c r="E182" i="9"/>
  <c r="C64" i="4"/>
  <c r="C182" i="8"/>
  <c r="C67" i="4"/>
  <c r="C75" i="4"/>
  <c r="C92" i="8"/>
  <c r="D174" i="9"/>
  <c r="C207" i="9"/>
  <c r="D124" i="7"/>
  <c r="E144" i="8"/>
  <c r="C48" i="10"/>
  <c r="D202" i="10"/>
  <c r="D164" i="8"/>
  <c r="D235" i="9"/>
  <c r="C198" i="10"/>
  <c r="D128" i="8"/>
  <c r="E180" i="9"/>
  <c r="D277" i="10"/>
  <c r="C197" i="9"/>
  <c r="C230" i="9"/>
  <c r="E193" i="10"/>
  <c r="D126" i="8"/>
  <c r="E108" i="6"/>
  <c r="C121" i="6"/>
  <c r="D116" i="10"/>
  <c r="D61" i="5"/>
  <c r="E69" i="5"/>
  <c r="D204" i="6"/>
  <c r="D192" i="5"/>
  <c r="D112" i="8"/>
  <c r="C211" i="4"/>
  <c r="E53" i="5"/>
  <c r="D197" i="4"/>
  <c r="C143" i="5"/>
  <c r="D125" i="9"/>
  <c r="D200" i="10"/>
  <c r="C108" i="5"/>
  <c r="E109" i="5"/>
  <c r="E133" i="5"/>
  <c r="C55" i="6"/>
  <c r="D165" i="7"/>
  <c r="C172" i="8"/>
  <c r="D146" i="10"/>
  <c r="C25" i="5"/>
  <c r="E9" i="6"/>
  <c r="C136" i="5"/>
  <c r="D152" i="5"/>
  <c r="C113" i="5"/>
  <c r="E177" i="4"/>
  <c r="C142" i="5"/>
  <c r="E141" i="4"/>
  <c r="D241" i="7"/>
  <c r="D73" i="8"/>
  <c r="C138" i="9"/>
  <c r="C243" i="9"/>
  <c r="D270" i="7"/>
  <c r="E141" i="8"/>
  <c r="C91" i="10"/>
  <c r="E217" i="10"/>
  <c r="D32" i="8"/>
  <c r="E56" i="9"/>
  <c r="E102" i="10"/>
  <c r="C125" i="8"/>
  <c r="E192" i="10"/>
  <c r="D169" i="10"/>
  <c r="C77" i="9"/>
  <c r="D36" i="10"/>
  <c r="C119" i="7"/>
  <c r="C37" i="8"/>
  <c r="D178" i="8"/>
  <c r="C130" i="5"/>
  <c r="D50" i="6"/>
  <c r="D204" i="8"/>
  <c r="C167" i="5"/>
  <c r="E41" i="6"/>
  <c r="C57" i="6"/>
  <c r="D205" i="6"/>
  <c r="D55" i="4"/>
  <c r="C63" i="4"/>
  <c r="D56" i="4"/>
  <c r="C161" i="5"/>
  <c r="E7" i="5"/>
  <c r="D24" i="8"/>
  <c r="D55" i="8"/>
  <c r="C74" i="10"/>
  <c r="E140" i="6"/>
  <c r="D289" i="7"/>
  <c r="E87" i="10"/>
  <c r="C201" i="8"/>
  <c r="D276" i="7"/>
  <c r="D170" i="9"/>
  <c r="D191" i="5"/>
  <c r="E204" i="7"/>
  <c r="D96" i="7"/>
  <c r="D84" i="5"/>
  <c r="C99" i="7"/>
  <c r="C230" i="8"/>
  <c r="E229" i="4"/>
  <c r="D220" i="4"/>
  <c r="C13" i="4"/>
  <c r="E254" i="7"/>
  <c r="D19" i="6"/>
  <c r="E228" i="7"/>
  <c r="C42" i="5"/>
  <c r="E15" i="4"/>
  <c r="D109" i="6"/>
  <c r="E127" i="5"/>
  <c r="D176" i="8"/>
  <c r="E156" i="10"/>
  <c r="C205" i="8"/>
  <c r="C182" i="4"/>
  <c r="C59" i="10"/>
  <c r="D70" i="6"/>
  <c r="E7" i="8"/>
  <c r="D28" i="4"/>
  <c r="D144" i="4"/>
  <c r="D180" i="4"/>
  <c r="D183" i="7"/>
  <c r="C237" i="9"/>
  <c r="D226" i="4"/>
  <c r="D218" i="4"/>
  <c r="E231" i="7"/>
  <c r="E175" i="9"/>
  <c r="C156" i="6"/>
  <c r="C82" i="4"/>
  <c r="C187" i="4"/>
  <c r="C242" i="5"/>
  <c r="D215" i="7"/>
  <c r="C15" i="5"/>
  <c r="C217" i="5"/>
  <c r="D33" i="5"/>
  <c r="D8" i="4"/>
  <c r="C218" i="7"/>
  <c r="E271" i="7"/>
  <c r="D123" i="9"/>
  <c r="C48" i="6"/>
  <c r="E202" i="7"/>
  <c r="D219" i="4"/>
  <c r="C129" i="4"/>
  <c r="D27" i="6"/>
  <c r="E35" i="7"/>
  <c r="E200" i="8"/>
  <c r="D98" i="9"/>
  <c r="D109" i="4"/>
  <c r="E65" i="8"/>
  <c r="C58" i="9"/>
  <c r="C118" i="6"/>
  <c r="E228" i="4"/>
  <c r="D87" i="5"/>
  <c r="E22" i="5"/>
  <c r="C203" i="4"/>
  <c r="C62" i="5"/>
  <c r="D227" i="8"/>
  <c r="E34" i="9"/>
  <c r="E63" i="9"/>
  <c r="C106" i="8"/>
  <c r="E54" i="5"/>
  <c r="E30" i="8"/>
  <c r="D181" i="5"/>
  <c r="C74" i="8"/>
  <c r="D129" i="5"/>
  <c r="E95" i="5"/>
  <c r="E130" i="7"/>
  <c r="E184" i="5"/>
  <c r="C145" i="8"/>
  <c r="E45" i="7"/>
  <c r="C222" i="4"/>
  <c r="C151" i="7"/>
  <c r="E89" i="8"/>
  <c r="E39" i="8"/>
  <c r="E169" i="5"/>
  <c r="C110" i="6"/>
  <c r="E153" i="5"/>
  <c r="E36" i="4"/>
  <c r="C189" i="4"/>
  <c r="D140" i="5"/>
  <c r="D22" i="6"/>
  <c r="E30" i="4"/>
  <c r="E54" i="4"/>
  <c r="C94" i="6"/>
  <c r="C156" i="5"/>
  <c r="C44" i="4"/>
  <c r="E62" i="4"/>
  <c r="E173" i="4"/>
  <c r="C88" i="5"/>
  <c r="E129" i="8"/>
  <c r="D208" i="4"/>
  <c r="E51" i="9"/>
  <c r="C96" i="4"/>
  <c r="C102" i="9"/>
  <c r="C230" i="4"/>
  <c r="E120" i="8"/>
  <c r="E240" i="5"/>
  <c r="D61" i="10"/>
  <c r="D154" i="6"/>
  <c r="E207" i="4"/>
  <c r="D107" i="6"/>
  <c r="E223" i="4"/>
  <c r="E103" i="8"/>
  <c r="D72" i="10"/>
  <c r="E262" i="10"/>
  <c r="E226" i="7"/>
  <c r="E177" i="5"/>
  <c r="E82" i="7"/>
  <c r="E89" i="4"/>
  <c r="E93" i="5"/>
  <c r="E8" i="5"/>
  <c r="E65" i="4"/>
  <c r="C178" i="10"/>
  <c r="C173" i="6"/>
  <c r="D99" i="5"/>
  <c r="D173" i="5"/>
  <c r="D214" i="8"/>
  <c r="E53" i="4"/>
  <c r="D191" i="6"/>
  <c r="D226" i="5"/>
  <c r="C117" i="4"/>
  <c r="D146" i="4"/>
  <c r="E135" i="5"/>
  <c r="C157" i="5"/>
  <c r="C22" i="4"/>
  <c r="E109" i="10"/>
  <c r="D184" i="8"/>
  <c r="E261" i="7"/>
  <c r="E49" i="5"/>
  <c r="C27" i="8"/>
  <c r="E116" i="9"/>
  <c r="D152" i="9"/>
  <c r="D167" i="9"/>
  <c r="D9" i="10"/>
  <c r="C81" i="10"/>
  <c r="D45" i="8"/>
  <c r="D28" i="5"/>
  <c r="E169" i="6"/>
  <c r="E176" i="4"/>
  <c r="D154" i="4"/>
  <c r="D157" i="6"/>
  <c r="C196" i="8"/>
  <c r="C124" i="6"/>
  <c r="E28" i="8"/>
  <c r="C86" i="4"/>
  <c r="E126" i="4"/>
  <c r="E84" i="6"/>
  <c r="C37" i="5"/>
  <c r="D116" i="5"/>
  <c r="D51" i="4"/>
  <c r="D24" i="5"/>
  <c r="D171" i="7"/>
  <c r="E22" i="8"/>
  <c r="D67" i="6"/>
  <c r="C195" i="4"/>
  <c r="C17" i="9"/>
  <c r="E170" i="4"/>
  <c r="E35" i="5"/>
  <c r="C77" i="4"/>
  <c r="C220" i="7"/>
  <c r="C187" i="6"/>
  <c r="D251" i="10"/>
  <c r="D115" i="6"/>
  <c r="C214" i="4"/>
  <c r="C102" i="7"/>
  <c r="D77" i="6"/>
  <c r="D179" i="9"/>
  <c r="E177" i="7"/>
  <c r="C236" i="7"/>
  <c r="E57" i="8"/>
  <c r="C49" i="9"/>
  <c r="E170" i="6"/>
  <c r="C148" i="9"/>
  <c r="C14" i="10"/>
  <c r="C201" i="9"/>
  <c r="C97" i="9"/>
  <c r="E129" i="10"/>
  <c r="D9" i="9"/>
  <c r="C18" i="10"/>
  <c r="E222" i="8"/>
  <c r="D211" i="5"/>
  <c r="D148" i="5"/>
  <c r="E142" i="4"/>
  <c r="D57" i="5"/>
  <c r="D97" i="8"/>
  <c r="C161" i="4"/>
  <c r="D204" i="5"/>
  <c r="E29" i="4"/>
  <c r="E152" i="7"/>
  <c r="E146" i="5"/>
  <c r="D131" i="4"/>
  <c r="E32" i="5"/>
  <c r="D141" i="6"/>
  <c r="C63" i="6"/>
  <c r="E101" i="4"/>
  <c r="C40" i="8"/>
  <c r="D63" i="5"/>
  <c r="E47" i="5"/>
  <c r="C61" i="6"/>
  <c r="C94" i="4"/>
  <c r="C172" i="9"/>
  <c r="D91" i="5"/>
  <c r="E158" i="9"/>
  <c r="C224" i="9"/>
  <c r="D204" i="9"/>
  <c r="D53" i="10"/>
  <c r="C154" i="10"/>
  <c r="C184" i="9"/>
  <c r="C206" i="10"/>
  <c r="D70" i="5"/>
  <c r="C243" i="7"/>
  <c r="C172" i="7"/>
  <c r="E188" i="7"/>
  <c r="C293" i="7"/>
  <c r="E14" i="6"/>
  <c r="C232" i="10"/>
  <c r="D40" i="5"/>
  <c r="C38" i="6"/>
  <c r="D54" i="6"/>
  <c r="C135" i="6"/>
  <c r="E87" i="9"/>
  <c r="E150" i="4"/>
  <c r="C158" i="4"/>
  <c r="C167" i="6"/>
  <c r="C38" i="7"/>
  <c r="D40" i="9"/>
  <c r="D61" i="4"/>
  <c r="E111" i="6"/>
  <c r="D251" i="7"/>
  <c r="D182" i="9"/>
  <c r="E64" i="4"/>
  <c r="D182" i="8"/>
  <c r="E67" i="4"/>
  <c r="E75" i="4"/>
  <c r="C63" i="8"/>
  <c r="D155" i="4"/>
  <c r="D13" i="5"/>
  <c r="C194" i="9"/>
  <c r="C105" i="6"/>
  <c r="E196" i="10"/>
  <c r="C149" i="5"/>
  <c r="D92" i="8"/>
  <c r="E174" i="9"/>
  <c r="E207" i="9"/>
  <c r="C124" i="7"/>
  <c r="D144" i="8"/>
  <c r="E48" i="10"/>
  <c r="E202" i="10"/>
  <c r="C164" i="8"/>
  <c r="E235" i="9"/>
  <c r="E198" i="10"/>
  <c r="E128" i="8"/>
  <c r="D180" i="9"/>
  <c r="C277" i="10"/>
  <c r="D197" i="9"/>
  <c r="D230" i="9"/>
  <c r="C193" i="10"/>
  <c r="C126" i="8"/>
  <c r="D108" i="6"/>
  <c r="E84" i="7"/>
  <c r="D114" i="8"/>
  <c r="C116" i="10"/>
  <c r="C61" i="5"/>
  <c r="C69" i="5"/>
  <c r="C204" i="6"/>
  <c r="E192" i="5"/>
  <c r="C112" i="8"/>
  <c r="E211" i="4"/>
  <c r="C53" i="5"/>
  <c r="E197" i="4"/>
  <c r="E143" i="5"/>
  <c r="C125" i="9"/>
  <c r="E200" i="10"/>
  <c r="D108" i="5"/>
  <c r="D109" i="5"/>
  <c r="C133" i="5"/>
  <c r="D55" i="6"/>
  <c r="E165" i="7"/>
  <c r="E172" i="8"/>
  <c r="E146" i="10"/>
  <c r="D25" i="5"/>
  <c r="C9" i="6"/>
  <c r="D136" i="5"/>
  <c r="C152" i="5"/>
  <c r="D113" i="5"/>
  <c r="E192" i="8"/>
  <c r="C130" i="10"/>
  <c r="C47" i="9"/>
  <c r="E29" i="5"/>
  <c r="D127" i="6"/>
  <c r="C141" i="4"/>
  <c r="C69" i="6"/>
  <c r="C171" i="5"/>
  <c r="E122" i="4"/>
  <c r="E73" i="8"/>
  <c r="D138" i="9"/>
  <c r="E243" i="9"/>
  <c r="E270" i="7"/>
  <c r="C141" i="8"/>
  <c r="D91" i="10"/>
  <c r="C217" i="10"/>
  <c r="E32" i="8"/>
  <c r="D56" i="9"/>
  <c r="C102" i="10"/>
  <c r="E125" i="8"/>
  <c r="D192" i="10"/>
  <c r="E169" i="10"/>
  <c r="D77" i="9"/>
  <c r="C36" i="10"/>
  <c r="E119" i="7"/>
  <c r="E26" i="7"/>
  <c r="D37" i="8"/>
  <c r="C178" i="8"/>
  <c r="E130" i="5"/>
  <c r="E20" i="6"/>
  <c r="E204" i="8"/>
  <c r="D167" i="5"/>
  <c r="C41" i="6"/>
  <c r="D57" i="6"/>
  <c r="E177" i="8"/>
  <c r="E172" i="10"/>
  <c r="C168" i="9"/>
  <c r="E56" i="4"/>
  <c r="D161" i="5"/>
  <c r="C119" i="5"/>
  <c r="C150" i="8"/>
  <c r="D228" i="5"/>
  <c r="E24" i="8"/>
  <c r="E225" i="9"/>
  <c r="E164" i="6"/>
  <c r="C53" i="7"/>
  <c r="D140" i="6"/>
  <c r="E289" i="7"/>
  <c r="C87" i="10"/>
  <c r="D201" i="8"/>
  <c r="C276" i="7"/>
  <c r="E170" i="9"/>
  <c r="C191" i="5"/>
  <c r="C204" i="7"/>
  <c r="E245" i="5"/>
  <c r="E145" i="5"/>
  <c r="C124" i="9"/>
  <c r="E66" i="8"/>
  <c r="C175" i="5"/>
  <c r="C130" i="6"/>
  <c r="D192" i="7"/>
  <c r="C44" i="9"/>
  <c r="D219" i="5"/>
  <c r="C26" i="10"/>
  <c r="C65" i="5"/>
  <c r="D21" i="4"/>
  <c r="D213" i="5"/>
  <c r="C87" i="7"/>
  <c r="E27" i="10"/>
  <c r="C107" i="5"/>
  <c r="E123" i="5"/>
  <c r="E101" i="6"/>
  <c r="C113" i="9"/>
  <c r="C286" i="7"/>
  <c r="E28" i="10"/>
  <c r="C43" i="5"/>
  <c r="D92" i="7"/>
  <c r="C108" i="7"/>
  <c r="D61" i="7"/>
  <c r="C175" i="10"/>
  <c r="E14" i="9"/>
  <c r="E79" i="7"/>
  <c r="D212" i="5"/>
  <c r="D74" i="9"/>
  <c r="D82" i="9"/>
  <c r="E221" i="4"/>
  <c r="C207" i="7"/>
  <c r="E29" i="8"/>
  <c r="E88" i="4"/>
  <c r="E11" i="7"/>
  <c r="D117" i="5"/>
  <c r="D34" i="6"/>
  <c r="D41" i="8"/>
  <c r="C46" i="8"/>
  <c r="D234" i="7"/>
  <c r="E244" i="10"/>
  <c r="E197" i="6"/>
  <c r="D92" i="5"/>
  <c r="D94" i="5"/>
  <c r="D104" i="6"/>
  <c r="D210" i="8"/>
  <c r="C68" i="10"/>
  <c r="C78" i="7"/>
  <c r="C121" i="4"/>
  <c r="D153" i="6"/>
  <c r="E48" i="7"/>
  <c r="C96" i="9"/>
  <c r="C115" i="7"/>
  <c r="D12" i="6"/>
  <c r="C101" i="8"/>
  <c r="C114" i="4"/>
  <c r="C169" i="7"/>
  <c r="C105" i="4"/>
  <c r="C113" i="4"/>
  <c r="E178" i="9"/>
  <c r="E266" i="10"/>
  <c r="D216" i="9"/>
  <c r="D56" i="6"/>
  <c r="E211" i="9"/>
  <c r="E216" i="10"/>
  <c r="E132" i="5"/>
  <c r="D188" i="8"/>
  <c r="E36" i="8"/>
  <c r="E80" i="7"/>
  <c r="D188" i="5"/>
  <c r="C13" i="8"/>
  <c r="C187" i="9"/>
  <c r="D183" i="5"/>
  <c r="C228" i="8"/>
  <c r="D136" i="7"/>
  <c r="D267" i="10"/>
  <c r="E287" i="7"/>
  <c r="C200" i="7"/>
  <c r="E152" i="10"/>
  <c r="E201" i="5"/>
  <c r="D265" i="7"/>
  <c r="E170" i="7"/>
  <c r="E167" i="10"/>
  <c r="C7" i="10"/>
  <c r="D76" i="7"/>
  <c r="D7" i="4"/>
  <c r="E189" i="5"/>
  <c r="D62" i="8"/>
  <c r="C116" i="7"/>
  <c r="D142" i="8"/>
  <c r="C142" i="7"/>
  <c r="E78" i="6"/>
  <c r="D60" i="10"/>
  <c r="D216" i="7"/>
  <c r="D66" i="5"/>
  <c r="E74" i="5"/>
  <c r="C185" i="4"/>
  <c r="D73" i="6"/>
  <c r="C213" i="7"/>
  <c r="D118" i="7"/>
  <c r="C134" i="7"/>
  <c r="C79" i="6"/>
  <c r="C208" i="10"/>
  <c r="D52" i="7"/>
  <c r="D144" i="6"/>
  <c r="E97" i="5"/>
  <c r="E52" i="4"/>
  <c r="C222" i="5"/>
  <c r="E171" i="8"/>
  <c r="C24" i="6"/>
  <c r="C224" i="7"/>
  <c r="D87" i="8"/>
  <c r="D90" i="6"/>
  <c r="D137" i="7"/>
  <c r="E70" i="8"/>
  <c r="D157" i="10"/>
  <c r="E201" i="6"/>
  <c r="E273" i="7"/>
  <c r="E105" i="7"/>
  <c r="C129" i="9"/>
  <c r="D45" i="10"/>
  <c r="E16" i="9"/>
  <c r="D44" i="10"/>
  <c r="D162" i="10"/>
  <c r="E70" i="9"/>
  <c r="E45" i="4"/>
  <c r="C49" i="6"/>
  <c r="E33" i="10"/>
  <c r="D160" i="6"/>
  <c r="C147" i="4"/>
  <c r="D48" i="5"/>
  <c r="D56" i="5"/>
  <c r="D196" i="5"/>
  <c r="C96" i="7"/>
  <c r="E84" i="5"/>
  <c r="D99" i="7"/>
  <c r="D230" i="8"/>
  <c r="C220" i="4"/>
  <c r="E13" i="4"/>
  <c r="C254" i="7"/>
  <c r="C19" i="6"/>
  <c r="C228" i="7"/>
  <c r="D42" i="5"/>
  <c r="C115" i="4"/>
  <c r="D88" i="7"/>
  <c r="E109" i="6"/>
  <c r="C127" i="5"/>
  <c r="C120" i="4"/>
  <c r="E50" i="5"/>
  <c r="C133" i="9"/>
  <c r="C95" i="6"/>
  <c r="D60" i="4"/>
  <c r="D159" i="4"/>
  <c r="E186" i="6"/>
  <c r="D35" i="4"/>
  <c r="E182" i="4"/>
  <c r="D59" i="10"/>
  <c r="E70" i="6"/>
  <c r="C111" i="8"/>
  <c r="D38" i="4"/>
  <c r="E237" i="9"/>
  <c r="C226" i="4"/>
  <c r="E218" i="4"/>
  <c r="C231" i="7"/>
  <c r="C175" i="9"/>
  <c r="D156" i="6"/>
  <c r="D82" i="4"/>
  <c r="D187" i="4"/>
  <c r="E242" i="5"/>
  <c r="E215" i="7"/>
  <c r="E15" i="5"/>
  <c r="D217" i="5"/>
  <c r="E33" i="5"/>
  <c r="E8" i="4"/>
  <c r="D218" i="7"/>
  <c r="C271" i="7"/>
  <c r="C123" i="9"/>
  <c r="E68" i="4"/>
  <c r="E193" i="7"/>
  <c r="D202" i="7"/>
  <c r="C219" i="4"/>
  <c r="D129" i="4"/>
  <c r="C27" i="6"/>
  <c r="D35" i="7"/>
  <c r="D200" i="8"/>
  <c r="E98" i="9"/>
  <c r="D131" i="6"/>
  <c r="E228" i="9"/>
  <c r="D109" i="7"/>
  <c r="E104" i="5"/>
  <c r="D284" i="7"/>
  <c r="C280" i="7"/>
  <c r="C198" i="6"/>
  <c r="D116" i="8"/>
  <c r="D176" i="7"/>
  <c r="D98" i="8"/>
  <c r="C274" i="10"/>
  <c r="E33" i="8"/>
  <c r="D39" i="4"/>
  <c r="D181" i="7"/>
  <c r="C109" i="4"/>
  <c r="D65" i="8"/>
  <c r="E167" i="7"/>
  <c r="C227" i="8"/>
  <c r="D34" i="9"/>
  <c r="E19" i="5"/>
  <c r="D162" i="4"/>
  <c r="E225" i="7"/>
  <c r="C13" i="6"/>
  <c r="C30" i="8"/>
  <c r="C181" i="5"/>
  <c r="E74" i="8"/>
  <c r="C129" i="5"/>
  <c r="D95" i="5"/>
  <c r="E11" i="8"/>
  <c r="C252" i="7"/>
  <c r="D184" i="5"/>
  <c r="E145" i="8"/>
  <c r="E113" i="10"/>
  <c r="E19" i="7"/>
  <c r="D190" i="10"/>
  <c r="C39" i="8"/>
  <c r="C169" i="5"/>
  <c r="C10" i="6"/>
  <c r="D153" i="5"/>
  <c r="D36" i="4"/>
  <c r="D189" i="4"/>
  <c r="C140" i="5"/>
  <c r="E22" i="6"/>
  <c r="E29" i="6"/>
  <c r="E184" i="4"/>
  <c r="C190" i="4"/>
  <c r="D41" i="7"/>
  <c r="D148" i="6"/>
  <c r="C107" i="7"/>
  <c r="E64" i="7"/>
  <c r="E148" i="10"/>
  <c r="C30" i="4"/>
  <c r="C54" i="4"/>
  <c r="D94" i="6"/>
  <c r="E156" i="5"/>
  <c r="D44" i="4"/>
  <c r="C62" i="4"/>
  <c r="C199" i="7"/>
  <c r="E210" i="6"/>
  <c r="E197" i="5"/>
  <c r="D102" i="9"/>
  <c r="E230" i="4"/>
  <c r="C120" i="8"/>
  <c r="C240" i="5"/>
  <c r="E61" i="10"/>
  <c r="E154" i="6"/>
  <c r="C207" i="4"/>
  <c r="C107" i="9"/>
  <c r="E209" i="8"/>
  <c r="D192" i="9"/>
  <c r="C19" i="10"/>
  <c r="D227" i="9"/>
  <c r="C82" i="7"/>
  <c r="D89" i="4"/>
  <c r="C93" i="5"/>
  <c r="C78" i="5"/>
  <c r="C193" i="4"/>
  <c r="E135" i="4"/>
  <c r="E32" i="4"/>
  <c r="E34" i="4"/>
  <c r="E99" i="5"/>
  <c r="C173" i="5"/>
  <c r="E214" i="8"/>
  <c r="C53" i="4"/>
  <c r="E191" i="6"/>
  <c r="C226" i="5"/>
  <c r="D117" i="4"/>
  <c r="D43" i="7"/>
  <c r="D203" i="6"/>
  <c r="C9" i="4"/>
  <c r="C237" i="10"/>
  <c r="D26" i="9"/>
  <c r="D224" i="5"/>
  <c r="C167" i="4"/>
  <c r="E146" i="4"/>
  <c r="D135" i="5"/>
  <c r="D157" i="5"/>
  <c r="E22" i="4"/>
  <c r="D109" i="10"/>
  <c r="E184" i="8"/>
  <c r="C261" i="7"/>
  <c r="E107" i="4"/>
  <c r="D187" i="5"/>
  <c r="E157" i="4"/>
  <c r="D57" i="4"/>
  <c r="D27" i="8"/>
  <c r="C116" i="9"/>
  <c r="E152" i="9"/>
  <c r="E167" i="9"/>
  <c r="C9" i="10"/>
  <c r="D81" i="10"/>
  <c r="C45" i="8"/>
  <c r="C28" i="5"/>
  <c r="C169" i="6"/>
  <c r="D176" i="4"/>
  <c r="C154" i="4"/>
  <c r="C157" i="6"/>
  <c r="D196" i="8"/>
  <c r="D124" i="6"/>
  <c r="D55" i="5"/>
  <c r="D28" i="8"/>
  <c r="D86" i="4"/>
  <c r="D126" i="4"/>
  <c r="C24" i="4"/>
  <c r="E117" i="8"/>
  <c r="D22" i="8"/>
  <c r="E81" i="4"/>
  <c r="C144" i="5"/>
  <c r="C67" i="6"/>
  <c r="E195" i="4"/>
  <c r="D209" i="4"/>
  <c r="E220" i="7"/>
  <c r="E187" i="6"/>
  <c r="E206" i="7"/>
  <c r="C136" i="4"/>
  <c r="D144" i="9"/>
  <c r="E115" i="6"/>
  <c r="E214" i="4"/>
  <c r="E102" i="7"/>
  <c r="C77" i="6"/>
  <c r="E236" i="7"/>
  <c r="D57" i="8"/>
  <c r="E49" i="9"/>
  <c r="C170" i="6"/>
  <c r="E148" i="9"/>
  <c r="D14" i="10"/>
  <c r="E201" i="9"/>
  <c r="D97" i="9"/>
  <c r="D129" i="10"/>
  <c r="C9" i="9"/>
  <c r="E18" i="10"/>
  <c r="D222" i="8"/>
  <c r="D156" i="4"/>
  <c r="E53" i="8"/>
  <c r="C17" i="10"/>
  <c r="D59" i="4"/>
  <c r="C148" i="5"/>
  <c r="D142" i="4"/>
  <c r="E57" i="5"/>
  <c r="C32" i="7"/>
  <c r="C127" i="4"/>
  <c r="D139" i="10"/>
  <c r="C136" i="6"/>
  <c r="D152" i="7"/>
  <c r="D146" i="5"/>
  <c r="E131" i="4"/>
  <c r="C32" i="5"/>
  <c r="C141" i="6"/>
  <c r="E63" i="6"/>
  <c r="C101" i="4"/>
  <c r="D191" i="4"/>
  <c r="D104" i="7"/>
  <c r="D47" i="5"/>
  <c r="D61" i="6"/>
  <c r="E94" i="4"/>
  <c r="D172" i="9"/>
  <c r="E131" i="10"/>
  <c r="E46" i="7"/>
  <c r="D293" i="7"/>
  <c r="D14" i="6"/>
  <c r="E232" i="10"/>
  <c r="E40" i="5"/>
  <c r="D38" i="6"/>
  <c r="C54" i="6"/>
  <c r="E237" i="5"/>
  <c r="D150" i="4"/>
  <c r="D158" i="4"/>
  <c r="E167" i="6"/>
  <c r="D38" i="7"/>
  <c r="C40" i="9"/>
  <c r="C61" i="4"/>
  <c r="E172" i="5"/>
  <c r="D221" i="5"/>
  <c r="E229" i="5"/>
  <c r="E63" i="8"/>
  <c r="C155" i="4"/>
  <c r="E13" i="5"/>
  <c r="D194" i="9"/>
  <c r="E105" i="6"/>
  <c r="D196" i="10"/>
  <c r="D149" i="5"/>
  <c r="C117" i="9"/>
  <c r="C235" i="9"/>
  <c r="D198" i="10"/>
  <c r="C128" i="8"/>
  <c r="C180" i="9"/>
  <c r="E277" i="10"/>
  <c r="E197" i="9"/>
  <c r="E230" i="9"/>
  <c r="D193" i="10"/>
  <c r="E126" i="8"/>
  <c r="C108" i="6"/>
  <c r="D84" i="7"/>
  <c r="E114" i="8"/>
  <c r="E159" i="9"/>
  <c r="E204" i="6"/>
  <c r="C192" i="5"/>
  <c r="E112" i="8"/>
  <c r="D211" i="4"/>
  <c r="D53" i="5"/>
  <c r="C197" i="4"/>
  <c r="D143" i="5"/>
  <c r="E125" i="9"/>
  <c r="C200" i="10"/>
  <c r="E108" i="5"/>
  <c r="C109" i="5"/>
  <c r="D133" i="5"/>
  <c r="E55" i="6"/>
  <c r="C165" i="7"/>
  <c r="D172" i="8"/>
  <c r="C146" i="10"/>
  <c r="E25" i="5"/>
  <c r="D9" i="6"/>
  <c r="E136" i="5"/>
  <c r="E152" i="5"/>
  <c r="E113" i="5"/>
  <c r="C192" i="8"/>
  <c r="D130" i="10"/>
  <c r="E47" i="9"/>
  <c r="C29" i="5"/>
  <c r="C127" i="6"/>
  <c r="D58" i="5"/>
  <c r="C15" i="8"/>
  <c r="E69" i="6"/>
  <c r="E171" i="5"/>
  <c r="D122" i="4"/>
  <c r="C40" i="6"/>
  <c r="E161" i="10"/>
  <c r="D125" i="8"/>
  <c r="C192" i="10"/>
  <c r="C169" i="10"/>
  <c r="E77" i="9"/>
  <c r="E36" i="10"/>
  <c r="D119" i="7"/>
  <c r="C26" i="7"/>
  <c r="E37" i="8"/>
  <c r="E178" i="8"/>
  <c r="D130" i="5"/>
  <c r="D20" i="6"/>
  <c r="D95" i="8"/>
  <c r="E57" i="6"/>
  <c r="D177" i="8"/>
  <c r="C172" i="10"/>
  <c r="E168" i="9"/>
  <c r="C111" i="4"/>
  <c r="E100" i="6"/>
  <c r="E235" i="5"/>
  <c r="E161" i="5"/>
  <c r="D119" i="5"/>
  <c r="D150" i="8"/>
  <c r="E228" i="5"/>
  <c r="E25" i="10"/>
  <c r="E230" i="8"/>
  <c r="D168" i="5"/>
  <c r="D140" i="4"/>
  <c r="E220" i="4"/>
  <c r="D13" i="4"/>
  <c r="D254" i="7"/>
  <c r="E19" i="6"/>
  <c r="D228" i="7"/>
  <c r="E42" i="5"/>
  <c r="E115" i="4"/>
  <c r="C88" i="7"/>
  <c r="C109" i="6"/>
  <c r="D127" i="5"/>
  <c r="D120" i="4"/>
  <c r="C50" i="5"/>
  <c r="D133" i="9"/>
  <c r="D95" i="6"/>
  <c r="E60" i="4"/>
  <c r="C159" i="4"/>
  <c r="D186" i="6"/>
  <c r="E35" i="4"/>
  <c r="C52" i="10"/>
  <c r="D245" i="7"/>
  <c r="C83" i="8"/>
  <c r="C70" i="6"/>
  <c r="D111" i="8"/>
  <c r="E38" i="4"/>
  <c r="E124" i="5"/>
  <c r="E243" i="10"/>
  <c r="C132" i="4"/>
  <c r="E103" i="6"/>
  <c r="D231" i="7"/>
  <c r="D175" i="9"/>
  <c r="E156" i="6"/>
  <c r="E82" i="4"/>
  <c r="E187" i="4"/>
  <c r="D242" i="5"/>
  <c r="C215" i="7"/>
  <c r="D15" i="5"/>
  <c r="E217" i="5"/>
  <c r="C33" i="5"/>
  <c r="C8" i="4"/>
  <c r="E218" i="7"/>
  <c r="D271" i="7"/>
  <c r="E123" i="9"/>
  <c r="D68" i="4"/>
  <c r="C193" i="7"/>
  <c r="C217" i="4"/>
  <c r="C200" i="8"/>
  <c r="C98" i="9"/>
  <c r="C131" i="6"/>
  <c r="D228" i="9"/>
  <c r="C109" i="7"/>
  <c r="D104" i="5"/>
  <c r="C284" i="7"/>
  <c r="D280" i="7"/>
  <c r="D198" i="6"/>
  <c r="E116" i="8"/>
  <c r="E176" i="7"/>
  <c r="C98" i="8"/>
  <c r="E274" i="10"/>
  <c r="D33" i="8"/>
  <c r="C39" i="4"/>
  <c r="C181" i="7"/>
  <c r="C37" i="4"/>
  <c r="E109" i="4"/>
  <c r="C65" i="8"/>
  <c r="C167" i="7"/>
  <c r="E158" i="8"/>
  <c r="C121" i="10"/>
  <c r="C66" i="7"/>
  <c r="E83" i="4"/>
  <c r="C66" i="10"/>
  <c r="E27" i="4"/>
  <c r="D71" i="6"/>
  <c r="D19" i="5"/>
  <c r="C162" i="4"/>
  <c r="D225" i="7"/>
  <c r="E13" i="6"/>
  <c r="D110" i="7"/>
  <c r="D85" i="6"/>
  <c r="D196" i="4"/>
  <c r="C11" i="8"/>
  <c r="D252" i="7"/>
  <c r="D49" i="10"/>
  <c r="C80" i="9"/>
  <c r="C184" i="5"/>
  <c r="D145" i="8"/>
  <c r="D113" i="10"/>
  <c r="D19" i="7"/>
  <c r="E190" i="10"/>
  <c r="D259" i="10"/>
  <c r="D225" i="4"/>
  <c r="C203" i="5"/>
  <c r="C147" i="5"/>
  <c r="D10" i="6"/>
  <c r="C36" i="4"/>
  <c r="E189" i="4"/>
  <c r="E140" i="5"/>
  <c r="C22" i="6"/>
  <c r="D29" i="6"/>
  <c r="C184" i="4"/>
  <c r="E190" i="4"/>
  <c r="C41" i="7"/>
  <c r="E148" i="6"/>
  <c r="E107" i="7"/>
  <c r="C64" i="7"/>
  <c r="C148" i="10"/>
  <c r="E44" i="4"/>
  <c r="D62" i="4"/>
  <c r="D199" i="7"/>
  <c r="C210" i="6"/>
  <c r="D197" i="5"/>
  <c r="D85" i="5"/>
  <c r="C49" i="7"/>
  <c r="E71" i="5"/>
  <c r="E139" i="4"/>
  <c r="D132" i="6"/>
  <c r="C213" i="9"/>
  <c r="D107" i="9"/>
  <c r="D209" i="8"/>
  <c r="E192" i="9"/>
  <c r="E19" i="10"/>
  <c r="C227" i="9"/>
  <c r="D126" i="10"/>
  <c r="D113" i="8"/>
  <c r="E104" i="9"/>
  <c r="E189" i="9"/>
  <c r="E128" i="10"/>
  <c r="C193" i="5"/>
  <c r="C112" i="4"/>
  <c r="C89" i="4"/>
  <c r="D93" i="5"/>
  <c r="D78" i="5"/>
  <c r="E193" i="4"/>
  <c r="C135" i="4"/>
  <c r="C32" i="4"/>
  <c r="D34" i="4"/>
  <c r="C134" i="4"/>
  <c r="C69" i="7"/>
  <c r="E181" i="6"/>
  <c r="E226" i="5"/>
  <c r="E117" i="4"/>
  <c r="C43" i="7"/>
  <c r="E203" i="6"/>
  <c r="E9" i="4"/>
  <c r="D237" i="10"/>
  <c r="E26" i="9"/>
  <c r="E224" i="5"/>
  <c r="D167" i="4"/>
  <c r="D22" i="4"/>
  <c r="C109" i="10"/>
  <c r="C184" i="8"/>
  <c r="D261" i="7"/>
  <c r="C107" i="4"/>
  <c r="C187" i="5"/>
  <c r="C157" i="4"/>
  <c r="C57" i="4"/>
  <c r="E174" i="5"/>
  <c r="C55" i="5"/>
  <c r="E159" i="5"/>
  <c r="C28" i="8"/>
  <c r="E86" i="4"/>
  <c r="C126" i="4"/>
  <c r="E24" i="4"/>
  <c r="C117" i="8"/>
  <c r="C91" i="6"/>
  <c r="D46" i="4"/>
  <c r="E156" i="8"/>
  <c r="E164" i="5"/>
  <c r="D108" i="4"/>
  <c r="C97" i="4"/>
  <c r="A56" i="11"/>
  <c r="C22" i="8"/>
  <c r="C81" i="4"/>
  <c r="E144" i="5"/>
  <c r="D195" i="4"/>
  <c r="E209" i="4"/>
  <c r="E127" i="9"/>
  <c r="E76" i="5"/>
  <c r="C43" i="4"/>
  <c r="D187" i="6"/>
  <c r="D206" i="7"/>
  <c r="E136" i="4"/>
  <c r="E144" i="9"/>
  <c r="E31" i="10"/>
  <c r="C115" i="6"/>
  <c r="D214" i="4"/>
  <c r="D102" i="7"/>
  <c r="E77" i="6"/>
  <c r="E115" i="9"/>
  <c r="C79" i="9"/>
  <c r="C222" i="8"/>
  <c r="E156" i="4"/>
  <c r="C53" i="8"/>
  <c r="E17" i="10"/>
  <c r="E59" i="4"/>
  <c r="E204" i="4"/>
  <c r="C142" i="4"/>
  <c r="C57" i="5"/>
  <c r="D32" i="7"/>
  <c r="E127" i="4"/>
  <c r="C139" i="10"/>
  <c r="D136" i="6"/>
  <c r="C173" i="7"/>
  <c r="C114" i="5"/>
  <c r="D102" i="6"/>
  <c r="E192" i="6"/>
  <c r="C179" i="10"/>
  <c r="D32" i="5"/>
  <c r="E141" i="6"/>
  <c r="D63" i="6"/>
  <c r="D101" i="4"/>
  <c r="C191" i="4"/>
  <c r="C104" i="7"/>
  <c r="E72" i="6"/>
  <c r="C137" i="4"/>
  <c r="C131" i="10"/>
  <c r="C46" i="7"/>
  <c r="D193" i="8"/>
  <c r="C165" i="5"/>
  <c r="E199" i="6"/>
  <c r="E208" i="6"/>
  <c r="E229" i="7"/>
  <c r="D121" i="7"/>
  <c r="E268" i="10"/>
  <c r="D154" i="7"/>
  <c r="D165" i="4"/>
  <c r="E211" i="8"/>
  <c r="C130" i="4"/>
  <c r="E138" i="4"/>
  <c r="D232" i="10"/>
  <c r="C40" i="5"/>
  <c r="E38" i="6"/>
  <c r="E54" i="6"/>
  <c r="C237" i="5"/>
  <c r="C161" i="8"/>
  <c r="C16" i="8"/>
  <c r="E171" i="10"/>
  <c r="D167" i="6"/>
  <c r="E38" i="7"/>
  <c r="E40" i="9"/>
  <c r="E61" i="4"/>
  <c r="D172" i="5"/>
  <c r="C221" i="5"/>
  <c r="C229" i="5"/>
  <c r="E126" i="5"/>
  <c r="E277" i="7"/>
  <c r="C210" i="7"/>
  <c r="E264" i="10"/>
  <c r="E98" i="4"/>
  <c r="D60" i="7"/>
  <c r="D196" i="6"/>
  <c r="E84" i="10"/>
  <c r="D63" i="8"/>
  <c r="E155" i="4"/>
  <c r="C13" i="5"/>
  <c r="E194" i="9"/>
  <c r="D105" i="6"/>
  <c r="C196" i="10"/>
  <c r="E149" i="5"/>
  <c r="D117" i="9"/>
  <c r="E118" i="8"/>
  <c r="E56" i="8"/>
  <c r="E246" i="9"/>
  <c r="E134" i="10"/>
  <c r="D117" i="7"/>
  <c r="D238" i="9"/>
  <c r="D47" i="10"/>
  <c r="D99" i="9"/>
  <c r="C10" i="8"/>
  <c r="C84" i="7"/>
  <c r="C114" i="8"/>
  <c r="D159" i="9"/>
  <c r="C233" i="7"/>
  <c r="D250" i="7"/>
  <c r="D266" i="7"/>
  <c r="D192" i="8"/>
  <c r="E130" i="10"/>
  <c r="D47" i="9"/>
  <c r="D29" i="5"/>
  <c r="E127" i="6"/>
  <c r="E58" i="5"/>
  <c r="D15" i="8"/>
  <c r="C70" i="4"/>
  <c r="D149" i="4"/>
  <c r="D69" i="6"/>
  <c r="D171" i="5"/>
  <c r="C122" i="4"/>
  <c r="E40" i="6"/>
  <c r="C161" i="10"/>
  <c r="C182" i="7"/>
  <c r="D119" i="9"/>
  <c r="C210" i="9"/>
  <c r="C231" i="10"/>
  <c r="E168" i="7"/>
  <c r="E202" i="9"/>
  <c r="D41" i="10"/>
  <c r="D69" i="10"/>
  <c r="C90" i="8"/>
  <c r="C101" i="10"/>
  <c r="C147" i="10"/>
  <c r="D26" i="7"/>
  <c r="C20" i="6"/>
  <c r="E95" i="8"/>
  <c r="E189" i="7"/>
  <c r="D100" i="10"/>
  <c r="C188" i="4"/>
  <c r="C177" i="8"/>
  <c r="D172" i="10"/>
  <c r="D168" i="9"/>
  <c r="D111" i="4"/>
  <c r="C100" i="6"/>
  <c r="D235" i="5"/>
  <c r="E119" i="5"/>
  <c r="E150" i="8"/>
  <c r="C228" i="5"/>
  <c r="C25" i="10"/>
  <c r="E100" i="5"/>
  <c r="C99" i="4"/>
  <c r="D225" i="9"/>
  <c r="D164" i="6"/>
  <c r="E53" i="7"/>
  <c r="D8" i="9"/>
  <c r="E207" i="8"/>
  <c r="E101" i="5"/>
  <c r="D92" i="6"/>
  <c r="E168" i="5"/>
  <c r="E140" i="4"/>
  <c r="E58" i="6"/>
  <c r="D115" i="4"/>
  <c r="E88" i="7"/>
  <c r="E120" i="4"/>
  <c r="D50" i="5"/>
  <c r="E133" i="9"/>
  <c r="E95" i="6"/>
  <c r="C60" i="4"/>
  <c r="E159" i="4"/>
  <c r="C186" i="6"/>
  <c r="C35" i="4"/>
  <c r="D52" i="10"/>
  <c r="E245" i="7"/>
  <c r="D83" i="8"/>
  <c r="C22" i="7"/>
  <c r="E111" i="8"/>
  <c r="C38" i="4"/>
  <c r="D124" i="5"/>
  <c r="D243" i="10"/>
  <c r="D132" i="4"/>
  <c r="C103" i="6"/>
  <c r="C11" i="9"/>
  <c r="E213" i="4"/>
  <c r="E185" i="7"/>
  <c r="C68" i="4"/>
  <c r="D193" i="7"/>
  <c r="D217" i="4"/>
  <c r="E11" i="5"/>
  <c r="D64" i="9"/>
  <c r="E242" i="10"/>
  <c r="E68" i="5"/>
  <c r="E162" i="5"/>
  <c r="E241" i="9"/>
  <c r="E131" i="6"/>
  <c r="C228" i="9"/>
  <c r="E109" i="7"/>
  <c r="C104" i="5"/>
  <c r="E284" i="7"/>
  <c r="E280" i="7"/>
  <c r="E198" i="6"/>
  <c r="C116" i="8"/>
  <c r="C176" i="7"/>
  <c r="E98" i="8"/>
  <c r="D274" i="10"/>
  <c r="C33" i="8"/>
  <c r="E39" i="4"/>
  <c r="E181" i="7"/>
  <c r="E37" i="4"/>
  <c r="D104" i="8"/>
  <c r="D167" i="7"/>
  <c r="C158" i="8"/>
  <c r="E121" i="10"/>
  <c r="E66" i="7"/>
  <c r="C83" i="4"/>
  <c r="E66" i="10"/>
  <c r="C27" i="4"/>
  <c r="E71" i="6"/>
  <c r="E119" i="4"/>
  <c r="D36" i="6"/>
  <c r="E173" i="9"/>
  <c r="C19" i="5"/>
  <c r="E162" i="4"/>
  <c r="C225" i="7"/>
  <c r="D13" i="6"/>
  <c r="E110" i="7"/>
  <c r="E85" i="6"/>
  <c r="E196" i="4"/>
  <c r="C285" i="7"/>
  <c r="C62" i="7"/>
  <c r="D99" i="8"/>
  <c r="D151" i="5"/>
  <c r="C148" i="8"/>
  <c r="D11" i="8"/>
  <c r="E252" i="7"/>
  <c r="C49" i="10"/>
  <c r="D80" i="9"/>
  <c r="C191" i="9"/>
  <c r="C113" i="10"/>
  <c r="C19" i="7"/>
  <c r="C190" i="10"/>
  <c r="E259" i="10"/>
  <c r="E225" i="4"/>
  <c r="D203" i="5"/>
  <c r="E147" i="5"/>
  <c r="D163" i="10"/>
  <c r="E10" i="6"/>
  <c r="C29" i="6"/>
  <c r="D184" i="4"/>
  <c r="D190" i="4"/>
  <c r="E41" i="7"/>
  <c r="C148" i="6"/>
  <c r="D107" i="7"/>
  <c r="D64" i="7"/>
  <c r="D148" i="10"/>
  <c r="C194" i="5"/>
  <c r="E60" i="5"/>
  <c r="C148" i="4"/>
  <c r="E199" i="7"/>
  <c r="D210" i="6"/>
  <c r="C197" i="5"/>
  <c r="C85" i="5"/>
  <c r="D49" i="7"/>
  <c r="D71" i="5"/>
  <c r="D139" i="4"/>
  <c r="E132" i="6"/>
  <c r="E213" i="9"/>
  <c r="D103" i="5"/>
  <c r="C188" i="6"/>
  <c r="C154" i="8"/>
  <c r="E77" i="8"/>
  <c r="C86" i="10"/>
  <c r="E178" i="4"/>
  <c r="E107" i="9"/>
  <c r="C209" i="8"/>
  <c r="C192" i="9"/>
  <c r="D19" i="10"/>
  <c r="E227" i="9"/>
  <c r="E126" i="10"/>
  <c r="C113" i="8"/>
  <c r="D104" i="9"/>
  <c r="D189" i="9"/>
  <c r="D128" i="10"/>
  <c r="E193" i="5"/>
  <c r="D112" i="4"/>
  <c r="D166" i="6"/>
  <c r="E78" i="5"/>
  <c r="D193" i="4"/>
  <c r="D135" i="4"/>
  <c r="D32" i="4"/>
  <c r="C34" i="4"/>
  <c r="E134" i="4"/>
  <c r="E69" i="7"/>
  <c r="D181" i="6"/>
  <c r="E49" i="4"/>
  <c r="D119" i="6"/>
  <c r="D136" i="9"/>
  <c r="E14" i="8"/>
  <c r="E43" i="7"/>
  <c r="C203" i="6"/>
  <c r="D9" i="4"/>
  <c r="E237" i="10"/>
  <c r="C26" i="9"/>
  <c r="C224" i="5"/>
  <c r="E167" i="4"/>
  <c r="D150" i="5"/>
  <c r="E163" i="7"/>
  <c r="C77" i="5"/>
  <c r="C70" i="7"/>
  <c r="D107" i="4"/>
  <c r="E187" i="5"/>
  <c r="D157" i="4"/>
  <c r="E57" i="4"/>
  <c r="C174" i="5"/>
  <c r="C121" i="8"/>
  <c r="C86" i="7"/>
  <c r="D40" i="7"/>
  <c r="E76" i="8"/>
  <c r="D35" i="8"/>
  <c r="E227" i="5"/>
  <c r="E232" i="7"/>
  <c r="E139" i="5"/>
  <c r="E34" i="5"/>
  <c r="D20" i="5"/>
  <c r="D181" i="4"/>
  <c r="C42" i="4"/>
  <c r="C146" i="6"/>
  <c r="C72" i="7"/>
  <c r="E55" i="5"/>
  <c r="D159" i="5"/>
  <c r="D24" i="4"/>
  <c r="D117" i="8"/>
  <c r="E91" i="6"/>
  <c r="E46" i="4"/>
  <c r="C156" i="8"/>
  <c r="C164" i="5"/>
  <c r="E108" i="4"/>
  <c r="D97" i="4"/>
  <c r="D81" i="4"/>
  <c r="D144" i="5"/>
  <c r="D255" i="7"/>
  <c r="C209" i="4"/>
  <c r="D127" i="9"/>
  <c r="D76" i="5"/>
  <c r="D43" i="4"/>
  <c r="C206" i="7"/>
  <c r="D136" i="4"/>
  <c r="C144" i="9"/>
  <c r="C31" i="10"/>
  <c r="C115" i="9"/>
  <c r="E79" i="9"/>
  <c r="D88" i="9"/>
  <c r="D199" i="9"/>
  <c r="C40" i="10"/>
  <c r="E227" i="10"/>
  <c r="D143" i="8"/>
  <c r="C17" i="7"/>
  <c r="D78" i="8"/>
  <c r="C92" i="10"/>
  <c r="C248" i="7"/>
  <c r="D74" i="6"/>
  <c r="C88" i="6"/>
  <c r="E153" i="4"/>
  <c r="C156" i="4"/>
  <c r="D53" i="8"/>
  <c r="D17" i="10"/>
  <c r="C59" i="4"/>
  <c r="D204" i="4"/>
  <c r="E64" i="8"/>
  <c r="E32" i="7"/>
  <c r="D127" i="4"/>
  <c r="E139" i="10"/>
  <c r="E136" i="6"/>
  <c r="D173" i="7"/>
  <c r="D114" i="5"/>
  <c r="E102" i="6"/>
  <c r="D192" i="6"/>
  <c r="E179" i="10"/>
  <c r="D200" i="4"/>
  <c r="E143" i="4"/>
  <c r="D199" i="4"/>
  <c r="E110" i="4"/>
  <c r="E191" i="4"/>
  <c r="E104" i="7"/>
  <c r="D72" i="6"/>
  <c r="D137" i="4"/>
  <c r="C39" i="5"/>
  <c r="C71" i="7"/>
  <c r="C175" i="4"/>
  <c r="C55" i="7"/>
  <c r="E138" i="8"/>
  <c r="D131" i="10"/>
  <c r="D46" i="7"/>
  <c r="E193" i="8"/>
  <c r="E165" i="5"/>
  <c r="C199" i="6"/>
  <c r="D208" i="6"/>
  <c r="D229" i="7"/>
  <c r="E121" i="7"/>
  <c r="C268" i="10"/>
  <c r="C154" i="7"/>
  <c r="C165" i="4"/>
  <c r="C211" i="8"/>
  <c r="D130" i="4"/>
  <c r="D138" i="4"/>
  <c r="E27" i="7"/>
  <c r="D237" i="5"/>
  <c r="D161" i="8"/>
  <c r="D16" i="8"/>
  <c r="D171" i="10"/>
  <c r="D244" i="9"/>
  <c r="C83" i="10"/>
  <c r="E161" i="9"/>
  <c r="C172" i="5"/>
  <c r="E221" i="5"/>
  <c r="D229" i="5"/>
  <c r="C126" i="5"/>
  <c r="C277" i="7"/>
  <c r="E210" i="7"/>
  <c r="D264" i="10"/>
  <c r="C98" i="4"/>
  <c r="C60" i="7"/>
  <c r="E196" i="6"/>
  <c r="D84" i="10"/>
  <c r="E117" i="9"/>
  <c r="C118" i="8"/>
  <c r="C56" i="8"/>
  <c r="C246" i="9"/>
  <c r="D134" i="10"/>
  <c r="E117" i="7"/>
  <c r="C238" i="9"/>
  <c r="C47" i="10"/>
  <c r="E99" i="9"/>
  <c r="D10" i="8"/>
  <c r="C12" i="10"/>
  <c r="C138" i="10"/>
  <c r="E63" i="10"/>
  <c r="C218" i="8"/>
  <c r="C275" i="10"/>
  <c r="C247" i="10"/>
  <c r="C147" i="9"/>
  <c r="E150" i="10"/>
  <c r="C265" i="10"/>
  <c r="E220" i="9"/>
  <c r="C159" i="9"/>
  <c r="D233" i="7"/>
  <c r="E250" i="7"/>
  <c r="E266" i="7"/>
  <c r="E162" i="8"/>
  <c r="E81" i="6"/>
  <c r="E197" i="7"/>
  <c r="C96" i="6"/>
  <c r="D199" i="5"/>
  <c r="C215" i="5"/>
  <c r="D160" i="5"/>
  <c r="C19" i="8"/>
  <c r="D233" i="9"/>
  <c r="E91" i="9"/>
  <c r="E78" i="4"/>
  <c r="E17" i="4"/>
  <c r="D124" i="4"/>
  <c r="E47" i="6"/>
  <c r="C89" i="7"/>
  <c r="E118" i="9"/>
  <c r="D96" i="5"/>
  <c r="D114" i="7"/>
  <c r="E133" i="4"/>
  <c r="D31" i="5"/>
  <c r="E205" i="5"/>
  <c r="C58" i="5"/>
  <c r="E15" i="8"/>
  <c r="E70" i="4"/>
  <c r="E149" i="4"/>
  <c r="D40" i="6"/>
  <c r="D161" i="10"/>
  <c r="E182" i="7"/>
  <c r="E119" i="9"/>
  <c r="E210" i="9"/>
  <c r="D231" i="10"/>
  <c r="D168" i="7"/>
  <c r="C202" i="9"/>
  <c r="C41" i="10"/>
  <c r="E69" i="10"/>
  <c r="E90" i="8"/>
  <c r="E101" i="10"/>
  <c r="D147" i="10"/>
  <c r="C261" i="10"/>
  <c r="D175" i="8"/>
  <c r="C98" i="10"/>
  <c r="C168" i="10"/>
  <c r="E104" i="10"/>
  <c r="D276" i="10"/>
  <c r="E81" i="8"/>
  <c r="D29" i="9"/>
  <c r="E103" i="9"/>
  <c r="C76" i="9"/>
  <c r="C84" i="4"/>
  <c r="C95" i="8"/>
  <c r="D189" i="7"/>
  <c r="E100" i="10"/>
  <c r="D188" i="4"/>
  <c r="C206" i="4"/>
  <c r="E111" i="4"/>
  <c r="D100" i="6"/>
  <c r="C235" i="5"/>
  <c r="D25" i="10"/>
  <c r="D100" i="5"/>
  <c r="E99" i="4"/>
  <c r="C8" i="9"/>
  <c r="D207" i="8"/>
  <c r="D212" i="4"/>
  <c r="E173" i="10"/>
  <c r="E255" i="10"/>
  <c r="E241" i="10"/>
  <c r="E140" i="7"/>
  <c r="E86" i="8"/>
  <c r="C223" i="10"/>
  <c r="D132" i="7"/>
  <c r="D60" i="8"/>
  <c r="C186" i="8"/>
  <c r="E189" i="8"/>
  <c r="D190" i="7"/>
  <c r="C10" i="10"/>
  <c r="E154" i="9"/>
  <c r="E23" i="9"/>
  <c r="E244" i="5"/>
  <c r="D141" i="5"/>
  <c r="E292" i="7"/>
  <c r="D198" i="7"/>
  <c r="E234" i="10"/>
  <c r="C219" i="7"/>
  <c r="D139" i="6"/>
  <c r="D127" i="7"/>
  <c r="D89" i="10"/>
  <c r="E170" i="8"/>
  <c r="E101" i="7"/>
  <c r="E9" i="5"/>
  <c r="D73" i="5"/>
  <c r="E17" i="5"/>
  <c r="D114" i="6"/>
  <c r="C80" i="6"/>
  <c r="E17" i="8"/>
  <c r="C31" i="4"/>
  <c r="E113" i="7"/>
  <c r="E41" i="5"/>
  <c r="C11" i="4"/>
  <c r="C12" i="4"/>
  <c r="C76" i="6"/>
  <c r="E67" i="7"/>
  <c r="D165" i="8"/>
  <c r="E176" i="6"/>
  <c r="E219" i="10"/>
  <c r="C226" i="9"/>
  <c r="D23" i="6"/>
  <c r="E253" i="7"/>
  <c r="C87" i="6"/>
  <c r="E23" i="8"/>
  <c r="E174" i="7"/>
  <c r="D269" i="10"/>
  <c r="E25" i="6"/>
  <c r="E105" i="8"/>
  <c r="C264" i="7"/>
  <c r="C82" i="6"/>
  <c r="C39" i="9"/>
  <c r="C288" i="7"/>
  <c r="D57" i="9"/>
  <c r="E142" i="10"/>
  <c r="D112" i="6"/>
  <c r="E120" i="6"/>
  <c r="C65" i="6"/>
  <c r="D110" i="8"/>
  <c r="C214" i="6"/>
  <c r="D183" i="6"/>
  <c r="C137" i="9"/>
  <c r="C245" i="9"/>
  <c r="D74" i="4"/>
  <c r="C119" i="10"/>
  <c r="E21" i="9"/>
  <c r="C125" i="4"/>
  <c r="C244" i="7"/>
  <c r="D67" i="10"/>
  <c r="E140" i="8"/>
  <c r="C186" i="4"/>
  <c r="E262" i="7"/>
  <c r="C238" i="5"/>
  <c r="D23" i="10"/>
  <c r="C124" i="8"/>
  <c r="C203" i="8"/>
  <c r="D18" i="6"/>
  <c r="D54" i="8"/>
  <c r="D155" i="5"/>
  <c r="D216" i="8"/>
  <c r="E122" i="8"/>
  <c r="E71" i="8"/>
  <c r="C56" i="10"/>
  <c r="E163" i="8"/>
  <c r="E108" i="10"/>
  <c r="D203" i="10"/>
  <c r="C178" i="5"/>
  <c r="E131" i="5"/>
  <c r="C52" i="9"/>
  <c r="C125" i="7"/>
  <c r="E213" i="10"/>
  <c r="C194" i="4"/>
  <c r="E202" i="4"/>
  <c r="D156" i="7"/>
  <c r="E72" i="5"/>
  <c r="D105" i="9"/>
  <c r="D36" i="5"/>
  <c r="D44" i="5"/>
  <c r="C171" i="4"/>
  <c r="E197" i="8"/>
  <c r="C35" i="6"/>
  <c r="D217" i="9"/>
  <c r="C223" i="5"/>
  <c r="C92" i="9"/>
  <c r="E176" i="5"/>
  <c r="D137" i="6"/>
  <c r="C209" i="7"/>
  <c r="C137" i="5"/>
  <c r="C201" i="7"/>
  <c r="D7" i="9"/>
  <c r="E202" i="5"/>
  <c r="E179" i="6"/>
  <c r="D224" i="8"/>
  <c r="E131" i="9"/>
  <c r="E185" i="6"/>
  <c r="E133" i="6"/>
  <c r="D187" i="8"/>
  <c r="E151" i="9"/>
  <c r="C65" i="9"/>
  <c r="E75" i="9"/>
  <c r="D278" i="10"/>
  <c r="C35" i="9"/>
  <c r="D115" i="10"/>
  <c r="D141" i="10"/>
  <c r="E241" i="5"/>
  <c r="C50" i="9"/>
  <c r="C132" i="10"/>
  <c r="E70" i="10"/>
  <c r="E180" i="10"/>
  <c r="C82" i="10"/>
  <c r="C136" i="10"/>
  <c r="C46" i="6"/>
  <c r="C75" i="10"/>
  <c r="D28" i="7"/>
  <c r="C91" i="4"/>
  <c r="C104" i="4"/>
  <c r="D95" i="4"/>
  <c r="D208" i="5"/>
  <c r="E229" i="10"/>
  <c r="E212" i="7"/>
  <c r="E150" i="9"/>
  <c r="C134" i="8"/>
  <c r="C136" i="8"/>
  <c r="E101" i="9"/>
  <c r="C101" i="5"/>
  <c r="E92" i="6"/>
  <c r="E205" i="4"/>
  <c r="C168" i="5"/>
  <c r="C140" i="4"/>
  <c r="D58" i="6"/>
  <c r="E66" i="6"/>
  <c r="D198" i="5"/>
  <c r="C185" i="10"/>
  <c r="C118" i="4"/>
  <c r="E67" i="9"/>
  <c r="C51" i="7"/>
  <c r="D147" i="8"/>
  <c r="D101" i="5"/>
  <c r="C92" i="6"/>
  <c r="D205" i="4"/>
  <c r="C58" i="6"/>
  <c r="C66" i="6"/>
  <c r="C198" i="5"/>
  <c r="D185" i="10"/>
  <c r="E118" i="4"/>
  <c r="D67" i="9"/>
  <c r="E51" i="7"/>
  <c r="E147" i="8"/>
  <c r="E43" i="9"/>
  <c r="E222" i="10"/>
  <c r="C134" i="5"/>
  <c r="D92" i="4"/>
  <c r="E246" i="7"/>
  <c r="E235" i="7"/>
  <c r="C42" i="6"/>
  <c r="E91" i="8"/>
  <c r="D177" i="6"/>
  <c r="C47" i="8"/>
  <c r="C146" i="7"/>
  <c r="D94" i="7"/>
  <c r="D45" i="5"/>
  <c r="E100" i="7"/>
  <c r="E22" i="7"/>
  <c r="C7" i="7"/>
  <c r="D155" i="6"/>
  <c r="E11" i="9"/>
  <c r="D213" i="4"/>
  <c r="D185" i="7"/>
  <c r="E203" i="7"/>
  <c r="C16" i="5"/>
  <c r="D152" i="4"/>
  <c r="D172" i="4"/>
  <c r="D138" i="7"/>
  <c r="C214" i="5"/>
  <c r="E86" i="5"/>
  <c r="D161" i="6"/>
  <c r="E23" i="4"/>
  <c r="E230" i="10"/>
  <c r="C174" i="4"/>
  <c r="C50" i="7"/>
  <c r="E69" i="8"/>
  <c r="C11" i="6"/>
  <c r="C108" i="8"/>
  <c r="C201" i="4"/>
  <c r="D174" i="10"/>
  <c r="E51" i="5"/>
  <c r="D11" i="5"/>
  <c r="E64" i="9"/>
  <c r="D242" i="10"/>
  <c r="C68" i="5"/>
  <c r="D162" i="5"/>
  <c r="C241" i="9"/>
  <c r="C186" i="7"/>
  <c r="E112" i="5"/>
  <c r="E207" i="10"/>
  <c r="E46" i="5"/>
  <c r="C75" i="8"/>
  <c r="E44" i="8"/>
  <c r="D179" i="5"/>
  <c r="C239" i="5"/>
  <c r="E61" i="9"/>
  <c r="C42" i="10"/>
  <c r="E164" i="10"/>
  <c r="C188" i="10"/>
  <c r="E17" i="6"/>
  <c r="D80" i="5"/>
  <c r="E231" i="5"/>
  <c r="E104" i="8"/>
  <c r="D198" i="4"/>
  <c r="D14" i="7"/>
  <c r="E33" i="7"/>
  <c r="D78" i="9"/>
  <c r="C119" i="4"/>
  <c r="C36" i="6"/>
  <c r="C173" i="9"/>
  <c r="C158" i="10"/>
  <c r="C227" i="4"/>
  <c r="D252" i="10"/>
  <c r="D285" i="7"/>
  <c r="E62" i="7"/>
  <c r="C99" i="8"/>
  <c r="E151" i="5"/>
  <c r="E148" i="8"/>
  <c r="D220" i="8"/>
  <c r="E191" i="9"/>
  <c r="C123" i="10"/>
  <c r="D153" i="7"/>
  <c r="C148" i="7"/>
  <c r="C220" i="5"/>
  <c r="D84" i="8"/>
  <c r="E170" i="5"/>
  <c r="E163" i="10"/>
  <c r="D160" i="4"/>
  <c r="E233" i="5"/>
  <c r="C166" i="5"/>
  <c r="E230" i="5"/>
  <c r="D73" i="4"/>
  <c r="C71" i="9"/>
  <c r="D59" i="5"/>
  <c r="C16" i="4"/>
  <c r="D30" i="5"/>
  <c r="E159" i="7"/>
  <c r="D174" i="6"/>
  <c r="D20" i="4"/>
  <c r="D194" i="5"/>
  <c r="D60" i="5"/>
  <c r="E148" i="4"/>
  <c r="D145" i="4"/>
  <c r="C166" i="9"/>
  <c r="D145" i="6"/>
  <c r="D26" i="5"/>
  <c r="D211" i="7"/>
  <c r="C103" i="5"/>
  <c r="D188" i="6"/>
  <c r="E154" i="8"/>
  <c r="C77" i="8"/>
  <c r="E86" i="10"/>
  <c r="C178" i="4"/>
  <c r="E190" i="8"/>
  <c r="E88" i="8"/>
  <c r="E118" i="10"/>
  <c r="E219" i="8"/>
  <c r="C108" i="9"/>
  <c r="E166" i="6"/>
  <c r="C122" i="6"/>
  <c r="D202" i="8"/>
  <c r="D216" i="5"/>
  <c r="D58" i="4"/>
  <c r="C23" i="5"/>
  <c r="C158" i="6"/>
  <c r="D49" i="4"/>
  <c r="E119" i="6"/>
  <c r="E136" i="9"/>
  <c r="C14" i="8"/>
  <c r="E186" i="5"/>
  <c r="D240" i="7"/>
  <c r="E68" i="6"/>
  <c r="D37" i="6"/>
  <c r="D79" i="4"/>
  <c r="D81" i="5"/>
  <c r="C179" i="4"/>
  <c r="C243" i="5"/>
  <c r="D158" i="5"/>
  <c r="C79" i="5"/>
  <c r="C150" i="5"/>
  <c r="C163" i="7"/>
  <c r="E77" i="5"/>
  <c r="D70" i="7"/>
  <c r="E14" i="4"/>
  <c r="D82" i="5"/>
  <c r="E28" i="9"/>
  <c r="C107" i="8"/>
  <c r="D24" i="10"/>
  <c r="C38" i="5"/>
  <c r="C154" i="5"/>
  <c r="E121" i="8"/>
  <c r="E86" i="7"/>
  <c r="E40" i="7"/>
  <c r="C76" i="8"/>
  <c r="E35" i="8"/>
  <c r="C227" i="5"/>
  <c r="C232" i="7"/>
  <c r="D139" i="5"/>
  <c r="C34" i="5"/>
  <c r="C20" i="5"/>
  <c r="E181" i="4"/>
  <c r="D42" i="4"/>
  <c r="D146" i="6"/>
  <c r="E72" i="7"/>
  <c r="C143" i="7"/>
  <c r="E150" i="7"/>
  <c r="D10" i="7"/>
  <c r="D19" i="9"/>
  <c r="D89" i="5"/>
  <c r="C44" i="7"/>
  <c r="D44" i="6"/>
  <c r="C81" i="7"/>
  <c r="D157" i="7"/>
  <c r="D131" i="7"/>
  <c r="C255" i="7"/>
  <c r="E69" i="4"/>
  <c r="C21" i="5"/>
  <c r="E121" i="5"/>
  <c r="C274" i="7"/>
  <c r="D100" i="4"/>
  <c r="E103" i="4"/>
  <c r="C166" i="4"/>
  <c r="C93" i="4"/>
  <c r="D33" i="9"/>
  <c r="E64" i="5"/>
  <c r="E192" i="4"/>
  <c r="C88" i="9"/>
  <c r="E199" i="9"/>
  <c r="D40" i="10"/>
  <c r="D227" i="10"/>
  <c r="E143" i="8"/>
  <c r="D17" i="7"/>
  <c r="E78" i="8"/>
  <c r="D92" i="10"/>
  <c r="D248" i="7"/>
  <c r="C74" i="6"/>
  <c r="E88" i="6"/>
  <c r="C153" i="4"/>
  <c r="C90" i="5"/>
  <c r="E50" i="4"/>
  <c r="C14" i="5"/>
  <c r="C279" i="7"/>
  <c r="E224" i="4"/>
  <c r="C64" i="8"/>
  <c r="D238" i="10"/>
  <c r="E208" i="8"/>
  <c r="E106" i="4"/>
  <c r="D64" i="6"/>
  <c r="D290" i="7"/>
  <c r="C123" i="4"/>
  <c r="C200" i="4"/>
  <c r="D143" i="4"/>
  <c r="E199" i="4"/>
  <c r="D110" i="4"/>
  <c r="D211" i="6"/>
  <c r="E72" i="4"/>
  <c r="E163" i="9"/>
  <c r="E128" i="4"/>
  <c r="C122" i="5"/>
  <c r="D187" i="10"/>
  <c r="D39" i="5"/>
  <c r="D71" i="7"/>
  <c r="E175" i="4"/>
  <c r="D55" i="7"/>
  <c r="C138" i="8"/>
  <c r="D96" i="8"/>
  <c r="D51" i="10"/>
  <c r="E88" i="10"/>
  <c r="C27" i="7"/>
  <c r="E140" i="10"/>
  <c r="C183" i="10"/>
  <c r="D47" i="4"/>
  <c r="E244" i="9"/>
  <c r="E83" i="10"/>
  <c r="D161" i="9"/>
  <c r="C105" i="10"/>
  <c r="C90" i="7"/>
  <c r="E22" i="9"/>
  <c r="E195" i="5"/>
  <c r="C164" i="4"/>
  <c r="E66" i="4"/>
  <c r="D135" i="9"/>
  <c r="D163" i="4"/>
  <c r="D36" i="7"/>
  <c r="D169" i="8"/>
  <c r="D250" i="10"/>
  <c r="D203" i="9"/>
  <c r="D12" i="10"/>
  <c r="D138" i="10"/>
  <c r="D63" i="10"/>
  <c r="E218" i="8"/>
  <c r="E275" i="10"/>
  <c r="E247" i="10"/>
  <c r="E147" i="9"/>
  <c r="C150" i="10"/>
  <c r="D265" i="10"/>
  <c r="C220" i="9"/>
  <c r="C229" i="9"/>
  <c r="E121" i="6"/>
  <c r="D162" i="8"/>
  <c r="C81" i="6"/>
  <c r="C197" i="7"/>
  <c r="D96" i="6"/>
  <c r="E199" i="5"/>
  <c r="E215" i="5"/>
  <c r="C160" i="5"/>
  <c r="E19" i="8"/>
  <c r="E233" i="9"/>
  <c r="D91" i="9"/>
  <c r="C78" i="4"/>
  <c r="C17" i="4"/>
  <c r="C124" i="4"/>
  <c r="C47" i="6"/>
  <c r="E89" i="7"/>
  <c r="D118" i="9"/>
  <c r="E96" i="5"/>
  <c r="E114" i="7"/>
  <c r="C133" i="4"/>
  <c r="C31" i="5"/>
  <c r="C205" i="5"/>
  <c r="E41" i="9"/>
  <c r="E133" i="10"/>
  <c r="C12" i="5"/>
  <c r="D122" i="7"/>
  <c r="E169" i="4"/>
  <c r="D177" i="4"/>
  <c r="E142" i="5"/>
  <c r="C173" i="8"/>
  <c r="D67" i="5"/>
  <c r="E241" i="7"/>
  <c r="E261" i="10"/>
  <c r="E175" i="8"/>
  <c r="E98" i="10"/>
  <c r="D168" i="10"/>
  <c r="D104" i="10"/>
  <c r="C276" i="10"/>
  <c r="C81" i="8"/>
  <c r="D58" i="10"/>
  <c r="E29" i="9"/>
  <c r="D103" i="9"/>
  <c r="D76" i="9"/>
  <c r="E84" i="4"/>
  <c r="C90" i="4"/>
  <c r="E71" i="4"/>
  <c r="E50" i="6"/>
  <c r="D206" i="4"/>
  <c r="C207" i="5"/>
  <c r="E167" i="8"/>
  <c r="C221" i="10"/>
  <c r="E205" i="6"/>
  <c r="E55" i="4"/>
  <c r="D63" i="4"/>
  <c r="D80" i="8"/>
  <c r="D110" i="10"/>
  <c r="C7" i="5"/>
  <c r="E25" i="8"/>
  <c r="E37" i="7"/>
  <c r="E55" i="8"/>
  <c r="D74" i="10"/>
  <c r="E212" i="4"/>
  <c r="D173" i="10"/>
  <c r="C255" i="10"/>
  <c r="D241" i="10"/>
  <c r="D140" i="7"/>
  <c r="C86" i="8"/>
  <c r="E223" i="10"/>
  <c r="C132" i="7"/>
  <c r="C60" i="8"/>
  <c r="C234" i="9"/>
  <c r="C118" i="5"/>
  <c r="D166" i="8"/>
  <c r="C238" i="7"/>
  <c r="C177" i="10"/>
  <c r="D89" i="6"/>
  <c r="C120" i="7"/>
  <c r="E52" i="8"/>
  <c r="E135" i="10"/>
  <c r="C20" i="7"/>
  <c r="C50" i="8"/>
  <c r="C83" i="9"/>
  <c r="D221" i="7"/>
  <c r="E43" i="8"/>
  <c r="C193" i="9"/>
  <c r="C149" i="10"/>
  <c r="C200" i="5"/>
  <c r="E141" i="5"/>
  <c r="C292" i="7"/>
  <c r="C198" i="7"/>
  <c r="D234" i="10"/>
  <c r="E10" i="4"/>
  <c r="D18" i="4"/>
  <c r="E19" i="4"/>
  <c r="D234" i="5"/>
  <c r="E129" i="6"/>
  <c r="E67" i="8"/>
  <c r="C41" i="5"/>
  <c r="D11" i="4"/>
  <c r="E12" i="4"/>
  <c r="E76" i="6"/>
  <c r="C67" i="7"/>
  <c r="C165" i="8"/>
  <c r="E186" i="10"/>
  <c r="E102" i="5"/>
  <c r="C85" i="4"/>
  <c r="C149" i="6"/>
  <c r="D109" i="8"/>
  <c r="E226" i="9"/>
  <c r="C102" i="4"/>
  <c r="E23" i="6"/>
  <c r="C253" i="7"/>
  <c r="E205" i="10"/>
  <c r="C98" i="6"/>
  <c r="E185" i="8"/>
  <c r="D18" i="9"/>
  <c r="D111" i="5"/>
  <c r="D60" i="6"/>
  <c r="E128" i="7"/>
  <c r="E82" i="6"/>
  <c r="D42" i="7"/>
  <c r="C217" i="8"/>
  <c r="C121" i="9"/>
  <c r="D162" i="6"/>
  <c r="E179" i="8"/>
  <c r="C30" i="9"/>
  <c r="E55" i="9"/>
  <c r="D153" i="8"/>
  <c r="D99" i="10"/>
  <c r="D170" i="10"/>
  <c r="C112" i="6"/>
  <c r="C120" i="6"/>
  <c r="E65" i="6"/>
  <c r="E110" i="8"/>
  <c r="D22" i="10"/>
  <c r="C10" i="5"/>
  <c r="C74" i="4"/>
  <c r="E87" i="4"/>
  <c r="D80" i="4"/>
  <c r="C21" i="9"/>
  <c r="E125" i="4"/>
  <c r="C15" i="7"/>
  <c r="D159" i="6"/>
  <c r="E175" i="6"/>
  <c r="C184" i="6"/>
  <c r="D168" i="6"/>
  <c r="D238" i="5"/>
  <c r="C23" i="10"/>
  <c r="C180" i="5"/>
  <c r="E62" i="6"/>
  <c r="D164" i="7"/>
  <c r="C8" i="6"/>
  <c r="C218" i="5"/>
  <c r="D9" i="8"/>
  <c r="E139" i="8"/>
  <c r="C54" i="8"/>
  <c r="D122" i="8"/>
  <c r="C163" i="6"/>
  <c r="C103" i="7"/>
  <c r="D15" i="10"/>
  <c r="E134" i="9"/>
  <c r="D82" i="8"/>
  <c r="C16" i="10"/>
  <c r="C235" i="10"/>
  <c r="E132" i="9"/>
  <c r="D52" i="9"/>
  <c r="D125" i="7"/>
  <c r="D213" i="10"/>
  <c r="D194" i="4"/>
  <c r="D202" i="4"/>
  <c r="D52" i="5"/>
  <c r="E91" i="7"/>
  <c r="C90" i="9"/>
  <c r="D260" i="10"/>
  <c r="C182" i="6"/>
  <c r="E47" i="7"/>
  <c r="D63" i="7"/>
  <c r="E24" i="7"/>
  <c r="E214" i="9"/>
  <c r="C34" i="10"/>
  <c r="E105" i="9"/>
  <c r="E36" i="5"/>
  <c r="C44" i="5"/>
  <c r="D171" i="4"/>
  <c r="E195" i="6"/>
  <c r="E93" i="9"/>
  <c r="C151" i="10"/>
  <c r="E168" i="4"/>
  <c r="D236" i="5"/>
  <c r="C31" i="6"/>
  <c r="E39" i="6"/>
  <c r="D126" i="7"/>
  <c r="C220" i="10"/>
  <c r="C181" i="8"/>
  <c r="E100" i="9"/>
  <c r="C145" i="7"/>
  <c r="D190" i="5"/>
  <c r="D137" i="5"/>
  <c r="E201" i="7"/>
  <c r="E226" i="10"/>
  <c r="D116" i="6"/>
  <c r="D152" i="8"/>
  <c r="E58" i="8"/>
  <c r="D135" i="7"/>
  <c r="D98" i="7"/>
  <c r="C115" i="8"/>
  <c r="C32" i="9"/>
  <c r="C77" i="7"/>
  <c r="C243" i="10"/>
  <c r="C138" i="7"/>
  <c r="D69" i="8"/>
  <c r="E217" i="4"/>
  <c r="D68" i="5"/>
  <c r="D112" i="5"/>
  <c r="D37" i="4"/>
  <c r="D83" i="4"/>
  <c r="D119" i="4"/>
  <c r="D62" i="7"/>
  <c r="E80" i="9"/>
  <c r="C163" i="10"/>
  <c r="D148" i="4"/>
  <c r="D193" i="5"/>
  <c r="D134" i="4"/>
  <c r="D14" i="8"/>
  <c r="C40" i="7"/>
  <c r="C181" i="4"/>
  <c r="E143" i="7"/>
  <c r="E19" i="9"/>
  <c r="C46" i="4"/>
  <c r="E274" i="7"/>
  <c r="C192" i="4"/>
  <c r="E88" i="9"/>
  <c r="E248" i="7"/>
  <c r="E90" i="5"/>
  <c r="E114" i="5"/>
  <c r="E200" i="4"/>
  <c r="C211" i="6"/>
  <c r="E71" i="7"/>
  <c r="E96" i="8"/>
  <c r="C193" i="8"/>
  <c r="E165" i="4"/>
  <c r="D98" i="4"/>
  <c r="C99" i="9"/>
  <c r="C63" i="10"/>
  <c r="D19" i="8"/>
  <c r="C118" i="9"/>
  <c r="D41" i="9"/>
  <c r="E231" i="10"/>
  <c r="C104" i="10"/>
  <c r="D84" i="4"/>
  <c r="C189" i="7"/>
  <c r="E8" i="9"/>
  <c r="C212" i="4"/>
  <c r="D255" i="10"/>
  <c r="C140" i="7"/>
  <c r="D223" i="10"/>
  <c r="E60" i="8"/>
  <c r="C66" i="8"/>
  <c r="C89" i="6"/>
  <c r="C192" i="7"/>
  <c r="E83" i="9"/>
  <c r="E190" i="7"/>
  <c r="E26" i="10"/>
  <c r="D219" i="7"/>
  <c r="D19" i="4"/>
  <c r="E89" i="10"/>
  <c r="E114" i="6"/>
  <c r="D286" i="7"/>
  <c r="E31" i="4"/>
  <c r="C61" i="7"/>
  <c r="D67" i="7"/>
  <c r="D79" i="7"/>
  <c r="C212" i="5"/>
  <c r="E109" i="8"/>
  <c r="D88" i="4"/>
  <c r="C34" i="6"/>
  <c r="D25" i="6"/>
  <c r="D128" i="7"/>
  <c r="E39" i="9"/>
  <c r="E92" i="5"/>
  <c r="E10" i="5"/>
  <c r="E121" i="4"/>
  <c r="D137" i="9"/>
  <c r="E101" i="8"/>
  <c r="D15" i="7"/>
  <c r="D244" i="7"/>
  <c r="C216" i="9"/>
  <c r="E168" i="6"/>
  <c r="E188" i="8"/>
  <c r="D36" i="8"/>
  <c r="D13" i="8"/>
  <c r="D8" i="6"/>
  <c r="C136" i="7"/>
  <c r="D200" i="7"/>
  <c r="E163" i="6"/>
  <c r="C71" i="8"/>
  <c r="E16" i="10"/>
  <c r="C203" i="10"/>
  <c r="D189" i="5"/>
  <c r="E52" i="5"/>
  <c r="C60" i="10"/>
  <c r="D182" i="6"/>
  <c r="E185" i="4"/>
  <c r="E34" i="10"/>
  <c r="C73" i="6"/>
  <c r="C36" i="5"/>
  <c r="D134" i="7"/>
  <c r="C93" i="9"/>
  <c r="C52" i="7"/>
  <c r="E31" i="6"/>
  <c r="D222" i="5"/>
  <c r="C100" i="9"/>
  <c r="C217" i="9"/>
  <c r="E87" i="8"/>
  <c r="C137" i="6"/>
  <c r="D226" i="10"/>
  <c r="C179" i="6"/>
  <c r="E135" i="7"/>
  <c r="D133" i="6"/>
  <c r="E77" i="7"/>
  <c r="D105" i="7"/>
  <c r="D75" i="9"/>
  <c r="C44" i="10"/>
  <c r="E141" i="10"/>
  <c r="D33" i="10"/>
  <c r="D70" i="10"/>
  <c r="C56" i="5"/>
  <c r="E46" i="6"/>
  <c r="C68" i="7"/>
  <c r="C270" i="10"/>
  <c r="D185" i="5"/>
  <c r="D59" i="6"/>
  <c r="C208" i="5"/>
  <c r="C229" i="10"/>
  <c r="D99" i="6"/>
  <c r="C75" i="7"/>
  <c r="C72" i="8"/>
  <c r="E122" i="9"/>
  <c r="D138" i="5"/>
  <c r="D52" i="6"/>
  <c r="E76" i="10"/>
  <c r="C122" i="10"/>
  <c r="D64" i="10"/>
  <c r="D215" i="8"/>
  <c r="D117" i="6"/>
  <c r="C34" i="7"/>
  <c r="D93" i="7"/>
  <c r="E51" i="8"/>
  <c r="E123" i="8"/>
  <c r="D201" i="10"/>
  <c r="E254" i="10"/>
  <c r="D86" i="6"/>
  <c r="C97" i="6"/>
  <c r="C38" i="8"/>
  <c r="C206" i="8"/>
  <c r="D205" i="7"/>
  <c r="C20" i="8"/>
  <c r="D43" i="10"/>
  <c r="C217" i="7"/>
  <c r="C138" i="6"/>
  <c r="E123" i="6"/>
  <c r="D128" i="6"/>
  <c r="E32" i="6"/>
  <c r="D263" i="7"/>
  <c r="C13" i="9"/>
  <c r="E159" i="10"/>
  <c r="C111" i="7"/>
  <c r="D25" i="4"/>
  <c r="E33" i="4"/>
  <c r="D26" i="4"/>
  <c r="E106" i="5"/>
  <c r="E193" i="6"/>
  <c r="C20" i="9"/>
  <c r="E131" i="8"/>
  <c r="D69" i="9"/>
  <c r="E53" i="6"/>
  <c r="C38" i="10"/>
  <c r="E103" i="10"/>
  <c r="D245" i="10"/>
  <c r="D182" i="10"/>
  <c r="E84" i="9"/>
  <c r="C143" i="9"/>
  <c r="E85" i="9"/>
  <c r="E149" i="8"/>
  <c r="C221" i="8"/>
  <c r="D29" i="10"/>
  <c r="D180" i="7"/>
  <c r="E13" i="7"/>
  <c r="C189" i="6"/>
  <c r="C25" i="7"/>
  <c r="C25" i="9"/>
  <c r="C73" i="9"/>
  <c r="D232" i="9"/>
  <c r="D209" i="9"/>
  <c r="E200" i="6"/>
  <c r="E259" i="7"/>
  <c r="D129" i="7"/>
  <c r="C188" i="9"/>
  <c r="E149" i="9"/>
  <c r="C162" i="9"/>
  <c r="E212" i="6"/>
  <c r="E165" i="6"/>
  <c r="C24" i="9"/>
  <c r="E83" i="7"/>
  <c r="C30" i="6"/>
  <c r="D7" i="6"/>
  <c r="C116" i="4"/>
  <c r="E113" i="6"/>
  <c r="D222" i="9"/>
  <c r="E102" i="8"/>
  <c r="C183" i="4"/>
  <c r="C37" i="9"/>
  <c r="E59" i="9"/>
  <c r="D139" i="7"/>
  <c r="C155" i="7"/>
  <c r="D142" i="6"/>
  <c r="C156" i="9"/>
  <c r="C93" i="8"/>
  <c r="E229" i="8"/>
  <c r="D221" i="9"/>
  <c r="D171" i="6"/>
  <c r="C206" i="6"/>
  <c r="C85" i="8"/>
  <c r="D157" i="8"/>
  <c r="C183" i="9"/>
  <c r="D186" i="9"/>
  <c r="D71" i="10"/>
  <c r="C258" i="10"/>
  <c r="D60" i="9"/>
  <c r="D130" i="9"/>
  <c r="C145" i="9"/>
  <c r="E34" i="8"/>
  <c r="D190" i="6"/>
  <c r="D95" i="7"/>
  <c r="D237" i="7"/>
  <c r="E45" i="9"/>
  <c r="E140" i="9"/>
  <c r="D139" i="9"/>
  <c r="C160" i="10"/>
  <c r="D36" i="9"/>
  <c r="C226" i="8"/>
  <c r="E41" i="4"/>
  <c r="C26" i="6"/>
  <c r="C281" i="7"/>
  <c r="E75" i="5"/>
  <c r="D83" i="5"/>
  <c r="C210" i="4"/>
  <c r="D49" i="8"/>
  <c r="E153" i="10"/>
  <c r="D32" i="10"/>
  <c r="D231" i="9"/>
  <c r="C37" i="10"/>
  <c r="D117" i="10"/>
  <c r="D152" i="6"/>
  <c r="E81" i="9"/>
  <c r="D54" i="10"/>
  <c r="D214" i="7"/>
  <c r="E126" i="6"/>
  <c r="E31" i="7"/>
  <c r="D35" i="10"/>
  <c r="D190" i="9"/>
  <c r="C215" i="10"/>
  <c r="D244" i="10"/>
  <c r="C210" i="8"/>
  <c r="D218" i="5"/>
  <c r="D163" i="6"/>
  <c r="C189" i="5"/>
  <c r="D93" i="9"/>
  <c r="D223" i="5"/>
  <c r="E130" i="9"/>
  <c r="D48" i="4"/>
  <c r="E83" i="5"/>
  <c r="D175" i="7"/>
  <c r="C81" i="9"/>
  <c r="E268" i="7"/>
  <c r="E182" i="5"/>
  <c r="C130" i="8"/>
  <c r="C198" i="8"/>
  <c r="C79" i="8"/>
  <c r="E9" i="7"/>
  <c r="E215" i="10"/>
  <c r="C245" i="7"/>
  <c r="C161" i="6"/>
  <c r="C14" i="7"/>
  <c r="C71" i="6"/>
  <c r="C85" i="6"/>
  <c r="D148" i="8"/>
  <c r="C153" i="7"/>
  <c r="C225" i="4"/>
  <c r="C145" i="4"/>
  <c r="E49" i="7"/>
  <c r="E188" i="6"/>
  <c r="C126" i="10"/>
  <c r="C186" i="5"/>
  <c r="D174" i="5"/>
  <c r="D227" i="5"/>
  <c r="D72" i="7"/>
  <c r="C108" i="4"/>
  <c r="E43" i="4"/>
  <c r="D79" i="9"/>
  <c r="C227" i="10"/>
  <c r="D153" i="4"/>
  <c r="D208" i="8"/>
  <c r="D179" i="10"/>
  <c r="C110" i="4"/>
  <c r="D128" i="4"/>
  <c r="D138" i="8"/>
  <c r="C208" i="6"/>
  <c r="C138" i="4"/>
  <c r="C47" i="4"/>
  <c r="D105" i="10"/>
  <c r="C84" i="10"/>
  <c r="C163" i="4"/>
  <c r="D246" i="9"/>
  <c r="D247" i="10"/>
  <c r="C250" i="7"/>
  <c r="D197" i="7"/>
  <c r="D78" i="4"/>
  <c r="D133" i="4"/>
  <c r="C122" i="7"/>
  <c r="E41" i="10"/>
  <c r="C167" i="8"/>
  <c r="C225" i="9"/>
  <c r="D53" i="7"/>
  <c r="D245" i="5"/>
  <c r="E166" i="8"/>
  <c r="D66" i="8"/>
  <c r="C219" i="5"/>
  <c r="C154" i="9"/>
  <c r="D200" i="5"/>
  <c r="C213" i="5"/>
  <c r="E198" i="7"/>
  <c r="E219" i="7"/>
  <c r="C101" i="7"/>
  <c r="D9" i="5"/>
  <c r="C123" i="5"/>
  <c r="C114" i="6"/>
  <c r="E11" i="4"/>
  <c r="E61" i="7"/>
  <c r="C82" i="9"/>
  <c r="D149" i="6"/>
  <c r="D176" i="6"/>
  <c r="C88" i="4"/>
  <c r="E34" i="6"/>
  <c r="D23" i="8"/>
  <c r="E18" i="9"/>
  <c r="C25" i="6"/>
  <c r="C234" i="7"/>
  <c r="C162" i="6"/>
  <c r="E57" i="9"/>
  <c r="E170" i="10"/>
  <c r="E104" i="6"/>
  <c r="C22" i="10"/>
  <c r="E137" i="9"/>
  <c r="D96" i="9"/>
  <c r="D115" i="7"/>
  <c r="D101" i="8"/>
  <c r="E15" i="7"/>
  <c r="E113" i="4"/>
  <c r="E216" i="9"/>
  <c r="E186" i="4"/>
  <c r="E188" i="5"/>
  <c r="E8" i="6"/>
  <c r="E228" i="8"/>
  <c r="E200" i="7"/>
  <c r="C18" i="6"/>
  <c r="C170" i="7"/>
  <c r="C167" i="10"/>
  <c r="E155" i="5"/>
  <c r="E216" i="8"/>
  <c r="C122" i="8"/>
  <c r="D71" i="8"/>
  <c r="E82" i="8"/>
  <c r="E203" i="10"/>
  <c r="D116" i="7"/>
  <c r="C202" i="4"/>
  <c r="C52" i="5"/>
  <c r="D78" i="6"/>
  <c r="E182" i="6"/>
  <c r="D74" i="5"/>
  <c r="D34" i="10"/>
  <c r="E73" i="6"/>
  <c r="D195" i="6"/>
  <c r="E52" i="7"/>
  <c r="C236" i="5"/>
  <c r="E222" i="5"/>
  <c r="E220" i="10"/>
  <c r="D181" i="8"/>
  <c r="E217" i="9"/>
  <c r="D224" i="7"/>
  <c r="E137" i="6"/>
  <c r="D70" i="8"/>
  <c r="E157" i="10"/>
  <c r="D201" i="7"/>
  <c r="D179" i="6"/>
  <c r="C58" i="8"/>
  <c r="C133" i="6"/>
  <c r="D32" i="9"/>
  <c r="C75" i="9"/>
  <c r="C16" i="9"/>
  <c r="C141" i="10"/>
  <c r="D49" i="6"/>
  <c r="C70" i="10"/>
  <c r="E48" i="5"/>
  <c r="D46" i="6"/>
  <c r="D68" i="7"/>
  <c r="E127" i="8"/>
  <c r="D270" i="10"/>
  <c r="E185" i="5"/>
  <c r="E95" i="4"/>
  <c r="E208" i="5"/>
  <c r="E57" i="10"/>
  <c r="E99" i="6"/>
  <c r="D75" i="7"/>
  <c r="D122" i="9"/>
  <c r="C138" i="5"/>
  <c r="E52" i="6"/>
  <c r="E187" i="7"/>
  <c r="E64" i="10"/>
  <c r="C215" i="8"/>
  <c r="C117" i="6"/>
  <c r="E34" i="7"/>
  <c r="C93" i="7"/>
  <c r="C51" i="8"/>
  <c r="C123" i="8"/>
  <c r="E62" i="9"/>
  <c r="D8" i="7"/>
  <c r="E123" i="7"/>
  <c r="C12" i="7"/>
  <c r="E39" i="7"/>
  <c r="E213" i="8"/>
  <c r="E86" i="6"/>
  <c r="E97" i="6"/>
  <c r="E38" i="8"/>
  <c r="E206" i="8"/>
  <c r="C205" i="7"/>
  <c r="E20" i="8"/>
  <c r="C43" i="10"/>
  <c r="D223" i="7"/>
  <c r="C151" i="6"/>
  <c r="D120" i="9"/>
  <c r="C42" i="9"/>
  <c r="E135" i="8"/>
  <c r="D198" i="9"/>
  <c r="D93" i="6"/>
  <c r="D74" i="7"/>
  <c r="D72" i="9"/>
  <c r="C32" i="6"/>
  <c r="E263" i="7"/>
  <c r="E13" i="9"/>
  <c r="D159" i="10"/>
  <c r="E111" i="7"/>
  <c r="C25" i="4"/>
  <c r="D33" i="4"/>
  <c r="C26" i="4"/>
  <c r="D106" i="5"/>
  <c r="D210" i="5"/>
  <c r="D168" i="8"/>
  <c r="C97" i="10"/>
  <c r="D20" i="9"/>
  <c r="D131" i="8"/>
  <c r="C69" i="9"/>
  <c r="D53" i="6"/>
  <c r="D38" i="10"/>
  <c r="C103" i="10"/>
  <c r="C245" i="10"/>
  <c r="E182" i="10"/>
  <c r="C84" i="9"/>
  <c r="D143" i="9"/>
  <c r="C85" i="9"/>
  <c r="D55" i="10"/>
  <c r="C29" i="10"/>
  <c r="E180" i="7"/>
  <c r="D13" i="7"/>
  <c r="E189" i="6"/>
  <c r="E25" i="7"/>
  <c r="E25" i="9"/>
  <c r="D73" i="9"/>
  <c r="C232" i="9"/>
  <c r="C209" i="9"/>
  <c r="D200" i="6"/>
  <c r="C259" i="7"/>
  <c r="C129" i="7"/>
  <c r="E188" i="9"/>
  <c r="C126" i="9"/>
  <c r="E94" i="10"/>
  <c r="C219" i="9"/>
  <c r="E224" i="10"/>
  <c r="C95" i="10"/>
  <c r="E249" i="10"/>
  <c r="C267" i="7"/>
  <c r="D24" i="9"/>
  <c r="D83" i="7"/>
  <c r="D30" i="6"/>
  <c r="C7" i="6"/>
  <c r="D116" i="4"/>
  <c r="C113" i="6"/>
  <c r="E222" i="9"/>
  <c r="D18" i="5"/>
  <c r="E155" i="7"/>
  <c r="C142" i="6"/>
  <c r="D156" i="9"/>
  <c r="D93" i="8"/>
  <c r="D229" i="8"/>
  <c r="C221" i="9"/>
  <c r="E171" i="6"/>
  <c r="D206" i="6"/>
  <c r="E85" i="8"/>
  <c r="E157" i="8"/>
  <c r="D212" i="9"/>
  <c r="E186" i="9"/>
  <c r="E71" i="10"/>
  <c r="E258" i="10"/>
  <c r="C36" i="9"/>
  <c r="E226" i="8"/>
  <c r="E46" i="10"/>
  <c r="D11" i="10"/>
  <c r="D240" i="10"/>
  <c r="E263" i="10"/>
  <c r="C125" i="5"/>
  <c r="E128" i="5"/>
  <c r="E180" i="8"/>
  <c r="C133" i="7"/>
  <c r="E269" i="7"/>
  <c r="E132" i="8"/>
  <c r="C236" i="10"/>
  <c r="E27" i="5"/>
  <c r="D58" i="7"/>
  <c r="C278" i="7"/>
  <c r="C218" i="9"/>
  <c r="C45" i="6"/>
  <c r="C209" i="6"/>
  <c r="E26" i="6"/>
  <c r="E281" i="7"/>
  <c r="C49" i="8"/>
  <c r="D153" i="10"/>
  <c r="C32" i="10"/>
  <c r="C231" i="9"/>
  <c r="E37" i="10"/>
  <c r="C117" i="10"/>
  <c r="C152" i="6"/>
  <c r="D144" i="7"/>
  <c r="C206" i="9"/>
  <c r="E177" i="9"/>
  <c r="E85" i="10"/>
  <c r="C181" i="10"/>
  <c r="D81" i="9"/>
  <c r="E54" i="10"/>
  <c r="E214" i="7"/>
  <c r="D126" i="6"/>
  <c r="C31" i="7"/>
  <c r="D149" i="7"/>
  <c r="D141" i="9"/>
  <c r="E53" i="9"/>
  <c r="D54" i="9"/>
  <c r="C144" i="10"/>
  <c r="C258" i="7"/>
  <c r="D112" i="7"/>
  <c r="D97" i="7"/>
  <c r="D18" i="8"/>
  <c r="D157" i="9"/>
  <c r="D196" i="9"/>
  <c r="C50" i="10"/>
  <c r="D20" i="10"/>
  <c r="D160" i="7"/>
  <c r="E249" i="7"/>
  <c r="C223" i="8"/>
  <c r="C39" i="10"/>
  <c r="E120" i="10"/>
  <c r="D248" i="10"/>
  <c r="D15" i="9"/>
  <c r="C110" i="5"/>
  <c r="D16" i="6"/>
  <c r="C51" i="6"/>
  <c r="C222" i="7"/>
  <c r="D215" i="10"/>
  <c r="D39" i="10"/>
  <c r="C248" i="10"/>
  <c r="C15" i="9"/>
  <c r="C294" i="7"/>
  <c r="E163" i="5"/>
  <c r="C176" i="10"/>
  <c r="C96" i="10"/>
  <c r="D150" i="6"/>
  <c r="E210" i="4"/>
  <c r="C179" i="7"/>
  <c r="C56" i="7"/>
  <c r="C172" i="6"/>
  <c r="C175" i="7"/>
  <c r="E225" i="8"/>
  <c r="C182" i="5"/>
  <c r="C68" i="9"/>
  <c r="D43" i="6"/>
  <c r="E190" i="9"/>
  <c r="E17" i="7"/>
  <c r="E67" i="5"/>
  <c r="C92" i="7"/>
  <c r="D221" i="4"/>
  <c r="D174" i="7"/>
  <c r="C153" i="8"/>
  <c r="E144" i="6"/>
  <c r="E187" i="8"/>
  <c r="E278" i="10"/>
  <c r="C180" i="10"/>
  <c r="E75" i="6"/>
  <c r="E215" i="8"/>
  <c r="D235" i="7"/>
  <c r="C213" i="4"/>
  <c r="C152" i="4"/>
  <c r="D174" i="4"/>
  <c r="C64" i="9"/>
  <c r="D121" i="10"/>
  <c r="C230" i="5"/>
  <c r="E194" i="5"/>
  <c r="C132" i="6"/>
  <c r="D86" i="10"/>
  <c r="C189" i="9"/>
  <c r="C119" i="6"/>
  <c r="D77" i="5"/>
  <c r="D28" i="9"/>
  <c r="D121" i="8"/>
  <c r="D34" i="5"/>
  <c r="E255" i="7"/>
  <c r="D31" i="10"/>
  <c r="C33" i="9"/>
  <c r="C78" i="8"/>
  <c r="D268" i="10"/>
  <c r="D27" i="7"/>
  <c r="E16" i="8"/>
  <c r="C161" i="9"/>
  <c r="C195" i="5"/>
  <c r="D210" i="7"/>
  <c r="C250" i="10"/>
  <c r="E238" i="9"/>
  <c r="E12" i="10"/>
  <c r="E265" i="10"/>
  <c r="D215" i="5"/>
  <c r="D47" i="6"/>
  <c r="C119" i="9"/>
  <c r="D101" i="10"/>
  <c r="D98" i="10"/>
  <c r="C103" i="9"/>
  <c r="D71" i="4"/>
  <c r="C100" i="5"/>
  <c r="C140" i="6"/>
  <c r="D87" i="10"/>
  <c r="E276" i="7"/>
  <c r="E191" i="5"/>
  <c r="C245" i="5"/>
  <c r="D130" i="6"/>
  <c r="D52" i="8"/>
  <c r="E219" i="5"/>
  <c r="D189" i="8"/>
  <c r="C43" i="8"/>
  <c r="D154" i="9"/>
  <c r="C244" i="5"/>
  <c r="E213" i="5"/>
  <c r="E127" i="7"/>
  <c r="C129" i="6"/>
  <c r="D101" i="7"/>
  <c r="C9" i="5"/>
  <c r="D17" i="8"/>
  <c r="E43" i="5"/>
  <c r="C14" i="9"/>
  <c r="D186" i="10"/>
  <c r="E82" i="9"/>
  <c r="C176" i="6"/>
  <c r="D205" i="10"/>
  <c r="C23" i="8"/>
  <c r="E264" i="7"/>
  <c r="C42" i="7"/>
  <c r="E234" i="7"/>
  <c r="D55" i="9"/>
  <c r="C57" i="9"/>
  <c r="D120" i="6"/>
  <c r="C104" i="6"/>
  <c r="E22" i="10"/>
  <c r="C183" i="6"/>
  <c r="E96" i="9"/>
  <c r="E115" i="7"/>
  <c r="D113" i="4"/>
  <c r="D266" i="10"/>
  <c r="D186" i="4"/>
  <c r="E238" i="5"/>
  <c r="C188" i="5"/>
  <c r="E164" i="7"/>
  <c r="D228" i="8"/>
  <c r="D139" i="8"/>
  <c r="D287" i="7"/>
  <c r="E18" i="6"/>
  <c r="D170" i="7"/>
  <c r="D167" i="10"/>
  <c r="C155" i="5"/>
  <c r="C216" i="8"/>
  <c r="C76" i="7"/>
  <c r="C82" i="8"/>
  <c r="D108" i="10"/>
  <c r="C7" i="4"/>
  <c r="E125" i="7"/>
  <c r="E116" i="7"/>
  <c r="C78" i="6"/>
  <c r="C260" i="10"/>
  <c r="C74" i="5"/>
  <c r="C24" i="7"/>
  <c r="C214" i="9"/>
  <c r="C118" i="7"/>
  <c r="E171" i="4"/>
  <c r="C195" i="6"/>
  <c r="D208" i="10"/>
  <c r="E236" i="5"/>
  <c r="D52" i="4"/>
  <c r="D220" i="10"/>
  <c r="E181" i="8"/>
  <c r="E35" i="6"/>
  <c r="E224" i="7"/>
  <c r="D176" i="5"/>
  <c r="C70" i="8"/>
  <c r="C157" i="10"/>
  <c r="C202" i="5"/>
  <c r="D58" i="8"/>
  <c r="C185" i="6"/>
  <c r="E32" i="9"/>
  <c r="D65" i="9"/>
  <c r="D16" i="9"/>
  <c r="C115" i="10"/>
  <c r="E49" i="6"/>
  <c r="D132" i="10"/>
  <c r="C48" i="5"/>
  <c r="E136" i="10"/>
  <c r="E68" i="7"/>
  <c r="C127" i="8"/>
  <c r="E270" i="10"/>
  <c r="E104" i="4"/>
  <c r="C95" i="4"/>
  <c r="E42" i="8"/>
  <c r="D57" i="10"/>
  <c r="C99" i="6"/>
  <c r="C155" i="10"/>
  <c r="C122" i="9"/>
  <c r="E138" i="5"/>
  <c r="C52" i="6"/>
  <c r="C187" i="7"/>
  <c r="E160" i="8"/>
  <c r="E117" i="6"/>
  <c r="D34" i="7"/>
  <c r="E93" i="7"/>
  <c r="D51" i="8"/>
  <c r="D123" i="8"/>
  <c r="C62" i="9"/>
  <c r="C8" i="7"/>
  <c r="D123" i="7"/>
  <c r="D12" i="7"/>
  <c r="C39" i="7"/>
  <c r="C213" i="8"/>
  <c r="E106" i="9"/>
  <c r="E62" i="10"/>
  <c r="C86" i="6"/>
  <c r="D97" i="6"/>
  <c r="D38" i="8"/>
  <c r="D206" i="8"/>
  <c r="E205" i="7"/>
  <c r="D20" i="8"/>
  <c r="E43" i="10"/>
  <c r="E223" i="7"/>
  <c r="D151" i="6"/>
  <c r="E120" i="9"/>
  <c r="E42" i="9"/>
  <c r="D135" i="8"/>
  <c r="C198" i="9"/>
  <c r="C93" i="6"/>
  <c r="E74" i="7"/>
  <c r="E72" i="9"/>
  <c r="E26" i="8"/>
  <c r="E210" i="10"/>
  <c r="D151" i="4"/>
  <c r="C216" i="4"/>
  <c r="D13" i="9"/>
  <c r="C159" i="10"/>
  <c r="D111" i="7"/>
  <c r="E25" i="4"/>
  <c r="C33" i="4"/>
  <c r="E26" i="4"/>
  <c r="C106" i="5"/>
  <c r="C210" i="5"/>
  <c r="E168" i="8"/>
  <c r="E97" i="10"/>
  <c r="C155" i="8"/>
  <c r="C133" i="8"/>
  <c r="E20" i="9"/>
  <c r="C131" i="8"/>
  <c r="E69" i="9"/>
  <c r="C53" i="6"/>
  <c r="E143" i="9"/>
  <c r="D85" i="9"/>
  <c r="E55" i="10"/>
  <c r="E184" i="10"/>
  <c r="D271" i="10"/>
  <c r="C212" i="10"/>
  <c r="E129" i="7"/>
  <c r="D188" i="9"/>
  <c r="E126" i="9"/>
  <c r="C94" i="10"/>
  <c r="D219" i="9"/>
  <c r="C224" i="10"/>
  <c r="E95" i="10"/>
  <c r="D249" i="10"/>
  <c r="E267" i="7"/>
  <c r="E161" i="7"/>
  <c r="C153" i="9"/>
  <c r="C76" i="4"/>
  <c r="C115" i="5"/>
  <c r="E7" i="6"/>
  <c r="E116" i="4"/>
  <c r="D113" i="6"/>
  <c r="C222" i="9"/>
  <c r="E195" i="7"/>
  <c r="E18" i="5"/>
  <c r="C21" i="6"/>
  <c r="D134" i="6"/>
  <c r="D155" i="9"/>
  <c r="D159" i="8"/>
  <c r="C171" i="6"/>
  <c r="E206" i="6"/>
  <c r="D85" i="8"/>
  <c r="C157" i="8"/>
  <c r="E212" i="9"/>
  <c r="D258" i="10"/>
  <c r="D147" i="7"/>
  <c r="D272" i="7"/>
  <c r="E80" i="10"/>
  <c r="E137" i="10"/>
  <c r="C233" i="10"/>
  <c r="C33" i="6"/>
  <c r="C260" i="7"/>
  <c r="C48" i="8"/>
  <c r="E141" i="7"/>
  <c r="E242" i="7"/>
  <c r="D226" i="8"/>
  <c r="C46" i="10"/>
  <c r="E11" i="10"/>
  <c r="C240" i="10"/>
  <c r="C263" i="10"/>
  <c r="D125" i="5"/>
  <c r="D128" i="5"/>
  <c r="C180" i="8"/>
  <c r="E133" i="7"/>
  <c r="C269" i="7"/>
  <c r="C132" i="8"/>
  <c r="E236" i="10"/>
  <c r="C27" i="5"/>
  <c r="C58" i="7"/>
  <c r="D278" i="7"/>
  <c r="D218" i="9"/>
  <c r="D45" i="6"/>
  <c r="E209" i="6"/>
  <c r="E202" i="6"/>
  <c r="C291" i="7"/>
  <c r="D21" i="8"/>
  <c r="E49" i="8"/>
  <c r="C153" i="10"/>
  <c r="E32" i="10"/>
  <c r="E231" i="9"/>
  <c r="D37" i="10"/>
  <c r="E117" i="10"/>
  <c r="E152" i="6"/>
  <c r="E144" i="7"/>
  <c r="E206" i="9"/>
  <c r="D177" i="9"/>
  <c r="D85" i="10"/>
  <c r="E181" i="10"/>
  <c r="C214" i="7"/>
  <c r="C126" i="6"/>
  <c r="D31" i="7"/>
  <c r="C149" i="7"/>
  <c r="C141" i="9"/>
  <c r="D53" i="9"/>
  <c r="C54" i="9"/>
  <c r="E144" i="10"/>
  <c r="E258" i="7"/>
  <c r="E112" i="7"/>
  <c r="C97" i="7"/>
  <c r="E18" i="8"/>
  <c r="C157" i="9"/>
  <c r="C196" i="9"/>
  <c r="E50" i="10"/>
  <c r="E20" i="10"/>
  <c r="E160" i="7"/>
  <c r="C249" i="7"/>
  <c r="D223" i="8"/>
  <c r="C120" i="10"/>
  <c r="E110" i="5"/>
  <c r="E16" i="6"/>
  <c r="E51" i="6"/>
  <c r="E222" i="7"/>
  <c r="E239" i="7"/>
  <c r="D160" i="10"/>
  <c r="C38" i="9"/>
  <c r="E16" i="7"/>
  <c r="C40" i="4"/>
  <c r="D75" i="5"/>
  <c r="C83" i="5"/>
  <c r="D228" i="10"/>
  <c r="D215" i="9"/>
  <c r="E85" i="7"/>
  <c r="E195" i="9"/>
  <c r="E209" i="5"/>
  <c r="D8" i="8"/>
  <c r="E130" i="8"/>
  <c r="D106" i="7"/>
  <c r="D162" i="7"/>
  <c r="D79" i="8"/>
  <c r="D257" i="7"/>
  <c r="D150" i="10"/>
  <c r="C149" i="4"/>
  <c r="E90" i="4"/>
  <c r="C110" i="10"/>
  <c r="E192" i="7"/>
  <c r="C190" i="7"/>
  <c r="C79" i="7"/>
  <c r="D102" i="5"/>
  <c r="C219" i="10"/>
  <c r="D98" i="6"/>
  <c r="E217" i="8"/>
  <c r="D142" i="10"/>
  <c r="D245" i="9"/>
  <c r="D119" i="10"/>
  <c r="C56" i="6"/>
  <c r="C36" i="8"/>
  <c r="E136" i="7"/>
  <c r="E56" i="10"/>
  <c r="D91" i="7"/>
  <c r="D185" i="4"/>
  <c r="C226" i="10"/>
  <c r="C135" i="7"/>
  <c r="D241" i="5"/>
  <c r="C59" i="6"/>
  <c r="D229" i="10"/>
  <c r="E75" i="7"/>
  <c r="D181" i="9"/>
  <c r="D76" i="10"/>
  <c r="C205" i="9"/>
  <c r="E73" i="10"/>
  <c r="C21" i="10"/>
  <c r="E257" i="10"/>
  <c r="D247" i="7"/>
  <c r="D225" i="5"/>
  <c r="D123" i="6"/>
  <c r="D32" i="6"/>
  <c r="C213" i="6"/>
  <c r="D103" i="10"/>
  <c r="D149" i="8"/>
  <c r="E29" i="10"/>
  <c r="C13" i="7"/>
  <c r="E73" i="9"/>
  <c r="D259" i="7"/>
  <c r="E227" i="7"/>
  <c r="E162" i="9"/>
  <c r="C102" i="8"/>
  <c r="D59" i="9"/>
  <c r="E142" i="6"/>
  <c r="E221" i="9"/>
  <c r="D48" i="9"/>
  <c r="E237" i="7"/>
  <c r="E36" i="9"/>
  <c r="E256" i="7"/>
  <c r="D204" i="10"/>
  <c r="D38" i="9"/>
  <c r="D16" i="7"/>
  <c r="E150" i="6"/>
  <c r="D281" i="7"/>
  <c r="C75" i="5"/>
  <c r="E172" i="6"/>
  <c r="D225" i="8"/>
  <c r="D68" i="9"/>
  <c r="C145" i="10"/>
  <c r="C162" i="7"/>
  <c r="C257" i="7"/>
  <c r="E132" i="4"/>
  <c r="D214" i="5"/>
  <c r="D11" i="6"/>
  <c r="C162" i="5"/>
  <c r="D66" i="10"/>
  <c r="E36" i="6"/>
  <c r="E99" i="8"/>
  <c r="E112" i="4"/>
  <c r="D122" i="6"/>
  <c r="D69" i="7"/>
  <c r="D76" i="8"/>
  <c r="E42" i="4"/>
  <c r="C89" i="5"/>
  <c r="D156" i="8"/>
  <c r="D69" i="4"/>
  <c r="C127" i="9"/>
  <c r="C199" i="9"/>
  <c r="E74" i="6"/>
  <c r="C102" i="6"/>
  <c r="C143" i="4"/>
  <c r="C72" i="4"/>
  <c r="C72" i="6"/>
  <c r="D175" i="4"/>
  <c r="D165" i="5"/>
  <c r="D211" i="8"/>
  <c r="D140" i="10"/>
  <c r="E60" i="7"/>
  <c r="D118" i="8"/>
  <c r="E10" i="8"/>
  <c r="D218" i="8"/>
  <c r="C162" i="8"/>
  <c r="C233" i="9"/>
  <c r="C96" i="5"/>
  <c r="C133" i="10"/>
  <c r="C168" i="7"/>
  <c r="E276" i="10"/>
  <c r="C100" i="10"/>
  <c r="D25" i="8"/>
  <c r="C207" i="8"/>
  <c r="D124" i="9"/>
  <c r="D177" i="10"/>
  <c r="E130" i="6"/>
  <c r="E50" i="8"/>
  <c r="C189" i="8"/>
  <c r="D244" i="5"/>
  <c r="C27" i="10"/>
  <c r="E18" i="4"/>
  <c r="C127" i="7"/>
  <c r="C17" i="5"/>
  <c r="E113" i="9"/>
  <c r="C17" i="8"/>
  <c r="D108" i="7"/>
  <c r="D76" i="6"/>
  <c r="D14" i="9"/>
  <c r="C117" i="5"/>
  <c r="D253" i="7"/>
  <c r="E269" i="10"/>
  <c r="C60" i="6"/>
  <c r="D264" i="7"/>
  <c r="D82" i="6"/>
  <c r="C197" i="6"/>
  <c r="E183" i="6"/>
  <c r="D48" i="7"/>
  <c r="C87" i="4"/>
  <c r="C80" i="4"/>
  <c r="C12" i="6"/>
  <c r="D125" i="4"/>
  <c r="E105" i="4"/>
  <c r="C266" i="10"/>
  <c r="D140" i="8"/>
  <c r="C164" i="7"/>
  <c r="E183" i="5"/>
  <c r="C139" i="8"/>
  <c r="C287" i="7"/>
  <c r="E203" i="8"/>
  <c r="E76" i="7"/>
  <c r="C134" i="9"/>
  <c r="C108" i="10"/>
  <c r="C132" i="9"/>
  <c r="E7" i="4"/>
  <c r="E142" i="7"/>
  <c r="E260" i="10"/>
  <c r="E66" i="5"/>
  <c r="D24" i="7"/>
  <c r="D214" i="9"/>
  <c r="D72" i="5"/>
  <c r="C105" i="9"/>
  <c r="E118" i="7"/>
  <c r="E208" i="10"/>
  <c r="C168" i="4"/>
  <c r="C52" i="4"/>
  <c r="C126" i="7"/>
  <c r="D35" i="6"/>
  <c r="E190" i="5"/>
  <c r="E24" i="6"/>
  <c r="C176" i="5"/>
  <c r="C137" i="7"/>
  <c r="C273" i="7"/>
  <c r="D202" i="5"/>
  <c r="E152" i="8"/>
  <c r="D185" i="6"/>
  <c r="E115" i="8"/>
  <c r="E65" i="9"/>
  <c r="C45" i="10"/>
  <c r="E115" i="10"/>
  <c r="D70" i="9"/>
  <c r="C45" i="4"/>
  <c r="E132" i="10"/>
  <c r="D147" i="4"/>
  <c r="D136" i="10"/>
  <c r="D127" i="8"/>
  <c r="D91" i="4"/>
  <c r="D104" i="4"/>
  <c r="D61" i="8"/>
  <c r="D42" i="8"/>
  <c r="C57" i="10"/>
  <c r="D101" i="9"/>
  <c r="E155" i="10"/>
  <c r="D124" i="10"/>
  <c r="D187" i="7"/>
  <c r="C160" i="8"/>
  <c r="C10" i="9"/>
  <c r="C89" i="9"/>
  <c r="E54" i="7"/>
  <c r="D62" i="9"/>
  <c r="E8" i="7"/>
  <c r="C123" i="7"/>
  <c r="E12" i="7"/>
  <c r="D39" i="7"/>
  <c r="D213" i="8"/>
  <c r="D106" i="9"/>
  <c r="C62" i="10"/>
  <c r="C223" i="7"/>
  <c r="E151" i="6"/>
  <c r="C120" i="9"/>
  <c r="D42" i="9"/>
  <c r="C135" i="8"/>
  <c r="E198" i="9"/>
  <c r="E93" i="6"/>
  <c r="C74" i="7"/>
  <c r="C72" i="9"/>
  <c r="C26" i="8"/>
  <c r="D210" i="10"/>
  <c r="C151" i="4"/>
  <c r="E216" i="4"/>
  <c r="D206" i="5"/>
  <c r="E210" i="5"/>
  <c r="C168" i="8"/>
  <c r="D97" i="10"/>
  <c r="D155" i="8"/>
  <c r="D133" i="8"/>
  <c r="D242" i="9"/>
  <c r="D29" i="7"/>
  <c r="C12" i="9"/>
  <c r="D59" i="8"/>
  <c r="D195" i="8"/>
  <c r="E165" i="9"/>
  <c r="C55" i="10"/>
  <c r="C184" i="10"/>
  <c r="C271" i="10"/>
  <c r="E212" i="10"/>
  <c r="D273" i="10"/>
  <c r="D112" i="9"/>
  <c r="C169" i="9"/>
  <c r="D13" i="10"/>
  <c r="E256" i="10"/>
  <c r="E191" i="10"/>
  <c r="E57" i="7"/>
  <c r="D275" i="7"/>
  <c r="C68" i="8"/>
  <c r="E223" i="9"/>
  <c r="C246" i="5"/>
  <c r="D126" i="9"/>
  <c r="D94" i="10"/>
  <c r="E219" i="9"/>
  <c r="D224" i="10"/>
  <c r="D95" i="10"/>
  <c r="C249" i="10"/>
  <c r="D267" i="7"/>
  <c r="C161" i="7"/>
  <c r="E153" i="9"/>
  <c r="D76" i="4"/>
  <c r="E115" i="5"/>
  <c r="C180" i="6"/>
  <c r="D199" i="8"/>
  <c r="D232" i="5"/>
  <c r="E106" i="6"/>
  <c r="D195" i="7"/>
  <c r="C18" i="5"/>
  <c r="D21" i="6"/>
  <c r="C134" i="6"/>
  <c r="C155" i="9"/>
  <c r="E159" i="8"/>
  <c r="C160" i="9"/>
  <c r="C171" i="9"/>
  <c r="C239" i="10"/>
  <c r="E125" i="10"/>
  <c r="E194" i="10"/>
  <c r="C218" i="10"/>
  <c r="E111" i="9"/>
  <c r="C212" i="9"/>
  <c r="E125" i="6"/>
  <c r="E147" i="7"/>
  <c r="E272" i="7"/>
  <c r="D80" i="10"/>
  <c r="D137" i="10"/>
  <c r="E233" i="10"/>
  <c r="E33" i="6"/>
  <c r="E260" i="7"/>
  <c r="E48" i="8"/>
  <c r="D141" i="7"/>
  <c r="D242" i="7"/>
  <c r="E120" i="5"/>
  <c r="D46" i="10"/>
  <c r="C11" i="10"/>
  <c r="E240" i="10"/>
  <c r="D263" i="10"/>
  <c r="E125" i="5"/>
  <c r="C128" i="5"/>
  <c r="D180" i="8"/>
  <c r="D133" i="7"/>
  <c r="D269" i="7"/>
  <c r="D132" i="8"/>
  <c r="D236" i="10"/>
  <c r="D27" i="5"/>
  <c r="E58" i="7"/>
  <c r="E278" i="7"/>
  <c r="E218" i="9"/>
  <c r="E45" i="6"/>
  <c r="D209" i="6"/>
  <c r="C202" i="6"/>
  <c r="C236" i="9"/>
  <c r="E174" i="8"/>
  <c r="C253" i="10"/>
  <c r="E291" i="7"/>
  <c r="C21" i="8"/>
  <c r="C144" i="7"/>
  <c r="D206" i="9"/>
  <c r="C177" i="9"/>
  <c r="C85" i="10"/>
  <c r="D181" i="10"/>
  <c r="D65" i="7"/>
  <c r="D208" i="7"/>
  <c r="E149" i="7"/>
  <c r="E141" i="9"/>
  <c r="C53" i="9"/>
  <c r="E54" i="9"/>
  <c r="D144" i="10"/>
  <c r="D258" i="7"/>
  <c r="C112" i="7"/>
  <c r="E97" i="7"/>
  <c r="C18" i="8"/>
  <c r="E157" i="9"/>
  <c r="E196" i="9"/>
  <c r="D50" i="10"/>
  <c r="C20" i="10"/>
  <c r="C160" i="7"/>
  <c r="D249" i="7"/>
  <c r="E223" i="8"/>
  <c r="E39" i="10"/>
  <c r="D120" i="10"/>
  <c r="E248" i="10"/>
  <c r="E15" i="9"/>
  <c r="D110" i="5"/>
  <c r="C16" i="6"/>
  <c r="D51" i="6"/>
  <c r="D222" i="7"/>
  <c r="E294" i="7"/>
  <c r="D239" i="7"/>
  <c r="D166" i="10"/>
  <c r="E93" i="4"/>
  <c r="E161" i="8"/>
  <c r="E169" i="8"/>
  <c r="C117" i="7"/>
  <c r="D182" i="7"/>
  <c r="C175" i="8"/>
  <c r="D37" i="7"/>
  <c r="D193" i="9"/>
  <c r="E207" i="7"/>
  <c r="C92" i="5"/>
  <c r="D68" i="10"/>
  <c r="E159" i="6"/>
  <c r="E244" i="7"/>
  <c r="C168" i="6"/>
  <c r="E23" i="10"/>
  <c r="E54" i="8"/>
  <c r="D16" i="10"/>
  <c r="E142" i="8"/>
  <c r="E60" i="10"/>
  <c r="E134" i="7"/>
  <c r="D201" i="6"/>
  <c r="C185" i="5"/>
  <c r="E72" i="8"/>
  <c r="C64" i="10"/>
  <c r="D208" i="9"/>
  <c r="D239" i="9"/>
  <c r="C30" i="10"/>
  <c r="D217" i="7"/>
  <c r="C128" i="6"/>
  <c r="C263" i="7"/>
  <c r="D282" i="7"/>
  <c r="C193" i="6"/>
  <c r="E38" i="10"/>
  <c r="C182" i="10"/>
  <c r="E221" i="8"/>
  <c r="D25" i="7"/>
  <c r="E209" i="9"/>
  <c r="E78" i="10"/>
  <c r="D128" i="9"/>
  <c r="D200" i="9"/>
  <c r="D212" i="6"/>
  <c r="C83" i="7"/>
  <c r="C142" i="9"/>
  <c r="D155" i="7"/>
  <c r="C229" i="8"/>
  <c r="E209" i="10"/>
  <c r="E190" i="6"/>
  <c r="D45" i="9"/>
  <c r="C27" i="9"/>
  <c r="E95" i="9"/>
  <c r="E96" i="10"/>
  <c r="E40" i="4"/>
  <c r="D26" i="6"/>
  <c r="C35" i="10"/>
  <c r="C92" i="4"/>
  <c r="E83" i="8"/>
  <c r="D203" i="7"/>
  <c r="D23" i="4"/>
  <c r="C196" i="4"/>
  <c r="D148" i="7"/>
  <c r="E203" i="5"/>
  <c r="D233" i="5"/>
  <c r="D166" i="9"/>
  <c r="C71" i="5"/>
  <c r="D154" i="8"/>
  <c r="E113" i="8"/>
  <c r="C166" i="6"/>
  <c r="C240" i="7"/>
  <c r="E150" i="5"/>
  <c r="D14" i="4"/>
  <c r="D232" i="7"/>
  <c r="E97" i="4"/>
  <c r="E81" i="7"/>
  <c r="C143" i="8"/>
  <c r="C229" i="7"/>
  <c r="C244" i="9"/>
  <c r="E90" i="7"/>
  <c r="D126" i="5"/>
  <c r="E36" i="7"/>
  <c r="C134" i="10"/>
  <c r="D147" i="9"/>
  <c r="C266" i="7"/>
  <c r="E96" i="6"/>
  <c r="D17" i="4"/>
  <c r="E31" i="5"/>
  <c r="D169" i="4"/>
  <c r="D70" i="4"/>
  <c r="E173" i="8"/>
  <c r="C69" i="10"/>
  <c r="D261" i="10"/>
  <c r="E221" i="10"/>
  <c r="C80" i="8"/>
  <c r="C173" i="10"/>
  <c r="C241" i="10"/>
  <c r="D86" i="8"/>
  <c r="E132" i="7"/>
  <c r="D118" i="5"/>
  <c r="E124" i="9"/>
  <c r="D44" i="9"/>
  <c r="D20" i="7"/>
  <c r="D10" i="10"/>
  <c r="D149" i="10"/>
  <c r="C21" i="4"/>
  <c r="D292" i="7"/>
  <c r="D27" i="10"/>
  <c r="C170" i="8"/>
  <c r="D107" i="5"/>
  <c r="D17" i="5"/>
  <c r="D113" i="7"/>
  <c r="D41" i="5"/>
  <c r="E108" i="7"/>
  <c r="C74" i="9"/>
  <c r="E85" i="4"/>
  <c r="C29" i="8"/>
  <c r="C11" i="7"/>
  <c r="E117" i="5"/>
  <c r="E87" i="6"/>
  <c r="D185" i="8"/>
  <c r="C269" i="10"/>
  <c r="D46" i="8"/>
  <c r="E121" i="9"/>
  <c r="D197" i="6"/>
  <c r="D288" i="7"/>
  <c r="C99" i="10"/>
  <c r="C94" i="5"/>
  <c r="C110" i="8"/>
  <c r="E78" i="7"/>
  <c r="E214" i="6"/>
  <c r="C48" i="7"/>
  <c r="E74" i="4"/>
  <c r="D87" i="4"/>
  <c r="E80" i="4"/>
  <c r="E12" i="6"/>
  <c r="D105" i="4"/>
  <c r="D175" i="6"/>
  <c r="D184" i="6"/>
  <c r="D178" i="9"/>
  <c r="C140" i="8"/>
  <c r="D211" i="9"/>
  <c r="D216" i="10"/>
  <c r="D132" i="5"/>
  <c r="D262" i="7"/>
  <c r="D80" i="7"/>
  <c r="D62" i="6"/>
  <c r="C183" i="5"/>
  <c r="C9" i="8"/>
  <c r="D203" i="8"/>
  <c r="D201" i="5"/>
  <c r="C265" i="7"/>
  <c r="E7" i="10"/>
  <c r="D134" i="9"/>
  <c r="D163" i="8"/>
  <c r="D132" i="9"/>
  <c r="C62" i="8"/>
  <c r="E194" i="4"/>
  <c r="D142" i="7"/>
  <c r="D90" i="9"/>
  <c r="C66" i="5"/>
  <c r="C63" i="7"/>
  <c r="C72" i="5"/>
  <c r="D79" i="6"/>
  <c r="D168" i="4"/>
  <c r="D97" i="5"/>
  <c r="E126" i="7"/>
  <c r="D197" i="8"/>
  <c r="C190" i="5"/>
  <c r="D24" i="6"/>
  <c r="E92" i="9"/>
  <c r="E137" i="7"/>
  <c r="E137" i="5"/>
  <c r="D273" i="7"/>
  <c r="C7" i="9"/>
  <c r="C152" i="8"/>
  <c r="D131" i="9"/>
  <c r="D115" i="8"/>
  <c r="C151" i="9"/>
  <c r="E45" i="10"/>
  <c r="D35" i="9"/>
  <c r="C70" i="9"/>
  <c r="D45" i="4"/>
  <c r="E50" i="9"/>
  <c r="E147" i="4"/>
  <c r="D82" i="10"/>
  <c r="E28" i="7"/>
  <c r="E91" i="4"/>
  <c r="E28" i="6"/>
  <c r="E61" i="8"/>
  <c r="C42" i="8"/>
  <c r="D134" i="8"/>
  <c r="E136" i="8"/>
  <c r="C101" i="9"/>
  <c r="D155" i="10"/>
  <c r="C124" i="10"/>
  <c r="E112" i="10"/>
  <c r="D151" i="8"/>
  <c r="C194" i="7"/>
  <c r="D160" i="8"/>
  <c r="E10" i="9"/>
  <c r="E89" i="9"/>
  <c r="D54" i="7"/>
  <c r="E66" i="9"/>
  <c r="E31" i="8"/>
  <c r="D93" i="10"/>
  <c r="C211" i="10"/>
  <c r="E106" i="10"/>
  <c r="C106" i="9"/>
  <c r="D62" i="10"/>
  <c r="D143" i="6"/>
  <c r="E94" i="8"/>
  <c r="E109" i="9"/>
  <c r="E46" i="9"/>
  <c r="C77" i="10"/>
  <c r="C65" i="10"/>
  <c r="E86" i="9"/>
  <c r="D26" i="8"/>
  <c r="C210" i="10"/>
  <c r="E151" i="4"/>
  <c r="D216" i="4"/>
  <c r="C206" i="5"/>
  <c r="C146" i="9"/>
  <c r="E98" i="5"/>
  <c r="E18" i="7"/>
  <c r="D178" i="6"/>
  <c r="D194" i="6"/>
  <c r="C147" i="6"/>
  <c r="E155" i="8"/>
  <c r="E133" i="8"/>
  <c r="E242" i="9"/>
  <c r="D197" i="10"/>
  <c r="E111" i="10"/>
  <c r="D114" i="10"/>
  <c r="C176" i="9"/>
  <c r="C29" i="7"/>
  <c r="E12" i="9"/>
  <c r="C59" i="8"/>
  <c r="C195" i="8"/>
  <c r="D165" i="9"/>
  <c r="C59" i="7"/>
  <c r="D184" i="10"/>
  <c r="E271" i="10"/>
  <c r="D212" i="10"/>
  <c r="C273" i="10"/>
  <c r="C112" i="9"/>
  <c r="D169" i="9"/>
  <c r="C13" i="10"/>
  <c r="C256" i="10"/>
  <c r="C191" i="10"/>
  <c r="C57" i="7"/>
  <c r="C275" i="7"/>
  <c r="E68" i="8"/>
  <c r="C223" i="9"/>
  <c r="E246" i="5"/>
  <c r="E158" i="7"/>
  <c r="C230" i="7"/>
  <c r="D161" i="7"/>
  <c r="D153" i="9"/>
  <c r="E76" i="4"/>
  <c r="D115" i="5"/>
  <c r="D180" i="6"/>
  <c r="E199" i="8"/>
  <c r="E232" i="5"/>
  <c r="D106" i="6"/>
  <c r="D105" i="5"/>
  <c r="E83" i="6"/>
  <c r="D146" i="8"/>
  <c r="C195" i="10"/>
  <c r="C195" i="7"/>
  <c r="E21" i="6"/>
  <c r="E134" i="6"/>
  <c r="E155" i="9"/>
  <c r="C159" i="8"/>
  <c r="D160" i="9"/>
  <c r="E171" i="9"/>
  <c r="D239" i="10"/>
  <c r="D125" i="10"/>
  <c r="D194" i="10"/>
  <c r="E218" i="10"/>
  <c r="C111" i="9"/>
  <c r="D240" i="9"/>
  <c r="E164" i="9"/>
  <c r="D214" i="10"/>
  <c r="C189" i="10"/>
  <c r="E143" i="10"/>
  <c r="D125" i="6"/>
  <c r="C147" i="7"/>
  <c r="C272" i="7"/>
  <c r="C80" i="10"/>
  <c r="C137" i="10"/>
  <c r="D233" i="10"/>
  <c r="D33" i="6"/>
  <c r="D260" i="7"/>
  <c r="D48" i="8"/>
  <c r="C141" i="7"/>
  <c r="C242" i="7"/>
  <c r="C120" i="5"/>
  <c r="D163" i="5"/>
  <c r="C184" i="7"/>
  <c r="D202" i="6"/>
  <c r="D236" i="9"/>
  <c r="C174" i="8"/>
  <c r="D253" i="10"/>
  <c r="D291" i="7"/>
  <c r="E21" i="8"/>
  <c r="E272" i="10"/>
  <c r="C228" i="10"/>
  <c r="E179" i="7"/>
  <c r="D191" i="7"/>
  <c r="C21" i="7"/>
  <c r="D56" i="7"/>
  <c r="D119" i="8"/>
  <c r="E191" i="8"/>
  <c r="C65" i="7"/>
  <c r="E208" i="7"/>
  <c r="D8" i="10"/>
  <c r="D79" i="10"/>
  <c r="D165" i="10"/>
  <c r="D294" i="7"/>
  <c r="C239" i="7"/>
  <c r="E166" i="10"/>
  <c r="C240" i="9"/>
  <c r="D183" i="9"/>
  <c r="C60" i="9"/>
  <c r="D145" i="9"/>
  <c r="D34" i="8"/>
  <c r="D184" i="7"/>
  <c r="C31" i="9"/>
  <c r="E207" i="6"/>
  <c r="E110" i="9"/>
  <c r="D73" i="7"/>
  <c r="D185" i="9"/>
  <c r="C48" i="4"/>
  <c r="C191" i="7"/>
  <c r="D21" i="7"/>
  <c r="D114" i="9"/>
  <c r="E183" i="8"/>
  <c r="C79" i="10"/>
  <c r="D268" i="7"/>
  <c r="D178" i="7"/>
  <c r="E15" i="6"/>
  <c r="E166" i="7"/>
  <c r="D145" i="10"/>
  <c r="E198" i="8"/>
  <c r="C12" i="8"/>
  <c r="D225" i="10"/>
  <c r="C137" i="8"/>
  <c r="D277" i="7"/>
  <c r="D205" i="5"/>
  <c r="D145" i="5"/>
  <c r="C141" i="5"/>
  <c r="E212" i="5"/>
  <c r="D65" i="6"/>
  <c r="D10" i="5"/>
  <c r="E13" i="8"/>
  <c r="D178" i="5"/>
  <c r="D47" i="7"/>
  <c r="D31" i="6"/>
  <c r="C87" i="8"/>
  <c r="D77" i="7"/>
  <c r="E44" i="10"/>
  <c r="C33" i="10"/>
  <c r="D122" i="10"/>
  <c r="E127" i="10"/>
  <c r="D90" i="10"/>
  <c r="C199" i="10"/>
  <c r="C201" i="10"/>
  <c r="D254" i="10"/>
  <c r="D22" i="7"/>
  <c r="C124" i="5"/>
  <c r="C185" i="7"/>
  <c r="E172" i="4"/>
  <c r="D50" i="7"/>
  <c r="C242" i="10"/>
  <c r="E186" i="7"/>
  <c r="D66" i="7"/>
  <c r="E285" i="7"/>
  <c r="E49" i="10"/>
  <c r="C73" i="4"/>
  <c r="C60" i="5"/>
  <c r="D213" i="9"/>
  <c r="D178" i="4"/>
  <c r="C128" i="10"/>
  <c r="C136" i="9"/>
  <c r="E70" i="7"/>
  <c r="D107" i="8"/>
  <c r="D86" i="7"/>
  <c r="E20" i="5"/>
  <c r="C10" i="7"/>
  <c r="D91" i="6"/>
  <c r="C64" i="5"/>
  <c r="E92" i="10"/>
  <c r="D64" i="8"/>
  <c r="E173" i="7"/>
  <c r="E39" i="5"/>
  <c r="E154" i="7"/>
  <c r="C171" i="10"/>
  <c r="C264" i="10"/>
  <c r="E203" i="9"/>
  <c r="E47" i="10"/>
  <c r="E138" i="10"/>
  <c r="D220" i="9"/>
  <c r="E160" i="5"/>
  <c r="D89" i="7"/>
  <c r="D210" i="9"/>
  <c r="E147" i="10"/>
  <c r="E168" i="10"/>
  <c r="E58" i="10"/>
  <c r="E76" i="9"/>
  <c r="D99" i="4"/>
  <c r="C164" i="6"/>
  <c r="E175" i="5"/>
  <c r="E120" i="7"/>
  <c r="E44" i="9"/>
  <c r="D186" i="8"/>
  <c r="E221" i="7"/>
  <c r="E10" i="10"/>
  <c r="D65" i="5"/>
  <c r="E21" i="4"/>
  <c r="C139" i="6"/>
  <c r="E234" i="5"/>
  <c r="D170" i="8"/>
  <c r="E80" i="6"/>
  <c r="D28" i="10"/>
  <c r="C113" i="7"/>
  <c r="D175" i="10"/>
  <c r="E165" i="8"/>
  <c r="E74" i="9"/>
  <c r="D102" i="4"/>
  <c r="E41" i="8"/>
  <c r="D87" i="6"/>
  <c r="C105" i="8"/>
  <c r="E46" i="8"/>
  <c r="D30" i="9"/>
  <c r="E288" i="7"/>
  <c r="E112" i="6"/>
  <c r="E94" i="5"/>
  <c r="D78" i="7"/>
  <c r="D214" i="6"/>
  <c r="C153" i="6"/>
  <c r="E114" i="4"/>
  <c r="D169" i="7"/>
  <c r="C175" i="6"/>
  <c r="E184" i="6"/>
  <c r="C178" i="9"/>
  <c r="E67" i="10"/>
  <c r="C211" i="9"/>
  <c r="C216" i="10"/>
  <c r="C132" i="5"/>
  <c r="C262" i="7"/>
  <c r="C80" i="7"/>
  <c r="C62" i="6"/>
  <c r="D187" i="9"/>
  <c r="E9" i="8"/>
  <c r="E267" i="10"/>
  <c r="D124" i="8"/>
  <c r="C201" i="5"/>
  <c r="E265" i="7"/>
  <c r="D7" i="10"/>
  <c r="E103" i="7"/>
  <c r="C15" i="10"/>
  <c r="C163" i="8"/>
  <c r="E235" i="10"/>
  <c r="C131" i="5"/>
  <c r="E52" i="9"/>
  <c r="E62" i="8"/>
  <c r="E90" i="9"/>
  <c r="E216" i="7"/>
  <c r="E63" i="7"/>
  <c r="C156" i="7"/>
  <c r="E213" i="7"/>
  <c r="E44" i="5"/>
  <c r="E79" i="6"/>
  <c r="E151" i="10"/>
  <c r="C97" i="5"/>
  <c r="C39" i="6"/>
  <c r="C197" i="8"/>
  <c r="D145" i="7"/>
  <c r="D92" i="9"/>
  <c r="C90" i="6"/>
  <c r="E7" i="9"/>
  <c r="E116" i="6"/>
  <c r="C131" i="9"/>
  <c r="E98" i="7"/>
  <c r="D151" i="9"/>
  <c r="E129" i="9"/>
  <c r="E35" i="9"/>
  <c r="C162" i="10"/>
  <c r="D50" i="9"/>
  <c r="C160" i="6"/>
  <c r="E82" i="10"/>
  <c r="E196" i="5"/>
  <c r="E75" i="10"/>
  <c r="C28" i="7"/>
  <c r="C75" i="6"/>
  <c r="D28" i="6"/>
  <c r="C61" i="8"/>
  <c r="D150" i="9"/>
  <c r="E134" i="8"/>
  <c r="D136" i="8"/>
  <c r="E124" i="10"/>
  <c r="C112" i="10"/>
  <c r="C151" i="8"/>
  <c r="E194" i="7"/>
  <c r="E181" i="9"/>
  <c r="D10" i="9"/>
  <c r="D89" i="9"/>
  <c r="C54" i="7"/>
  <c r="D66" i="9"/>
  <c r="C31" i="8"/>
  <c r="E93" i="10"/>
  <c r="E211" i="10"/>
  <c r="C106" i="10"/>
  <c r="D127" i="10"/>
  <c r="E205" i="9"/>
  <c r="C208" i="9"/>
  <c r="C94" i="9"/>
  <c r="D73" i="10"/>
  <c r="E90" i="10"/>
  <c r="E199" i="10"/>
  <c r="C143" i="6"/>
  <c r="D94" i="8"/>
  <c r="C109" i="9"/>
  <c r="C46" i="9"/>
  <c r="D77" i="10"/>
  <c r="D65" i="10"/>
  <c r="C86" i="9"/>
  <c r="D21" i="10"/>
  <c r="E239" i="9"/>
  <c r="C107" i="10"/>
  <c r="D257" i="10"/>
  <c r="D246" i="10"/>
  <c r="E247" i="7"/>
  <c r="E30" i="10"/>
  <c r="E215" i="4"/>
  <c r="C225" i="5"/>
  <c r="E206" i="5"/>
  <c r="E146" i="9"/>
  <c r="D98" i="5"/>
  <c r="D18" i="7"/>
  <c r="E178" i="6"/>
  <c r="C194" i="6"/>
  <c r="D147" i="6"/>
  <c r="C282" i="7"/>
  <c r="E213" i="6"/>
  <c r="C242" i="9"/>
  <c r="C197" i="10"/>
  <c r="C111" i="10"/>
  <c r="E114" i="10"/>
  <c r="E176" i="9"/>
  <c r="E29" i="7"/>
  <c r="D12" i="9"/>
  <c r="E59" i="8"/>
  <c r="E195" i="8"/>
  <c r="C165" i="9"/>
  <c r="E59" i="7"/>
  <c r="E273" i="10"/>
  <c r="E112" i="9"/>
  <c r="E169" i="9"/>
  <c r="E13" i="10"/>
  <c r="D256" i="10"/>
  <c r="D191" i="10"/>
  <c r="D57" i="7"/>
  <c r="E275" i="7"/>
  <c r="D68" i="8"/>
  <c r="D223" i="9"/>
  <c r="D246" i="5"/>
  <c r="C158" i="7"/>
  <c r="D230" i="7"/>
  <c r="E100" i="8"/>
  <c r="D194" i="8"/>
  <c r="D78" i="10"/>
  <c r="D227" i="7"/>
  <c r="E30" i="7"/>
  <c r="C283" i="7"/>
  <c r="C128" i="9"/>
  <c r="E200" i="9"/>
  <c r="E180" i="6"/>
  <c r="C199" i="8"/>
  <c r="C232" i="5"/>
  <c r="C106" i="6"/>
  <c r="E105" i="5"/>
  <c r="D83" i="6"/>
  <c r="C146" i="8"/>
  <c r="E195" i="10"/>
  <c r="D142" i="9"/>
  <c r="E160" i="9"/>
  <c r="D171" i="9"/>
  <c r="E239" i="10"/>
  <c r="C125" i="10"/>
  <c r="C194" i="10"/>
  <c r="D218" i="10"/>
  <c r="D111" i="9"/>
  <c r="E240" i="9"/>
  <c r="C164" i="9"/>
  <c r="E214" i="10"/>
  <c r="D189" i="10"/>
  <c r="C143" i="10"/>
  <c r="C209" i="10"/>
  <c r="E48" i="9"/>
  <c r="C125" i="6"/>
  <c r="D120" i="5"/>
  <c r="C163" i="5"/>
  <c r="E184" i="7"/>
  <c r="C256" i="7"/>
  <c r="D212" i="8"/>
  <c r="E31" i="9"/>
  <c r="E204" i="10"/>
  <c r="D23" i="7"/>
  <c r="D207" i="6"/>
  <c r="D27" i="9"/>
  <c r="E38" i="9"/>
  <c r="C110" i="9"/>
  <c r="C95" i="9"/>
  <c r="D176" i="10"/>
  <c r="C16" i="7"/>
  <c r="E73" i="7"/>
  <c r="D96" i="10"/>
  <c r="E185" i="9"/>
  <c r="C150" i="6"/>
  <c r="D40" i="4"/>
  <c r="E48" i="4"/>
  <c r="E236" i="9"/>
  <c r="D174" i="8"/>
  <c r="E253" i="10"/>
  <c r="C272" i="10"/>
  <c r="E228" i="10"/>
  <c r="D179" i="7"/>
  <c r="E191" i="7"/>
  <c r="E21" i="7"/>
  <c r="E56" i="7"/>
  <c r="C119" i="8"/>
  <c r="D191" i="8"/>
  <c r="E114" i="9"/>
  <c r="E215" i="9"/>
  <c r="D172" i="6"/>
  <c r="C85" i="7"/>
  <c r="E175" i="7"/>
  <c r="D183" i="8"/>
  <c r="E65" i="7"/>
  <c r="C208" i="7"/>
  <c r="C8" i="10"/>
  <c r="E79" i="10"/>
  <c r="C165" i="10"/>
  <c r="E196" i="7"/>
  <c r="C268" i="7"/>
  <c r="C225" i="8"/>
  <c r="E178" i="7"/>
  <c r="C195" i="9"/>
  <c r="D15" i="6"/>
  <c r="D182" i="5"/>
  <c r="C209" i="5"/>
  <c r="E68" i="9"/>
  <c r="D166" i="7"/>
  <c r="E8" i="8"/>
  <c r="D130" i="8"/>
  <c r="E145" i="10"/>
  <c r="C43" i="6"/>
  <c r="E106" i="7"/>
  <c r="D198" i="8"/>
  <c r="E162" i="7"/>
  <c r="E12" i="8"/>
  <c r="E79" i="8"/>
  <c r="C225" i="10"/>
  <c r="D9" i="7"/>
  <c r="E137" i="8"/>
  <c r="E257" i="7"/>
  <c r="C166" i="10"/>
  <c r="E142" i="9"/>
  <c r="D183" i="4"/>
  <c r="E37" i="9"/>
  <c r="C59" i="9"/>
  <c r="C139" i="7"/>
  <c r="D164" i="9"/>
  <c r="C214" i="10"/>
  <c r="E189" i="10"/>
  <c r="D143" i="10"/>
  <c r="D209" i="10"/>
  <c r="C48" i="9"/>
  <c r="C130" i="9"/>
  <c r="C190" i="6"/>
  <c r="C95" i="7"/>
  <c r="C237" i="7"/>
  <c r="C45" i="9"/>
  <c r="C140" i="9"/>
  <c r="C139" i="9"/>
  <c r="D256" i="7"/>
  <c r="C212" i="8"/>
  <c r="C204" i="10"/>
  <c r="E23" i="7"/>
  <c r="E27" i="9"/>
  <c r="D272" i="10"/>
  <c r="C191" i="8"/>
  <c r="E35" i="10"/>
  <c r="D246" i="7"/>
  <c r="E16" i="5"/>
  <c r="C11" i="5"/>
  <c r="C104" i="8"/>
  <c r="C33" i="7"/>
  <c r="D158" i="8"/>
  <c r="D191" i="9"/>
  <c r="E166" i="5"/>
  <c r="D77" i="8"/>
  <c r="D163" i="7"/>
  <c r="C121" i="7"/>
  <c r="D22" i="9"/>
  <c r="C199" i="5"/>
  <c r="D90" i="8"/>
  <c r="E206" i="4"/>
  <c r="E234" i="9"/>
  <c r="D23" i="9"/>
  <c r="D87" i="7"/>
  <c r="E73" i="5"/>
  <c r="E52" i="10"/>
  <c r="D103" i="6"/>
  <c r="D86" i="5"/>
  <c r="E108" i="8"/>
  <c r="D241" i="9"/>
  <c r="E198" i="4"/>
  <c r="D27" i="4"/>
  <c r="D173" i="9"/>
  <c r="C110" i="7"/>
  <c r="C151" i="5"/>
  <c r="E123" i="10"/>
  <c r="C259" i="10"/>
  <c r="E85" i="5"/>
  <c r="E103" i="5"/>
  <c r="C202" i="8"/>
  <c r="C181" i="6"/>
  <c r="C35" i="8"/>
  <c r="E146" i="6"/>
  <c r="C159" i="5"/>
  <c r="D164" i="5"/>
  <c r="C76" i="5"/>
  <c r="D115" i="9"/>
  <c r="E40" i="10"/>
  <c r="D88" i="6"/>
  <c r="C204" i="4"/>
  <c r="C238" i="10"/>
  <c r="C192" i="6"/>
  <c r="C199" i="4"/>
  <c r="C163" i="9"/>
  <c r="E137" i="4"/>
  <c r="E55" i="7"/>
  <c r="D199" i="6"/>
  <c r="E130" i="4"/>
  <c r="D183" i="10"/>
  <c r="C196" i="6"/>
  <c r="C135" i="9"/>
  <c r="D56" i="8"/>
  <c r="D275" i="10"/>
  <c r="D229" i="9"/>
  <c r="E233" i="7"/>
  <c r="D81" i="6"/>
  <c r="C91" i="9"/>
  <c r="C114" i="7"/>
  <c r="E12" i="5"/>
  <c r="D202" i="9"/>
  <c r="D81" i="8"/>
  <c r="E188" i="4"/>
  <c r="E207" i="5"/>
  <c r="C289" i="7"/>
  <c r="E201" i="8"/>
  <c r="C170" i="9"/>
  <c r="D204" i="7"/>
  <c r="C145" i="5"/>
  <c r="D238" i="7"/>
  <c r="D175" i="5"/>
  <c r="E186" i="8"/>
  <c r="C23" i="9"/>
  <c r="E87" i="7"/>
  <c r="C234" i="10"/>
  <c r="D10" i="4"/>
  <c r="E139" i="6"/>
  <c r="C73" i="5"/>
  <c r="D101" i="6"/>
  <c r="D80" i="6"/>
  <c r="E92" i="7"/>
  <c r="D12" i="4"/>
  <c r="E175" i="10"/>
  <c r="C221" i="4"/>
  <c r="D219" i="10"/>
  <c r="D226" i="9"/>
  <c r="C23" i="6"/>
  <c r="C41" i="8"/>
  <c r="C174" i="7"/>
  <c r="E111" i="5"/>
  <c r="D105" i="8"/>
  <c r="C244" i="10"/>
  <c r="D179" i="8"/>
  <c r="C142" i="10"/>
  <c r="E210" i="8"/>
  <c r="E68" i="10"/>
  <c r="E153" i="6"/>
  <c r="E245" i="9"/>
  <c r="E119" i="10"/>
  <c r="D21" i="9"/>
  <c r="D114" i="4"/>
  <c r="E169" i="7"/>
  <c r="C159" i="6"/>
  <c r="C67" i="10"/>
  <c r="E56" i="6"/>
  <c r="E180" i="5"/>
  <c r="E187" i="9"/>
  <c r="E218" i="5"/>
  <c r="C267" i="10"/>
  <c r="E124" i="8"/>
  <c r="C152" i="10"/>
  <c r="D103" i="7"/>
  <c r="E15" i="10"/>
  <c r="D56" i="10"/>
  <c r="D235" i="10"/>
  <c r="E178" i="5"/>
  <c r="D131" i="5"/>
  <c r="C142" i="8"/>
  <c r="C91" i="7"/>
  <c r="C216" i="7"/>
  <c r="C47" i="7"/>
  <c r="E156" i="7"/>
  <c r="D213" i="7"/>
  <c r="D151" i="10"/>
  <c r="C144" i="6"/>
  <c r="D39" i="6"/>
  <c r="C171" i="8"/>
  <c r="E145" i="7"/>
  <c r="E223" i="5"/>
  <c r="E90" i="6"/>
  <c r="E209" i="7"/>
  <c r="C201" i="6"/>
  <c r="C116" i="6"/>
  <c r="C224" i="8"/>
  <c r="C98" i="7"/>
  <c r="C187" i="8"/>
  <c r="D129" i="9"/>
  <c r="C278" i="10"/>
  <c r="E162" i="10"/>
  <c r="C241" i="5"/>
  <c r="E160" i="6"/>
  <c r="D180" i="10"/>
  <c r="C196" i="5"/>
  <c r="D75" i="10"/>
  <c r="E59" i="6"/>
  <c r="D75" i="6"/>
  <c r="C28" i="6"/>
  <c r="C212" i="7"/>
  <c r="C150" i="9"/>
  <c r="D72" i="8"/>
  <c r="D112" i="10"/>
  <c r="E151" i="8"/>
  <c r="D194" i="7"/>
  <c r="C181" i="9"/>
  <c r="C76" i="10"/>
  <c r="E122" i="10"/>
  <c r="A111" i="11"/>
  <c r="C66" i="9"/>
  <c r="D31" i="8"/>
  <c r="C93" i="10"/>
  <c r="D211" i="10"/>
  <c r="D106" i="10"/>
  <c r="C127" i="10"/>
  <c r="D205" i="9"/>
  <c r="E208" i="9"/>
  <c r="D94" i="9"/>
  <c r="C73" i="10"/>
  <c r="C90" i="10"/>
  <c r="D199" i="10"/>
  <c r="E201" i="10"/>
  <c r="C254" i="10"/>
  <c r="E143" i="6"/>
  <c r="C94" i="8"/>
  <c r="D109" i="9"/>
  <c r="D46" i="9"/>
  <c r="E77" i="10"/>
  <c r="E65" i="10"/>
  <c r="D86" i="9"/>
  <c r="E21" i="10"/>
  <c r="C239" i="9"/>
  <c r="E107" i="10"/>
  <c r="C257" i="10"/>
  <c r="E246" i="10"/>
  <c r="C247" i="7"/>
  <c r="D30" i="10"/>
  <c r="D215" i="4"/>
  <c r="E225" i="5"/>
  <c r="E217" i="7"/>
  <c r="E138" i="6"/>
  <c r="C123" i="6"/>
  <c r="E128" i="6"/>
  <c r="D146" i="9"/>
  <c r="C98" i="5"/>
  <c r="C18" i="7"/>
  <c r="C178" i="6"/>
  <c r="E194" i="6"/>
  <c r="E147" i="6"/>
  <c r="E282" i="7"/>
  <c r="D213" i="6"/>
  <c r="D193" i="6"/>
  <c r="E197" i="10"/>
  <c r="D111" i="10"/>
  <c r="C114" i="10"/>
  <c r="D176" i="9"/>
  <c r="D59" i="7"/>
  <c r="C149" i="8"/>
  <c r="D221" i="8"/>
  <c r="D158" i="7"/>
  <c r="E230" i="7"/>
  <c r="C100" i="8"/>
  <c r="E194" i="8"/>
  <c r="C78" i="10"/>
  <c r="C227" i="7"/>
  <c r="D30" i="7"/>
  <c r="E283" i="7"/>
  <c r="E128" i="9"/>
  <c r="C200" i="9"/>
  <c r="C149" i="9"/>
  <c r="D162" i="9"/>
  <c r="C212" i="6"/>
  <c r="D165" i="6"/>
  <c r="C105" i="5"/>
  <c r="C83" i="6"/>
  <c r="E146" i="8"/>
  <c r="D195" i="10"/>
  <c r="D102" i="8"/>
  <c r="D95" i="9"/>
  <c r="C41" i="4"/>
  <c r="E119" i="8"/>
  <c r="E8" i="10"/>
  <c r="E165" i="10"/>
  <c r="D196" i="7"/>
  <c r="C9" i="7"/>
  <c r="D11" i="9"/>
  <c r="D230" i="10"/>
  <c r="D147" i="5"/>
  <c r="C139" i="4"/>
  <c r="C104" i="9"/>
  <c r="C49" i="4"/>
  <c r="E82" i="5"/>
  <c r="C139" i="5"/>
  <c r="D83" i="10"/>
  <c r="E124" i="4"/>
  <c r="C29" i="9"/>
  <c r="C135" i="10"/>
  <c r="C89" i="10"/>
  <c r="D67" i="8"/>
  <c r="D31" i="4"/>
  <c r="D39" i="9"/>
  <c r="D121" i="4"/>
  <c r="C188" i="8"/>
  <c r="D180" i="5"/>
  <c r="D152" i="10"/>
  <c r="C213" i="10"/>
  <c r="D171" i="8"/>
  <c r="D100" i="9"/>
  <c r="D209" i="7"/>
  <c r="E224" i="8"/>
  <c r="C105" i="7"/>
  <c r="E56" i="5"/>
  <c r="D212" i="7"/>
  <c r="E94" i="9"/>
  <c r="D107" i="10"/>
  <c r="C246" i="10"/>
  <c r="C215" i="4"/>
  <c r="D138" i="6"/>
  <c r="E245" i="10"/>
  <c r="D84" i="9"/>
  <c r="C180" i="7"/>
  <c r="D189" i="6"/>
  <c r="E232" i="9"/>
  <c r="C194" i="8"/>
  <c r="C30" i="7"/>
  <c r="C165" i="6"/>
  <c r="E24" i="9"/>
  <c r="E30" i="6"/>
  <c r="E156" i="9"/>
  <c r="E183" i="9"/>
  <c r="C71" i="10"/>
  <c r="E145" i="9"/>
  <c r="D140" i="9"/>
  <c r="E160" i="10"/>
  <c r="D31" i="9"/>
  <c r="C207" i="6"/>
  <c r="E176" i="10"/>
  <c r="C185" i="9"/>
  <c r="D41" i="4"/>
  <c r="D210" i="4"/>
  <c r="C114" i="9"/>
  <c r="C215" i="9"/>
  <c r="D85" i="7"/>
  <c r="C54" i="10"/>
  <c r="C178" i="7"/>
  <c r="C15" i="6"/>
  <c r="C166" i="7"/>
  <c r="E43" i="6"/>
  <c r="D12" i="8"/>
  <c r="D137" i="8"/>
  <c r="C190" i="9"/>
  <c r="D25" i="9"/>
  <c r="C200" i="6"/>
  <c r="D100" i="8"/>
  <c r="D283" i="7"/>
  <c r="D149" i="9"/>
  <c r="E183" i="4"/>
  <c r="D37" i="9"/>
  <c r="E139" i="7"/>
  <c r="E93" i="8"/>
  <c r="C186" i="9"/>
  <c r="E60" i="9"/>
  <c r="C34" i="8"/>
  <c r="E95" i="7"/>
  <c r="E139" i="9"/>
  <c r="E212" i="8"/>
  <c r="C23" i="7"/>
  <c r="D110" i="9"/>
  <c r="C73" i="7"/>
  <c r="C183" i="8"/>
  <c r="C196" i="7"/>
  <c r="D195" i="9"/>
  <c r="D209" i="5"/>
  <c r="C8" i="8"/>
  <c r="C106" i="7"/>
  <c r="E225" i="10"/>
  <c r="M8" i="10" l="1"/>
  <c r="M257" i="6"/>
  <c r="O257" i="6"/>
  <c r="A112" i="1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57" i="1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N252" i="9"/>
  <c r="O252" i="9"/>
  <c r="N270" i="6"/>
  <c r="M270" i="6"/>
  <c r="O270" i="6"/>
  <c r="O255" i="9"/>
  <c r="N255" i="9"/>
  <c r="M255" i="9"/>
  <c r="M282" i="6"/>
  <c r="O282" i="6"/>
  <c r="N282" i="6"/>
  <c r="O278" i="8"/>
  <c r="N278" i="8"/>
  <c r="M278" i="8"/>
  <c r="M235" i="6"/>
  <c r="B8" i="6"/>
  <c r="M7" i="6"/>
  <c r="O7" i="6"/>
  <c r="N7" i="6"/>
  <c r="O231" i="6"/>
  <c r="N231" i="6"/>
  <c r="M231" i="6"/>
  <c r="O248" i="5"/>
  <c r="N248" i="5"/>
  <c r="M248" i="5"/>
  <c r="A109" i="11"/>
  <c r="M262" i="9"/>
  <c r="N262" i="9"/>
  <c r="O262" i="9"/>
  <c r="O240" i="8"/>
  <c r="N240" i="8"/>
  <c r="M240" i="8"/>
  <c r="N271" i="8"/>
  <c r="O271" i="8"/>
  <c r="M271" i="8"/>
  <c r="O283" i="4"/>
  <c r="N283" i="4"/>
  <c r="M283" i="4"/>
  <c r="O257" i="9"/>
  <c r="M257" i="9"/>
  <c r="N257" i="9"/>
  <c r="M289" i="8"/>
  <c r="N289" i="8"/>
  <c r="O289" i="8"/>
  <c r="N235" i="6"/>
  <c r="O255" i="8"/>
  <c r="M255" i="8"/>
  <c r="N255" i="8"/>
  <c r="N266" i="8"/>
  <c r="O266" i="8"/>
  <c r="M266" i="8"/>
  <c r="N289" i="5"/>
  <c r="M289" i="5"/>
  <c r="O289" i="5"/>
  <c r="O236" i="6"/>
  <c r="N236" i="6"/>
  <c r="M236" i="6"/>
  <c r="N218" i="6"/>
  <c r="M218" i="6"/>
  <c r="O218" i="6"/>
  <c r="O245" i="8"/>
  <c r="M245" i="8"/>
  <c r="N245" i="8"/>
  <c r="M283" i="8"/>
  <c r="O283" i="8"/>
  <c r="N283" i="8"/>
  <c r="O280" i="5"/>
  <c r="N280" i="5"/>
  <c r="M280" i="5"/>
  <c r="O275" i="8"/>
  <c r="N275" i="8"/>
  <c r="M275" i="8"/>
  <c r="N230" i="6"/>
  <c r="M230" i="6"/>
  <c r="O230" i="6"/>
  <c r="N262" i="8"/>
  <c r="O262" i="8"/>
  <c r="M262" i="8"/>
  <c r="O259" i="6"/>
  <c r="N259" i="6"/>
  <c r="M259" i="6"/>
  <c r="O279" i="5"/>
  <c r="N279" i="5"/>
  <c r="M279" i="5"/>
  <c r="M253" i="9"/>
  <c r="N253" i="9"/>
  <c r="O253" i="9"/>
  <c r="M281" i="8"/>
  <c r="N281" i="8"/>
  <c r="O281" i="8"/>
  <c r="O272" i="6"/>
  <c r="N272" i="6"/>
  <c r="M272" i="6"/>
  <c r="O225" i="6"/>
  <c r="N225" i="6"/>
  <c r="M225" i="6"/>
  <c r="O247" i="8"/>
  <c r="M247" i="8"/>
  <c r="N247" i="8"/>
  <c r="O285" i="6"/>
  <c r="N285" i="6"/>
  <c r="M285" i="6"/>
  <c r="N273" i="5"/>
  <c r="M273" i="5"/>
  <c r="O273" i="5"/>
  <c r="N258" i="9"/>
  <c r="O258" i="9"/>
  <c r="M258" i="9"/>
  <c r="O254" i="6"/>
  <c r="N254" i="6"/>
  <c r="O264" i="8"/>
  <c r="M264" i="8"/>
  <c r="N264" i="8"/>
  <c r="O237" i="8"/>
  <c r="M237" i="8"/>
  <c r="N237" i="8"/>
  <c r="O254" i="9"/>
  <c r="M254" i="9"/>
  <c r="N254" i="9"/>
  <c r="M233" i="8"/>
  <c r="N233" i="8"/>
  <c r="O233" i="8"/>
  <c r="M240" i="6"/>
  <c r="O240" i="6"/>
  <c r="N240" i="6"/>
  <c r="O249" i="8"/>
  <c r="M249" i="8"/>
  <c r="N249" i="8"/>
  <c r="O254" i="4"/>
  <c r="N254" i="4"/>
  <c r="M254" i="4"/>
  <c r="M272" i="8"/>
  <c r="O272" i="8"/>
  <c r="N272" i="8"/>
  <c r="M294" i="5"/>
  <c r="O294" i="5"/>
  <c r="N294" i="5"/>
  <c r="M288" i="8"/>
  <c r="N288" i="8"/>
  <c r="O288" i="8"/>
  <c r="O220" i="6"/>
  <c r="N220" i="6"/>
  <c r="M220" i="6"/>
  <c r="M277" i="4"/>
  <c r="O277" i="4"/>
  <c r="N277" i="4"/>
  <c r="M258" i="8"/>
  <c r="O258" i="8"/>
  <c r="N258" i="8"/>
  <c r="O255" i="5"/>
  <c r="N255" i="5"/>
  <c r="M255" i="5"/>
  <c r="M293" i="8"/>
  <c r="N293" i="8"/>
  <c r="O293" i="8"/>
  <c r="N269" i="6"/>
  <c r="O269" i="6"/>
  <c r="M269" i="6"/>
  <c r="N290" i="4"/>
  <c r="M290" i="4"/>
  <c r="O290" i="4"/>
  <c r="O289" i="4"/>
  <c r="N289" i="4"/>
  <c r="M289" i="4"/>
  <c r="N253" i="6"/>
  <c r="O253" i="6"/>
  <c r="M244" i="8"/>
  <c r="O244" i="8"/>
  <c r="N244" i="8"/>
  <c r="N251" i="4"/>
  <c r="M251" i="4"/>
  <c r="O251" i="4"/>
  <c r="M274" i="6"/>
  <c r="O274" i="6"/>
  <c r="N274" i="6"/>
  <c r="M246" i="4"/>
  <c r="O246" i="4"/>
  <c r="N246" i="4"/>
  <c r="O241" i="4"/>
  <c r="N241" i="4"/>
  <c r="M241" i="4"/>
  <c r="M257" i="5"/>
  <c r="O257" i="5"/>
  <c r="N257" i="5"/>
  <c r="O238" i="6"/>
  <c r="N238" i="6"/>
  <c r="M238" i="6"/>
  <c r="O234" i="8"/>
  <c r="M234" i="8"/>
  <c r="N234" i="8"/>
  <c r="O266" i="5"/>
  <c r="N266" i="5"/>
  <c r="M266" i="5"/>
  <c r="M252" i="9"/>
  <c r="O216" i="6"/>
  <c r="N216" i="6"/>
  <c r="M216" i="6"/>
  <c r="M259" i="9"/>
  <c r="O259" i="9"/>
  <c r="N259" i="9"/>
  <c r="O280" i="6"/>
  <c r="N280" i="6"/>
  <c r="M280" i="6"/>
  <c r="O232" i="6"/>
  <c r="N232" i="6"/>
  <c r="M232" i="6"/>
  <c r="M247" i="4"/>
  <c r="O247" i="4"/>
  <c r="N247" i="4"/>
  <c r="O259" i="8"/>
  <c r="N259" i="8"/>
  <c r="M259" i="8"/>
  <c r="N232" i="8"/>
  <c r="O232" i="8"/>
  <c r="M232" i="8"/>
  <c r="N277" i="8"/>
  <c r="M277" i="8"/>
  <c r="N7" i="10"/>
  <c r="O7" i="10"/>
  <c r="M7" i="10"/>
  <c r="O286" i="4"/>
  <c r="N286" i="4"/>
  <c r="M286" i="4"/>
  <c r="M290" i="6"/>
  <c r="O290" i="6"/>
  <c r="N290" i="6"/>
  <c r="M288" i="4"/>
  <c r="O288" i="4"/>
  <c r="N288" i="4"/>
  <c r="N251" i="8"/>
  <c r="O251" i="8"/>
  <c r="M251" i="8"/>
  <c r="O291" i="5"/>
  <c r="N291" i="5"/>
  <c r="M291" i="5"/>
  <c r="O235" i="4"/>
  <c r="N235" i="4"/>
  <c r="M235" i="4"/>
  <c r="M7" i="5"/>
  <c r="O7" i="5"/>
  <c r="N7" i="5"/>
  <c r="B8" i="5"/>
  <c r="O275" i="4"/>
  <c r="N275" i="4"/>
  <c r="M275" i="4"/>
  <c r="N259" i="4"/>
  <c r="M259" i="4"/>
  <c r="O259" i="4"/>
  <c r="O264" i="6"/>
  <c r="N264" i="6"/>
  <c r="M264" i="6"/>
  <c r="O288" i="6"/>
  <c r="N288" i="6"/>
  <c r="M288" i="6"/>
  <c r="M265" i="8"/>
  <c r="N265" i="8"/>
  <c r="O265" i="8"/>
  <c r="O224" i="6"/>
  <c r="N224" i="6"/>
  <c r="M224" i="6"/>
  <c r="O260" i="9"/>
  <c r="N260" i="9"/>
  <c r="M260" i="9"/>
  <c r="O252" i="6"/>
  <c r="N252" i="6"/>
  <c r="M252" i="6"/>
  <c r="N227" i="6"/>
  <c r="O227" i="6"/>
  <c r="N241" i="8"/>
  <c r="O241" i="8"/>
  <c r="M241" i="8"/>
  <c r="N260" i="8"/>
  <c r="M260" i="8"/>
  <c r="O260" i="8"/>
  <c r="O274" i="5"/>
  <c r="N274" i="5"/>
  <c r="M274" i="5"/>
  <c r="O261" i="4"/>
  <c r="N261" i="4"/>
  <c r="M261" i="4"/>
  <c r="O251" i="6"/>
  <c r="N251" i="6"/>
  <c r="M251" i="6"/>
  <c r="M241" i="6"/>
  <c r="O241" i="6"/>
  <c r="N241" i="6"/>
  <c r="M277" i="5"/>
  <c r="O277" i="5"/>
  <c r="N277" i="5"/>
  <c r="N254" i="8"/>
  <c r="O254" i="8"/>
  <c r="M254" i="8"/>
  <c r="M238" i="4"/>
  <c r="O238" i="4"/>
  <c r="N238" i="4"/>
  <c r="O270" i="5"/>
  <c r="M270" i="5"/>
  <c r="N270" i="5"/>
  <c r="O294" i="6"/>
  <c r="N294" i="6"/>
  <c r="M294" i="6"/>
  <c r="N237" i="4"/>
  <c r="O237" i="4"/>
  <c r="M237" i="4"/>
  <c r="M250" i="6"/>
  <c r="O250" i="6"/>
  <c r="N250" i="6"/>
  <c r="O292" i="4"/>
  <c r="N292" i="4"/>
  <c r="M292" i="4"/>
  <c r="O246" i="8"/>
  <c r="M246" i="8"/>
  <c r="N246" i="8"/>
  <c r="O270" i="8"/>
  <c r="N270" i="8"/>
  <c r="M270" i="8"/>
  <c r="O261" i="8"/>
  <c r="M261" i="8"/>
  <c r="N261" i="8"/>
  <c r="O275" i="5"/>
  <c r="N275" i="5"/>
  <c r="M275" i="5"/>
  <c r="N285" i="8"/>
  <c r="O285" i="8"/>
  <c r="M272" i="5"/>
  <c r="N272" i="5"/>
  <c r="O272" i="5"/>
  <c r="B8" i="4"/>
  <c r="O7" i="4"/>
  <c r="N7" i="4"/>
  <c r="M7" i="4"/>
  <c r="N281" i="6"/>
  <c r="M281" i="6"/>
  <c r="O281" i="6"/>
  <c r="O267" i="6"/>
  <c r="N267" i="6"/>
  <c r="M267" i="6"/>
  <c r="O265" i="5"/>
  <c r="N265" i="5"/>
  <c r="M265" i="5"/>
  <c r="O222" i="6"/>
  <c r="N222" i="6"/>
  <c r="M222" i="6"/>
  <c r="M292" i="6"/>
  <c r="O292" i="6"/>
  <c r="N292" i="6"/>
  <c r="O247" i="5"/>
  <c r="N247" i="5"/>
  <c r="M247" i="5"/>
  <c r="O278" i="4"/>
  <c r="N278" i="4"/>
  <c r="M278" i="4"/>
  <c r="O249" i="9"/>
  <c r="M249" i="9"/>
  <c r="N249" i="9"/>
  <c r="O258" i="5"/>
  <c r="N258" i="5"/>
  <c r="M258" i="5"/>
  <c r="M252" i="5"/>
  <c r="O252" i="5"/>
  <c r="N252" i="5"/>
  <c r="O277" i="6"/>
  <c r="N277" i="6"/>
  <c r="M277" i="6"/>
  <c r="O276" i="4"/>
  <c r="N276" i="4"/>
  <c r="M276" i="4"/>
  <c r="M250" i="8"/>
  <c r="N250" i="8"/>
  <c r="O250" i="8"/>
  <c r="O269" i="8"/>
  <c r="N269" i="8"/>
  <c r="M269" i="8"/>
  <c r="O245" i="6"/>
  <c r="N245" i="6"/>
  <c r="M245" i="6"/>
  <c r="O291" i="6"/>
  <c r="N291" i="6"/>
  <c r="M291" i="6"/>
  <c r="N274" i="4"/>
  <c r="M274" i="4"/>
  <c r="O274" i="4"/>
  <c r="O286" i="5"/>
  <c r="N286" i="5"/>
  <c r="M286" i="5"/>
  <c r="N256" i="9"/>
  <c r="M256" i="9"/>
  <c r="O256" i="9"/>
  <c r="M293" i="4"/>
  <c r="O293" i="4"/>
  <c r="N293" i="4"/>
  <c r="O267" i="5"/>
  <c r="N267" i="5"/>
  <c r="M267" i="5"/>
  <c r="N237" i="6"/>
  <c r="M237" i="6"/>
  <c r="O237" i="6"/>
  <c r="N229" i="6"/>
  <c r="M229" i="6"/>
  <c r="O229" i="6"/>
  <c r="N282" i="8"/>
  <c r="O282" i="8"/>
  <c r="M282" i="8"/>
  <c r="B8" i="8"/>
  <c r="O7" i="8"/>
  <c r="N7" i="8"/>
  <c r="M7" i="8"/>
  <c r="O282" i="4"/>
  <c r="N282" i="4"/>
  <c r="M282" i="4"/>
  <c r="O253" i="4"/>
  <c r="N253" i="4"/>
  <c r="M253" i="4"/>
  <c r="M231" i="8"/>
  <c r="N231" i="8"/>
  <c r="O231" i="8"/>
  <c r="N260" i="5"/>
  <c r="M260" i="5"/>
  <c r="O260" i="5"/>
  <c r="M279" i="6"/>
  <c r="O279" i="6"/>
  <c r="N279" i="6"/>
  <c r="N236" i="8"/>
  <c r="O236" i="8"/>
  <c r="M236" i="8"/>
  <c r="N265" i="6"/>
  <c r="M265" i="6"/>
  <c r="O265" i="6"/>
  <c r="O282" i="5"/>
  <c r="N282" i="5"/>
  <c r="M282" i="5"/>
  <c r="O215" i="6"/>
  <c r="N215" i="6"/>
  <c r="M215" i="6"/>
  <c r="M272" i="4"/>
  <c r="O272" i="4"/>
  <c r="N272" i="4"/>
  <c r="O259" i="5"/>
  <c r="N259" i="5"/>
  <c r="M259" i="5"/>
  <c r="N261" i="6"/>
  <c r="O261" i="6"/>
  <c r="M261" i="6"/>
  <c r="O271" i="5"/>
  <c r="N271" i="5"/>
  <c r="M271" i="5"/>
  <c r="O254" i="5"/>
  <c r="N254" i="5"/>
  <c r="M254" i="5"/>
  <c r="M266" i="6"/>
  <c r="O266" i="6"/>
  <c r="N266" i="6"/>
  <c r="O243" i="4"/>
  <c r="N243" i="4"/>
  <c r="M243" i="4"/>
  <c r="O242" i="8"/>
  <c r="M242" i="8"/>
  <c r="N242" i="8"/>
  <c r="O256" i="6"/>
  <c r="N256" i="6"/>
  <c r="M256" i="6"/>
  <c r="M281" i="4"/>
  <c r="O281" i="4"/>
  <c r="N281" i="4"/>
  <c r="O286" i="6"/>
  <c r="N286" i="6"/>
  <c r="M286" i="6"/>
  <c r="O245" i="4"/>
  <c r="N245" i="4"/>
  <c r="M245" i="4"/>
  <c r="M248" i="4"/>
  <c r="O248" i="4"/>
  <c r="N248" i="4"/>
  <c r="O260" i="6"/>
  <c r="N260" i="6"/>
  <c r="M260" i="6"/>
  <c r="N292" i="5"/>
  <c r="M292" i="5"/>
  <c r="O292" i="5"/>
  <c r="O265" i="4"/>
  <c r="N265" i="4"/>
  <c r="M265" i="4"/>
  <c r="B8" i="7"/>
  <c r="N7" i="7"/>
  <c r="M7" i="7"/>
  <c r="O7" i="7"/>
  <c r="O233" i="6"/>
  <c r="N233" i="6"/>
  <c r="M233" i="6"/>
  <c r="O252" i="4"/>
  <c r="N252" i="4"/>
  <c r="M252" i="4"/>
  <c r="O290" i="5"/>
  <c r="N290" i="5"/>
  <c r="M290" i="5"/>
  <c r="M283" i="5"/>
  <c r="O283" i="5"/>
  <c r="N283" i="5"/>
  <c r="O278" i="5"/>
  <c r="N278" i="5"/>
  <c r="M278" i="5"/>
  <c r="N255" i="4"/>
  <c r="M255" i="4"/>
  <c r="O255" i="4"/>
  <c r="N273" i="6"/>
  <c r="M273" i="6"/>
  <c r="O273" i="6"/>
  <c r="O236" i="4"/>
  <c r="N236" i="4"/>
  <c r="M236" i="4"/>
  <c r="M263" i="8"/>
  <c r="N263" i="8"/>
  <c r="O263" i="8"/>
  <c r="N284" i="5"/>
  <c r="M284" i="5"/>
  <c r="O284" i="5"/>
  <c r="N239" i="4"/>
  <c r="M239" i="4"/>
  <c r="O239" i="4"/>
  <c r="O284" i="6"/>
  <c r="N284" i="6"/>
  <c r="M284" i="6"/>
  <c r="O250" i="9"/>
  <c r="N250" i="9"/>
  <c r="M250" i="9"/>
  <c r="M242" i="4"/>
  <c r="O242" i="4"/>
  <c r="N242" i="4"/>
  <c r="O251" i="5"/>
  <c r="N251" i="5"/>
  <c r="M251" i="5"/>
  <c r="O285" i="4"/>
  <c r="N285" i="4"/>
  <c r="M285" i="4"/>
  <c r="O287" i="6"/>
  <c r="N287" i="6"/>
  <c r="M287" i="6"/>
  <c r="M294" i="4"/>
  <c r="O294" i="4"/>
  <c r="N294" i="4"/>
  <c r="O228" i="6"/>
  <c r="N228" i="6"/>
  <c r="M228" i="6"/>
  <c r="M258" i="6"/>
  <c r="O258" i="6"/>
  <c r="N258" i="6"/>
  <c r="M273" i="8"/>
  <c r="N273" i="8"/>
  <c r="O273" i="8"/>
  <c r="N289" i="6"/>
  <c r="M289" i="6"/>
  <c r="O289" i="6"/>
  <c r="M284" i="8"/>
  <c r="O284" i="8"/>
  <c r="N284" i="8"/>
  <c r="O234" i="4"/>
  <c r="N234" i="4"/>
  <c r="M234" i="4"/>
  <c r="N279" i="4"/>
  <c r="M279" i="4"/>
  <c r="O279" i="4"/>
  <c r="N263" i="5"/>
  <c r="M263" i="5"/>
  <c r="O263" i="5"/>
  <c r="N256" i="8"/>
  <c r="O256" i="8"/>
  <c r="M256" i="8"/>
  <c r="O256" i="5"/>
  <c r="N256" i="5"/>
  <c r="M256" i="5"/>
  <c r="O268" i="4"/>
  <c r="N268" i="4"/>
  <c r="M268" i="4"/>
  <c r="M283" i="6"/>
  <c r="O283" i="6"/>
  <c r="N283" i="6"/>
  <c r="O290" i="8"/>
  <c r="M290" i="8"/>
  <c r="N290" i="8"/>
  <c r="N242" i="6"/>
  <c r="M242" i="6"/>
  <c r="O242" i="6"/>
  <c r="O287" i="5"/>
  <c r="N287" i="5"/>
  <c r="M287" i="5"/>
  <c r="N248" i="8"/>
  <c r="O248" i="8"/>
  <c r="M248" i="8"/>
  <c r="O284" i="4"/>
  <c r="N284" i="4"/>
  <c r="M284" i="4"/>
  <c r="M248" i="6"/>
  <c r="O248" i="6"/>
  <c r="N248" i="6"/>
  <c r="B8" i="9"/>
  <c r="N7" i="9"/>
  <c r="O7" i="9"/>
  <c r="M7" i="9"/>
  <c r="N252" i="8"/>
  <c r="O252" i="8"/>
  <c r="M252" i="8"/>
  <c r="O217" i="6"/>
  <c r="N217" i="6"/>
  <c r="M217" i="6"/>
  <c r="O243" i="6"/>
  <c r="N243" i="6"/>
  <c r="M243" i="6"/>
  <c r="O249" i="4"/>
  <c r="N249" i="4"/>
  <c r="M249" i="4"/>
  <c r="O286" i="8"/>
  <c r="N286" i="8"/>
  <c r="O255" i="6"/>
  <c r="N255" i="6"/>
  <c r="M255" i="6"/>
  <c r="O270" i="4"/>
  <c r="N270" i="4"/>
  <c r="M270" i="4"/>
  <c r="N280" i="8"/>
  <c r="M280" i="8"/>
  <c r="O280" i="8"/>
  <c r="M274" i="8"/>
  <c r="O274" i="8"/>
  <c r="N274" i="8"/>
  <c r="N268" i="5"/>
  <c r="M268" i="5"/>
  <c r="O268" i="5"/>
  <c r="O246" i="6"/>
  <c r="N246" i="6"/>
  <c r="M246" i="6"/>
  <c r="O262" i="6"/>
  <c r="N262" i="6"/>
  <c r="M262" i="6"/>
  <c r="O268" i="6"/>
  <c r="N268" i="6"/>
  <c r="M268" i="6"/>
  <c r="M232" i="4"/>
  <c r="O232" i="4"/>
  <c r="N232" i="4"/>
  <c r="M257" i="8"/>
  <c r="N257" i="8"/>
  <c r="O257" i="8"/>
  <c r="M261" i="5"/>
  <c r="O261" i="5"/>
  <c r="N261" i="5"/>
  <c r="N276" i="5"/>
  <c r="M276" i="5"/>
  <c r="O276" i="5"/>
  <c r="O250" i="5"/>
  <c r="N250" i="5"/>
  <c r="M250" i="5"/>
  <c r="O294" i="8"/>
  <c r="N294" i="8"/>
  <c r="M294" i="8"/>
  <c r="M235" i="8"/>
  <c r="O235" i="8"/>
  <c r="N235" i="8"/>
  <c r="O278" i="6"/>
  <c r="N278" i="6"/>
  <c r="M278" i="6"/>
  <c r="O273" i="4"/>
  <c r="N273" i="4"/>
  <c r="M273" i="4"/>
  <c r="M251" i="9"/>
  <c r="N251" i="9"/>
  <c r="O251" i="9"/>
  <c r="N276" i="6"/>
  <c r="M276" i="6"/>
  <c r="O276" i="6"/>
  <c r="M293" i="5"/>
  <c r="O293" i="5"/>
  <c r="N293" i="5"/>
  <c r="O291" i="4"/>
  <c r="N291" i="4"/>
  <c r="M291" i="4"/>
  <c r="O293" i="6"/>
  <c r="N293" i="6"/>
  <c r="M293" i="6"/>
  <c r="N288" i="5"/>
  <c r="M288" i="5"/>
  <c r="O288" i="5"/>
  <c r="O243" i="8"/>
  <c r="N243" i="8"/>
  <c r="M243" i="8"/>
  <c r="M226" i="6"/>
  <c r="O226" i="6"/>
  <c r="N226" i="6"/>
  <c r="O279" i="8"/>
  <c r="M279" i="8"/>
  <c r="N279" i="8"/>
  <c r="N231" i="4"/>
  <c r="M231" i="4"/>
  <c r="O231" i="4"/>
  <c r="O281" i="5"/>
  <c r="N281" i="5"/>
  <c r="M281" i="5"/>
  <c r="O292" i="8"/>
  <c r="N292" i="8"/>
  <c r="M292" i="8"/>
  <c r="O244" i="4"/>
  <c r="N244" i="4"/>
  <c r="M244" i="4"/>
  <c r="M263" i="6"/>
  <c r="O263" i="6"/>
  <c r="N263" i="6"/>
  <c r="O257" i="4"/>
  <c r="N257" i="4"/>
  <c r="M257" i="4"/>
  <c r="O223" i="6"/>
  <c r="N223" i="6"/>
  <c r="M223" i="6"/>
  <c r="M285" i="5"/>
  <c r="O285" i="5"/>
  <c r="N285" i="5"/>
  <c r="O253" i="8"/>
  <c r="M253" i="8"/>
  <c r="N253" i="8"/>
  <c r="N249" i="6"/>
  <c r="M249" i="6"/>
  <c r="O249" i="6"/>
  <c r="M240" i="4"/>
  <c r="O240" i="4"/>
  <c r="N240" i="4"/>
  <c r="M269" i="5"/>
  <c r="O269" i="5"/>
  <c r="N269" i="5"/>
  <c r="N262" i="4"/>
  <c r="M262" i="4"/>
  <c r="O262" i="4"/>
  <c r="M264" i="4"/>
  <c r="O264" i="4"/>
  <c r="N264" i="4"/>
  <c r="O266" i="4"/>
  <c r="N266" i="4"/>
  <c r="M266" i="4"/>
  <c r="M271" i="6"/>
  <c r="O271" i="6"/>
  <c r="N271" i="6"/>
  <c r="O234" i="6"/>
  <c r="N234" i="6"/>
  <c r="M234" i="6"/>
  <c r="N247" i="9"/>
  <c r="M247" i="9"/>
  <c r="O247" i="9"/>
  <c r="O250" i="4"/>
  <c r="N250" i="4"/>
  <c r="M250" i="4"/>
  <c r="O267" i="8"/>
  <c r="M267" i="8"/>
  <c r="N267" i="8"/>
  <c r="M261" i="9"/>
  <c r="N261" i="9"/>
  <c r="O261" i="9"/>
  <c r="O269" i="4"/>
  <c r="N269" i="4"/>
  <c r="M269" i="4"/>
  <c r="O219" i="6"/>
  <c r="N219" i="6"/>
  <c r="M219" i="6"/>
  <c r="N248" i="9"/>
  <c r="M248" i="9"/>
  <c r="O248" i="9"/>
  <c r="M253" i="5"/>
  <c r="N253" i="5"/>
  <c r="O253" i="5"/>
  <c r="M239" i="8"/>
  <c r="N239" i="8"/>
  <c r="O239" i="8"/>
  <c r="M280" i="4"/>
  <c r="O280" i="4"/>
  <c r="N280" i="4"/>
  <c r="O263" i="4"/>
  <c r="N263" i="4"/>
  <c r="M263" i="4"/>
  <c r="M291" i="8"/>
  <c r="O291" i="8"/>
  <c r="N291" i="8"/>
  <c r="N271" i="4"/>
  <c r="M271" i="4"/>
  <c r="O271" i="4"/>
  <c r="O262" i="5"/>
  <c r="N262" i="5"/>
  <c r="M262" i="5"/>
  <c r="O260" i="4"/>
  <c r="N260" i="4"/>
  <c r="M260" i="4"/>
  <c r="O239" i="6"/>
  <c r="N239" i="6"/>
  <c r="M239" i="6"/>
  <c r="N249" i="5"/>
  <c r="M249" i="5"/>
  <c r="O249" i="5"/>
  <c r="O264" i="5"/>
  <c r="N264" i="5"/>
  <c r="M264" i="5"/>
  <c r="O258" i="4"/>
  <c r="N258" i="4"/>
  <c r="M258" i="4"/>
  <c r="N287" i="8"/>
  <c r="M287" i="8"/>
  <c r="O287" i="8"/>
  <c r="N287" i="4"/>
  <c r="M287" i="4"/>
  <c r="O287" i="4"/>
  <c r="O221" i="6"/>
  <c r="N221" i="6"/>
  <c r="M221" i="6"/>
  <c r="O244" i="6"/>
  <c r="N244" i="6"/>
  <c r="M244" i="6"/>
  <c r="O247" i="6"/>
  <c r="N247" i="6"/>
  <c r="M247" i="6"/>
  <c r="N267" i="4"/>
  <c r="M267" i="4"/>
  <c r="O267" i="4"/>
  <c r="M256" i="4"/>
  <c r="O256" i="4"/>
  <c r="N256" i="4"/>
  <c r="O275" i="6"/>
  <c r="N275" i="6"/>
  <c r="M275" i="6"/>
  <c r="O9" i="10"/>
  <c r="N9" i="10"/>
  <c r="M9" i="10"/>
  <c r="B10" i="10"/>
  <c r="A76" i="11"/>
  <c r="A77" i="11" l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B9" i="8"/>
  <c r="M8" i="8"/>
  <c r="O8" i="8"/>
  <c r="N8" i="8"/>
  <c r="B9" i="7"/>
  <c r="O8" i="7"/>
  <c r="N8" i="7"/>
  <c r="M8" i="7"/>
  <c r="B9" i="9"/>
  <c r="N8" i="9"/>
  <c r="M8" i="9"/>
  <c r="O8" i="9"/>
  <c r="N8" i="5"/>
  <c r="O8" i="5"/>
  <c r="M8" i="5"/>
  <c r="B9" i="5"/>
  <c r="B9" i="4"/>
  <c r="O8" i="4"/>
  <c r="N8" i="4"/>
  <c r="M8" i="4"/>
  <c r="B9" i="6"/>
  <c r="O8" i="6"/>
  <c r="N8" i="6"/>
  <c r="M8" i="6"/>
  <c r="O10" i="10"/>
  <c r="N10" i="10"/>
  <c r="M10" i="10"/>
  <c r="B11" i="10"/>
  <c r="N9" i="9" l="1"/>
  <c r="O9" i="9"/>
  <c r="M9" i="9"/>
  <c r="B10" i="9"/>
  <c r="M9" i="5"/>
  <c r="O9" i="5"/>
  <c r="N9" i="5"/>
  <c r="B10" i="5"/>
  <c r="N9" i="4"/>
  <c r="M9" i="4"/>
  <c r="O9" i="4"/>
  <c r="B10" i="4"/>
  <c r="B10" i="8"/>
  <c r="O9" i="8"/>
  <c r="N9" i="8"/>
  <c r="M9" i="8"/>
  <c r="N9" i="6"/>
  <c r="O9" i="6"/>
  <c r="M9" i="6"/>
  <c r="B10" i="6"/>
  <c r="M9" i="7"/>
  <c r="O9" i="7"/>
  <c r="N9" i="7"/>
  <c r="B10" i="7"/>
  <c r="O11" i="10"/>
  <c r="N11" i="10"/>
  <c r="M11" i="10"/>
  <c r="B12" i="10"/>
  <c r="O10" i="7" l="1"/>
  <c r="B11" i="7"/>
  <c r="N10" i="7"/>
  <c r="M10" i="7"/>
  <c r="B11" i="5"/>
  <c r="N10" i="5"/>
  <c r="O10" i="5"/>
  <c r="M10" i="5"/>
  <c r="M10" i="6"/>
  <c r="B11" i="6"/>
  <c r="O10" i="6"/>
  <c r="N10" i="6"/>
  <c r="M10" i="4"/>
  <c r="B11" i="4"/>
  <c r="N10" i="4"/>
  <c r="O10" i="4"/>
  <c r="N10" i="9"/>
  <c r="M10" i="9"/>
  <c r="O10" i="9"/>
  <c r="B11" i="9"/>
  <c r="B11" i="8"/>
  <c r="O10" i="8"/>
  <c r="N10" i="8"/>
  <c r="M10" i="8"/>
  <c r="O12" i="10"/>
  <c r="N12" i="10"/>
  <c r="M12" i="10"/>
  <c r="B13" i="10"/>
  <c r="O11" i="7" l="1"/>
  <c r="N11" i="7"/>
  <c r="B12" i="7"/>
  <c r="M11" i="7"/>
  <c r="O11" i="6"/>
  <c r="N11" i="6"/>
  <c r="M11" i="6"/>
  <c r="B12" i="6"/>
  <c r="M11" i="4"/>
  <c r="O11" i="4"/>
  <c r="N11" i="4"/>
  <c r="B12" i="4"/>
  <c r="B12" i="8"/>
  <c r="O11" i="8"/>
  <c r="N11" i="8"/>
  <c r="M11" i="8"/>
  <c r="N11" i="5"/>
  <c r="B12" i="5"/>
  <c r="M11" i="5"/>
  <c r="O11" i="5"/>
  <c r="O11" i="9"/>
  <c r="N11" i="9"/>
  <c r="M11" i="9"/>
  <c r="B12" i="9"/>
  <c r="O13" i="10"/>
  <c r="N13" i="10"/>
  <c r="M13" i="10"/>
  <c r="B14" i="10"/>
  <c r="O12" i="9" l="1"/>
  <c r="M12" i="9"/>
  <c r="N12" i="9"/>
  <c r="B13" i="9"/>
  <c r="O12" i="6"/>
  <c r="N12" i="6"/>
  <c r="M12" i="6"/>
  <c r="B13" i="6"/>
  <c r="B13" i="8"/>
  <c r="O12" i="8"/>
  <c r="N12" i="8"/>
  <c r="M12" i="8"/>
  <c r="B13" i="4"/>
  <c r="M12" i="4"/>
  <c r="O12" i="4"/>
  <c r="N12" i="4"/>
  <c r="B13" i="7"/>
  <c r="O12" i="7"/>
  <c r="N12" i="7"/>
  <c r="M12" i="7"/>
  <c r="O12" i="5"/>
  <c r="N12" i="5"/>
  <c r="M12" i="5"/>
  <c r="B13" i="5"/>
  <c r="N14" i="10"/>
  <c r="M14" i="10"/>
  <c r="O14" i="10"/>
  <c r="B15" i="10"/>
  <c r="N13" i="5" l="1"/>
  <c r="M13" i="5"/>
  <c r="B14" i="5"/>
  <c r="O13" i="5"/>
  <c r="B14" i="7"/>
  <c r="O13" i="7"/>
  <c r="N13" i="7"/>
  <c r="M13" i="7"/>
  <c r="N13" i="8"/>
  <c r="B14" i="8"/>
  <c r="O13" i="8"/>
  <c r="M13" i="8"/>
  <c r="O13" i="6"/>
  <c r="N13" i="6"/>
  <c r="B14" i="6"/>
  <c r="M13" i="6"/>
  <c r="N13" i="4"/>
  <c r="M13" i="4"/>
  <c r="O13" i="4"/>
  <c r="B14" i="4"/>
  <c r="N13" i="9"/>
  <c r="M13" i="9"/>
  <c r="B14" i="9"/>
  <c r="O13" i="9"/>
  <c r="M15" i="10"/>
  <c r="N15" i="10"/>
  <c r="O15" i="10"/>
  <c r="B16" i="10"/>
  <c r="M14" i="5" l="1"/>
  <c r="B15" i="5"/>
  <c r="O14" i="5"/>
  <c r="N14" i="5"/>
  <c r="O14" i="9"/>
  <c r="N14" i="9"/>
  <c r="M14" i="9"/>
  <c r="B15" i="9"/>
  <c r="N14" i="6"/>
  <c r="M14" i="6"/>
  <c r="O14" i="6"/>
  <c r="B15" i="6"/>
  <c r="N14" i="8"/>
  <c r="B15" i="8"/>
  <c r="M14" i="8"/>
  <c r="O14" i="8"/>
  <c r="B15" i="7"/>
  <c r="O14" i="7"/>
  <c r="N14" i="7"/>
  <c r="M14" i="7"/>
  <c r="B15" i="4"/>
  <c r="M14" i="4"/>
  <c r="O14" i="4"/>
  <c r="N14" i="4"/>
  <c r="M16" i="10"/>
  <c r="N16" i="10"/>
  <c r="O16" i="10"/>
  <c r="B17" i="10"/>
  <c r="N15" i="9" l="1"/>
  <c r="M15" i="9"/>
  <c r="B16" i="9"/>
  <c r="O15" i="9"/>
  <c r="O15" i="8"/>
  <c r="N15" i="8"/>
  <c r="B16" i="8"/>
  <c r="M15" i="8"/>
  <c r="O15" i="4"/>
  <c r="B16" i="4"/>
  <c r="N15" i="4"/>
  <c r="M15" i="4"/>
  <c r="M15" i="6"/>
  <c r="N15" i="6"/>
  <c r="B16" i="6"/>
  <c r="O15" i="6"/>
  <c r="O15" i="5"/>
  <c r="N15" i="5"/>
  <c r="M15" i="5"/>
  <c r="B16" i="5"/>
  <c r="N15" i="7"/>
  <c r="M15" i="7"/>
  <c r="B16" i="7"/>
  <c r="O15" i="7"/>
  <c r="M17" i="10"/>
  <c r="N17" i="10"/>
  <c r="O17" i="10"/>
  <c r="B18" i="10"/>
  <c r="M16" i="7" l="1"/>
  <c r="B17" i="7"/>
  <c r="O16" i="7"/>
  <c r="N16" i="7"/>
  <c r="O16" i="8"/>
  <c r="B17" i="8"/>
  <c r="M16" i="8"/>
  <c r="N16" i="8"/>
  <c r="N16" i="5"/>
  <c r="M16" i="5"/>
  <c r="B17" i="5"/>
  <c r="O16" i="5"/>
  <c r="M16" i="6"/>
  <c r="B17" i="6"/>
  <c r="O16" i="6"/>
  <c r="N16" i="6"/>
  <c r="O16" i="9"/>
  <c r="N16" i="9"/>
  <c r="M16" i="9"/>
  <c r="B17" i="9"/>
  <c r="O16" i="4"/>
  <c r="N16" i="4"/>
  <c r="M16" i="4"/>
  <c r="B17" i="4"/>
  <c r="M18" i="10"/>
  <c r="N18" i="10"/>
  <c r="O18" i="10"/>
  <c r="B19" i="10"/>
  <c r="M17" i="4" l="1"/>
  <c r="N17" i="4"/>
  <c r="O17" i="4"/>
  <c r="B18" i="4"/>
  <c r="O17" i="6"/>
  <c r="N17" i="6"/>
  <c r="M17" i="6"/>
  <c r="B18" i="6"/>
  <c r="N17" i="8"/>
  <c r="B18" i="8"/>
  <c r="M17" i="8"/>
  <c r="O17" i="8"/>
  <c r="B18" i="9"/>
  <c r="N17" i="9"/>
  <c r="O17" i="9"/>
  <c r="M17" i="9"/>
  <c r="O17" i="5"/>
  <c r="B18" i="5"/>
  <c r="N17" i="5"/>
  <c r="M17" i="5"/>
  <c r="O17" i="7"/>
  <c r="N17" i="7"/>
  <c r="M17" i="7"/>
  <c r="B18" i="7"/>
  <c r="M19" i="10"/>
  <c r="N19" i="10"/>
  <c r="O19" i="10"/>
  <c r="B20" i="10"/>
  <c r="M18" i="8" l="1"/>
  <c r="N18" i="8"/>
  <c r="O18" i="8"/>
  <c r="B19" i="8"/>
  <c r="M18" i="7"/>
  <c r="N18" i="7"/>
  <c r="O18" i="7"/>
  <c r="B19" i="7"/>
  <c r="N18" i="6"/>
  <c r="M18" i="6"/>
  <c r="B19" i="6"/>
  <c r="O18" i="6"/>
  <c r="O18" i="5"/>
  <c r="B19" i="5"/>
  <c r="N18" i="5"/>
  <c r="M18" i="5"/>
  <c r="N18" i="9"/>
  <c r="M18" i="9"/>
  <c r="B19" i="9"/>
  <c r="O18" i="9"/>
  <c r="N18" i="4"/>
  <c r="O18" i="4"/>
  <c r="M18" i="4"/>
  <c r="B19" i="4"/>
  <c r="O20" i="10"/>
  <c r="M20" i="10"/>
  <c r="N20" i="10"/>
  <c r="B21" i="10"/>
  <c r="N19" i="4" l="1"/>
  <c r="O19" i="4"/>
  <c r="B20" i="4"/>
  <c r="M19" i="4"/>
  <c r="N19" i="7"/>
  <c r="B20" i="7"/>
  <c r="M19" i="7"/>
  <c r="O19" i="7"/>
  <c r="B20" i="5"/>
  <c r="O19" i="5"/>
  <c r="N19" i="5"/>
  <c r="M19" i="5"/>
  <c r="O19" i="8"/>
  <c r="B20" i="8"/>
  <c r="N19" i="8"/>
  <c r="M19" i="8"/>
  <c r="O19" i="9"/>
  <c r="B20" i="9"/>
  <c r="N19" i="9"/>
  <c r="M19" i="9"/>
  <c r="N19" i="6"/>
  <c r="O19" i="6"/>
  <c r="B20" i="6"/>
  <c r="M19" i="6"/>
  <c r="N21" i="10"/>
  <c r="M21" i="10"/>
  <c r="O21" i="10"/>
  <c r="B22" i="10"/>
  <c r="O20" i="6" l="1"/>
  <c r="N20" i="6"/>
  <c r="M20" i="6"/>
  <c r="B21" i="6"/>
  <c r="O20" i="8"/>
  <c r="N20" i="8"/>
  <c r="B21" i="8"/>
  <c r="M20" i="8"/>
  <c r="N20" i="7"/>
  <c r="B21" i="7"/>
  <c r="M20" i="7"/>
  <c r="O20" i="7"/>
  <c r="O20" i="4"/>
  <c r="N20" i="4"/>
  <c r="B21" i="4"/>
  <c r="M20" i="4"/>
  <c r="O20" i="9"/>
  <c r="M20" i="9"/>
  <c r="B21" i="9"/>
  <c r="N20" i="9"/>
  <c r="M20" i="5"/>
  <c r="B21" i="5"/>
  <c r="O20" i="5"/>
  <c r="N20" i="5"/>
  <c r="M22" i="10"/>
  <c r="N22" i="10"/>
  <c r="O22" i="10"/>
  <c r="B23" i="10"/>
  <c r="N21" i="4" l="1"/>
  <c r="B22" i="4"/>
  <c r="M21" i="4"/>
  <c r="O21" i="4"/>
  <c r="N21" i="8"/>
  <c r="O21" i="8"/>
  <c r="B22" i="8"/>
  <c r="M21" i="8"/>
  <c r="O21" i="5"/>
  <c r="N21" i="5"/>
  <c r="M21" i="5"/>
  <c r="B22" i="5"/>
  <c r="O21" i="6"/>
  <c r="N21" i="6"/>
  <c r="B22" i="6"/>
  <c r="M21" i="6"/>
  <c r="B22" i="9"/>
  <c r="N21" i="9"/>
  <c r="M21" i="9"/>
  <c r="O21" i="9"/>
  <c r="O21" i="7"/>
  <c r="N21" i="7"/>
  <c r="M21" i="7"/>
  <c r="B22" i="7"/>
  <c r="N23" i="10"/>
  <c r="M23" i="10"/>
  <c r="O23" i="10"/>
  <c r="B24" i="10"/>
  <c r="M22" i="7" l="1"/>
  <c r="O22" i="7"/>
  <c r="N22" i="7"/>
  <c r="B23" i="7"/>
  <c r="O22" i="6"/>
  <c r="M22" i="6"/>
  <c r="B23" i="6"/>
  <c r="N22" i="6"/>
  <c r="M22" i="8"/>
  <c r="B23" i="8"/>
  <c r="O22" i="8"/>
  <c r="N22" i="8"/>
  <c r="M22" i="5"/>
  <c r="N22" i="5"/>
  <c r="B23" i="5"/>
  <c r="O22" i="5"/>
  <c r="M22" i="4"/>
  <c r="B23" i="4"/>
  <c r="N22" i="4"/>
  <c r="O22" i="4"/>
  <c r="M22" i="9"/>
  <c r="O22" i="9"/>
  <c r="N22" i="9"/>
  <c r="B23" i="9"/>
  <c r="N24" i="10"/>
  <c r="M24" i="10"/>
  <c r="O24" i="10"/>
  <c r="B25" i="10"/>
  <c r="N23" i="9" l="1"/>
  <c r="M23" i="9"/>
  <c r="B24" i="9"/>
  <c r="O23" i="9"/>
  <c r="N23" i="5"/>
  <c r="M23" i="5"/>
  <c r="B24" i="5"/>
  <c r="O23" i="5"/>
  <c r="O23" i="6"/>
  <c r="N23" i="6"/>
  <c r="B24" i="6"/>
  <c r="M23" i="6"/>
  <c r="M23" i="7"/>
  <c r="B24" i="7"/>
  <c r="O23" i="7"/>
  <c r="N23" i="7"/>
  <c r="M23" i="4"/>
  <c r="O23" i="4"/>
  <c r="N23" i="4"/>
  <c r="B24" i="4"/>
  <c r="O23" i="8"/>
  <c r="B24" i="8"/>
  <c r="M23" i="8"/>
  <c r="N23" i="8"/>
  <c r="N25" i="10"/>
  <c r="M25" i="10"/>
  <c r="O25" i="10"/>
  <c r="B26" i="10"/>
  <c r="O24" i="5" l="1"/>
  <c r="M24" i="5"/>
  <c r="N24" i="5"/>
  <c r="B25" i="5"/>
  <c r="O24" i="8"/>
  <c r="N24" i="8"/>
  <c r="M24" i="8"/>
  <c r="B25" i="8"/>
  <c r="M24" i="7"/>
  <c r="B25" i="7"/>
  <c r="N24" i="7"/>
  <c r="O24" i="7"/>
  <c r="O24" i="4"/>
  <c r="N24" i="4"/>
  <c r="M24" i="4"/>
  <c r="B25" i="4"/>
  <c r="O24" i="6"/>
  <c r="N24" i="6"/>
  <c r="M24" i="6"/>
  <c r="B25" i="6"/>
  <c r="O24" i="9"/>
  <c r="N24" i="9"/>
  <c r="M24" i="9"/>
  <c r="B25" i="9"/>
  <c r="N26" i="10"/>
  <c r="M26" i="10"/>
  <c r="O26" i="10"/>
  <c r="B27" i="10"/>
  <c r="M25" i="9" l="1"/>
  <c r="O25" i="9"/>
  <c r="B26" i="9"/>
  <c r="N25" i="9"/>
  <c r="B26" i="4"/>
  <c r="O25" i="4"/>
  <c r="M25" i="4"/>
  <c r="N25" i="4"/>
  <c r="M25" i="8"/>
  <c r="B26" i="8"/>
  <c r="N25" i="8"/>
  <c r="O25" i="8"/>
  <c r="O25" i="6"/>
  <c r="N25" i="6"/>
  <c r="M25" i="6"/>
  <c r="B26" i="6"/>
  <c r="N25" i="5"/>
  <c r="O25" i="5"/>
  <c r="B26" i="5"/>
  <c r="M25" i="5"/>
  <c r="N25" i="7"/>
  <c r="M25" i="7"/>
  <c r="B26" i="7"/>
  <c r="O25" i="7"/>
  <c r="N27" i="10"/>
  <c r="M27" i="10"/>
  <c r="O27" i="10"/>
  <c r="B28" i="10"/>
  <c r="O26" i="6" l="1"/>
  <c r="N26" i="6"/>
  <c r="M26" i="6"/>
  <c r="B27" i="6"/>
  <c r="N26" i="7"/>
  <c r="O26" i="7"/>
  <c r="M26" i="7"/>
  <c r="B27" i="7"/>
  <c r="O26" i="4"/>
  <c r="M26" i="4"/>
  <c r="N26" i="4"/>
  <c r="B27" i="4"/>
  <c r="M26" i="5"/>
  <c r="N26" i="5"/>
  <c r="O26" i="5"/>
  <c r="B27" i="5"/>
  <c r="N26" i="9"/>
  <c r="O26" i="9"/>
  <c r="B27" i="9"/>
  <c r="M26" i="9"/>
  <c r="M26" i="8"/>
  <c r="N26" i="8"/>
  <c r="O26" i="8"/>
  <c r="B27" i="8"/>
  <c r="O28" i="10"/>
  <c r="N28" i="10"/>
  <c r="M28" i="10"/>
  <c r="B29" i="10"/>
  <c r="M27" i="8" l="1"/>
  <c r="B28" i="8"/>
  <c r="N27" i="8"/>
  <c r="O27" i="8"/>
  <c r="N27" i="5"/>
  <c r="M27" i="5"/>
  <c r="O27" i="5"/>
  <c r="B28" i="5"/>
  <c r="N27" i="7"/>
  <c r="B28" i="7"/>
  <c r="O27" i="7"/>
  <c r="M27" i="7"/>
  <c r="N27" i="4"/>
  <c r="O27" i="4"/>
  <c r="M27" i="4"/>
  <c r="B28" i="4"/>
  <c r="M27" i="6"/>
  <c r="B28" i="6"/>
  <c r="O27" i="6"/>
  <c r="N27" i="6"/>
  <c r="M27" i="9"/>
  <c r="N27" i="9"/>
  <c r="O27" i="9"/>
  <c r="B28" i="9"/>
  <c r="N29" i="10"/>
  <c r="O29" i="10"/>
  <c r="M29" i="10"/>
  <c r="B30" i="10"/>
  <c r="O28" i="4" l="1"/>
  <c r="M28" i="4"/>
  <c r="B29" i="4"/>
  <c r="N28" i="4"/>
  <c r="O28" i="9"/>
  <c r="N28" i="9"/>
  <c r="M28" i="9"/>
  <c r="B29" i="9"/>
  <c r="O28" i="5"/>
  <c r="N28" i="5"/>
  <c r="M28" i="5"/>
  <c r="B29" i="5"/>
  <c r="O28" i="6"/>
  <c r="N28" i="6"/>
  <c r="M28" i="6"/>
  <c r="B29" i="6"/>
  <c r="O28" i="7"/>
  <c r="M28" i="7"/>
  <c r="N28" i="7"/>
  <c r="B29" i="7"/>
  <c r="B29" i="8"/>
  <c r="N28" i="8"/>
  <c r="M28" i="8"/>
  <c r="O28" i="8"/>
  <c r="M30" i="10"/>
  <c r="O30" i="10"/>
  <c r="N30" i="10"/>
  <c r="B31" i="10"/>
  <c r="O29" i="9" l="1"/>
  <c r="N29" i="9"/>
  <c r="M29" i="9"/>
  <c r="B30" i="9"/>
  <c r="O29" i="6"/>
  <c r="M29" i="6"/>
  <c r="B30" i="6"/>
  <c r="N29" i="6"/>
  <c r="M29" i="8"/>
  <c r="O29" i="8"/>
  <c r="B30" i="8"/>
  <c r="N29" i="8"/>
  <c r="O29" i="7"/>
  <c r="N29" i="7"/>
  <c r="M29" i="7"/>
  <c r="B30" i="7"/>
  <c r="O29" i="5"/>
  <c r="N29" i="5"/>
  <c r="B30" i="5"/>
  <c r="M29" i="5"/>
  <c r="N29" i="4"/>
  <c r="O29" i="4"/>
  <c r="B30" i="4"/>
  <c r="M29" i="4"/>
  <c r="O31" i="10"/>
  <c r="N31" i="10"/>
  <c r="M31" i="10"/>
  <c r="B32" i="10"/>
  <c r="O30" i="7" l="1"/>
  <c r="N30" i="7"/>
  <c r="M30" i="7"/>
  <c r="B31" i="7"/>
  <c r="M30" i="4"/>
  <c r="O30" i="4"/>
  <c r="N30" i="4"/>
  <c r="B31" i="4"/>
  <c r="N30" i="6"/>
  <c r="B31" i="6"/>
  <c r="M30" i="6"/>
  <c r="O30" i="6"/>
  <c r="O30" i="9"/>
  <c r="B31" i="9"/>
  <c r="N30" i="9"/>
  <c r="M30" i="9"/>
  <c r="N30" i="5"/>
  <c r="M30" i="5"/>
  <c r="B31" i="5"/>
  <c r="O30" i="5"/>
  <c r="N30" i="8"/>
  <c r="M30" i="8"/>
  <c r="O30" i="8"/>
  <c r="B31" i="8"/>
  <c r="O32" i="10"/>
  <c r="N32" i="10"/>
  <c r="M32" i="10"/>
  <c r="B33" i="10"/>
  <c r="O31" i="8" l="1"/>
  <c r="M31" i="8"/>
  <c r="B32" i="8"/>
  <c r="N31" i="8"/>
  <c r="N31" i="4"/>
  <c r="B32" i="4"/>
  <c r="M31" i="4"/>
  <c r="O31" i="4"/>
  <c r="O31" i="9"/>
  <c r="B32" i="9"/>
  <c r="M31" i="9"/>
  <c r="N31" i="9"/>
  <c r="O31" i="7"/>
  <c r="N31" i="7"/>
  <c r="B32" i="7"/>
  <c r="M31" i="7"/>
  <c r="M31" i="5"/>
  <c r="B32" i="5"/>
  <c r="N31" i="5"/>
  <c r="O31" i="5"/>
  <c r="O31" i="6"/>
  <c r="N31" i="6"/>
  <c r="B32" i="6"/>
  <c r="M31" i="6"/>
  <c r="O33" i="10"/>
  <c r="N33" i="10"/>
  <c r="M33" i="10"/>
  <c r="B34" i="10"/>
  <c r="O32" i="4" l="1"/>
  <c r="N32" i="4"/>
  <c r="M32" i="4"/>
  <c r="B33" i="4"/>
  <c r="B33" i="7"/>
  <c r="O32" i="7"/>
  <c r="N32" i="7"/>
  <c r="M32" i="7"/>
  <c r="O32" i="6"/>
  <c r="N32" i="6"/>
  <c r="M32" i="6"/>
  <c r="B33" i="6"/>
  <c r="N32" i="8"/>
  <c r="O32" i="8"/>
  <c r="M32" i="8"/>
  <c r="B33" i="8"/>
  <c r="O32" i="5"/>
  <c r="M32" i="5"/>
  <c r="N32" i="5"/>
  <c r="B33" i="5"/>
  <c r="M32" i="9"/>
  <c r="O32" i="9"/>
  <c r="B33" i="9"/>
  <c r="N32" i="9"/>
  <c r="O34" i="10"/>
  <c r="N34" i="10"/>
  <c r="M34" i="10"/>
  <c r="B35" i="10"/>
  <c r="M33" i="8" l="1"/>
  <c r="O33" i="8"/>
  <c r="N33" i="8"/>
  <c r="B34" i="8"/>
  <c r="N33" i="9"/>
  <c r="M33" i="9"/>
  <c r="O33" i="9"/>
  <c r="B34" i="9"/>
  <c r="M33" i="7"/>
  <c r="B34" i="7"/>
  <c r="O33" i="7"/>
  <c r="N33" i="7"/>
  <c r="M33" i="5"/>
  <c r="O33" i="5"/>
  <c r="N33" i="5"/>
  <c r="B34" i="5"/>
  <c r="O33" i="6"/>
  <c r="N33" i="6"/>
  <c r="M33" i="6"/>
  <c r="B34" i="6"/>
  <c r="M33" i="4"/>
  <c r="B34" i="4"/>
  <c r="N33" i="4"/>
  <c r="O33" i="4"/>
  <c r="O35" i="10"/>
  <c r="N35" i="10"/>
  <c r="M35" i="10"/>
  <c r="B36" i="10"/>
  <c r="B35" i="5" l="1"/>
  <c r="N34" i="5"/>
  <c r="M34" i="5"/>
  <c r="O34" i="5"/>
  <c r="M34" i="9"/>
  <c r="N34" i="9"/>
  <c r="O34" i="9"/>
  <c r="B35" i="9"/>
  <c r="M34" i="4"/>
  <c r="O34" i="4"/>
  <c r="N34" i="4"/>
  <c r="B35" i="4"/>
  <c r="N34" i="7"/>
  <c r="M34" i="7"/>
  <c r="B35" i="7"/>
  <c r="O34" i="7"/>
  <c r="O34" i="6"/>
  <c r="M34" i="6"/>
  <c r="N34" i="6"/>
  <c r="B35" i="6"/>
  <c r="N34" i="8"/>
  <c r="M34" i="8"/>
  <c r="B35" i="8"/>
  <c r="O34" i="8"/>
  <c r="O36" i="10"/>
  <c r="N36" i="10"/>
  <c r="M36" i="10"/>
  <c r="B37" i="10"/>
  <c r="N35" i="5" l="1"/>
  <c r="M35" i="5"/>
  <c r="O35" i="5"/>
  <c r="B36" i="5"/>
  <c r="O35" i="9"/>
  <c r="B36" i="9"/>
  <c r="M35" i="9"/>
  <c r="N35" i="9"/>
  <c r="O35" i="8"/>
  <c r="B36" i="8"/>
  <c r="N35" i="8"/>
  <c r="M35" i="8"/>
  <c r="M35" i="7"/>
  <c r="O35" i="7"/>
  <c r="N35" i="7"/>
  <c r="B36" i="7"/>
  <c r="O35" i="6"/>
  <c r="N35" i="6"/>
  <c r="M35" i="6"/>
  <c r="B36" i="6"/>
  <c r="M35" i="4"/>
  <c r="N35" i="4"/>
  <c r="O35" i="4"/>
  <c r="B36" i="4"/>
  <c r="N37" i="10"/>
  <c r="O37" i="10"/>
  <c r="M37" i="10"/>
  <c r="B38" i="10"/>
  <c r="O36" i="4" l="1"/>
  <c r="N36" i="4"/>
  <c r="M36" i="4"/>
  <c r="B37" i="4"/>
  <c r="B37" i="7"/>
  <c r="M36" i="7"/>
  <c r="N36" i="7"/>
  <c r="O36" i="7"/>
  <c r="N36" i="9"/>
  <c r="O36" i="9"/>
  <c r="M36" i="9"/>
  <c r="B37" i="9"/>
  <c r="B37" i="6"/>
  <c r="O36" i="6"/>
  <c r="N36" i="6"/>
  <c r="M36" i="6"/>
  <c r="N36" i="5"/>
  <c r="M36" i="5"/>
  <c r="B37" i="5"/>
  <c r="O36" i="5"/>
  <c r="B37" i="8"/>
  <c r="N36" i="8"/>
  <c r="O36" i="8"/>
  <c r="M36" i="8"/>
  <c r="M38" i="10"/>
  <c r="O38" i="10"/>
  <c r="N38" i="10"/>
  <c r="B39" i="10"/>
  <c r="N37" i="8" l="1"/>
  <c r="B38" i="8"/>
  <c r="O37" i="8"/>
  <c r="M37" i="8"/>
  <c r="O37" i="4"/>
  <c r="B38" i="4"/>
  <c r="M37" i="4"/>
  <c r="N37" i="4"/>
  <c r="N37" i="7"/>
  <c r="M37" i="7"/>
  <c r="O37" i="7"/>
  <c r="B38" i="7"/>
  <c r="O37" i="5"/>
  <c r="N37" i="5"/>
  <c r="M37" i="5"/>
  <c r="B38" i="5"/>
  <c r="M37" i="6"/>
  <c r="B38" i="6"/>
  <c r="N37" i="6"/>
  <c r="O37" i="6"/>
  <c r="M37" i="9"/>
  <c r="O37" i="9"/>
  <c r="N37" i="9"/>
  <c r="B38" i="9"/>
  <c r="O39" i="10"/>
  <c r="N39" i="10"/>
  <c r="M39" i="10"/>
  <c r="B40" i="10"/>
  <c r="N38" i="7" l="1"/>
  <c r="M38" i="7"/>
  <c r="B39" i="7"/>
  <c r="O38" i="7"/>
  <c r="M38" i="6"/>
  <c r="O38" i="6"/>
  <c r="B39" i="6"/>
  <c r="N38" i="6"/>
  <c r="B39" i="8"/>
  <c r="N38" i="8"/>
  <c r="O38" i="8"/>
  <c r="M38" i="8"/>
  <c r="O38" i="9"/>
  <c r="N38" i="9"/>
  <c r="M38" i="9"/>
  <c r="B39" i="9"/>
  <c r="N38" i="5"/>
  <c r="M38" i="5"/>
  <c r="B39" i="5"/>
  <c r="O38" i="5"/>
  <c r="M38" i="4"/>
  <c r="O38" i="4"/>
  <c r="N38" i="4"/>
  <c r="B39" i="4"/>
  <c r="O40" i="10"/>
  <c r="N40" i="10"/>
  <c r="M40" i="10"/>
  <c r="B41" i="10"/>
  <c r="O39" i="9" l="1"/>
  <c r="N39" i="9"/>
  <c r="M39" i="9"/>
  <c r="B40" i="9"/>
  <c r="M39" i="6"/>
  <c r="O39" i="6"/>
  <c r="B40" i="6"/>
  <c r="N39" i="6"/>
  <c r="O39" i="4"/>
  <c r="M39" i="4"/>
  <c r="B40" i="4"/>
  <c r="N39" i="4"/>
  <c r="O39" i="5"/>
  <c r="N39" i="5"/>
  <c r="M39" i="5"/>
  <c r="B40" i="5"/>
  <c r="O39" i="7"/>
  <c r="N39" i="7"/>
  <c r="B40" i="7"/>
  <c r="M39" i="7"/>
  <c r="O39" i="8"/>
  <c r="M39" i="8"/>
  <c r="N39" i="8"/>
  <c r="B40" i="8"/>
  <c r="O41" i="10"/>
  <c r="N41" i="10"/>
  <c r="M41" i="10"/>
  <c r="B42" i="10"/>
  <c r="B41" i="8" l="1"/>
  <c r="N40" i="8"/>
  <c r="O40" i="8"/>
  <c r="M40" i="8"/>
  <c r="O40" i="5"/>
  <c r="N40" i="5"/>
  <c r="M40" i="5"/>
  <c r="B41" i="5"/>
  <c r="N40" i="6"/>
  <c r="O40" i="6"/>
  <c r="M40" i="6"/>
  <c r="B41" i="6"/>
  <c r="N40" i="9"/>
  <c r="M40" i="9"/>
  <c r="B41" i="9"/>
  <c r="O40" i="9"/>
  <c r="N40" i="7"/>
  <c r="M40" i="7"/>
  <c r="B41" i="7"/>
  <c r="O40" i="7"/>
  <c r="N40" i="4"/>
  <c r="M40" i="4"/>
  <c r="B41" i="4"/>
  <c r="O40" i="4"/>
  <c r="O42" i="10"/>
  <c r="N42" i="10"/>
  <c r="M42" i="10"/>
  <c r="B43" i="10"/>
  <c r="N41" i="7" l="1"/>
  <c r="M41" i="7"/>
  <c r="B42" i="7"/>
  <c r="O41" i="7"/>
  <c r="M41" i="5"/>
  <c r="B42" i="5"/>
  <c r="O41" i="5"/>
  <c r="N41" i="5"/>
  <c r="N41" i="9"/>
  <c r="M41" i="9"/>
  <c r="O41" i="9"/>
  <c r="B42" i="9"/>
  <c r="N41" i="8"/>
  <c r="B42" i="8"/>
  <c r="O41" i="8"/>
  <c r="M41" i="8"/>
  <c r="N41" i="4"/>
  <c r="M41" i="4"/>
  <c r="B42" i="4"/>
  <c r="O41" i="4"/>
  <c r="O41" i="6"/>
  <c r="N41" i="6"/>
  <c r="M41" i="6"/>
  <c r="B42" i="6"/>
  <c r="O43" i="10"/>
  <c r="N43" i="10"/>
  <c r="M43" i="10"/>
  <c r="B44" i="10"/>
  <c r="O42" i="6" l="1"/>
  <c r="N42" i="6"/>
  <c r="B43" i="6"/>
  <c r="M42" i="6"/>
  <c r="O42" i="8"/>
  <c r="N42" i="8"/>
  <c r="M42" i="8"/>
  <c r="B43" i="8"/>
  <c r="B43" i="5"/>
  <c r="M42" i="5"/>
  <c r="N42" i="5"/>
  <c r="O42" i="5"/>
  <c r="M42" i="9"/>
  <c r="N42" i="9"/>
  <c r="O42" i="9"/>
  <c r="B43" i="9"/>
  <c r="O42" i="4"/>
  <c r="N42" i="4"/>
  <c r="M42" i="4"/>
  <c r="B43" i="4"/>
  <c r="N42" i="7"/>
  <c r="B43" i="7"/>
  <c r="M42" i="7"/>
  <c r="O42" i="7"/>
  <c r="O44" i="10"/>
  <c r="N44" i="10"/>
  <c r="M44" i="10"/>
  <c r="B45" i="10"/>
  <c r="O43" i="9" l="1"/>
  <c r="N43" i="9"/>
  <c r="M43" i="9"/>
  <c r="B44" i="9"/>
  <c r="O43" i="8"/>
  <c r="N43" i="8"/>
  <c r="M43" i="8"/>
  <c r="B44" i="8"/>
  <c r="O43" i="7"/>
  <c r="N43" i="7"/>
  <c r="B44" i="7"/>
  <c r="M43" i="7"/>
  <c r="M43" i="4"/>
  <c r="O43" i="4"/>
  <c r="N43" i="4"/>
  <c r="B44" i="4"/>
  <c r="O43" i="6"/>
  <c r="M43" i="6"/>
  <c r="N43" i="6"/>
  <c r="B44" i="6"/>
  <c r="O43" i="5"/>
  <c r="N43" i="5"/>
  <c r="M43" i="5"/>
  <c r="B44" i="5"/>
  <c r="N45" i="10"/>
  <c r="O45" i="10"/>
  <c r="M45" i="10"/>
  <c r="B46" i="10"/>
  <c r="O44" i="5" l="1"/>
  <c r="N44" i="5"/>
  <c r="M44" i="5"/>
  <c r="B45" i="5"/>
  <c r="B45" i="4"/>
  <c r="O44" i="4"/>
  <c r="N44" i="4"/>
  <c r="M44" i="4"/>
  <c r="N44" i="8"/>
  <c r="M44" i="8"/>
  <c r="O44" i="8"/>
  <c r="B45" i="8"/>
  <c r="O44" i="6"/>
  <c r="N44" i="6"/>
  <c r="B45" i="6"/>
  <c r="M44" i="6"/>
  <c r="N44" i="9"/>
  <c r="M44" i="9"/>
  <c r="O44" i="9"/>
  <c r="B45" i="9"/>
  <c r="O44" i="7"/>
  <c r="N44" i="7"/>
  <c r="M44" i="7"/>
  <c r="B45" i="7"/>
  <c r="M46" i="10"/>
  <c r="O46" i="10"/>
  <c r="N46" i="10"/>
  <c r="B47" i="10"/>
  <c r="N45" i="6" l="1"/>
  <c r="M45" i="6"/>
  <c r="B46" i="6"/>
  <c r="O45" i="6"/>
  <c r="O45" i="7"/>
  <c r="M45" i="7"/>
  <c r="N45" i="7"/>
  <c r="B46" i="7"/>
  <c r="M45" i="4"/>
  <c r="O45" i="4"/>
  <c r="N45" i="4"/>
  <c r="B46" i="4"/>
  <c r="O45" i="8"/>
  <c r="M45" i="8"/>
  <c r="N45" i="8"/>
  <c r="B46" i="8"/>
  <c r="O45" i="9"/>
  <c r="M45" i="9"/>
  <c r="N45" i="9"/>
  <c r="B46" i="9"/>
  <c r="O45" i="5"/>
  <c r="N45" i="5"/>
  <c r="M45" i="5"/>
  <c r="B46" i="5"/>
  <c r="M47" i="10"/>
  <c r="N47" i="10"/>
  <c r="O47" i="10"/>
  <c r="B48" i="10"/>
  <c r="N46" i="6" l="1"/>
  <c r="M46" i="6"/>
  <c r="O46" i="6"/>
  <c r="B47" i="6"/>
  <c r="N46" i="5"/>
  <c r="M46" i="5"/>
  <c r="B47" i="5"/>
  <c r="O46" i="5"/>
  <c r="N46" i="8"/>
  <c r="O46" i="8"/>
  <c r="B47" i="8"/>
  <c r="M46" i="8"/>
  <c r="O46" i="7"/>
  <c r="N46" i="7"/>
  <c r="M46" i="7"/>
  <c r="B47" i="7"/>
  <c r="B47" i="9"/>
  <c r="O46" i="9"/>
  <c r="M46" i="9"/>
  <c r="N46" i="9"/>
  <c r="M46" i="4"/>
  <c r="O46" i="4"/>
  <c r="N46" i="4"/>
  <c r="B47" i="4"/>
  <c r="N48" i="10"/>
  <c r="M48" i="10"/>
  <c r="O48" i="10"/>
  <c r="B49" i="10"/>
  <c r="M47" i="9" l="1"/>
  <c r="B48" i="9"/>
  <c r="O47" i="9"/>
  <c r="N47" i="9"/>
  <c r="M47" i="4"/>
  <c r="B48" i="4"/>
  <c r="N47" i="4"/>
  <c r="O47" i="4"/>
  <c r="M47" i="7"/>
  <c r="B48" i="7"/>
  <c r="O47" i="7"/>
  <c r="N47" i="7"/>
  <c r="O47" i="5"/>
  <c r="N47" i="5"/>
  <c r="M47" i="5"/>
  <c r="B48" i="5"/>
  <c r="M47" i="6"/>
  <c r="N47" i="6"/>
  <c r="B48" i="6"/>
  <c r="O47" i="6"/>
  <c r="M47" i="8"/>
  <c r="N47" i="8"/>
  <c r="B48" i="8"/>
  <c r="O47" i="8"/>
  <c r="O49" i="10"/>
  <c r="N49" i="10"/>
  <c r="M49" i="10"/>
  <c r="B50" i="10"/>
  <c r="N48" i="5" l="1"/>
  <c r="M48" i="5"/>
  <c r="B49" i="5"/>
  <c r="O48" i="5"/>
  <c r="O48" i="8"/>
  <c r="N48" i="8"/>
  <c r="B49" i="8"/>
  <c r="M48" i="8"/>
  <c r="O48" i="4"/>
  <c r="N48" i="4"/>
  <c r="M48" i="4"/>
  <c r="B49" i="4"/>
  <c r="O48" i="6"/>
  <c r="N48" i="6"/>
  <c r="M48" i="6"/>
  <c r="B49" i="6"/>
  <c r="O48" i="7"/>
  <c r="B49" i="7"/>
  <c r="N48" i="7"/>
  <c r="M48" i="7"/>
  <c r="N48" i="9"/>
  <c r="M48" i="9"/>
  <c r="B49" i="9"/>
  <c r="O48" i="9"/>
  <c r="O50" i="10"/>
  <c r="N50" i="10"/>
  <c r="M50" i="10"/>
  <c r="B51" i="10"/>
  <c r="B50" i="6" l="1"/>
  <c r="N49" i="6"/>
  <c r="O49" i="6"/>
  <c r="M49" i="6"/>
  <c r="B50" i="7"/>
  <c r="O49" i="7"/>
  <c r="N49" i="7"/>
  <c r="M49" i="7"/>
  <c r="B50" i="9"/>
  <c r="M49" i="9"/>
  <c r="N49" i="9"/>
  <c r="O49" i="9"/>
  <c r="B50" i="4"/>
  <c r="N49" i="4"/>
  <c r="O49" i="4"/>
  <c r="M49" i="4"/>
  <c r="O49" i="8"/>
  <c r="N49" i="8"/>
  <c r="B50" i="8"/>
  <c r="M49" i="8"/>
  <c r="N49" i="5"/>
  <c r="M49" i="5"/>
  <c r="O49" i="5"/>
  <c r="B50" i="5"/>
  <c r="O51" i="10"/>
  <c r="N51" i="10"/>
  <c r="M51" i="10"/>
  <c r="B52" i="10"/>
  <c r="N50" i="5" l="1"/>
  <c r="B51" i="5"/>
  <c r="M50" i="5"/>
  <c r="O50" i="5"/>
  <c r="N50" i="4"/>
  <c r="M50" i="4"/>
  <c r="B51" i="4"/>
  <c r="O50" i="4"/>
  <c r="M50" i="7"/>
  <c r="O50" i="7"/>
  <c r="B51" i="7"/>
  <c r="N50" i="7"/>
  <c r="O50" i="8"/>
  <c r="M50" i="8"/>
  <c r="N50" i="8"/>
  <c r="B51" i="8"/>
  <c r="N50" i="9"/>
  <c r="O50" i="9"/>
  <c r="B51" i="9"/>
  <c r="M50" i="9"/>
  <c r="O50" i="6"/>
  <c r="M50" i="6"/>
  <c r="N50" i="6"/>
  <c r="B51" i="6"/>
  <c r="O52" i="10"/>
  <c r="N52" i="10"/>
  <c r="M52" i="10"/>
  <c r="B53" i="10"/>
  <c r="O51" i="6" l="1"/>
  <c r="N51" i="6"/>
  <c r="M51" i="6"/>
  <c r="B52" i="6"/>
  <c r="M51" i="8"/>
  <c r="B52" i="8"/>
  <c r="N51" i="8"/>
  <c r="O51" i="8"/>
  <c r="M51" i="4"/>
  <c r="B52" i="4"/>
  <c r="O51" i="4"/>
  <c r="N51" i="4"/>
  <c r="O51" i="5"/>
  <c r="N51" i="5"/>
  <c r="M51" i="5"/>
  <c r="B52" i="5"/>
  <c r="N51" i="9"/>
  <c r="O51" i="9"/>
  <c r="M51" i="9"/>
  <c r="B52" i="9"/>
  <c r="M51" i="7"/>
  <c r="O51" i="7"/>
  <c r="B52" i="7"/>
  <c r="N51" i="7"/>
  <c r="N53" i="10"/>
  <c r="O53" i="10"/>
  <c r="M53" i="10"/>
  <c r="B54" i="10"/>
  <c r="M52" i="5" l="1"/>
  <c r="O52" i="5"/>
  <c r="N52" i="5"/>
  <c r="B53" i="5"/>
  <c r="M52" i="8"/>
  <c r="O52" i="8"/>
  <c r="B53" i="8"/>
  <c r="N52" i="8"/>
  <c r="N52" i="9"/>
  <c r="O52" i="9"/>
  <c r="M52" i="9"/>
  <c r="B53" i="9"/>
  <c r="O52" i="6"/>
  <c r="M52" i="6"/>
  <c r="N52" i="6"/>
  <c r="B53" i="6"/>
  <c r="M52" i="7"/>
  <c r="B53" i="7"/>
  <c r="N52" i="7"/>
  <c r="O52" i="7"/>
  <c r="M52" i="4"/>
  <c r="B53" i="4"/>
  <c r="N52" i="4"/>
  <c r="O52" i="4"/>
  <c r="M54" i="10"/>
  <c r="N54" i="10"/>
  <c r="O54" i="10"/>
  <c r="B55" i="10"/>
  <c r="O53" i="7" l="1"/>
  <c r="N53" i="7"/>
  <c r="M53" i="7"/>
  <c r="B54" i="7"/>
  <c r="O53" i="6"/>
  <c r="M53" i="6"/>
  <c r="N53" i="6"/>
  <c r="B54" i="6"/>
  <c r="O53" i="8"/>
  <c r="M53" i="8"/>
  <c r="N53" i="8"/>
  <c r="B54" i="8"/>
  <c r="N53" i="4"/>
  <c r="M53" i="4"/>
  <c r="B54" i="4"/>
  <c r="O53" i="4"/>
  <c r="O53" i="9"/>
  <c r="M53" i="9"/>
  <c r="N53" i="9"/>
  <c r="B54" i="9"/>
  <c r="M53" i="5"/>
  <c r="B54" i="5"/>
  <c r="O53" i="5"/>
  <c r="N53" i="5"/>
  <c r="O55" i="10"/>
  <c r="N55" i="10"/>
  <c r="M55" i="10"/>
  <c r="B56" i="10"/>
  <c r="O54" i="6" l="1"/>
  <c r="B55" i="6"/>
  <c r="M54" i="6"/>
  <c r="N54" i="6"/>
  <c r="O54" i="5"/>
  <c r="N54" i="5"/>
  <c r="M54" i="5"/>
  <c r="B55" i="5"/>
  <c r="N54" i="4"/>
  <c r="B55" i="4"/>
  <c r="M54" i="4"/>
  <c r="O54" i="4"/>
  <c r="N54" i="8"/>
  <c r="O54" i="8"/>
  <c r="M54" i="8"/>
  <c r="B55" i="8"/>
  <c r="O54" i="9"/>
  <c r="N54" i="9"/>
  <c r="M54" i="9"/>
  <c r="B55" i="9"/>
  <c r="M54" i="7"/>
  <c r="B55" i="7"/>
  <c r="N54" i="7"/>
  <c r="O54" i="7"/>
  <c r="O56" i="10"/>
  <c r="N56" i="10"/>
  <c r="M56" i="10"/>
  <c r="B57" i="10"/>
  <c r="N55" i="5" l="1"/>
  <c r="O55" i="5"/>
  <c r="M55" i="5"/>
  <c r="B56" i="5"/>
  <c r="O55" i="7"/>
  <c r="M55" i="7"/>
  <c r="B56" i="7"/>
  <c r="N55" i="7"/>
  <c r="N55" i="9"/>
  <c r="O55" i="9"/>
  <c r="M55" i="9"/>
  <c r="B56" i="9"/>
  <c r="O55" i="8"/>
  <c r="M55" i="8"/>
  <c r="B56" i="8"/>
  <c r="N55" i="8"/>
  <c r="M55" i="4"/>
  <c r="B56" i="4"/>
  <c r="N55" i="4"/>
  <c r="O55" i="4"/>
  <c r="M55" i="6"/>
  <c r="N55" i="6"/>
  <c r="B56" i="6"/>
  <c r="O55" i="6"/>
  <c r="O57" i="10"/>
  <c r="M57" i="10"/>
  <c r="N57" i="10"/>
  <c r="B58" i="10"/>
  <c r="O56" i="6" l="1"/>
  <c r="N56" i="6"/>
  <c r="M56" i="6"/>
  <c r="B57" i="6"/>
  <c r="O56" i="7"/>
  <c r="M56" i="7"/>
  <c r="B57" i="7"/>
  <c r="N56" i="7"/>
  <c r="O56" i="9"/>
  <c r="M56" i="9"/>
  <c r="B57" i="9"/>
  <c r="N56" i="9"/>
  <c r="O56" i="5"/>
  <c r="N56" i="5"/>
  <c r="M56" i="5"/>
  <c r="B57" i="5"/>
  <c r="M56" i="8"/>
  <c r="B57" i="8"/>
  <c r="N56" i="8"/>
  <c r="O56" i="8"/>
  <c r="O56" i="4"/>
  <c r="N56" i="4"/>
  <c r="B57" i="4"/>
  <c r="M56" i="4"/>
  <c r="N58" i="10"/>
  <c r="M58" i="10"/>
  <c r="O58" i="10"/>
  <c r="B59" i="10"/>
  <c r="M57" i="5" l="1"/>
  <c r="O57" i="5"/>
  <c r="B58" i="5"/>
  <c r="N57" i="5"/>
  <c r="N57" i="4"/>
  <c r="O57" i="4"/>
  <c r="M57" i="4"/>
  <c r="B58" i="4"/>
  <c r="N57" i="7"/>
  <c r="M57" i="7"/>
  <c r="B58" i="7"/>
  <c r="O57" i="7"/>
  <c r="B58" i="6"/>
  <c r="N57" i="6"/>
  <c r="O57" i="6"/>
  <c r="M57" i="6"/>
  <c r="M57" i="9"/>
  <c r="B58" i="9"/>
  <c r="O57" i="9"/>
  <c r="N57" i="9"/>
  <c r="O57" i="8"/>
  <c r="M57" i="8"/>
  <c r="N57" i="8"/>
  <c r="B58" i="8"/>
  <c r="O59" i="10"/>
  <c r="N59" i="10"/>
  <c r="M59" i="10"/>
  <c r="B60" i="10"/>
  <c r="M58" i="8" l="1"/>
  <c r="N58" i="8"/>
  <c r="B59" i="8"/>
  <c r="O58" i="8"/>
  <c r="O58" i="4"/>
  <c r="M58" i="4"/>
  <c r="B59" i="4"/>
  <c r="N58" i="4"/>
  <c r="N58" i="7"/>
  <c r="M58" i="7"/>
  <c r="B59" i="7"/>
  <c r="O58" i="7"/>
  <c r="M58" i="5"/>
  <c r="O58" i="5"/>
  <c r="N58" i="5"/>
  <c r="B59" i="5"/>
  <c r="N58" i="9"/>
  <c r="B59" i="9"/>
  <c r="M58" i="9"/>
  <c r="O58" i="9"/>
  <c r="O58" i="6"/>
  <c r="N58" i="6"/>
  <c r="M58" i="6"/>
  <c r="B59" i="6"/>
  <c r="O60" i="10"/>
  <c r="N60" i="10"/>
  <c r="M60" i="10"/>
  <c r="B61" i="10"/>
  <c r="O59" i="6" l="1"/>
  <c r="N59" i="6"/>
  <c r="M59" i="6"/>
  <c r="B60" i="6"/>
  <c r="B60" i="5"/>
  <c r="O59" i="5"/>
  <c r="N59" i="5"/>
  <c r="M59" i="5"/>
  <c r="N59" i="4"/>
  <c r="M59" i="4"/>
  <c r="O59" i="4"/>
  <c r="B60" i="4"/>
  <c r="O59" i="7"/>
  <c r="N59" i="7"/>
  <c r="B60" i="7"/>
  <c r="M59" i="7"/>
  <c r="M59" i="8"/>
  <c r="N59" i="8"/>
  <c r="O59" i="8"/>
  <c r="B60" i="8"/>
  <c r="M59" i="9"/>
  <c r="N59" i="9"/>
  <c r="B60" i="9"/>
  <c r="O59" i="9"/>
  <c r="N61" i="10"/>
  <c r="O61" i="10"/>
  <c r="M61" i="10"/>
  <c r="B62" i="10"/>
  <c r="O60" i="9" l="1"/>
  <c r="M60" i="9"/>
  <c r="N60" i="9"/>
  <c r="B61" i="9"/>
  <c r="N60" i="7"/>
  <c r="O60" i="7"/>
  <c r="M60" i="7"/>
  <c r="B61" i="7"/>
  <c r="N60" i="5"/>
  <c r="O60" i="5"/>
  <c r="M60" i="5"/>
  <c r="B61" i="5"/>
  <c r="O60" i="8"/>
  <c r="N60" i="8"/>
  <c r="M60" i="8"/>
  <c r="B61" i="8"/>
  <c r="M60" i="4"/>
  <c r="N60" i="4"/>
  <c r="O60" i="4"/>
  <c r="B61" i="4"/>
  <c r="O60" i="6"/>
  <c r="M60" i="6"/>
  <c r="N60" i="6"/>
  <c r="B61" i="6"/>
  <c r="M62" i="10"/>
  <c r="N62" i="10"/>
  <c r="O62" i="10"/>
  <c r="B63" i="10"/>
  <c r="O61" i="7" l="1"/>
  <c r="N61" i="7"/>
  <c r="M61" i="7"/>
  <c r="B62" i="7"/>
  <c r="O61" i="6"/>
  <c r="M61" i="6"/>
  <c r="N61" i="6"/>
  <c r="B62" i="6"/>
  <c r="N61" i="4"/>
  <c r="M61" i="4"/>
  <c r="O61" i="4"/>
  <c r="B62" i="4"/>
  <c r="N61" i="5"/>
  <c r="O61" i="5"/>
  <c r="B62" i="5"/>
  <c r="M61" i="5"/>
  <c r="O61" i="9"/>
  <c r="M61" i="9"/>
  <c r="N61" i="9"/>
  <c r="B62" i="9"/>
  <c r="M61" i="8"/>
  <c r="N61" i="8"/>
  <c r="B62" i="8"/>
  <c r="O61" i="8"/>
  <c r="O63" i="10"/>
  <c r="N63" i="10"/>
  <c r="M63" i="10"/>
  <c r="B64" i="10"/>
  <c r="N62" i="6" l="1"/>
  <c r="O62" i="6"/>
  <c r="M62" i="6"/>
  <c r="B63" i="6"/>
  <c r="B63" i="5"/>
  <c r="O62" i="5"/>
  <c r="N62" i="5"/>
  <c r="M62" i="5"/>
  <c r="N62" i="9"/>
  <c r="M62" i="9"/>
  <c r="O62" i="9"/>
  <c r="B63" i="9"/>
  <c r="O62" i="4"/>
  <c r="N62" i="4"/>
  <c r="B63" i="4"/>
  <c r="M62" i="4"/>
  <c r="N62" i="7"/>
  <c r="M62" i="7"/>
  <c r="O62" i="7"/>
  <c r="B63" i="7"/>
  <c r="N62" i="8"/>
  <c r="O62" i="8"/>
  <c r="M62" i="8"/>
  <c r="B63" i="8"/>
  <c r="O64" i="10"/>
  <c r="N64" i="10"/>
  <c r="M64" i="10"/>
  <c r="B65" i="10"/>
  <c r="O63" i="8" l="1"/>
  <c r="N63" i="8"/>
  <c r="M63" i="8"/>
  <c r="B64" i="8"/>
  <c r="O63" i="4"/>
  <c r="N63" i="4"/>
  <c r="M63" i="4"/>
  <c r="B64" i="4"/>
  <c r="O63" i="5"/>
  <c r="N63" i="5"/>
  <c r="M63" i="5"/>
  <c r="B64" i="5"/>
  <c r="O63" i="7"/>
  <c r="B64" i="7"/>
  <c r="N63" i="7"/>
  <c r="M63" i="7"/>
  <c r="B64" i="9"/>
  <c r="O63" i="9"/>
  <c r="N63" i="9"/>
  <c r="M63" i="9"/>
  <c r="M63" i="6"/>
  <c r="O63" i="6"/>
  <c r="N63" i="6"/>
  <c r="B64" i="6"/>
  <c r="N65" i="10"/>
  <c r="O65" i="10"/>
  <c r="M65" i="10"/>
  <c r="B66" i="10"/>
  <c r="N64" i="7" l="1"/>
  <c r="M64" i="7"/>
  <c r="B65" i="7"/>
  <c r="O64" i="7"/>
  <c r="N64" i="4"/>
  <c r="M64" i="4"/>
  <c r="B65" i="4"/>
  <c r="O64" i="4"/>
  <c r="O64" i="5"/>
  <c r="N64" i="5"/>
  <c r="M64" i="5"/>
  <c r="B65" i="5"/>
  <c r="N64" i="8"/>
  <c r="M64" i="8"/>
  <c r="O64" i="8"/>
  <c r="B65" i="8"/>
  <c r="O64" i="6"/>
  <c r="N64" i="6"/>
  <c r="B65" i="6"/>
  <c r="M64" i="6"/>
  <c r="O64" i="9"/>
  <c r="N64" i="9"/>
  <c r="B65" i="9"/>
  <c r="M64" i="9"/>
  <c r="M66" i="10"/>
  <c r="N66" i="10"/>
  <c r="O66" i="10"/>
  <c r="B67" i="10"/>
  <c r="M65" i="8" l="1"/>
  <c r="O65" i="8"/>
  <c r="N65" i="8"/>
  <c r="B66" i="8"/>
  <c r="N65" i="9"/>
  <c r="O65" i="9"/>
  <c r="B66" i="9"/>
  <c r="M65" i="9"/>
  <c r="O65" i="4"/>
  <c r="N65" i="4"/>
  <c r="M65" i="4"/>
  <c r="B66" i="4"/>
  <c r="N65" i="5"/>
  <c r="B66" i="5"/>
  <c r="M65" i="5"/>
  <c r="O65" i="5"/>
  <c r="O65" i="6"/>
  <c r="M65" i="6"/>
  <c r="N65" i="6"/>
  <c r="B66" i="6"/>
  <c r="O65" i="7"/>
  <c r="M65" i="7"/>
  <c r="B66" i="7"/>
  <c r="N65" i="7"/>
  <c r="O67" i="10"/>
  <c r="N67" i="10"/>
  <c r="M67" i="10"/>
  <c r="B68" i="10"/>
  <c r="N66" i="7" l="1"/>
  <c r="M66" i="7"/>
  <c r="O66" i="7"/>
  <c r="B67" i="7"/>
  <c r="O66" i="9"/>
  <c r="M66" i="9"/>
  <c r="B67" i="9"/>
  <c r="N66" i="9"/>
  <c r="M66" i="5"/>
  <c r="O66" i="5"/>
  <c r="N66" i="5"/>
  <c r="B67" i="5"/>
  <c r="O66" i="6"/>
  <c r="M66" i="6"/>
  <c r="N66" i="6"/>
  <c r="B67" i="6"/>
  <c r="M66" i="4"/>
  <c r="O66" i="4"/>
  <c r="N66" i="4"/>
  <c r="B67" i="4"/>
  <c r="O66" i="8"/>
  <c r="N66" i="8"/>
  <c r="M66" i="8"/>
  <c r="B67" i="8"/>
  <c r="O68" i="10"/>
  <c r="M68" i="10"/>
  <c r="N68" i="10"/>
  <c r="B69" i="10"/>
  <c r="O67" i="8" l="1"/>
  <c r="N67" i="8"/>
  <c r="M67" i="8"/>
  <c r="B68" i="8"/>
  <c r="N67" i="6"/>
  <c r="M67" i="6"/>
  <c r="B68" i="6"/>
  <c r="O67" i="6"/>
  <c r="O67" i="9"/>
  <c r="N67" i="9"/>
  <c r="M67" i="9"/>
  <c r="B68" i="9"/>
  <c r="N67" i="4"/>
  <c r="M67" i="4"/>
  <c r="B68" i="4"/>
  <c r="O67" i="4"/>
  <c r="N67" i="5"/>
  <c r="B68" i="5"/>
  <c r="O67" i="5"/>
  <c r="M67" i="5"/>
  <c r="O67" i="7"/>
  <c r="N67" i="7"/>
  <c r="M67" i="7"/>
  <c r="B68" i="7"/>
  <c r="N69" i="10"/>
  <c r="O69" i="10"/>
  <c r="M69" i="10"/>
  <c r="B70" i="10"/>
  <c r="O68" i="4" l="1"/>
  <c r="N68" i="4"/>
  <c r="M68" i="4"/>
  <c r="B69" i="4"/>
  <c r="N68" i="6"/>
  <c r="M68" i="6"/>
  <c r="O68" i="6"/>
  <c r="B69" i="6"/>
  <c r="N68" i="9"/>
  <c r="O68" i="9"/>
  <c r="M68" i="9"/>
  <c r="B69" i="9"/>
  <c r="M68" i="8"/>
  <c r="O68" i="8"/>
  <c r="B69" i="8"/>
  <c r="N68" i="8"/>
  <c r="O68" i="7"/>
  <c r="N68" i="7"/>
  <c r="B69" i="7"/>
  <c r="M68" i="7"/>
  <c r="O68" i="5"/>
  <c r="B69" i="5"/>
  <c r="N68" i="5"/>
  <c r="M68" i="5"/>
  <c r="M70" i="10"/>
  <c r="O70" i="10"/>
  <c r="N70" i="10"/>
  <c r="B71" i="10"/>
  <c r="M69" i="8" l="1"/>
  <c r="O69" i="8"/>
  <c r="B70" i="8"/>
  <c r="N69" i="8"/>
  <c r="O69" i="6"/>
  <c r="N69" i="6"/>
  <c r="M69" i="6"/>
  <c r="B70" i="6"/>
  <c r="M69" i="9"/>
  <c r="B70" i="9"/>
  <c r="N69" i="9"/>
  <c r="O69" i="9"/>
  <c r="M69" i="4"/>
  <c r="O69" i="4"/>
  <c r="N69" i="4"/>
  <c r="B70" i="4"/>
  <c r="B70" i="5"/>
  <c r="O69" i="5"/>
  <c r="N69" i="5"/>
  <c r="M69" i="5"/>
  <c r="N69" i="7"/>
  <c r="O69" i="7"/>
  <c r="B70" i="7"/>
  <c r="M69" i="7"/>
  <c r="O71" i="10"/>
  <c r="N71" i="10"/>
  <c r="M71" i="10"/>
  <c r="B72" i="10"/>
  <c r="B71" i="4" l="1"/>
  <c r="M70" i="4"/>
  <c r="N70" i="4"/>
  <c r="O70" i="4"/>
  <c r="N70" i="6"/>
  <c r="M70" i="6"/>
  <c r="B71" i="6"/>
  <c r="O70" i="6"/>
  <c r="O70" i="7"/>
  <c r="N70" i="7"/>
  <c r="M70" i="7"/>
  <c r="B71" i="7"/>
  <c r="N70" i="8"/>
  <c r="O70" i="8"/>
  <c r="M70" i="8"/>
  <c r="B71" i="8"/>
  <c r="O70" i="9"/>
  <c r="M70" i="9"/>
  <c r="N70" i="9"/>
  <c r="B71" i="9"/>
  <c r="O70" i="5"/>
  <c r="N70" i="5"/>
  <c r="M70" i="5"/>
  <c r="B71" i="5"/>
  <c r="O72" i="10"/>
  <c r="N72" i="10"/>
  <c r="M72" i="10"/>
  <c r="B73" i="10"/>
  <c r="M71" i="6" l="1"/>
  <c r="B72" i="6"/>
  <c r="O71" i="6"/>
  <c r="N71" i="6"/>
  <c r="O71" i="8"/>
  <c r="B72" i="8"/>
  <c r="M71" i="8"/>
  <c r="N71" i="8"/>
  <c r="O71" i="9"/>
  <c r="N71" i="9"/>
  <c r="B72" i="9"/>
  <c r="M71" i="9"/>
  <c r="O71" i="7"/>
  <c r="M71" i="7"/>
  <c r="N71" i="7"/>
  <c r="B72" i="7"/>
  <c r="O71" i="5"/>
  <c r="N71" i="5"/>
  <c r="M71" i="5"/>
  <c r="B72" i="5"/>
  <c r="O71" i="4"/>
  <c r="M71" i="4"/>
  <c r="B72" i="4"/>
  <c r="N71" i="4"/>
  <c r="N73" i="10"/>
  <c r="O73" i="10"/>
  <c r="M73" i="10"/>
  <c r="B74" i="10"/>
  <c r="N72" i="7" l="1"/>
  <c r="O72" i="7"/>
  <c r="M72" i="7"/>
  <c r="B73" i="7"/>
  <c r="M72" i="8"/>
  <c r="N72" i="8"/>
  <c r="O72" i="8"/>
  <c r="B73" i="8"/>
  <c r="O72" i="4"/>
  <c r="N72" i="4"/>
  <c r="M72" i="4"/>
  <c r="B73" i="4"/>
  <c r="O72" i="5"/>
  <c r="B73" i="5"/>
  <c r="N72" i="5"/>
  <c r="M72" i="5"/>
  <c r="O72" i="9"/>
  <c r="N72" i="9"/>
  <c r="M72" i="9"/>
  <c r="B73" i="9"/>
  <c r="O72" i="6"/>
  <c r="N72" i="6"/>
  <c r="M72" i="6"/>
  <c r="B73" i="6"/>
  <c r="M74" i="10"/>
  <c r="N74" i="10"/>
  <c r="O74" i="10"/>
  <c r="B75" i="10"/>
  <c r="N73" i="8" l="1"/>
  <c r="M73" i="8"/>
  <c r="O73" i="8"/>
  <c r="B74" i="8"/>
  <c r="N73" i="5"/>
  <c r="O73" i="5"/>
  <c r="M73" i="5"/>
  <c r="B74" i="5"/>
  <c r="O73" i="6"/>
  <c r="N73" i="6"/>
  <c r="M73" i="6"/>
  <c r="B74" i="6"/>
  <c r="B74" i="7"/>
  <c r="O73" i="7"/>
  <c r="N73" i="7"/>
  <c r="M73" i="7"/>
  <c r="O73" i="9"/>
  <c r="M73" i="9"/>
  <c r="B74" i="9"/>
  <c r="N73" i="9"/>
  <c r="O73" i="4"/>
  <c r="N73" i="4"/>
  <c r="M73" i="4"/>
  <c r="B74" i="4"/>
  <c r="N75" i="10"/>
  <c r="M75" i="10"/>
  <c r="O75" i="10"/>
  <c r="B76" i="10"/>
  <c r="N74" i="4" l="1"/>
  <c r="B75" i="4"/>
  <c r="O74" i="4"/>
  <c r="M74" i="4"/>
  <c r="M74" i="5"/>
  <c r="N74" i="5"/>
  <c r="B75" i="5"/>
  <c r="O74" i="5"/>
  <c r="N74" i="7"/>
  <c r="M74" i="7"/>
  <c r="O74" i="7"/>
  <c r="B75" i="7"/>
  <c r="O74" i="6"/>
  <c r="N74" i="6"/>
  <c r="M74" i="6"/>
  <c r="B75" i="6"/>
  <c r="O74" i="8"/>
  <c r="M74" i="8"/>
  <c r="B75" i="8"/>
  <c r="N74" i="8"/>
  <c r="M74" i="9"/>
  <c r="B75" i="9"/>
  <c r="N74" i="9"/>
  <c r="O74" i="9"/>
  <c r="M76" i="10"/>
  <c r="O76" i="10"/>
  <c r="N76" i="10"/>
  <c r="B77" i="10"/>
  <c r="O75" i="6" l="1"/>
  <c r="N75" i="6"/>
  <c r="M75" i="6"/>
  <c r="B76" i="6"/>
  <c r="O75" i="5"/>
  <c r="N75" i="5"/>
  <c r="B76" i="5"/>
  <c r="M75" i="5"/>
  <c r="O75" i="9"/>
  <c r="M75" i="9"/>
  <c r="N75" i="9"/>
  <c r="B76" i="9"/>
  <c r="B76" i="8"/>
  <c r="O75" i="8"/>
  <c r="N75" i="8"/>
  <c r="M75" i="8"/>
  <c r="O75" i="7"/>
  <c r="B76" i="7"/>
  <c r="M75" i="7"/>
  <c r="N75" i="7"/>
  <c r="O75" i="4"/>
  <c r="N75" i="4"/>
  <c r="B76" i="4"/>
  <c r="M75" i="4"/>
  <c r="M77" i="10"/>
  <c r="O77" i="10"/>
  <c r="N77" i="10"/>
  <c r="B78" i="10"/>
  <c r="B77" i="4" l="1"/>
  <c r="M76" i="4"/>
  <c r="O76" i="4"/>
  <c r="N76" i="4"/>
  <c r="O76" i="5"/>
  <c r="N76" i="5"/>
  <c r="B77" i="5"/>
  <c r="M76" i="5"/>
  <c r="M76" i="8"/>
  <c r="O76" i="8"/>
  <c r="N76" i="8"/>
  <c r="B77" i="8"/>
  <c r="O76" i="9"/>
  <c r="N76" i="9"/>
  <c r="M76" i="9"/>
  <c r="B77" i="9"/>
  <c r="M76" i="6"/>
  <c r="O76" i="6"/>
  <c r="N76" i="6"/>
  <c r="B77" i="6"/>
  <c r="M76" i="7"/>
  <c r="B77" i="7"/>
  <c r="O76" i="7"/>
  <c r="N76" i="7"/>
  <c r="M78" i="10"/>
  <c r="O78" i="10"/>
  <c r="N78" i="10"/>
  <c r="B79" i="10"/>
  <c r="O77" i="9" l="1"/>
  <c r="N77" i="9"/>
  <c r="M77" i="9"/>
  <c r="B78" i="9"/>
  <c r="O77" i="7"/>
  <c r="N77" i="7"/>
  <c r="M77" i="7"/>
  <c r="B78" i="7"/>
  <c r="O77" i="6"/>
  <c r="N77" i="6"/>
  <c r="M77" i="6"/>
  <c r="B78" i="6"/>
  <c r="O77" i="8"/>
  <c r="M77" i="8"/>
  <c r="N77" i="8"/>
  <c r="B78" i="8"/>
  <c r="O77" i="5"/>
  <c r="N77" i="5"/>
  <c r="B78" i="5"/>
  <c r="M77" i="5"/>
  <c r="N77" i="4"/>
  <c r="O77" i="4"/>
  <c r="M77" i="4"/>
  <c r="B78" i="4"/>
  <c r="O79" i="10"/>
  <c r="N79" i="10"/>
  <c r="M79" i="10"/>
  <c r="B80" i="10"/>
  <c r="N78" i="4" l="1"/>
  <c r="O78" i="4"/>
  <c r="M78" i="4"/>
  <c r="B79" i="4"/>
  <c r="N78" i="8"/>
  <c r="O78" i="8"/>
  <c r="B79" i="8"/>
  <c r="M78" i="8"/>
  <c r="B79" i="7"/>
  <c r="O78" i="7"/>
  <c r="N78" i="7"/>
  <c r="M78" i="7"/>
  <c r="N78" i="6"/>
  <c r="B79" i="6"/>
  <c r="M78" i="6"/>
  <c r="O78" i="6"/>
  <c r="B79" i="9"/>
  <c r="O78" i="9"/>
  <c r="N78" i="9"/>
  <c r="M78" i="9"/>
  <c r="O78" i="5"/>
  <c r="M78" i="5"/>
  <c r="N78" i="5"/>
  <c r="B79" i="5"/>
  <c r="N80" i="10"/>
  <c r="M80" i="10"/>
  <c r="O80" i="10"/>
  <c r="B81" i="10"/>
  <c r="O79" i="5" l="1"/>
  <c r="N79" i="5"/>
  <c r="M79" i="5"/>
  <c r="B80" i="5"/>
  <c r="N79" i="8"/>
  <c r="B80" i="8"/>
  <c r="O79" i="8"/>
  <c r="M79" i="8"/>
  <c r="O79" i="6"/>
  <c r="M79" i="6"/>
  <c r="N79" i="6"/>
  <c r="B80" i="6"/>
  <c r="M79" i="4"/>
  <c r="O79" i="4"/>
  <c r="N79" i="4"/>
  <c r="B80" i="4"/>
  <c r="B80" i="9"/>
  <c r="O79" i="9"/>
  <c r="N79" i="9"/>
  <c r="M79" i="9"/>
  <c r="M79" i="7"/>
  <c r="B80" i="7"/>
  <c r="O79" i="7"/>
  <c r="N79" i="7"/>
  <c r="M81" i="10"/>
  <c r="O81" i="10"/>
  <c r="N81" i="10"/>
  <c r="B82" i="10"/>
  <c r="N80" i="8" l="1"/>
  <c r="O80" i="8"/>
  <c r="M80" i="8"/>
  <c r="B81" i="8"/>
  <c r="O80" i="6"/>
  <c r="M80" i="6"/>
  <c r="B81" i="6"/>
  <c r="N80" i="6"/>
  <c r="O80" i="5"/>
  <c r="N80" i="5"/>
  <c r="M80" i="5"/>
  <c r="B81" i="5"/>
  <c r="O80" i="4"/>
  <c r="M80" i="4"/>
  <c r="B81" i="4"/>
  <c r="N80" i="4"/>
  <c r="O80" i="7"/>
  <c r="M80" i="7"/>
  <c r="N80" i="7"/>
  <c r="B81" i="7"/>
  <c r="N80" i="9"/>
  <c r="O80" i="9"/>
  <c r="M80" i="9"/>
  <c r="B81" i="9"/>
  <c r="O82" i="10"/>
  <c r="N82" i="10"/>
  <c r="M82" i="10"/>
  <c r="B83" i="10"/>
  <c r="N81" i="9" l="1"/>
  <c r="M81" i="9"/>
  <c r="B82" i="9"/>
  <c r="O81" i="9"/>
  <c r="N81" i="4"/>
  <c r="O81" i="4"/>
  <c r="B82" i="4"/>
  <c r="M81" i="4"/>
  <c r="O81" i="6"/>
  <c r="M81" i="6"/>
  <c r="N81" i="6"/>
  <c r="B82" i="6"/>
  <c r="O81" i="7"/>
  <c r="N81" i="7"/>
  <c r="M81" i="7"/>
  <c r="B82" i="7"/>
  <c r="B82" i="5"/>
  <c r="M81" i="5"/>
  <c r="N81" i="5"/>
  <c r="O81" i="5"/>
  <c r="O81" i="8"/>
  <c r="N81" i="8"/>
  <c r="M81" i="8"/>
  <c r="B82" i="8"/>
  <c r="N83" i="10"/>
  <c r="O83" i="10"/>
  <c r="M83" i="10"/>
  <c r="B84" i="10"/>
  <c r="M82" i="7" l="1"/>
  <c r="B83" i="7"/>
  <c r="N82" i="7"/>
  <c r="O82" i="7"/>
  <c r="N82" i="4"/>
  <c r="O82" i="4"/>
  <c r="M82" i="4"/>
  <c r="B83" i="4"/>
  <c r="O82" i="6"/>
  <c r="M82" i="6"/>
  <c r="N82" i="6"/>
  <c r="B83" i="6"/>
  <c r="M82" i="9"/>
  <c r="N82" i="9"/>
  <c r="O82" i="9"/>
  <c r="B83" i="9"/>
  <c r="B83" i="8"/>
  <c r="O82" i="8"/>
  <c r="M82" i="8"/>
  <c r="N82" i="8"/>
  <c r="N82" i="5"/>
  <c r="M82" i="5"/>
  <c r="B83" i="5"/>
  <c r="O82" i="5"/>
  <c r="M84" i="10"/>
  <c r="O84" i="10"/>
  <c r="N84" i="10"/>
  <c r="B85" i="10"/>
  <c r="N83" i="4" l="1"/>
  <c r="B84" i="4"/>
  <c r="M83" i="4"/>
  <c r="O83" i="4"/>
  <c r="M83" i="9"/>
  <c r="O83" i="9"/>
  <c r="N83" i="9"/>
  <c r="B84" i="9"/>
  <c r="M83" i="5"/>
  <c r="O83" i="5"/>
  <c r="N83" i="5"/>
  <c r="B84" i="5"/>
  <c r="O83" i="6"/>
  <c r="N83" i="6"/>
  <c r="M83" i="6"/>
  <c r="B84" i="6"/>
  <c r="M83" i="7"/>
  <c r="O83" i="7"/>
  <c r="N83" i="7"/>
  <c r="B84" i="7"/>
  <c r="O83" i="8"/>
  <c r="N83" i="8"/>
  <c r="M83" i="8"/>
  <c r="B84" i="8"/>
  <c r="N85" i="10"/>
  <c r="O85" i="10"/>
  <c r="M85" i="10"/>
  <c r="B86" i="10"/>
  <c r="M84" i="8" l="1"/>
  <c r="N84" i="8"/>
  <c r="O84" i="8"/>
  <c r="B85" i="8"/>
  <c r="O84" i="6"/>
  <c r="N84" i="6"/>
  <c r="M84" i="6"/>
  <c r="B85" i="6"/>
  <c r="O84" i="9"/>
  <c r="B85" i="9"/>
  <c r="N84" i="9"/>
  <c r="M84" i="9"/>
  <c r="O84" i="5"/>
  <c r="N84" i="5"/>
  <c r="M84" i="5"/>
  <c r="B85" i="5"/>
  <c r="O84" i="4"/>
  <c r="N84" i="4"/>
  <c r="M84" i="4"/>
  <c r="B85" i="4"/>
  <c r="O84" i="7"/>
  <c r="M84" i="7"/>
  <c r="N84" i="7"/>
  <c r="B85" i="7"/>
  <c r="O86" i="10"/>
  <c r="N86" i="10"/>
  <c r="M86" i="10"/>
  <c r="B87" i="10"/>
  <c r="M85" i="7" l="1"/>
  <c r="B86" i="7"/>
  <c r="O85" i="7"/>
  <c r="N85" i="7"/>
  <c r="O85" i="4"/>
  <c r="N85" i="4"/>
  <c r="M85" i="4"/>
  <c r="B86" i="4"/>
  <c r="O85" i="8"/>
  <c r="B86" i="8"/>
  <c r="M85" i="8"/>
  <c r="N85" i="8"/>
  <c r="O85" i="6"/>
  <c r="N85" i="6"/>
  <c r="M85" i="6"/>
  <c r="B86" i="6"/>
  <c r="B86" i="9"/>
  <c r="N85" i="9"/>
  <c r="O85" i="9"/>
  <c r="M85" i="9"/>
  <c r="O85" i="5"/>
  <c r="N85" i="5"/>
  <c r="M85" i="5"/>
  <c r="B86" i="5"/>
  <c r="O87" i="10"/>
  <c r="M87" i="10"/>
  <c r="N87" i="10"/>
  <c r="B88" i="10"/>
  <c r="N86" i="4" l="1"/>
  <c r="M86" i="4"/>
  <c r="O86" i="4"/>
  <c r="B87" i="4"/>
  <c r="M86" i="6"/>
  <c r="O86" i="6"/>
  <c r="B87" i="6"/>
  <c r="N86" i="6"/>
  <c r="N86" i="8"/>
  <c r="M86" i="8"/>
  <c r="O86" i="8"/>
  <c r="B87" i="8"/>
  <c r="B87" i="7"/>
  <c r="N86" i="7"/>
  <c r="O86" i="7"/>
  <c r="M86" i="7"/>
  <c r="O86" i="5"/>
  <c r="M86" i="5"/>
  <c r="N86" i="5"/>
  <c r="B87" i="5"/>
  <c r="O86" i="9"/>
  <c r="N86" i="9"/>
  <c r="M86" i="9"/>
  <c r="B87" i="9"/>
  <c r="N88" i="10"/>
  <c r="M88" i="10"/>
  <c r="O88" i="10"/>
  <c r="B89" i="10"/>
  <c r="O87" i="9" l="1"/>
  <c r="M87" i="9"/>
  <c r="N87" i="9"/>
  <c r="B88" i="9"/>
  <c r="O87" i="7"/>
  <c r="N87" i="7"/>
  <c r="B88" i="7"/>
  <c r="M87" i="7"/>
  <c r="O87" i="5"/>
  <c r="M87" i="5"/>
  <c r="N87" i="5"/>
  <c r="B88" i="5"/>
  <c r="O87" i="8"/>
  <c r="M87" i="8"/>
  <c r="B88" i="8"/>
  <c r="N87" i="8"/>
  <c r="M87" i="4"/>
  <c r="O87" i="4"/>
  <c r="N87" i="4"/>
  <c r="B88" i="4"/>
  <c r="N87" i="6"/>
  <c r="M87" i="6"/>
  <c r="O87" i="6"/>
  <c r="B88" i="6"/>
  <c r="M89" i="10"/>
  <c r="O89" i="10"/>
  <c r="N89" i="10"/>
  <c r="B90" i="10"/>
  <c r="N88" i="8" l="1"/>
  <c r="O88" i="8"/>
  <c r="B89" i="8"/>
  <c r="M88" i="8"/>
  <c r="M88" i="4"/>
  <c r="B89" i="4"/>
  <c r="O88" i="4"/>
  <c r="N88" i="4"/>
  <c r="M88" i="5"/>
  <c r="B89" i="5"/>
  <c r="O88" i="5"/>
  <c r="N88" i="5"/>
  <c r="O88" i="9"/>
  <c r="N88" i="9"/>
  <c r="M88" i="9"/>
  <c r="B89" i="9"/>
  <c r="O88" i="7"/>
  <c r="N88" i="7"/>
  <c r="M88" i="7"/>
  <c r="B89" i="7"/>
  <c r="O88" i="6"/>
  <c r="M88" i="6"/>
  <c r="B89" i="6"/>
  <c r="N88" i="6"/>
  <c r="O90" i="10"/>
  <c r="M90" i="10"/>
  <c r="N90" i="10"/>
  <c r="B91" i="10"/>
  <c r="N89" i="9" l="1"/>
  <c r="M89" i="9"/>
  <c r="O89" i="9"/>
  <c r="B90" i="9"/>
  <c r="O89" i="4"/>
  <c r="N89" i="4"/>
  <c r="M89" i="4"/>
  <c r="B90" i="4"/>
  <c r="M89" i="8"/>
  <c r="N89" i="8"/>
  <c r="O89" i="8"/>
  <c r="B90" i="8"/>
  <c r="N89" i="5"/>
  <c r="O89" i="5"/>
  <c r="M89" i="5"/>
  <c r="B90" i="5"/>
  <c r="N89" i="6"/>
  <c r="M89" i="6"/>
  <c r="B90" i="6"/>
  <c r="O89" i="6"/>
  <c r="M89" i="7"/>
  <c r="O89" i="7"/>
  <c r="B90" i="7"/>
  <c r="N89" i="7"/>
  <c r="N91" i="10"/>
  <c r="M91" i="10"/>
  <c r="O91" i="10"/>
  <c r="B92" i="10"/>
  <c r="O90" i="5" l="1"/>
  <c r="N90" i="5"/>
  <c r="M90" i="5"/>
  <c r="B91" i="5"/>
  <c r="O90" i="4"/>
  <c r="M90" i="4"/>
  <c r="B91" i="4"/>
  <c r="N90" i="4"/>
  <c r="N90" i="7"/>
  <c r="M90" i="7"/>
  <c r="B91" i="7"/>
  <c r="O90" i="7"/>
  <c r="O90" i="8"/>
  <c r="N90" i="8"/>
  <c r="M90" i="8"/>
  <c r="B91" i="8"/>
  <c r="M90" i="9"/>
  <c r="N90" i="9"/>
  <c r="O90" i="9"/>
  <c r="B91" i="9"/>
  <c r="O90" i="6"/>
  <c r="N90" i="6"/>
  <c r="B91" i="6"/>
  <c r="M90" i="6"/>
  <c r="M92" i="10"/>
  <c r="O92" i="10"/>
  <c r="N92" i="10"/>
  <c r="B93" i="10"/>
  <c r="N91" i="4" l="1"/>
  <c r="M91" i="4"/>
  <c r="O91" i="4"/>
  <c r="B92" i="4"/>
  <c r="O91" i="9"/>
  <c r="N91" i="9"/>
  <c r="M91" i="9"/>
  <c r="B92" i="9"/>
  <c r="M91" i="5"/>
  <c r="O91" i="5"/>
  <c r="N91" i="5"/>
  <c r="B92" i="5"/>
  <c r="N91" i="8"/>
  <c r="O91" i="8"/>
  <c r="M91" i="8"/>
  <c r="B92" i="8"/>
  <c r="M91" i="6"/>
  <c r="N91" i="6"/>
  <c r="O91" i="6"/>
  <c r="B92" i="6"/>
  <c r="O91" i="7"/>
  <c r="M91" i="7"/>
  <c r="N91" i="7"/>
  <c r="B92" i="7"/>
  <c r="N93" i="10"/>
  <c r="O93" i="10"/>
  <c r="M93" i="10"/>
  <c r="B94" i="10"/>
  <c r="O92" i="7" l="1"/>
  <c r="N92" i="7"/>
  <c r="M92" i="7"/>
  <c r="B93" i="7"/>
  <c r="N92" i="8"/>
  <c r="M92" i="8"/>
  <c r="B93" i="8"/>
  <c r="O92" i="8"/>
  <c r="N92" i="9"/>
  <c r="M92" i="9"/>
  <c r="O92" i="9"/>
  <c r="B93" i="9"/>
  <c r="O92" i="6"/>
  <c r="M92" i="6"/>
  <c r="N92" i="6"/>
  <c r="B93" i="6"/>
  <c r="O92" i="5"/>
  <c r="N92" i="5"/>
  <c r="M92" i="5"/>
  <c r="B93" i="5"/>
  <c r="N92" i="4"/>
  <c r="M92" i="4"/>
  <c r="B93" i="4"/>
  <c r="O92" i="4"/>
  <c r="M94" i="10"/>
  <c r="O94" i="10"/>
  <c r="N94" i="10"/>
  <c r="B95" i="10"/>
  <c r="O93" i="6" l="1"/>
  <c r="M93" i="6"/>
  <c r="B94" i="6"/>
  <c r="N93" i="6"/>
  <c r="N93" i="4"/>
  <c r="M93" i="4"/>
  <c r="O93" i="4"/>
  <c r="B94" i="4"/>
  <c r="O93" i="8"/>
  <c r="M93" i="8"/>
  <c r="N93" i="8"/>
  <c r="B94" i="8"/>
  <c r="O93" i="9"/>
  <c r="M93" i="9"/>
  <c r="B94" i="9"/>
  <c r="N93" i="9"/>
  <c r="O93" i="7"/>
  <c r="N93" i="7"/>
  <c r="M93" i="7"/>
  <c r="B94" i="7"/>
  <c r="M93" i="5"/>
  <c r="N93" i="5"/>
  <c r="O93" i="5"/>
  <c r="B94" i="5"/>
  <c r="O95" i="10"/>
  <c r="N95" i="10"/>
  <c r="M95" i="10"/>
  <c r="B96" i="10"/>
  <c r="O94" i="9" l="1"/>
  <c r="N94" i="9"/>
  <c r="M94" i="9"/>
  <c r="B95" i="9"/>
  <c r="O94" i="4"/>
  <c r="B95" i="4"/>
  <c r="N94" i="4"/>
  <c r="M94" i="4"/>
  <c r="N94" i="8"/>
  <c r="B95" i="8"/>
  <c r="O94" i="8"/>
  <c r="M94" i="8"/>
  <c r="M94" i="5"/>
  <c r="O94" i="5"/>
  <c r="N94" i="5"/>
  <c r="B95" i="5"/>
  <c r="N94" i="6"/>
  <c r="M94" i="6"/>
  <c r="B95" i="6"/>
  <c r="O94" i="6"/>
  <c r="O94" i="7"/>
  <c r="M94" i="7"/>
  <c r="N94" i="7"/>
  <c r="B95" i="7"/>
  <c r="N96" i="10"/>
  <c r="O96" i="10"/>
  <c r="M96" i="10"/>
  <c r="B97" i="10"/>
  <c r="O95" i="5" l="1"/>
  <c r="M95" i="5"/>
  <c r="B96" i="5"/>
  <c r="N95" i="5"/>
  <c r="N95" i="4"/>
  <c r="M95" i="4"/>
  <c r="O95" i="4"/>
  <c r="B96" i="4"/>
  <c r="M95" i="9"/>
  <c r="N95" i="9"/>
  <c r="O95" i="9"/>
  <c r="B96" i="9"/>
  <c r="M95" i="6"/>
  <c r="O95" i="6"/>
  <c r="N95" i="6"/>
  <c r="B96" i="6"/>
  <c r="O95" i="8"/>
  <c r="M95" i="8"/>
  <c r="N95" i="8"/>
  <c r="B96" i="8"/>
  <c r="O95" i="7"/>
  <c r="M95" i="7"/>
  <c r="N95" i="7"/>
  <c r="B96" i="7"/>
  <c r="M97" i="10"/>
  <c r="O97" i="10"/>
  <c r="N97" i="10"/>
  <c r="B98" i="10"/>
  <c r="M96" i="4" l="1"/>
  <c r="N96" i="4"/>
  <c r="O96" i="4"/>
  <c r="B97" i="4"/>
  <c r="O96" i="6"/>
  <c r="N96" i="6"/>
  <c r="M96" i="6"/>
  <c r="B97" i="6"/>
  <c r="O96" i="9"/>
  <c r="N96" i="9"/>
  <c r="M96" i="9"/>
  <c r="B97" i="9"/>
  <c r="O96" i="5"/>
  <c r="N96" i="5"/>
  <c r="M96" i="5"/>
  <c r="B97" i="5"/>
  <c r="O96" i="7"/>
  <c r="M96" i="7"/>
  <c r="N96" i="7"/>
  <c r="B97" i="7"/>
  <c r="N96" i="8"/>
  <c r="O96" i="8"/>
  <c r="B97" i="8"/>
  <c r="M96" i="8"/>
  <c r="O98" i="10"/>
  <c r="N98" i="10"/>
  <c r="M98" i="10"/>
  <c r="B99" i="10"/>
  <c r="M97" i="8" l="1"/>
  <c r="O97" i="8"/>
  <c r="N97" i="8"/>
  <c r="B98" i="8"/>
  <c r="O97" i="6"/>
  <c r="N97" i="6"/>
  <c r="M97" i="6"/>
  <c r="B98" i="6"/>
  <c r="N97" i="5"/>
  <c r="B98" i="5"/>
  <c r="M97" i="5"/>
  <c r="O97" i="5"/>
  <c r="O97" i="7"/>
  <c r="N97" i="7"/>
  <c r="M97" i="7"/>
  <c r="B98" i="7"/>
  <c r="N97" i="9"/>
  <c r="B98" i="9"/>
  <c r="M97" i="9"/>
  <c r="O97" i="9"/>
  <c r="B98" i="4"/>
  <c r="O97" i="4"/>
  <c r="M97" i="4"/>
  <c r="N97" i="4"/>
  <c r="O99" i="10"/>
  <c r="N99" i="10"/>
  <c r="M99" i="10"/>
  <c r="B100" i="10"/>
  <c r="M98" i="7" l="1"/>
  <c r="N98" i="7"/>
  <c r="O98" i="7"/>
  <c r="B99" i="7"/>
  <c r="O98" i="8"/>
  <c r="M98" i="8"/>
  <c r="N98" i="8"/>
  <c r="B99" i="8"/>
  <c r="O98" i="6"/>
  <c r="N98" i="6"/>
  <c r="M98" i="6"/>
  <c r="B99" i="6"/>
  <c r="B99" i="4"/>
  <c r="O98" i="4"/>
  <c r="N98" i="4"/>
  <c r="M98" i="4"/>
  <c r="M98" i="9"/>
  <c r="N98" i="9"/>
  <c r="B99" i="9"/>
  <c r="O98" i="9"/>
  <c r="M98" i="5"/>
  <c r="O98" i="5"/>
  <c r="B99" i="5"/>
  <c r="N98" i="5"/>
  <c r="N100" i="10"/>
  <c r="M100" i="10"/>
  <c r="O100" i="10"/>
  <c r="B101" i="10"/>
  <c r="O99" i="8" l="1"/>
  <c r="N99" i="8"/>
  <c r="M99" i="8"/>
  <c r="B100" i="8"/>
  <c r="N99" i="4"/>
  <c r="O99" i="4"/>
  <c r="M99" i="4"/>
  <c r="B100" i="4"/>
  <c r="O99" i="5"/>
  <c r="M99" i="5"/>
  <c r="N99" i="5"/>
  <c r="B100" i="5"/>
  <c r="O99" i="6"/>
  <c r="N99" i="6"/>
  <c r="M99" i="6"/>
  <c r="B100" i="6"/>
  <c r="M99" i="7"/>
  <c r="O99" i="7"/>
  <c r="B100" i="7"/>
  <c r="N99" i="7"/>
  <c r="M99" i="9"/>
  <c r="B100" i="9"/>
  <c r="N99" i="9"/>
  <c r="O99" i="9"/>
  <c r="M101" i="10"/>
  <c r="O101" i="10"/>
  <c r="N101" i="10"/>
  <c r="B102" i="10"/>
  <c r="O100" i="6" l="1"/>
  <c r="N100" i="6"/>
  <c r="M100" i="6"/>
  <c r="B101" i="6"/>
  <c r="N100" i="4"/>
  <c r="M100" i="4"/>
  <c r="B101" i="4"/>
  <c r="O100" i="4"/>
  <c r="O100" i="5"/>
  <c r="N100" i="5"/>
  <c r="B101" i="5"/>
  <c r="M100" i="5"/>
  <c r="O100" i="8"/>
  <c r="N100" i="8"/>
  <c r="B101" i="8"/>
  <c r="M100" i="8"/>
  <c r="O100" i="9"/>
  <c r="N100" i="9"/>
  <c r="B101" i="9"/>
  <c r="M100" i="9"/>
  <c r="O100" i="7"/>
  <c r="N100" i="7"/>
  <c r="M100" i="7"/>
  <c r="B101" i="7"/>
  <c r="O102" i="10"/>
  <c r="M102" i="10"/>
  <c r="N102" i="10"/>
  <c r="B103" i="10"/>
  <c r="O101" i="4" l="1"/>
  <c r="M101" i="4"/>
  <c r="N101" i="4"/>
  <c r="B102" i="4"/>
  <c r="O101" i="6"/>
  <c r="N101" i="6"/>
  <c r="M101" i="6"/>
  <c r="B102" i="6"/>
  <c r="O101" i="8"/>
  <c r="M101" i="8"/>
  <c r="N101" i="8"/>
  <c r="B102" i="8"/>
  <c r="O101" i="5"/>
  <c r="N101" i="5"/>
  <c r="B102" i="5"/>
  <c r="M101" i="5"/>
  <c r="N101" i="7"/>
  <c r="B102" i="7"/>
  <c r="O101" i="7"/>
  <c r="M101" i="7"/>
  <c r="O101" i="9"/>
  <c r="N101" i="9"/>
  <c r="M101" i="9"/>
  <c r="B102" i="9"/>
  <c r="O103" i="10"/>
  <c r="M103" i="10"/>
  <c r="N103" i="10"/>
  <c r="B104" i="10"/>
  <c r="O102" i="9" l="1"/>
  <c r="M102" i="9"/>
  <c r="B103" i="9"/>
  <c r="N102" i="9"/>
  <c r="N102" i="6"/>
  <c r="O102" i="6"/>
  <c r="M102" i="6"/>
  <c r="B103" i="6"/>
  <c r="B103" i="5"/>
  <c r="O102" i="5"/>
  <c r="M102" i="5"/>
  <c r="N102" i="5"/>
  <c r="N102" i="8"/>
  <c r="M102" i="8"/>
  <c r="O102" i="8"/>
  <c r="B103" i="8"/>
  <c r="O102" i="4"/>
  <c r="M102" i="4"/>
  <c r="N102" i="4"/>
  <c r="B103" i="4"/>
  <c r="N102" i="7"/>
  <c r="M102" i="7"/>
  <c r="B103" i="7"/>
  <c r="O102" i="7"/>
  <c r="N104" i="10"/>
  <c r="O104" i="10"/>
  <c r="M104" i="10"/>
  <c r="B105" i="10"/>
  <c r="O103" i="8" l="1"/>
  <c r="M103" i="8"/>
  <c r="N103" i="8"/>
  <c r="B104" i="8"/>
  <c r="O103" i="6"/>
  <c r="N103" i="6"/>
  <c r="M103" i="6"/>
  <c r="B104" i="6"/>
  <c r="O103" i="7"/>
  <c r="B104" i="7"/>
  <c r="N103" i="7"/>
  <c r="M103" i="7"/>
  <c r="N103" i="4"/>
  <c r="O103" i="4"/>
  <c r="M103" i="4"/>
  <c r="B104" i="4"/>
  <c r="O103" i="9"/>
  <c r="N103" i="9"/>
  <c r="M103" i="9"/>
  <c r="B104" i="9"/>
  <c r="M103" i="5"/>
  <c r="O103" i="5"/>
  <c r="B104" i="5"/>
  <c r="N103" i="5"/>
  <c r="M105" i="10"/>
  <c r="N105" i="10"/>
  <c r="O105" i="10"/>
  <c r="B106" i="10"/>
  <c r="M104" i="4" l="1"/>
  <c r="O104" i="4"/>
  <c r="N104" i="4"/>
  <c r="B105" i="4"/>
  <c r="O104" i="6"/>
  <c r="B105" i="6"/>
  <c r="N104" i="6"/>
  <c r="M104" i="6"/>
  <c r="N104" i="8"/>
  <c r="B105" i="8"/>
  <c r="O104" i="8"/>
  <c r="M104" i="8"/>
  <c r="O104" i="5"/>
  <c r="N104" i="5"/>
  <c r="M104" i="5"/>
  <c r="B105" i="5"/>
  <c r="O104" i="9"/>
  <c r="N104" i="9"/>
  <c r="M104" i="9"/>
  <c r="B105" i="9"/>
  <c r="O104" i="7"/>
  <c r="M104" i="7"/>
  <c r="N104" i="7"/>
  <c r="B105" i="7"/>
  <c r="O106" i="10"/>
  <c r="N106" i="10"/>
  <c r="M106" i="10"/>
  <c r="B107" i="10"/>
  <c r="O105" i="7" l="1"/>
  <c r="N105" i="7"/>
  <c r="B106" i="7"/>
  <c r="M105" i="7"/>
  <c r="O105" i="6"/>
  <c r="B106" i="6"/>
  <c r="N105" i="6"/>
  <c r="M105" i="6"/>
  <c r="O105" i="5"/>
  <c r="M105" i="5"/>
  <c r="N105" i="5"/>
  <c r="B106" i="5"/>
  <c r="O105" i="4"/>
  <c r="M105" i="4"/>
  <c r="N105" i="4"/>
  <c r="B106" i="4"/>
  <c r="N105" i="9"/>
  <c r="O105" i="9"/>
  <c r="M105" i="9"/>
  <c r="B106" i="9"/>
  <c r="M105" i="8"/>
  <c r="O105" i="8"/>
  <c r="N105" i="8"/>
  <c r="B106" i="8"/>
  <c r="O107" i="10"/>
  <c r="N107" i="10"/>
  <c r="M107" i="10"/>
  <c r="B108" i="10"/>
  <c r="M106" i="4" l="1"/>
  <c r="N106" i="4"/>
  <c r="O106" i="4"/>
  <c r="B107" i="4"/>
  <c r="O106" i="6"/>
  <c r="N106" i="6"/>
  <c r="M106" i="6"/>
  <c r="B107" i="6"/>
  <c r="M106" i="9"/>
  <c r="O106" i="9"/>
  <c r="N106" i="9"/>
  <c r="B107" i="9"/>
  <c r="B107" i="5"/>
  <c r="M106" i="5"/>
  <c r="O106" i="5"/>
  <c r="N106" i="5"/>
  <c r="M106" i="7"/>
  <c r="B107" i="7"/>
  <c r="N106" i="7"/>
  <c r="O106" i="7"/>
  <c r="O106" i="8"/>
  <c r="N106" i="8"/>
  <c r="B107" i="8"/>
  <c r="M106" i="8"/>
  <c r="N108" i="10"/>
  <c r="M108" i="10"/>
  <c r="O108" i="10"/>
  <c r="B109" i="10"/>
  <c r="B108" i="6" l="1"/>
  <c r="M107" i="6"/>
  <c r="O107" i="6"/>
  <c r="N107" i="6"/>
  <c r="N107" i="8"/>
  <c r="M107" i="8"/>
  <c r="O107" i="8"/>
  <c r="B108" i="8"/>
  <c r="O107" i="5"/>
  <c r="M107" i="5"/>
  <c r="N107" i="5"/>
  <c r="B108" i="5"/>
  <c r="O107" i="9"/>
  <c r="M107" i="9"/>
  <c r="N107" i="9"/>
  <c r="B108" i="9"/>
  <c r="O107" i="4"/>
  <c r="N107" i="4"/>
  <c r="M107" i="4"/>
  <c r="B108" i="4"/>
  <c r="N107" i="7"/>
  <c r="M107" i="7"/>
  <c r="O107" i="7"/>
  <c r="B108" i="7"/>
  <c r="M109" i="10"/>
  <c r="O109" i="10"/>
  <c r="N109" i="10"/>
  <c r="B110" i="10"/>
  <c r="M108" i="7" l="1"/>
  <c r="N108" i="7"/>
  <c r="B109" i="7"/>
  <c r="O108" i="7"/>
  <c r="M108" i="9"/>
  <c r="O108" i="9"/>
  <c r="B109" i="9"/>
  <c r="N108" i="9"/>
  <c r="O108" i="8"/>
  <c r="N108" i="8"/>
  <c r="M108" i="8"/>
  <c r="B109" i="8"/>
  <c r="N108" i="4"/>
  <c r="M108" i="4"/>
  <c r="O108" i="4"/>
  <c r="B109" i="4"/>
  <c r="N108" i="5"/>
  <c r="B109" i="5"/>
  <c r="M108" i="5"/>
  <c r="O108" i="5"/>
  <c r="O108" i="6"/>
  <c r="N108" i="6"/>
  <c r="M108" i="6"/>
  <c r="B109" i="6"/>
  <c r="N110" i="10"/>
  <c r="M110" i="10"/>
  <c r="O110" i="10"/>
  <c r="B111" i="10"/>
  <c r="O109" i="6" l="1"/>
  <c r="N109" i="6"/>
  <c r="M109" i="6"/>
  <c r="B110" i="6"/>
  <c r="N109" i="4"/>
  <c r="B110" i="4"/>
  <c r="O109" i="4"/>
  <c r="M109" i="4"/>
  <c r="O109" i="9"/>
  <c r="N109" i="9"/>
  <c r="M109" i="9"/>
  <c r="B110" i="9"/>
  <c r="O109" i="8"/>
  <c r="B110" i="8"/>
  <c r="M109" i="8"/>
  <c r="N109" i="8"/>
  <c r="O109" i="7"/>
  <c r="N109" i="7"/>
  <c r="M109" i="7"/>
  <c r="B110" i="7"/>
  <c r="O109" i="5"/>
  <c r="M109" i="5"/>
  <c r="N109" i="5"/>
  <c r="B110" i="5"/>
  <c r="O111" i="10"/>
  <c r="M111" i="10"/>
  <c r="N111" i="10"/>
  <c r="B112" i="10"/>
  <c r="O110" i="5" l="1"/>
  <c r="N110" i="5"/>
  <c r="M110" i="5"/>
  <c r="B111" i="5"/>
  <c r="N110" i="8"/>
  <c r="M110" i="8"/>
  <c r="O110" i="8"/>
  <c r="B111" i="8"/>
  <c r="B111" i="4"/>
  <c r="O110" i="4"/>
  <c r="M110" i="4"/>
  <c r="N110" i="4"/>
  <c r="O110" i="7"/>
  <c r="N110" i="7"/>
  <c r="M110" i="7"/>
  <c r="B111" i="7"/>
  <c r="O110" i="9"/>
  <c r="N110" i="9"/>
  <c r="M110" i="9"/>
  <c r="B111" i="9"/>
  <c r="N110" i="6"/>
  <c r="M110" i="6"/>
  <c r="O110" i="6"/>
  <c r="B111" i="6"/>
  <c r="N112" i="10"/>
  <c r="O112" i="10"/>
  <c r="M112" i="10"/>
  <c r="B113" i="10"/>
  <c r="M111" i="6" l="1"/>
  <c r="O111" i="6"/>
  <c r="B112" i="6"/>
  <c r="N111" i="6"/>
  <c r="O111" i="7"/>
  <c r="N111" i="7"/>
  <c r="M111" i="7"/>
  <c r="B112" i="7"/>
  <c r="O111" i="8"/>
  <c r="M111" i="8"/>
  <c r="B112" i="8"/>
  <c r="N111" i="8"/>
  <c r="B112" i="9"/>
  <c r="M111" i="9"/>
  <c r="O111" i="9"/>
  <c r="N111" i="9"/>
  <c r="O111" i="5"/>
  <c r="N111" i="5"/>
  <c r="M111" i="5"/>
  <c r="B112" i="5"/>
  <c r="N111" i="4"/>
  <c r="M111" i="4"/>
  <c r="O111" i="4"/>
  <c r="B112" i="4"/>
  <c r="M113" i="10"/>
  <c r="O113" i="10"/>
  <c r="N113" i="10"/>
  <c r="B114" i="10"/>
  <c r="O112" i="7" l="1"/>
  <c r="N112" i="7"/>
  <c r="M112" i="7"/>
  <c r="B113" i="7"/>
  <c r="O112" i="9"/>
  <c r="M112" i="9"/>
  <c r="N112" i="9"/>
  <c r="B113" i="9"/>
  <c r="O112" i="5"/>
  <c r="M112" i="5"/>
  <c r="N112" i="5"/>
  <c r="B113" i="5"/>
  <c r="M112" i="4"/>
  <c r="O112" i="4"/>
  <c r="N112" i="4"/>
  <c r="B113" i="4"/>
  <c r="N112" i="8"/>
  <c r="O112" i="8"/>
  <c r="M112" i="8"/>
  <c r="B113" i="8"/>
  <c r="B113" i="6"/>
  <c r="N112" i="6"/>
  <c r="M112" i="6"/>
  <c r="O112" i="6"/>
  <c r="O114" i="10"/>
  <c r="N114" i="10"/>
  <c r="M114" i="10"/>
  <c r="B115" i="10"/>
  <c r="O113" i="4" l="1"/>
  <c r="N113" i="4"/>
  <c r="M113" i="4"/>
  <c r="B114" i="4"/>
  <c r="N113" i="9"/>
  <c r="O113" i="9"/>
  <c r="M113" i="9"/>
  <c r="B114" i="9"/>
  <c r="O113" i="6"/>
  <c r="N113" i="6"/>
  <c r="M113" i="6"/>
  <c r="B114" i="6"/>
  <c r="M113" i="8"/>
  <c r="N113" i="8"/>
  <c r="B114" i="8"/>
  <c r="O113" i="8"/>
  <c r="O113" i="5"/>
  <c r="B114" i="5"/>
  <c r="N113" i="5"/>
  <c r="M113" i="5"/>
  <c r="O113" i="7"/>
  <c r="M113" i="7"/>
  <c r="N113" i="7"/>
  <c r="B114" i="7"/>
  <c r="O115" i="10"/>
  <c r="N115" i="10"/>
  <c r="M115" i="10"/>
  <c r="B116" i="10"/>
  <c r="N114" i="7" l="1"/>
  <c r="B115" i="7"/>
  <c r="M114" i="7"/>
  <c r="O114" i="7"/>
  <c r="M114" i="9"/>
  <c r="O114" i="9"/>
  <c r="N114" i="9"/>
  <c r="B115" i="9"/>
  <c r="O114" i="6"/>
  <c r="M114" i="6"/>
  <c r="N114" i="6"/>
  <c r="B115" i="6"/>
  <c r="O114" i="4"/>
  <c r="M114" i="4"/>
  <c r="N114" i="4"/>
  <c r="B115" i="4"/>
  <c r="O114" i="8"/>
  <c r="M114" i="8"/>
  <c r="N114" i="8"/>
  <c r="B115" i="8"/>
  <c r="O114" i="5"/>
  <c r="N114" i="5"/>
  <c r="M114" i="5"/>
  <c r="B115" i="5"/>
  <c r="N116" i="10"/>
  <c r="M116" i="10"/>
  <c r="O116" i="10"/>
  <c r="B117" i="10"/>
  <c r="M115" i="9" l="1"/>
  <c r="N115" i="9"/>
  <c r="O115" i="9"/>
  <c r="B116" i="9"/>
  <c r="B116" i="4"/>
  <c r="O115" i="4"/>
  <c r="N115" i="4"/>
  <c r="M115" i="4"/>
  <c r="O115" i="6"/>
  <c r="N115" i="6"/>
  <c r="M115" i="6"/>
  <c r="B116" i="6"/>
  <c r="O115" i="5"/>
  <c r="N115" i="5"/>
  <c r="M115" i="5"/>
  <c r="B116" i="5"/>
  <c r="M115" i="7"/>
  <c r="N115" i="7"/>
  <c r="O115" i="7"/>
  <c r="B116" i="7"/>
  <c r="O115" i="8"/>
  <c r="N115" i="8"/>
  <c r="M115" i="8"/>
  <c r="B116" i="8"/>
  <c r="O117" i="10"/>
  <c r="N117" i="10"/>
  <c r="M117" i="10"/>
  <c r="B118" i="10"/>
  <c r="O116" i="8" l="1"/>
  <c r="N116" i="8"/>
  <c r="M116" i="8"/>
  <c r="B117" i="8"/>
  <c r="N116" i="4"/>
  <c r="O116" i="4"/>
  <c r="M116" i="4"/>
  <c r="B117" i="4"/>
  <c r="O116" i="6"/>
  <c r="N116" i="6"/>
  <c r="M116" i="6"/>
  <c r="B117" i="6"/>
  <c r="N116" i="9"/>
  <c r="M116" i="9"/>
  <c r="O116" i="9"/>
  <c r="B117" i="9"/>
  <c r="N116" i="5"/>
  <c r="B117" i="5"/>
  <c r="M116" i="5"/>
  <c r="O116" i="5"/>
  <c r="O116" i="7"/>
  <c r="N116" i="7"/>
  <c r="M116" i="7"/>
  <c r="B117" i="7"/>
  <c r="N118" i="10"/>
  <c r="O118" i="10"/>
  <c r="M118" i="10"/>
  <c r="B119" i="10"/>
  <c r="M117" i="9" l="1"/>
  <c r="O117" i="9"/>
  <c r="N117" i="9"/>
  <c r="B118" i="9"/>
  <c r="O117" i="6"/>
  <c r="N117" i="6"/>
  <c r="M117" i="6"/>
  <c r="B118" i="6"/>
  <c r="O117" i="8"/>
  <c r="N117" i="8"/>
  <c r="M117" i="8"/>
  <c r="B118" i="8"/>
  <c r="O117" i="7"/>
  <c r="N117" i="7"/>
  <c r="B118" i="7"/>
  <c r="M117" i="7"/>
  <c r="M117" i="5"/>
  <c r="O117" i="5"/>
  <c r="N117" i="5"/>
  <c r="B118" i="5"/>
  <c r="B118" i="4"/>
  <c r="O117" i="4"/>
  <c r="M117" i="4"/>
  <c r="N117" i="4"/>
  <c r="M119" i="10"/>
  <c r="O119" i="10"/>
  <c r="N119" i="10"/>
  <c r="B120" i="10"/>
  <c r="N118" i="6" l="1"/>
  <c r="M118" i="6"/>
  <c r="O118" i="6"/>
  <c r="B119" i="6"/>
  <c r="O118" i="5"/>
  <c r="B119" i="5"/>
  <c r="N118" i="5"/>
  <c r="M118" i="5"/>
  <c r="N118" i="8"/>
  <c r="O118" i="8"/>
  <c r="M118" i="8"/>
  <c r="B119" i="8"/>
  <c r="M118" i="9"/>
  <c r="O118" i="9"/>
  <c r="B119" i="9"/>
  <c r="N118" i="9"/>
  <c r="O118" i="7"/>
  <c r="N118" i="7"/>
  <c r="B119" i="7"/>
  <c r="M118" i="7"/>
  <c r="B119" i="4"/>
  <c r="N118" i="4"/>
  <c r="O118" i="4"/>
  <c r="M118" i="4"/>
  <c r="O120" i="10"/>
  <c r="N120" i="10"/>
  <c r="M120" i="10"/>
  <c r="B121" i="10"/>
  <c r="M119" i="9" l="1"/>
  <c r="B120" i="9"/>
  <c r="O119" i="9"/>
  <c r="N119" i="9"/>
  <c r="M119" i="5"/>
  <c r="O119" i="5"/>
  <c r="N119" i="5"/>
  <c r="B120" i="5"/>
  <c r="N119" i="6"/>
  <c r="B120" i="6"/>
  <c r="M119" i="6"/>
  <c r="O119" i="6"/>
  <c r="N119" i="4"/>
  <c r="O119" i="4"/>
  <c r="M119" i="4"/>
  <c r="B120" i="4"/>
  <c r="O119" i="8"/>
  <c r="M119" i="8"/>
  <c r="B120" i="8"/>
  <c r="N119" i="8"/>
  <c r="B120" i="7"/>
  <c r="M119" i="7"/>
  <c r="N119" i="7"/>
  <c r="O119" i="7"/>
  <c r="O121" i="10"/>
  <c r="N121" i="10"/>
  <c r="M121" i="10"/>
  <c r="B122" i="10"/>
  <c r="B121" i="4" l="1"/>
  <c r="M120" i="4"/>
  <c r="O120" i="4"/>
  <c r="N120" i="4"/>
  <c r="O120" i="5"/>
  <c r="N120" i="5"/>
  <c r="B121" i="5"/>
  <c r="M120" i="5"/>
  <c r="O120" i="7"/>
  <c r="M120" i="7"/>
  <c r="N120" i="7"/>
  <c r="B121" i="7"/>
  <c r="N120" i="8"/>
  <c r="M120" i="8"/>
  <c r="O120" i="8"/>
  <c r="B121" i="8"/>
  <c r="O120" i="6"/>
  <c r="N120" i="6"/>
  <c r="B121" i="6"/>
  <c r="M120" i="6"/>
  <c r="M120" i="9"/>
  <c r="N120" i="9"/>
  <c r="O120" i="9"/>
  <c r="B121" i="9"/>
  <c r="O122" i="10"/>
  <c r="N122" i="10"/>
  <c r="M122" i="10"/>
  <c r="B123" i="10"/>
  <c r="N121" i="9" l="1"/>
  <c r="B122" i="9"/>
  <c r="M121" i="9"/>
  <c r="O121" i="9"/>
  <c r="N121" i="8"/>
  <c r="M121" i="8"/>
  <c r="O121" i="8"/>
  <c r="B122" i="8"/>
  <c r="O121" i="7"/>
  <c r="N121" i="7"/>
  <c r="M121" i="7"/>
  <c r="B122" i="7"/>
  <c r="M121" i="6"/>
  <c r="N121" i="6"/>
  <c r="B122" i="6"/>
  <c r="O121" i="6"/>
  <c r="O121" i="5"/>
  <c r="N121" i="5"/>
  <c r="M121" i="5"/>
  <c r="B122" i="5"/>
  <c r="O121" i="4"/>
  <c r="N121" i="4"/>
  <c r="M121" i="4"/>
  <c r="B122" i="4"/>
  <c r="O123" i="10"/>
  <c r="N123" i="10"/>
  <c r="M123" i="10"/>
  <c r="B124" i="10"/>
  <c r="O122" i="4" l="1"/>
  <c r="N122" i="4"/>
  <c r="M122" i="4"/>
  <c r="B123" i="4"/>
  <c r="O122" i="8"/>
  <c r="M122" i="8"/>
  <c r="N122" i="8"/>
  <c r="B123" i="8"/>
  <c r="N122" i="6"/>
  <c r="M122" i="6"/>
  <c r="O122" i="6"/>
  <c r="B123" i="6"/>
  <c r="M122" i="5"/>
  <c r="O122" i="5"/>
  <c r="N122" i="5"/>
  <c r="B123" i="5"/>
  <c r="O122" i="7"/>
  <c r="N122" i="7"/>
  <c r="B123" i="7"/>
  <c r="M122" i="7"/>
  <c r="M122" i="9"/>
  <c r="O122" i="9"/>
  <c r="B123" i="9"/>
  <c r="N122" i="9"/>
  <c r="O124" i="10"/>
  <c r="N124" i="10"/>
  <c r="M124" i="10"/>
  <c r="B125" i="10"/>
  <c r="N123" i="5" l="1"/>
  <c r="M123" i="5"/>
  <c r="O123" i="5"/>
  <c r="B124" i="5"/>
  <c r="O123" i="8"/>
  <c r="N123" i="8"/>
  <c r="M123" i="8"/>
  <c r="B124" i="8"/>
  <c r="N123" i="9"/>
  <c r="O123" i="9"/>
  <c r="M123" i="9"/>
  <c r="B124" i="9"/>
  <c r="M123" i="6"/>
  <c r="N123" i="6"/>
  <c r="O123" i="6"/>
  <c r="B124" i="6"/>
  <c r="O123" i="4"/>
  <c r="M123" i="4"/>
  <c r="N123" i="4"/>
  <c r="B124" i="4"/>
  <c r="O123" i="7"/>
  <c r="N123" i="7"/>
  <c r="M123" i="7"/>
  <c r="B124" i="7"/>
  <c r="O125" i="10"/>
  <c r="N125" i="10"/>
  <c r="M125" i="10"/>
  <c r="B126" i="10"/>
  <c r="N124" i="8" l="1"/>
  <c r="M124" i="8"/>
  <c r="O124" i="8"/>
  <c r="B125" i="8"/>
  <c r="M124" i="6"/>
  <c r="N124" i="6"/>
  <c r="O124" i="6"/>
  <c r="B125" i="6"/>
  <c r="N124" i="9"/>
  <c r="M124" i="9"/>
  <c r="O124" i="9"/>
  <c r="B125" i="9"/>
  <c r="O124" i="5"/>
  <c r="N124" i="5"/>
  <c r="M124" i="5"/>
  <c r="B125" i="5"/>
  <c r="M124" i="7"/>
  <c r="O124" i="7"/>
  <c r="N124" i="7"/>
  <c r="B125" i="7"/>
  <c r="N124" i="4"/>
  <c r="M124" i="4"/>
  <c r="O124" i="4"/>
  <c r="B125" i="4"/>
  <c r="N126" i="10"/>
  <c r="O126" i="10"/>
  <c r="M126" i="10"/>
  <c r="B127" i="10"/>
  <c r="M125" i="5" l="1"/>
  <c r="O125" i="5"/>
  <c r="N125" i="5"/>
  <c r="B126" i="5"/>
  <c r="O125" i="7"/>
  <c r="M125" i="7"/>
  <c r="N125" i="7"/>
  <c r="B126" i="7"/>
  <c r="N125" i="9"/>
  <c r="M125" i="9"/>
  <c r="O125" i="9"/>
  <c r="B126" i="9"/>
  <c r="O125" i="8"/>
  <c r="N125" i="8"/>
  <c r="M125" i="8"/>
  <c r="B126" i="8"/>
  <c r="O125" i="4"/>
  <c r="N125" i="4"/>
  <c r="M125" i="4"/>
  <c r="B126" i="4"/>
  <c r="O125" i="6"/>
  <c r="N125" i="6"/>
  <c r="M125" i="6"/>
  <c r="B126" i="6"/>
  <c r="M127" i="10"/>
  <c r="O127" i="10"/>
  <c r="N127" i="10"/>
  <c r="B128" i="10"/>
  <c r="O126" i="7" l="1"/>
  <c r="N126" i="7"/>
  <c r="M126" i="7"/>
  <c r="B127" i="7"/>
  <c r="O126" i="6"/>
  <c r="M126" i="6"/>
  <c r="N126" i="6"/>
  <c r="B127" i="6"/>
  <c r="O126" i="4"/>
  <c r="N126" i="4"/>
  <c r="M126" i="4"/>
  <c r="B127" i="4"/>
  <c r="M126" i="9"/>
  <c r="O126" i="9"/>
  <c r="N126" i="9"/>
  <c r="B127" i="9"/>
  <c r="O126" i="5"/>
  <c r="B127" i="5"/>
  <c r="N126" i="5"/>
  <c r="M126" i="5"/>
  <c r="N126" i="8"/>
  <c r="O126" i="8"/>
  <c r="M126" i="8"/>
  <c r="B127" i="8"/>
  <c r="O128" i="10"/>
  <c r="M128" i="10"/>
  <c r="N128" i="10"/>
  <c r="B129" i="10"/>
  <c r="N127" i="9" l="1"/>
  <c r="O127" i="9"/>
  <c r="M127" i="9"/>
  <c r="B128" i="9"/>
  <c r="O127" i="8"/>
  <c r="M127" i="8"/>
  <c r="N127" i="8"/>
  <c r="B128" i="8"/>
  <c r="O127" i="6"/>
  <c r="M127" i="6"/>
  <c r="B128" i="6"/>
  <c r="N127" i="6"/>
  <c r="B128" i="4"/>
  <c r="N127" i="4"/>
  <c r="O127" i="4"/>
  <c r="M127" i="4"/>
  <c r="N127" i="7"/>
  <c r="M127" i="7"/>
  <c r="O127" i="7"/>
  <c r="B128" i="7"/>
  <c r="O127" i="5"/>
  <c r="N127" i="5"/>
  <c r="M127" i="5"/>
  <c r="B128" i="5"/>
  <c r="O129" i="10"/>
  <c r="N129" i="10"/>
  <c r="M129" i="10"/>
  <c r="B130" i="10"/>
  <c r="B129" i="5" l="1"/>
  <c r="O128" i="5"/>
  <c r="N128" i="5"/>
  <c r="M128" i="5"/>
  <c r="N128" i="8"/>
  <c r="M128" i="8"/>
  <c r="B129" i="8"/>
  <c r="O128" i="8"/>
  <c r="B129" i="4"/>
  <c r="O128" i="4"/>
  <c r="M128" i="4"/>
  <c r="N128" i="4"/>
  <c r="M128" i="9"/>
  <c r="O128" i="9"/>
  <c r="B129" i="9"/>
  <c r="N128" i="9"/>
  <c r="O128" i="6"/>
  <c r="B129" i="6"/>
  <c r="N128" i="6"/>
  <c r="M128" i="6"/>
  <c r="O128" i="7"/>
  <c r="M128" i="7"/>
  <c r="N128" i="7"/>
  <c r="B129" i="7"/>
  <c r="O130" i="10"/>
  <c r="N130" i="10"/>
  <c r="M130" i="10"/>
  <c r="B131" i="10"/>
  <c r="O129" i="9" l="1"/>
  <c r="N129" i="9"/>
  <c r="B130" i="9"/>
  <c r="M129" i="9"/>
  <c r="M129" i="8"/>
  <c r="B130" i="8"/>
  <c r="O129" i="8"/>
  <c r="N129" i="8"/>
  <c r="O129" i="7"/>
  <c r="N129" i="7"/>
  <c r="M129" i="7"/>
  <c r="B130" i="7"/>
  <c r="M129" i="6"/>
  <c r="N129" i="6"/>
  <c r="O129" i="6"/>
  <c r="B130" i="6"/>
  <c r="O129" i="4"/>
  <c r="M129" i="4"/>
  <c r="N129" i="4"/>
  <c r="B130" i="4"/>
  <c r="O129" i="5"/>
  <c r="N129" i="5"/>
  <c r="M129" i="5"/>
  <c r="B130" i="5"/>
  <c r="O131" i="10"/>
  <c r="N131" i="10"/>
  <c r="M131" i="10"/>
  <c r="B132" i="10"/>
  <c r="O130" i="5" l="1"/>
  <c r="N130" i="5"/>
  <c r="M130" i="5"/>
  <c r="B131" i="5"/>
  <c r="N130" i="6"/>
  <c r="M130" i="6"/>
  <c r="O130" i="6"/>
  <c r="B131" i="6"/>
  <c r="O130" i="8"/>
  <c r="N130" i="8"/>
  <c r="M130" i="8"/>
  <c r="B131" i="8"/>
  <c r="B131" i="4"/>
  <c r="O130" i="4"/>
  <c r="M130" i="4"/>
  <c r="N130" i="4"/>
  <c r="O130" i="7"/>
  <c r="N130" i="7"/>
  <c r="M130" i="7"/>
  <c r="B131" i="7"/>
  <c r="B131" i="9"/>
  <c r="O130" i="9"/>
  <c r="N130" i="9"/>
  <c r="M130" i="9"/>
  <c r="O132" i="10"/>
  <c r="M132" i="10"/>
  <c r="N132" i="10"/>
  <c r="B133" i="10"/>
  <c r="O131" i="4" l="1"/>
  <c r="B132" i="4"/>
  <c r="N131" i="4"/>
  <c r="M131" i="4"/>
  <c r="M131" i="9"/>
  <c r="N131" i="9"/>
  <c r="O131" i="9"/>
  <c r="B132" i="9"/>
  <c r="N131" i="7"/>
  <c r="O131" i="7"/>
  <c r="M131" i="7"/>
  <c r="B132" i="7"/>
  <c r="O131" i="8"/>
  <c r="N131" i="8"/>
  <c r="B132" i="8"/>
  <c r="M131" i="8"/>
  <c r="O131" i="5"/>
  <c r="M131" i="5"/>
  <c r="N131" i="5"/>
  <c r="B132" i="5"/>
  <c r="O131" i="6"/>
  <c r="M131" i="6"/>
  <c r="N131" i="6"/>
  <c r="B132" i="6"/>
  <c r="O133" i="10"/>
  <c r="N133" i="10"/>
  <c r="M133" i="10"/>
  <c r="B134" i="10"/>
  <c r="O132" i="6" l="1"/>
  <c r="N132" i="6"/>
  <c r="M132" i="6"/>
  <c r="B133" i="6"/>
  <c r="O132" i="9"/>
  <c r="B133" i="9"/>
  <c r="N132" i="9"/>
  <c r="M132" i="9"/>
  <c r="N132" i="8"/>
  <c r="B133" i="8"/>
  <c r="M132" i="8"/>
  <c r="O132" i="8"/>
  <c r="O132" i="7"/>
  <c r="N132" i="7"/>
  <c r="M132" i="7"/>
  <c r="B133" i="7"/>
  <c r="N132" i="5"/>
  <c r="M132" i="5"/>
  <c r="O132" i="5"/>
  <c r="B133" i="5"/>
  <c r="N132" i="4"/>
  <c r="O132" i="4"/>
  <c r="M132" i="4"/>
  <c r="B133" i="4"/>
  <c r="N134" i="10"/>
  <c r="O134" i="10"/>
  <c r="M134" i="10"/>
  <c r="B135" i="10"/>
  <c r="O133" i="4" l="1"/>
  <c r="M133" i="4"/>
  <c r="N133" i="4"/>
  <c r="B134" i="4"/>
  <c r="O133" i="7"/>
  <c r="N133" i="7"/>
  <c r="M133" i="7"/>
  <c r="B134" i="7"/>
  <c r="O133" i="9"/>
  <c r="M133" i="9"/>
  <c r="N133" i="9"/>
  <c r="B134" i="9"/>
  <c r="N133" i="5"/>
  <c r="M133" i="5"/>
  <c r="O133" i="5"/>
  <c r="B134" i="5"/>
  <c r="O133" i="6"/>
  <c r="N133" i="6"/>
  <c r="M133" i="6"/>
  <c r="B134" i="6"/>
  <c r="N133" i="8"/>
  <c r="B134" i="8"/>
  <c r="O133" i="8"/>
  <c r="M133" i="8"/>
  <c r="M135" i="10"/>
  <c r="O135" i="10"/>
  <c r="N135" i="10"/>
  <c r="B136" i="10"/>
  <c r="O134" i="5" l="1"/>
  <c r="N134" i="5"/>
  <c r="M134" i="5"/>
  <c r="B135" i="5"/>
  <c r="O134" i="7"/>
  <c r="N134" i="7"/>
  <c r="M134" i="7"/>
  <c r="B135" i="7"/>
  <c r="B135" i="9"/>
  <c r="O134" i="9"/>
  <c r="N134" i="9"/>
  <c r="M134" i="9"/>
  <c r="O134" i="4"/>
  <c r="N134" i="4"/>
  <c r="M134" i="4"/>
  <c r="B135" i="4"/>
  <c r="N134" i="8"/>
  <c r="O134" i="8"/>
  <c r="M134" i="8"/>
  <c r="B135" i="8"/>
  <c r="O134" i="6"/>
  <c r="B135" i="6"/>
  <c r="N134" i="6"/>
  <c r="M134" i="6"/>
  <c r="M136" i="10"/>
  <c r="N136" i="10"/>
  <c r="O136" i="10"/>
  <c r="B137" i="10"/>
  <c r="N135" i="4" l="1"/>
  <c r="M135" i="4"/>
  <c r="O135" i="4"/>
  <c r="B136" i="4"/>
  <c r="O135" i="6"/>
  <c r="M135" i="6"/>
  <c r="N135" i="6"/>
  <c r="B136" i="6"/>
  <c r="O135" i="8"/>
  <c r="M135" i="8"/>
  <c r="N135" i="8"/>
  <c r="B136" i="8"/>
  <c r="N135" i="5"/>
  <c r="O135" i="5"/>
  <c r="M135" i="5"/>
  <c r="B136" i="5"/>
  <c r="N135" i="7"/>
  <c r="M135" i="7"/>
  <c r="O135" i="7"/>
  <c r="B136" i="7"/>
  <c r="N135" i="9"/>
  <c r="O135" i="9"/>
  <c r="M135" i="9"/>
  <c r="B136" i="9"/>
  <c r="M137" i="10"/>
  <c r="N137" i="10"/>
  <c r="O137" i="10"/>
  <c r="B138" i="10"/>
  <c r="M136" i="9" l="1"/>
  <c r="O136" i="9"/>
  <c r="N136" i="9"/>
  <c r="B137" i="9"/>
  <c r="O136" i="5"/>
  <c r="N136" i="5"/>
  <c r="M136" i="5"/>
  <c r="B137" i="5"/>
  <c r="N136" i="6"/>
  <c r="O136" i="6"/>
  <c r="M136" i="6"/>
  <c r="B137" i="6"/>
  <c r="O136" i="7"/>
  <c r="M136" i="7"/>
  <c r="N136" i="7"/>
  <c r="B137" i="7"/>
  <c r="B137" i="8"/>
  <c r="N136" i="8"/>
  <c r="O136" i="8"/>
  <c r="M136" i="8"/>
  <c r="B137" i="4"/>
  <c r="M136" i="4"/>
  <c r="O136" i="4"/>
  <c r="N136" i="4"/>
  <c r="O138" i="10"/>
  <c r="M138" i="10"/>
  <c r="N138" i="10"/>
  <c r="B139" i="10"/>
  <c r="O137" i="7" l="1"/>
  <c r="N137" i="7"/>
  <c r="M137" i="7"/>
  <c r="B138" i="7"/>
  <c r="O137" i="5"/>
  <c r="N137" i="5"/>
  <c r="B138" i="5"/>
  <c r="M137" i="5"/>
  <c r="O137" i="4"/>
  <c r="N137" i="4"/>
  <c r="M137" i="4"/>
  <c r="B138" i="4"/>
  <c r="M137" i="6"/>
  <c r="N137" i="6"/>
  <c r="O137" i="6"/>
  <c r="B138" i="6"/>
  <c r="O137" i="9"/>
  <c r="N137" i="9"/>
  <c r="M137" i="9"/>
  <c r="B138" i="9"/>
  <c r="M137" i="8"/>
  <c r="N137" i="8"/>
  <c r="O137" i="8"/>
  <c r="B138" i="8"/>
  <c r="M139" i="10"/>
  <c r="O139" i="10"/>
  <c r="N139" i="10"/>
  <c r="B140" i="10"/>
  <c r="O138" i="8" l="1"/>
  <c r="M138" i="8"/>
  <c r="N138" i="8"/>
  <c r="B139" i="8"/>
  <c r="N138" i="6"/>
  <c r="O138" i="6"/>
  <c r="M138" i="6"/>
  <c r="B139" i="6"/>
  <c r="M138" i="9"/>
  <c r="O138" i="9"/>
  <c r="N138" i="9"/>
  <c r="B139" i="9"/>
  <c r="O138" i="4"/>
  <c r="N138" i="4"/>
  <c r="M138" i="4"/>
  <c r="B139" i="4"/>
  <c r="O138" i="7"/>
  <c r="N138" i="7"/>
  <c r="B139" i="7"/>
  <c r="M138" i="7"/>
  <c r="O138" i="5"/>
  <c r="M138" i="5"/>
  <c r="N138" i="5"/>
  <c r="B139" i="5"/>
  <c r="M140" i="10"/>
  <c r="N140" i="10"/>
  <c r="O140" i="10"/>
  <c r="B141" i="10"/>
  <c r="O139" i="5" l="1"/>
  <c r="M139" i="5"/>
  <c r="N139" i="5"/>
  <c r="B140" i="5"/>
  <c r="N139" i="4"/>
  <c r="O139" i="4"/>
  <c r="M139" i="4"/>
  <c r="B140" i="4"/>
  <c r="N139" i="9"/>
  <c r="B140" i="9"/>
  <c r="O139" i="9"/>
  <c r="M139" i="9"/>
  <c r="O139" i="8"/>
  <c r="N139" i="8"/>
  <c r="M139" i="8"/>
  <c r="B140" i="8"/>
  <c r="O139" i="6"/>
  <c r="M139" i="6"/>
  <c r="N139" i="6"/>
  <c r="B140" i="6"/>
  <c r="N139" i="7"/>
  <c r="O139" i="7"/>
  <c r="M139" i="7"/>
  <c r="B140" i="7"/>
  <c r="O141" i="10"/>
  <c r="N141" i="10"/>
  <c r="M141" i="10"/>
  <c r="B142" i="10"/>
  <c r="M140" i="7" l="1"/>
  <c r="O140" i="7"/>
  <c r="N140" i="7"/>
  <c r="B141" i="7"/>
  <c r="O140" i="8"/>
  <c r="N140" i="8"/>
  <c r="M140" i="8"/>
  <c r="B141" i="8"/>
  <c r="N140" i="4"/>
  <c r="M140" i="4"/>
  <c r="O140" i="4"/>
  <c r="B141" i="4"/>
  <c r="O140" i="6"/>
  <c r="N140" i="6"/>
  <c r="M140" i="6"/>
  <c r="B141" i="6"/>
  <c r="M140" i="5"/>
  <c r="N140" i="5"/>
  <c r="B141" i="5"/>
  <c r="O140" i="5"/>
  <c r="M140" i="9"/>
  <c r="O140" i="9"/>
  <c r="N140" i="9"/>
  <c r="B141" i="9"/>
  <c r="N142" i="10"/>
  <c r="O142" i="10"/>
  <c r="M142" i="10"/>
  <c r="B143" i="10"/>
  <c r="M141" i="9" l="1"/>
  <c r="N141" i="9"/>
  <c r="O141" i="9"/>
  <c r="B142" i="9"/>
  <c r="M141" i="6"/>
  <c r="O141" i="6"/>
  <c r="N141" i="6"/>
  <c r="B142" i="6"/>
  <c r="M141" i="7"/>
  <c r="B142" i="7"/>
  <c r="O141" i="7"/>
  <c r="N141" i="7"/>
  <c r="O141" i="8"/>
  <c r="B142" i="8"/>
  <c r="M141" i="8"/>
  <c r="N141" i="8"/>
  <c r="O141" i="4"/>
  <c r="M141" i="4"/>
  <c r="N141" i="4"/>
  <c r="B142" i="4"/>
  <c r="M141" i="5"/>
  <c r="O141" i="5"/>
  <c r="N141" i="5"/>
  <c r="B142" i="5"/>
  <c r="O143" i="10"/>
  <c r="M143" i="10"/>
  <c r="N143" i="10"/>
  <c r="B144" i="10"/>
  <c r="O142" i="5" l="1"/>
  <c r="N142" i="5"/>
  <c r="B143" i="5"/>
  <c r="M142" i="5"/>
  <c r="M142" i="6"/>
  <c r="O142" i="6"/>
  <c r="N142" i="6"/>
  <c r="B143" i="6"/>
  <c r="N142" i="8"/>
  <c r="B143" i="8"/>
  <c r="O142" i="8"/>
  <c r="M142" i="8"/>
  <c r="O142" i="4"/>
  <c r="N142" i="4"/>
  <c r="M142" i="4"/>
  <c r="B143" i="4"/>
  <c r="O142" i="9"/>
  <c r="M142" i="9"/>
  <c r="N142" i="9"/>
  <c r="B143" i="9"/>
  <c r="O142" i="7"/>
  <c r="N142" i="7"/>
  <c r="M142" i="7"/>
  <c r="B143" i="7"/>
  <c r="N144" i="10"/>
  <c r="O144" i="10"/>
  <c r="M144" i="10"/>
  <c r="B145" i="10"/>
  <c r="N143" i="7" l="1"/>
  <c r="M143" i="7"/>
  <c r="B144" i="7"/>
  <c r="O143" i="7"/>
  <c r="M143" i="4"/>
  <c r="N143" i="4"/>
  <c r="B144" i="4"/>
  <c r="O143" i="4"/>
  <c r="N143" i="9"/>
  <c r="O143" i="9"/>
  <c r="M143" i="9"/>
  <c r="B144" i="9"/>
  <c r="M143" i="5"/>
  <c r="O143" i="5"/>
  <c r="N143" i="5"/>
  <c r="B144" i="5"/>
  <c r="O143" i="6"/>
  <c r="N143" i="6"/>
  <c r="B144" i="6"/>
  <c r="M143" i="6"/>
  <c r="O143" i="8"/>
  <c r="M143" i="8"/>
  <c r="B144" i="8"/>
  <c r="N143" i="8"/>
  <c r="M145" i="10"/>
  <c r="O145" i="10"/>
  <c r="N145" i="10"/>
  <c r="B146" i="10"/>
  <c r="M144" i="8" l="1"/>
  <c r="O144" i="8"/>
  <c r="N144" i="8"/>
  <c r="B145" i="8"/>
  <c r="M144" i="4"/>
  <c r="N144" i="4"/>
  <c r="O144" i="4"/>
  <c r="B145" i="4"/>
  <c r="O144" i="5"/>
  <c r="N144" i="5"/>
  <c r="M144" i="5"/>
  <c r="B145" i="5"/>
  <c r="B145" i="9"/>
  <c r="M144" i="9"/>
  <c r="O144" i="9"/>
  <c r="N144" i="9"/>
  <c r="B145" i="6"/>
  <c r="N144" i="6"/>
  <c r="M144" i="6"/>
  <c r="O144" i="6"/>
  <c r="O144" i="7"/>
  <c r="B145" i="7"/>
  <c r="M144" i="7"/>
  <c r="N144" i="7"/>
  <c r="M146" i="10"/>
  <c r="O146" i="10"/>
  <c r="N146" i="10"/>
  <c r="B147" i="10"/>
  <c r="O145" i="4" l="1"/>
  <c r="N145" i="4"/>
  <c r="M145" i="4"/>
  <c r="B146" i="4"/>
  <c r="B146" i="7"/>
  <c r="O145" i="7"/>
  <c r="N145" i="7"/>
  <c r="M145" i="7"/>
  <c r="O145" i="9"/>
  <c r="M145" i="9"/>
  <c r="N145" i="9"/>
  <c r="B146" i="9"/>
  <c r="M145" i="5"/>
  <c r="B146" i="5"/>
  <c r="O145" i="5"/>
  <c r="N145" i="5"/>
  <c r="M145" i="8"/>
  <c r="N145" i="8"/>
  <c r="B146" i="8"/>
  <c r="O145" i="8"/>
  <c r="M145" i="6"/>
  <c r="O145" i="6"/>
  <c r="N145" i="6"/>
  <c r="B146" i="6"/>
  <c r="N147" i="10"/>
  <c r="M147" i="10"/>
  <c r="O147" i="10"/>
  <c r="B148" i="10"/>
  <c r="O146" i="5" l="1"/>
  <c r="M146" i="5"/>
  <c r="N146" i="5"/>
  <c r="B147" i="5"/>
  <c r="O146" i="7"/>
  <c r="N146" i="7"/>
  <c r="M146" i="7"/>
  <c r="B147" i="7"/>
  <c r="O146" i="9"/>
  <c r="N146" i="9"/>
  <c r="M146" i="9"/>
  <c r="B147" i="9"/>
  <c r="O146" i="4"/>
  <c r="B147" i="4"/>
  <c r="N146" i="4"/>
  <c r="M146" i="4"/>
  <c r="O146" i="8"/>
  <c r="N146" i="8"/>
  <c r="M146" i="8"/>
  <c r="B147" i="8"/>
  <c r="O146" i="6"/>
  <c r="N146" i="6"/>
  <c r="M146" i="6"/>
  <c r="B147" i="6"/>
  <c r="O148" i="10"/>
  <c r="N148" i="10"/>
  <c r="M148" i="10"/>
  <c r="B149" i="10"/>
  <c r="O147" i="4" l="1"/>
  <c r="N147" i="4"/>
  <c r="M147" i="4"/>
  <c r="B148" i="4"/>
  <c r="O147" i="8"/>
  <c r="B148" i="8"/>
  <c r="N147" i="8"/>
  <c r="M147" i="8"/>
  <c r="M147" i="9"/>
  <c r="N147" i="9"/>
  <c r="O147" i="9"/>
  <c r="B148" i="9"/>
  <c r="O147" i="5"/>
  <c r="M147" i="5"/>
  <c r="N147" i="5"/>
  <c r="B148" i="5"/>
  <c r="O147" i="6"/>
  <c r="N147" i="6"/>
  <c r="M147" i="6"/>
  <c r="B148" i="6"/>
  <c r="N147" i="7"/>
  <c r="M147" i="7"/>
  <c r="O147" i="7"/>
  <c r="B148" i="7"/>
  <c r="O149" i="10"/>
  <c r="N149" i="10"/>
  <c r="M149" i="10"/>
  <c r="B150" i="10"/>
  <c r="M148" i="5" l="1"/>
  <c r="N148" i="5"/>
  <c r="O148" i="5"/>
  <c r="B149" i="5"/>
  <c r="N148" i="8"/>
  <c r="M148" i="8"/>
  <c r="O148" i="8"/>
  <c r="B149" i="8"/>
  <c r="N148" i="6"/>
  <c r="O148" i="6"/>
  <c r="B149" i="6"/>
  <c r="M148" i="6"/>
  <c r="M148" i="9"/>
  <c r="O148" i="9"/>
  <c r="B149" i="9"/>
  <c r="N148" i="9"/>
  <c r="N148" i="4"/>
  <c r="M148" i="4"/>
  <c r="O148" i="4"/>
  <c r="B149" i="4"/>
  <c r="M148" i="7"/>
  <c r="O148" i="7"/>
  <c r="N148" i="7"/>
  <c r="B149" i="7"/>
  <c r="N150" i="10"/>
  <c r="M150" i="10"/>
  <c r="O150" i="10"/>
  <c r="B151" i="10"/>
  <c r="O149" i="7" l="1"/>
  <c r="N149" i="7"/>
  <c r="M149" i="7"/>
  <c r="B150" i="7"/>
  <c r="O149" i="8"/>
  <c r="M149" i="8"/>
  <c r="N149" i="8"/>
  <c r="B150" i="8"/>
  <c r="O149" i="9"/>
  <c r="N149" i="9"/>
  <c r="M149" i="9"/>
  <c r="B150" i="9"/>
  <c r="O149" i="4"/>
  <c r="M149" i="4"/>
  <c r="B150" i="4"/>
  <c r="N149" i="4"/>
  <c r="M149" i="5"/>
  <c r="O149" i="5"/>
  <c r="N149" i="5"/>
  <c r="B150" i="5"/>
  <c r="O149" i="6"/>
  <c r="N149" i="6"/>
  <c r="B150" i="6"/>
  <c r="M149" i="6"/>
  <c r="O151" i="10"/>
  <c r="M151" i="10"/>
  <c r="N151" i="10"/>
  <c r="B152" i="10"/>
  <c r="O150" i="6" l="1"/>
  <c r="N150" i="6"/>
  <c r="M150" i="6"/>
  <c r="B151" i="6"/>
  <c r="O150" i="4"/>
  <c r="N150" i="4"/>
  <c r="M150" i="4"/>
  <c r="B151" i="4"/>
  <c r="B151" i="8"/>
  <c r="N150" i="8"/>
  <c r="O150" i="8"/>
  <c r="M150" i="8"/>
  <c r="O150" i="5"/>
  <c r="N150" i="5"/>
  <c r="M150" i="5"/>
  <c r="B151" i="5"/>
  <c r="O150" i="9"/>
  <c r="N150" i="9"/>
  <c r="M150" i="9"/>
  <c r="B151" i="9"/>
  <c r="N150" i="7"/>
  <c r="M150" i="7"/>
  <c r="O150" i="7"/>
  <c r="B151" i="7"/>
  <c r="N152" i="10"/>
  <c r="O152" i="10"/>
  <c r="M152" i="10"/>
  <c r="B153" i="10"/>
  <c r="O151" i="5" l="1"/>
  <c r="B152" i="5"/>
  <c r="M151" i="5"/>
  <c r="N151" i="5"/>
  <c r="M151" i="7"/>
  <c r="B152" i="7"/>
  <c r="N151" i="7"/>
  <c r="O151" i="7"/>
  <c r="O151" i="6"/>
  <c r="N151" i="6"/>
  <c r="M151" i="6"/>
  <c r="B152" i="6"/>
  <c r="B152" i="9"/>
  <c r="N151" i="9"/>
  <c r="O151" i="9"/>
  <c r="M151" i="9"/>
  <c r="N151" i="4"/>
  <c r="M151" i="4"/>
  <c r="O151" i="4"/>
  <c r="B152" i="4"/>
  <c r="O151" i="8"/>
  <c r="N151" i="8"/>
  <c r="M151" i="8"/>
  <c r="B152" i="8"/>
  <c r="M153" i="10"/>
  <c r="N153" i="10"/>
  <c r="O153" i="10"/>
  <c r="B154" i="10"/>
  <c r="N152" i="8" l="1"/>
  <c r="M152" i="8"/>
  <c r="B153" i="8"/>
  <c r="O152" i="8"/>
  <c r="O152" i="7"/>
  <c r="M152" i="7"/>
  <c r="N152" i="7"/>
  <c r="B153" i="7"/>
  <c r="M152" i="9"/>
  <c r="N152" i="9"/>
  <c r="B153" i="9"/>
  <c r="O152" i="9"/>
  <c r="M152" i="4"/>
  <c r="O152" i="4"/>
  <c r="N152" i="4"/>
  <c r="B153" i="4"/>
  <c r="O152" i="6"/>
  <c r="N152" i="6"/>
  <c r="M152" i="6"/>
  <c r="B153" i="6"/>
  <c r="O152" i="5"/>
  <c r="M152" i="5"/>
  <c r="N152" i="5"/>
  <c r="B153" i="5"/>
  <c r="O154" i="10"/>
  <c r="N154" i="10"/>
  <c r="M154" i="10"/>
  <c r="B155" i="10"/>
  <c r="O153" i="5" l="1"/>
  <c r="M153" i="5"/>
  <c r="N153" i="5"/>
  <c r="B154" i="5"/>
  <c r="O153" i="4"/>
  <c r="M153" i="4"/>
  <c r="N153" i="4"/>
  <c r="B154" i="4"/>
  <c r="O153" i="7"/>
  <c r="N153" i="7"/>
  <c r="M153" i="7"/>
  <c r="B154" i="7"/>
  <c r="N153" i="6"/>
  <c r="M153" i="6"/>
  <c r="O153" i="6"/>
  <c r="B154" i="6"/>
  <c r="O153" i="9"/>
  <c r="N153" i="9"/>
  <c r="M153" i="9"/>
  <c r="B154" i="9"/>
  <c r="N153" i="8"/>
  <c r="M153" i="8"/>
  <c r="B154" i="8"/>
  <c r="O153" i="8"/>
  <c r="O155" i="10"/>
  <c r="M155" i="10"/>
  <c r="N155" i="10"/>
  <c r="B156" i="10"/>
  <c r="O154" i="4" l="1"/>
  <c r="N154" i="4"/>
  <c r="M154" i="4"/>
  <c r="B155" i="4"/>
  <c r="O154" i="8"/>
  <c r="M154" i="8"/>
  <c r="N154" i="8"/>
  <c r="B155" i="8"/>
  <c r="M154" i="6"/>
  <c r="O154" i="6"/>
  <c r="N154" i="6"/>
  <c r="B155" i="6"/>
  <c r="O154" i="9"/>
  <c r="N154" i="9"/>
  <c r="B155" i="9"/>
  <c r="M154" i="9"/>
  <c r="N154" i="7"/>
  <c r="M154" i="7"/>
  <c r="O154" i="7"/>
  <c r="B155" i="7"/>
  <c r="O154" i="5"/>
  <c r="N154" i="5"/>
  <c r="M154" i="5"/>
  <c r="B155" i="5"/>
  <c r="M156" i="10"/>
  <c r="O156" i="10"/>
  <c r="N156" i="10"/>
  <c r="B157" i="10"/>
  <c r="O155" i="5" l="1"/>
  <c r="N155" i="5"/>
  <c r="M155" i="5"/>
  <c r="B156" i="5"/>
  <c r="N155" i="9"/>
  <c r="O155" i="9"/>
  <c r="M155" i="9"/>
  <c r="B156" i="9"/>
  <c r="O155" i="8"/>
  <c r="N155" i="8"/>
  <c r="M155" i="8"/>
  <c r="B156" i="8"/>
  <c r="N155" i="7"/>
  <c r="M155" i="7"/>
  <c r="O155" i="7"/>
  <c r="B156" i="7"/>
  <c r="O155" i="6"/>
  <c r="B156" i="6"/>
  <c r="N155" i="6"/>
  <c r="M155" i="6"/>
  <c r="O155" i="4"/>
  <c r="N155" i="4"/>
  <c r="M155" i="4"/>
  <c r="B156" i="4"/>
  <c r="O157" i="10"/>
  <c r="N157" i="10"/>
  <c r="M157" i="10"/>
  <c r="B158" i="10"/>
  <c r="B157" i="4" l="1"/>
  <c r="N156" i="4"/>
  <c r="M156" i="4"/>
  <c r="O156" i="4"/>
  <c r="M156" i="7"/>
  <c r="O156" i="7"/>
  <c r="N156" i="7"/>
  <c r="B157" i="7"/>
  <c r="O156" i="9"/>
  <c r="B157" i="9"/>
  <c r="M156" i="9"/>
  <c r="N156" i="9"/>
  <c r="N156" i="8"/>
  <c r="M156" i="8"/>
  <c r="O156" i="8"/>
  <c r="B157" i="8"/>
  <c r="N156" i="5"/>
  <c r="O156" i="5"/>
  <c r="M156" i="5"/>
  <c r="B157" i="5"/>
  <c r="O156" i="6"/>
  <c r="N156" i="6"/>
  <c r="M156" i="6"/>
  <c r="B157" i="6"/>
  <c r="N158" i="10"/>
  <c r="O158" i="10"/>
  <c r="M158" i="10"/>
  <c r="B159" i="10"/>
  <c r="B158" i="8" l="1"/>
  <c r="O157" i="8"/>
  <c r="N157" i="8"/>
  <c r="M157" i="8"/>
  <c r="B158" i="7"/>
  <c r="O157" i="7"/>
  <c r="N157" i="7"/>
  <c r="M157" i="7"/>
  <c r="O157" i="9"/>
  <c r="N157" i="9"/>
  <c r="M157" i="9"/>
  <c r="B158" i="9"/>
  <c r="O157" i="6"/>
  <c r="N157" i="6"/>
  <c r="M157" i="6"/>
  <c r="B158" i="6"/>
  <c r="M157" i="5"/>
  <c r="N157" i="5"/>
  <c r="O157" i="5"/>
  <c r="B158" i="5"/>
  <c r="O157" i="4"/>
  <c r="M157" i="4"/>
  <c r="N157" i="4"/>
  <c r="B158" i="4"/>
  <c r="O159" i="10"/>
  <c r="M159" i="10"/>
  <c r="N159" i="10"/>
  <c r="B160" i="10"/>
  <c r="O158" i="4" l="1"/>
  <c r="N158" i="4"/>
  <c r="B159" i="4"/>
  <c r="M158" i="4"/>
  <c r="O158" i="6"/>
  <c r="N158" i="6"/>
  <c r="M158" i="6"/>
  <c r="B159" i="6"/>
  <c r="O158" i="7"/>
  <c r="M158" i="7"/>
  <c r="N158" i="7"/>
  <c r="B159" i="7"/>
  <c r="O158" i="5"/>
  <c r="N158" i="5"/>
  <c r="M158" i="5"/>
  <c r="B159" i="5"/>
  <c r="O158" i="9"/>
  <c r="M158" i="9"/>
  <c r="N158" i="9"/>
  <c r="B159" i="9"/>
  <c r="N158" i="8"/>
  <c r="O158" i="8"/>
  <c r="B159" i="8"/>
  <c r="M158" i="8"/>
  <c r="N160" i="10"/>
  <c r="O160" i="10"/>
  <c r="M160" i="10"/>
  <c r="B161" i="10"/>
  <c r="O159" i="8" l="1"/>
  <c r="M159" i="8"/>
  <c r="N159" i="8"/>
  <c r="B160" i="8"/>
  <c r="O159" i="6"/>
  <c r="N159" i="6"/>
  <c r="M159" i="6"/>
  <c r="B160" i="6"/>
  <c r="N159" i="5"/>
  <c r="O159" i="5"/>
  <c r="M159" i="5"/>
  <c r="B160" i="5"/>
  <c r="N159" i="9"/>
  <c r="O159" i="9"/>
  <c r="M159" i="9"/>
  <c r="B160" i="9"/>
  <c r="N159" i="7"/>
  <c r="M159" i="7"/>
  <c r="O159" i="7"/>
  <c r="B160" i="7"/>
  <c r="N159" i="4"/>
  <c r="M159" i="4"/>
  <c r="O159" i="4"/>
  <c r="B160" i="4"/>
  <c r="M161" i="10"/>
  <c r="O161" i="10"/>
  <c r="N161" i="10"/>
  <c r="B162" i="10"/>
  <c r="M160" i="4" l="1"/>
  <c r="N160" i="4"/>
  <c r="B161" i="4"/>
  <c r="O160" i="4"/>
  <c r="M160" i="9"/>
  <c r="O160" i="9"/>
  <c r="N160" i="9"/>
  <c r="B161" i="9"/>
  <c r="O160" i="6"/>
  <c r="N160" i="6"/>
  <c r="M160" i="6"/>
  <c r="B161" i="6"/>
  <c r="O160" i="7"/>
  <c r="B161" i="7"/>
  <c r="M160" i="7"/>
  <c r="N160" i="7"/>
  <c r="O160" i="5"/>
  <c r="N160" i="5"/>
  <c r="M160" i="5"/>
  <c r="B161" i="5"/>
  <c r="M160" i="8"/>
  <c r="N160" i="8"/>
  <c r="O160" i="8"/>
  <c r="B161" i="8"/>
  <c r="M162" i="10"/>
  <c r="O162" i="10"/>
  <c r="N162" i="10"/>
  <c r="B163" i="10"/>
  <c r="O161" i="7" l="1"/>
  <c r="N161" i="7"/>
  <c r="M161" i="7"/>
  <c r="B162" i="7"/>
  <c r="O161" i="9"/>
  <c r="N161" i="9"/>
  <c r="B162" i="9"/>
  <c r="M161" i="9"/>
  <c r="B162" i="8"/>
  <c r="M161" i="8"/>
  <c r="N161" i="8"/>
  <c r="O161" i="8"/>
  <c r="O161" i="5"/>
  <c r="M161" i="5"/>
  <c r="N161" i="5"/>
  <c r="B162" i="5"/>
  <c r="O161" i="6"/>
  <c r="B162" i="6"/>
  <c r="N161" i="6"/>
  <c r="M161" i="6"/>
  <c r="O161" i="4"/>
  <c r="N161" i="4"/>
  <c r="M161" i="4"/>
  <c r="B162" i="4"/>
  <c r="N163" i="10"/>
  <c r="O163" i="10"/>
  <c r="M163" i="10"/>
  <c r="B164" i="10"/>
  <c r="O162" i="5" l="1"/>
  <c r="N162" i="5"/>
  <c r="M162" i="5"/>
  <c r="B163" i="5"/>
  <c r="O162" i="9"/>
  <c r="N162" i="9"/>
  <c r="M162" i="9"/>
  <c r="B163" i="9"/>
  <c r="O162" i="4"/>
  <c r="N162" i="4"/>
  <c r="M162" i="4"/>
  <c r="B163" i="4"/>
  <c r="B163" i="7"/>
  <c r="O162" i="7"/>
  <c r="N162" i="7"/>
  <c r="M162" i="7"/>
  <c r="M162" i="6"/>
  <c r="O162" i="6"/>
  <c r="N162" i="6"/>
  <c r="B163" i="6"/>
  <c r="B163" i="8"/>
  <c r="O162" i="8"/>
  <c r="M162" i="8"/>
  <c r="N162" i="8"/>
  <c r="O164" i="10"/>
  <c r="N164" i="10"/>
  <c r="M164" i="10"/>
  <c r="B165" i="10"/>
  <c r="N163" i="9" l="1"/>
  <c r="M163" i="9"/>
  <c r="O163" i="9"/>
  <c r="B164" i="9"/>
  <c r="N163" i="7"/>
  <c r="M163" i="7"/>
  <c r="O163" i="7"/>
  <c r="B164" i="7"/>
  <c r="O163" i="4"/>
  <c r="B164" i="4"/>
  <c r="N163" i="4"/>
  <c r="M163" i="4"/>
  <c r="O163" i="5"/>
  <c r="N163" i="5"/>
  <c r="M163" i="5"/>
  <c r="B164" i="5"/>
  <c r="N163" i="6"/>
  <c r="O163" i="6"/>
  <c r="B164" i="6"/>
  <c r="M163" i="6"/>
  <c r="M163" i="8"/>
  <c r="O163" i="8"/>
  <c r="N163" i="8"/>
  <c r="B164" i="8"/>
  <c r="O165" i="10"/>
  <c r="N165" i="10"/>
  <c r="M165" i="10"/>
  <c r="B166" i="10"/>
  <c r="N164" i="8" l="1"/>
  <c r="M164" i="8"/>
  <c r="O164" i="8"/>
  <c r="B165" i="8"/>
  <c r="B165" i="9"/>
  <c r="N164" i="9"/>
  <c r="M164" i="9"/>
  <c r="O164" i="9"/>
  <c r="M164" i="7"/>
  <c r="O164" i="7"/>
  <c r="N164" i="7"/>
  <c r="B165" i="7"/>
  <c r="O164" i="6"/>
  <c r="N164" i="6"/>
  <c r="M164" i="6"/>
  <c r="B165" i="6"/>
  <c r="N164" i="5"/>
  <c r="M164" i="5"/>
  <c r="B165" i="5"/>
  <c r="O164" i="5"/>
  <c r="O164" i="4"/>
  <c r="M164" i="4"/>
  <c r="B165" i="4"/>
  <c r="N164" i="4"/>
  <c r="N166" i="10"/>
  <c r="M166" i="10"/>
  <c r="O166" i="10"/>
  <c r="B167" i="10"/>
  <c r="O165" i="6" l="1"/>
  <c r="B166" i="6"/>
  <c r="N165" i="6"/>
  <c r="M165" i="6"/>
  <c r="M165" i="9"/>
  <c r="N165" i="9"/>
  <c r="O165" i="9"/>
  <c r="B166" i="9"/>
  <c r="B166" i="4"/>
  <c r="O165" i="4"/>
  <c r="N165" i="4"/>
  <c r="M165" i="4"/>
  <c r="O165" i="7"/>
  <c r="N165" i="7"/>
  <c r="M165" i="7"/>
  <c r="B166" i="7"/>
  <c r="O165" i="8"/>
  <c r="M165" i="8"/>
  <c r="N165" i="8"/>
  <c r="B166" i="8"/>
  <c r="M165" i="5"/>
  <c r="N165" i="5"/>
  <c r="B166" i="5"/>
  <c r="O165" i="5"/>
  <c r="O167" i="10"/>
  <c r="M167" i="10"/>
  <c r="N167" i="10"/>
  <c r="B168" i="10"/>
  <c r="O166" i="7" l="1"/>
  <c r="M166" i="7"/>
  <c r="N166" i="7"/>
  <c r="B167" i="7"/>
  <c r="O166" i="9"/>
  <c r="N166" i="9"/>
  <c r="M166" i="9"/>
  <c r="B167" i="9"/>
  <c r="N166" i="5"/>
  <c r="O166" i="5"/>
  <c r="M166" i="5"/>
  <c r="B167" i="5"/>
  <c r="M166" i="8"/>
  <c r="N166" i="8"/>
  <c r="O166" i="8"/>
  <c r="B167" i="8"/>
  <c r="O166" i="6"/>
  <c r="B167" i="6"/>
  <c r="N166" i="6"/>
  <c r="M166" i="6"/>
  <c r="O166" i="4"/>
  <c r="N166" i="4"/>
  <c r="B167" i="4"/>
  <c r="M166" i="4"/>
  <c r="N168" i="10"/>
  <c r="O168" i="10"/>
  <c r="M168" i="10"/>
  <c r="B169" i="10"/>
  <c r="N167" i="4" l="1"/>
  <c r="M167" i="4"/>
  <c r="O167" i="4"/>
  <c r="B168" i="4"/>
  <c r="N167" i="9"/>
  <c r="O167" i="9"/>
  <c r="M167" i="9"/>
  <c r="B168" i="9"/>
  <c r="M167" i="5"/>
  <c r="O167" i="5"/>
  <c r="N167" i="5"/>
  <c r="B168" i="5"/>
  <c r="N167" i="7"/>
  <c r="M167" i="7"/>
  <c r="B168" i="7"/>
  <c r="O167" i="7"/>
  <c r="O167" i="8"/>
  <c r="N167" i="8"/>
  <c r="M167" i="8"/>
  <c r="B168" i="8"/>
  <c r="M167" i="6"/>
  <c r="N167" i="6"/>
  <c r="O167" i="6"/>
  <c r="B168" i="6"/>
  <c r="M169" i="10"/>
  <c r="N169" i="10"/>
  <c r="O169" i="10"/>
  <c r="B170" i="10"/>
  <c r="M168" i="9" l="1"/>
  <c r="O168" i="9"/>
  <c r="N168" i="9"/>
  <c r="B169" i="9"/>
  <c r="N168" i="7"/>
  <c r="O168" i="7"/>
  <c r="B169" i="7"/>
  <c r="M168" i="7"/>
  <c r="O168" i="5"/>
  <c r="N168" i="5"/>
  <c r="B169" i="5"/>
  <c r="M168" i="5"/>
  <c r="M168" i="4"/>
  <c r="N168" i="4"/>
  <c r="B169" i="4"/>
  <c r="O168" i="4"/>
  <c r="O168" i="6"/>
  <c r="M168" i="6"/>
  <c r="N168" i="6"/>
  <c r="B169" i="6"/>
  <c r="M168" i="8"/>
  <c r="B169" i="8"/>
  <c r="N168" i="8"/>
  <c r="O168" i="8"/>
  <c r="O170" i="10"/>
  <c r="N170" i="10"/>
  <c r="M170" i="10"/>
  <c r="B171" i="10"/>
  <c r="O169" i="4" l="1"/>
  <c r="N169" i="4"/>
  <c r="B170" i="4"/>
  <c r="M169" i="4"/>
  <c r="N169" i="7"/>
  <c r="M169" i="7"/>
  <c r="O169" i="7"/>
  <c r="B170" i="7"/>
  <c r="M169" i="8"/>
  <c r="N169" i="8"/>
  <c r="O169" i="8"/>
  <c r="B170" i="8"/>
  <c r="N169" i="6"/>
  <c r="M169" i="6"/>
  <c r="O169" i="6"/>
  <c r="B170" i="6"/>
  <c r="O169" i="9"/>
  <c r="M169" i="9"/>
  <c r="N169" i="9"/>
  <c r="B170" i="9"/>
  <c r="O169" i="5"/>
  <c r="N169" i="5"/>
  <c r="B170" i="5"/>
  <c r="M169" i="5"/>
  <c r="N171" i="10"/>
  <c r="M171" i="10"/>
  <c r="O171" i="10"/>
  <c r="B172" i="10"/>
  <c r="O170" i="5" l="1"/>
  <c r="N170" i="5"/>
  <c r="M170" i="5"/>
  <c r="B171" i="5"/>
  <c r="M170" i="6"/>
  <c r="O170" i="6"/>
  <c r="B171" i="6"/>
  <c r="N170" i="6"/>
  <c r="N170" i="8"/>
  <c r="O170" i="8"/>
  <c r="M170" i="8"/>
  <c r="B171" i="8"/>
  <c r="O170" i="4"/>
  <c r="N170" i="4"/>
  <c r="M170" i="4"/>
  <c r="B171" i="4"/>
  <c r="O170" i="7"/>
  <c r="N170" i="7"/>
  <c r="M170" i="7"/>
  <c r="B171" i="7"/>
  <c r="O170" i="9"/>
  <c r="M170" i="9"/>
  <c r="N170" i="9"/>
  <c r="B171" i="9"/>
  <c r="M172" i="10"/>
  <c r="N172" i="10"/>
  <c r="O172" i="10"/>
  <c r="B173" i="10"/>
  <c r="N171" i="4" l="1"/>
  <c r="M171" i="4"/>
  <c r="B172" i="4"/>
  <c r="O171" i="4"/>
  <c r="B172" i="9"/>
  <c r="N171" i="9"/>
  <c r="M171" i="9"/>
  <c r="O171" i="9"/>
  <c r="N171" i="7"/>
  <c r="M171" i="7"/>
  <c r="O171" i="7"/>
  <c r="B172" i="7"/>
  <c r="O171" i="8"/>
  <c r="N171" i="8"/>
  <c r="B172" i="8"/>
  <c r="M171" i="8"/>
  <c r="O171" i="5"/>
  <c r="N171" i="5"/>
  <c r="B172" i="5"/>
  <c r="M171" i="5"/>
  <c r="O171" i="6"/>
  <c r="N171" i="6"/>
  <c r="M171" i="6"/>
  <c r="B172" i="6"/>
  <c r="O173" i="10"/>
  <c r="N173" i="10"/>
  <c r="M173" i="10"/>
  <c r="B174" i="10"/>
  <c r="O172" i="6" l="1"/>
  <c r="M172" i="6"/>
  <c r="N172" i="6"/>
  <c r="B173" i="6"/>
  <c r="M172" i="9"/>
  <c r="B173" i="9"/>
  <c r="O172" i="9"/>
  <c r="N172" i="9"/>
  <c r="M172" i="7"/>
  <c r="O172" i="7"/>
  <c r="B173" i="7"/>
  <c r="N172" i="7"/>
  <c r="B173" i="5"/>
  <c r="N172" i="5"/>
  <c r="O172" i="5"/>
  <c r="M172" i="5"/>
  <c r="N172" i="4"/>
  <c r="B173" i="4"/>
  <c r="M172" i="4"/>
  <c r="O172" i="4"/>
  <c r="N172" i="8"/>
  <c r="O172" i="8"/>
  <c r="M172" i="8"/>
  <c r="B173" i="8"/>
  <c r="N174" i="10"/>
  <c r="O174" i="10"/>
  <c r="M174" i="10"/>
  <c r="B175" i="10"/>
  <c r="M173" i="9" l="1"/>
  <c r="B174" i="9"/>
  <c r="N173" i="9"/>
  <c r="O173" i="9"/>
  <c r="M173" i="5"/>
  <c r="N173" i="5"/>
  <c r="O173" i="5"/>
  <c r="B174" i="5"/>
  <c r="O173" i="6"/>
  <c r="N173" i="6"/>
  <c r="M173" i="6"/>
  <c r="B174" i="6"/>
  <c r="O173" i="8"/>
  <c r="M173" i="8"/>
  <c r="N173" i="8"/>
  <c r="B174" i="8"/>
  <c r="O173" i="7"/>
  <c r="N173" i="7"/>
  <c r="B174" i="7"/>
  <c r="M173" i="7"/>
  <c r="O173" i="4"/>
  <c r="M173" i="4"/>
  <c r="N173" i="4"/>
  <c r="B174" i="4"/>
  <c r="O175" i="10"/>
  <c r="M175" i="10"/>
  <c r="N175" i="10"/>
  <c r="B176" i="10"/>
  <c r="B175" i="5" l="1"/>
  <c r="O174" i="5"/>
  <c r="N174" i="5"/>
  <c r="M174" i="5"/>
  <c r="N174" i="8"/>
  <c r="M174" i="8"/>
  <c r="B175" i="8"/>
  <c r="O174" i="8"/>
  <c r="O174" i="6"/>
  <c r="N174" i="6"/>
  <c r="M174" i="6"/>
  <c r="B175" i="6"/>
  <c r="O174" i="7"/>
  <c r="N174" i="7"/>
  <c r="M174" i="7"/>
  <c r="B175" i="7"/>
  <c r="O174" i="4"/>
  <c r="N174" i="4"/>
  <c r="M174" i="4"/>
  <c r="B175" i="4"/>
  <c r="O174" i="9"/>
  <c r="M174" i="9"/>
  <c r="N174" i="9"/>
  <c r="B175" i="9"/>
  <c r="N176" i="10"/>
  <c r="O176" i="10"/>
  <c r="M176" i="10"/>
  <c r="B177" i="10"/>
  <c r="O175" i="8" l="1"/>
  <c r="B176" i="8"/>
  <c r="M175" i="8"/>
  <c r="N175" i="8"/>
  <c r="N175" i="7"/>
  <c r="M175" i="7"/>
  <c r="O175" i="7"/>
  <c r="B176" i="7"/>
  <c r="O175" i="6"/>
  <c r="N175" i="6"/>
  <c r="M175" i="6"/>
  <c r="B176" i="6"/>
  <c r="N175" i="4"/>
  <c r="M175" i="4"/>
  <c r="O175" i="4"/>
  <c r="B176" i="4"/>
  <c r="O175" i="9"/>
  <c r="N175" i="9"/>
  <c r="M175" i="9"/>
  <c r="B176" i="9"/>
  <c r="O175" i="5"/>
  <c r="N175" i="5"/>
  <c r="M175" i="5"/>
  <c r="B176" i="5"/>
  <c r="M177" i="10"/>
  <c r="N177" i="10"/>
  <c r="O177" i="10"/>
  <c r="B178" i="10"/>
  <c r="O176" i="5" l="1"/>
  <c r="N176" i="5"/>
  <c r="B177" i="5"/>
  <c r="M176" i="5"/>
  <c r="B177" i="4"/>
  <c r="M176" i="4"/>
  <c r="O176" i="4"/>
  <c r="N176" i="4"/>
  <c r="O176" i="7"/>
  <c r="M176" i="7"/>
  <c r="N176" i="7"/>
  <c r="B177" i="7"/>
  <c r="O176" i="6"/>
  <c r="N176" i="6"/>
  <c r="M176" i="6"/>
  <c r="B177" i="6"/>
  <c r="N176" i="9"/>
  <c r="M176" i="9"/>
  <c r="O176" i="9"/>
  <c r="B177" i="9"/>
  <c r="O176" i="8"/>
  <c r="B177" i="8"/>
  <c r="N176" i="8"/>
  <c r="M176" i="8"/>
  <c r="M178" i="10"/>
  <c r="O178" i="10"/>
  <c r="N178" i="10"/>
  <c r="B179" i="10"/>
  <c r="N177" i="6" l="1"/>
  <c r="B178" i="6"/>
  <c r="M177" i="6"/>
  <c r="O177" i="6"/>
  <c r="M177" i="8"/>
  <c r="N177" i="8"/>
  <c r="O177" i="8"/>
  <c r="B178" i="8"/>
  <c r="O177" i="4"/>
  <c r="M177" i="4"/>
  <c r="N177" i="4"/>
  <c r="B178" i="4"/>
  <c r="O177" i="9"/>
  <c r="M177" i="9"/>
  <c r="N177" i="9"/>
  <c r="B178" i="9"/>
  <c r="O177" i="7"/>
  <c r="N177" i="7"/>
  <c r="M177" i="7"/>
  <c r="B178" i="7"/>
  <c r="O177" i="5"/>
  <c r="M177" i="5"/>
  <c r="B178" i="5"/>
  <c r="N177" i="5"/>
  <c r="N179" i="10"/>
  <c r="M179" i="10"/>
  <c r="O179" i="10"/>
  <c r="B180" i="10"/>
  <c r="O178" i="9" l="1"/>
  <c r="N178" i="9"/>
  <c r="B179" i="9"/>
  <c r="M178" i="9"/>
  <c r="O178" i="5"/>
  <c r="M178" i="5"/>
  <c r="N178" i="5"/>
  <c r="B179" i="5"/>
  <c r="N178" i="8"/>
  <c r="M178" i="8"/>
  <c r="O178" i="8"/>
  <c r="B179" i="8"/>
  <c r="N178" i="4"/>
  <c r="M178" i="4"/>
  <c r="O178" i="4"/>
  <c r="B179" i="4"/>
  <c r="M178" i="6"/>
  <c r="O178" i="6"/>
  <c r="N178" i="6"/>
  <c r="B179" i="6"/>
  <c r="O178" i="7"/>
  <c r="M178" i="7"/>
  <c r="N178" i="7"/>
  <c r="B179" i="7"/>
  <c r="O180" i="10"/>
  <c r="N180" i="10"/>
  <c r="M180" i="10"/>
  <c r="B181" i="10"/>
  <c r="O179" i="5" l="1"/>
  <c r="N179" i="5"/>
  <c r="M179" i="5"/>
  <c r="B180" i="5"/>
  <c r="O179" i="6"/>
  <c r="N179" i="6"/>
  <c r="M179" i="6"/>
  <c r="B180" i="6"/>
  <c r="N179" i="8"/>
  <c r="M179" i="8"/>
  <c r="O179" i="8"/>
  <c r="B180" i="8"/>
  <c r="O179" i="9"/>
  <c r="B180" i="9"/>
  <c r="N179" i="9"/>
  <c r="M179" i="9"/>
  <c r="N179" i="7"/>
  <c r="M179" i="7"/>
  <c r="B180" i="7"/>
  <c r="O179" i="7"/>
  <c r="O179" i="4"/>
  <c r="N179" i="4"/>
  <c r="B180" i="4"/>
  <c r="M179" i="4"/>
  <c r="O181" i="10"/>
  <c r="N181" i="10"/>
  <c r="M181" i="10"/>
  <c r="B182" i="10"/>
  <c r="M180" i="6" l="1"/>
  <c r="O180" i="6"/>
  <c r="N180" i="6"/>
  <c r="B181" i="6"/>
  <c r="N180" i="9"/>
  <c r="O180" i="9"/>
  <c r="M180" i="9"/>
  <c r="B181" i="9"/>
  <c r="N180" i="8"/>
  <c r="O180" i="8"/>
  <c r="M180" i="8"/>
  <c r="B181" i="8"/>
  <c r="O180" i="5"/>
  <c r="N180" i="5"/>
  <c r="M180" i="5"/>
  <c r="B181" i="5"/>
  <c r="O180" i="4"/>
  <c r="M180" i="4"/>
  <c r="N180" i="4"/>
  <c r="B181" i="4"/>
  <c r="M180" i="7"/>
  <c r="O180" i="7"/>
  <c r="N180" i="7"/>
  <c r="B181" i="7"/>
  <c r="N182" i="10"/>
  <c r="M182" i="10"/>
  <c r="O182" i="10"/>
  <c r="B183" i="10"/>
  <c r="O181" i="7" l="1"/>
  <c r="N181" i="7"/>
  <c r="M181" i="7"/>
  <c r="B182" i="7"/>
  <c r="M181" i="5"/>
  <c r="O181" i="5"/>
  <c r="N181" i="5"/>
  <c r="B182" i="5"/>
  <c r="M181" i="9"/>
  <c r="N181" i="9"/>
  <c r="O181" i="9"/>
  <c r="B182" i="9"/>
  <c r="O181" i="6"/>
  <c r="N181" i="6"/>
  <c r="M181" i="6"/>
  <c r="B182" i="6"/>
  <c r="O181" i="4"/>
  <c r="N181" i="4"/>
  <c r="B182" i="4"/>
  <c r="M181" i="4"/>
  <c r="M181" i="8"/>
  <c r="O181" i="8"/>
  <c r="B182" i="8"/>
  <c r="N181" i="8"/>
  <c r="O183" i="10"/>
  <c r="M183" i="10"/>
  <c r="N183" i="10"/>
  <c r="B184" i="10"/>
  <c r="O182" i="8" l="1"/>
  <c r="B183" i="8"/>
  <c r="N182" i="8"/>
  <c r="M182" i="8"/>
  <c r="O182" i="9"/>
  <c r="N182" i="9"/>
  <c r="B183" i="9"/>
  <c r="M182" i="9"/>
  <c r="O182" i="6"/>
  <c r="N182" i="6"/>
  <c r="M182" i="6"/>
  <c r="B183" i="6"/>
  <c r="O182" i="5"/>
  <c r="N182" i="5"/>
  <c r="M182" i="5"/>
  <c r="B183" i="5"/>
  <c r="O182" i="7"/>
  <c r="M182" i="7"/>
  <c r="B183" i="7"/>
  <c r="N182" i="7"/>
  <c r="O182" i="4"/>
  <c r="M182" i="4"/>
  <c r="N182" i="4"/>
  <c r="B183" i="4"/>
  <c r="N184" i="10"/>
  <c r="O184" i="10"/>
  <c r="M184" i="10"/>
  <c r="B185" i="10"/>
  <c r="O183" i="9" l="1"/>
  <c r="N183" i="9"/>
  <c r="M183" i="9"/>
  <c r="B184" i="9"/>
  <c r="N183" i="5"/>
  <c r="M183" i="5"/>
  <c r="O183" i="5"/>
  <c r="B184" i="5"/>
  <c r="O183" i="6"/>
  <c r="M183" i="6"/>
  <c r="N183" i="6"/>
  <c r="B184" i="6"/>
  <c r="M183" i="7"/>
  <c r="O183" i="7"/>
  <c r="B184" i="7"/>
  <c r="N183" i="7"/>
  <c r="O183" i="4"/>
  <c r="N183" i="4"/>
  <c r="M183" i="4"/>
  <c r="B184" i="4"/>
  <c r="M183" i="8"/>
  <c r="O183" i="8"/>
  <c r="N183" i="8"/>
  <c r="B184" i="8"/>
  <c r="M185" i="10"/>
  <c r="N185" i="10"/>
  <c r="O185" i="10"/>
  <c r="B186" i="10"/>
  <c r="O184" i="7" l="1"/>
  <c r="M184" i="7"/>
  <c r="N184" i="7"/>
  <c r="B185" i="7"/>
  <c r="N184" i="8"/>
  <c r="O184" i="8"/>
  <c r="B185" i="8"/>
  <c r="M184" i="8"/>
  <c r="M184" i="4"/>
  <c r="N184" i="4"/>
  <c r="B185" i="4"/>
  <c r="O184" i="4"/>
  <c r="O184" i="6"/>
  <c r="N184" i="6"/>
  <c r="B185" i="6"/>
  <c r="M184" i="6"/>
  <c r="N184" i="9"/>
  <c r="M184" i="9"/>
  <c r="O184" i="9"/>
  <c r="B185" i="9"/>
  <c r="M184" i="5"/>
  <c r="N184" i="5"/>
  <c r="B185" i="5"/>
  <c r="O184" i="5"/>
  <c r="O186" i="10"/>
  <c r="N186" i="10"/>
  <c r="M186" i="10"/>
  <c r="B187" i="10"/>
  <c r="N185" i="5" l="1"/>
  <c r="O185" i="5"/>
  <c r="B186" i="5"/>
  <c r="M185" i="5"/>
  <c r="N185" i="6"/>
  <c r="O185" i="6"/>
  <c r="B186" i="6"/>
  <c r="M185" i="6"/>
  <c r="N185" i="8"/>
  <c r="B186" i="8"/>
  <c r="M185" i="8"/>
  <c r="O185" i="8"/>
  <c r="O185" i="9"/>
  <c r="M185" i="9"/>
  <c r="B186" i="9"/>
  <c r="N185" i="9"/>
  <c r="O185" i="7"/>
  <c r="B186" i="7"/>
  <c r="N185" i="7"/>
  <c r="M185" i="7"/>
  <c r="M185" i="4"/>
  <c r="B186" i="4"/>
  <c r="O185" i="4"/>
  <c r="N185" i="4"/>
  <c r="O187" i="10"/>
  <c r="N187" i="10"/>
  <c r="M187" i="10"/>
  <c r="B188" i="10"/>
  <c r="M186" i="6" l="1"/>
  <c r="O186" i="6"/>
  <c r="N186" i="6"/>
  <c r="B187" i="6"/>
  <c r="N186" i="4"/>
  <c r="M186" i="4"/>
  <c r="O186" i="4"/>
  <c r="B187" i="4"/>
  <c r="O186" i="5"/>
  <c r="N186" i="5"/>
  <c r="M186" i="5"/>
  <c r="B187" i="5"/>
  <c r="O186" i="9"/>
  <c r="N186" i="9"/>
  <c r="M186" i="9"/>
  <c r="B187" i="9"/>
  <c r="O186" i="7"/>
  <c r="N186" i="7"/>
  <c r="M186" i="7"/>
  <c r="B187" i="7"/>
  <c r="O186" i="8"/>
  <c r="M186" i="8"/>
  <c r="N186" i="8"/>
  <c r="B187" i="8"/>
  <c r="M188" i="10"/>
  <c r="N188" i="10"/>
  <c r="O188" i="10"/>
  <c r="B189" i="10"/>
  <c r="O187" i="8" l="1"/>
  <c r="N187" i="8"/>
  <c r="M187" i="8"/>
  <c r="B188" i="8"/>
  <c r="O187" i="9"/>
  <c r="N187" i="9"/>
  <c r="M187" i="9"/>
  <c r="B188" i="9"/>
  <c r="N187" i="7"/>
  <c r="B188" i="7"/>
  <c r="M187" i="7"/>
  <c r="O187" i="7"/>
  <c r="O187" i="5"/>
  <c r="N187" i="5"/>
  <c r="M187" i="5"/>
  <c r="B188" i="5"/>
  <c r="O187" i="6"/>
  <c r="N187" i="6"/>
  <c r="M187" i="6"/>
  <c r="B188" i="6"/>
  <c r="O187" i="4"/>
  <c r="N187" i="4"/>
  <c r="M187" i="4"/>
  <c r="B188" i="4"/>
  <c r="O189" i="10"/>
  <c r="N189" i="10"/>
  <c r="M189" i="10"/>
  <c r="B190" i="10"/>
  <c r="N188" i="9" l="1"/>
  <c r="M188" i="9"/>
  <c r="O188" i="9"/>
  <c r="B189" i="9"/>
  <c r="N188" i="6"/>
  <c r="B189" i="6"/>
  <c r="O188" i="6"/>
  <c r="M188" i="6"/>
  <c r="N188" i="8"/>
  <c r="O188" i="8"/>
  <c r="M188" i="8"/>
  <c r="B189" i="8"/>
  <c r="N188" i="5"/>
  <c r="M188" i="5"/>
  <c r="B189" i="5"/>
  <c r="O188" i="5"/>
  <c r="B189" i="7"/>
  <c r="O188" i="7"/>
  <c r="M188" i="7"/>
  <c r="N188" i="7"/>
  <c r="O188" i="4"/>
  <c r="N188" i="4"/>
  <c r="M188" i="4"/>
  <c r="B189" i="4"/>
  <c r="N190" i="10"/>
  <c r="M190" i="10"/>
  <c r="O190" i="10"/>
  <c r="B191" i="10"/>
  <c r="N189" i="4" l="1"/>
  <c r="M189" i="4"/>
  <c r="O189" i="4"/>
  <c r="B190" i="4"/>
  <c r="N189" i="6"/>
  <c r="O189" i="6"/>
  <c r="M189" i="6"/>
  <c r="B190" i="6"/>
  <c r="O189" i="8"/>
  <c r="M189" i="8"/>
  <c r="N189" i="8"/>
  <c r="B190" i="8"/>
  <c r="M189" i="9"/>
  <c r="O189" i="9"/>
  <c r="B190" i="9"/>
  <c r="N189" i="9"/>
  <c r="M189" i="5"/>
  <c r="O189" i="5"/>
  <c r="N189" i="5"/>
  <c r="B190" i="5"/>
  <c r="M189" i="7"/>
  <c r="O189" i="7"/>
  <c r="N189" i="7"/>
  <c r="B190" i="7"/>
  <c r="O191" i="10"/>
  <c r="M191" i="10"/>
  <c r="N191" i="10"/>
  <c r="B192" i="10"/>
  <c r="M190" i="7" l="1"/>
  <c r="B191" i="7"/>
  <c r="O190" i="7"/>
  <c r="N190" i="7"/>
  <c r="O190" i="6"/>
  <c r="N190" i="6"/>
  <c r="M190" i="6"/>
  <c r="B191" i="6"/>
  <c r="O190" i="5"/>
  <c r="B191" i="5"/>
  <c r="N190" i="5"/>
  <c r="M190" i="5"/>
  <c r="M190" i="8"/>
  <c r="N190" i="8"/>
  <c r="O190" i="8"/>
  <c r="B191" i="8"/>
  <c r="O190" i="4"/>
  <c r="N190" i="4"/>
  <c r="M190" i="4"/>
  <c r="B191" i="4"/>
  <c r="O190" i="9"/>
  <c r="M190" i="9"/>
  <c r="N190" i="9"/>
  <c r="B191" i="9"/>
  <c r="M192" i="10"/>
  <c r="N192" i="10"/>
  <c r="O192" i="10"/>
  <c r="B193" i="10"/>
  <c r="M191" i="9" l="1"/>
  <c r="B192" i="9"/>
  <c r="N191" i="9"/>
  <c r="O191" i="9"/>
  <c r="N191" i="4"/>
  <c r="O191" i="4"/>
  <c r="B192" i="4"/>
  <c r="M191" i="4"/>
  <c r="O191" i="8"/>
  <c r="M191" i="8"/>
  <c r="N191" i="8"/>
  <c r="B192" i="8"/>
  <c r="N191" i="5"/>
  <c r="O191" i="5"/>
  <c r="M191" i="5"/>
  <c r="B192" i="5"/>
  <c r="M191" i="7"/>
  <c r="O191" i="7"/>
  <c r="B192" i="7"/>
  <c r="N191" i="7"/>
  <c r="O191" i="6"/>
  <c r="N191" i="6"/>
  <c r="M191" i="6"/>
  <c r="B192" i="6"/>
  <c r="O193" i="10"/>
  <c r="N193" i="10"/>
  <c r="M193" i="10"/>
  <c r="B194" i="10"/>
  <c r="O192" i="6" l="1"/>
  <c r="N192" i="6"/>
  <c r="M192" i="6"/>
  <c r="B193" i="6"/>
  <c r="O192" i="5"/>
  <c r="B193" i="5"/>
  <c r="N192" i="5"/>
  <c r="M192" i="5"/>
  <c r="B193" i="8"/>
  <c r="N192" i="8"/>
  <c r="O192" i="8"/>
  <c r="M192" i="8"/>
  <c r="O192" i="7"/>
  <c r="M192" i="7"/>
  <c r="N192" i="7"/>
  <c r="B193" i="7"/>
  <c r="N192" i="9"/>
  <c r="O192" i="9"/>
  <c r="M192" i="9"/>
  <c r="B193" i="9"/>
  <c r="M192" i="4"/>
  <c r="O192" i="4"/>
  <c r="N192" i="4"/>
  <c r="B193" i="4"/>
  <c r="N194" i="10"/>
  <c r="M194" i="10"/>
  <c r="O194" i="10"/>
  <c r="B195" i="10"/>
  <c r="O193" i="4" l="1"/>
  <c r="M193" i="4"/>
  <c r="B194" i="4"/>
  <c r="N193" i="4"/>
  <c r="O193" i="7"/>
  <c r="N193" i="7"/>
  <c r="M193" i="7"/>
  <c r="B194" i="7"/>
  <c r="O193" i="5"/>
  <c r="N193" i="5"/>
  <c r="M193" i="5"/>
  <c r="B194" i="5"/>
  <c r="N193" i="6"/>
  <c r="M193" i="6"/>
  <c r="O193" i="6"/>
  <c r="B194" i="6"/>
  <c r="M193" i="9"/>
  <c r="O193" i="9"/>
  <c r="N193" i="9"/>
  <c r="B194" i="9"/>
  <c r="M193" i="8"/>
  <c r="N193" i="8"/>
  <c r="O193" i="8"/>
  <c r="B194" i="8"/>
  <c r="M195" i="10"/>
  <c r="N195" i="10"/>
  <c r="O195" i="10"/>
  <c r="B196" i="10"/>
  <c r="B195" i="8" l="1"/>
  <c r="N194" i="8"/>
  <c r="O194" i="8"/>
  <c r="M194" i="8"/>
  <c r="M194" i="6"/>
  <c r="B195" i="6"/>
  <c r="O194" i="6"/>
  <c r="N194" i="6"/>
  <c r="O194" i="7"/>
  <c r="N194" i="7"/>
  <c r="M194" i="7"/>
  <c r="B195" i="7"/>
  <c r="O194" i="9"/>
  <c r="N194" i="9"/>
  <c r="M194" i="9"/>
  <c r="B195" i="9"/>
  <c r="N194" i="5"/>
  <c r="M194" i="5"/>
  <c r="O194" i="5"/>
  <c r="B195" i="5"/>
  <c r="O194" i="4"/>
  <c r="N194" i="4"/>
  <c r="M194" i="4"/>
  <c r="B195" i="4"/>
  <c r="M196" i="10"/>
  <c r="N196" i="10"/>
  <c r="O196" i="10"/>
  <c r="B197" i="10"/>
  <c r="O195" i="4" l="1"/>
  <c r="N195" i="4"/>
  <c r="M195" i="4"/>
  <c r="B196" i="4"/>
  <c r="O195" i="9"/>
  <c r="N195" i="9"/>
  <c r="M195" i="9"/>
  <c r="B196" i="9"/>
  <c r="N195" i="6"/>
  <c r="O195" i="6"/>
  <c r="M195" i="6"/>
  <c r="B196" i="6"/>
  <c r="O195" i="7"/>
  <c r="N195" i="7"/>
  <c r="B196" i="7"/>
  <c r="M195" i="7"/>
  <c r="O195" i="5"/>
  <c r="N195" i="5"/>
  <c r="M195" i="5"/>
  <c r="B196" i="5"/>
  <c r="O195" i="8"/>
  <c r="N195" i="8"/>
  <c r="M195" i="8"/>
  <c r="B196" i="8"/>
  <c r="N197" i="10"/>
  <c r="M197" i="10"/>
  <c r="O197" i="10"/>
  <c r="B198" i="10"/>
  <c r="O196" i="8" l="1"/>
  <c r="B197" i="8"/>
  <c r="N196" i="8"/>
  <c r="M196" i="8"/>
  <c r="N196" i="9"/>
  <c r="M196" i="9"/>
  <c r="O196" i="9"/>
  <c r="B197" i="9"/>
  <c r="M196" i="7"/>
  <c r="O196" i="7"/>
  <c r="N196" i="7"/>
  <c r="B197" i="7"/>
  <c r="N196" i="5"/>
  <c r="M196" i="5"/>
  <c r="B197" i="5"/>
  <c r="O196" i="5"/>
  <c r="M196" i="6"/>
  <c r="N196" i="6"/>
  <c r="O196" i="6"/>
  <c r="B197" i="6"/>
  <c r="O196" i="4"/>
  <c r="N196" i="4"/>
  <c r="M196" i="4"/>
  <c r="B197" i="4"/>
  <c r="O198" i="10"/>
  <c r="M198" i="10"/>
  <c r="N198" i="10"/>
  <c r="B199" i="10"/>
  <c r="O197" i="4" l="1"/>
  <c r="M197" i="4"/>
  <c r="N197" i="4"/>
  <c r="B198" i="4"/>
  <c r="N197" i="9"/>
  <c r="M197" i="9"/>
  <c r="O197" i="9"/>
  <c r="B198" i="9"/>
  <c r="M197" i="5"/>
  <c r="O197" i="5"/>
  <c r="N197" i="5"/>
  <c r="B198" i="5"/>
  <c r="N197" i="6"/>
  <c r="O197" i="6"/>
  <c r="M197" i="6"/>
  <c r="B198" i="6"/>
  <c r="O197" i="7"/>
  <c r="B198" i="7"/>
  <c r="N197" i="7"/>
  <c r="M197" i="7"/>
  <c r="O197" i="8"/>
  <c r="M197" i="8"/>
  <c r="N197" i="8"/>
  <c r="B198" i="8"/>
  <c r="N199" i="10"/>
  <c r="O199" i="10"/>
  <c r="M199" i="10"/>
  <c r="B200" i="10"/>
  <c r="M198" i="9" l="1"/>
  <c r="O198" i="9"/>
  <c r="N198" i="9"/>
  <c r="B199" i="9"/>
  <c r="O198" i="5"/>
  <c r="N198" i="5"/>
  <c r="M198" i="5"/>
  <c r="B199" i="5"/>
  <c r="O198" i="4"/>
  <c r="B199" i="4"/>
  <c r="N198" i="4"/>
  <c r="M198" i="4"/>
  <c r="O198" i="6"/>
  <c r="N198" i="6"/>
  <c r="M198" i="6"/>
  <c r="B199" i="6"/>
  <c r="B199" i="8"/>
  <c r="N198" i="8"/>
  <c r="M198" i="8"/>
  <c r="O198" i="8"/>
  <c r="O198" i="7"/>
  <c r="N198" i="7"/>
  <c r="M198" i="7"/>
  <c r="B199" i="7"/>
  <c r="M200" i="10"/>
  <c r="O200" i="10"/>
  <c r="N200" i="10"/>
  <c r="B201" i="10"/>
  <c r="O199" i="5" l="1"/>
  <c r="N199" i="5"/>
  <c r="M199" i="5"/>
  <c r="B200" i="5"/>
  <c r="N199" i="7"/>
  <c r="O199" i="7"/>
  <c r="M199" i="7"/>
  <c r="B200" i="7"/>
  <c r="O199" i="9"/>
  <c r="N199" i="9"/>
  <c r="M199" i="9"/>
  <c r="B200" i="9"/>
  <c r="O199" i="6"/>
  <c r="N199" i="6"/>
  <c r="M199" i="6"/>
  <c r="B200" i="6"/>
  <c r="N199" i="4"/>
  <c r="O199" i="4"/>
  <c r="M199" i="4"/>
  <c r="B200" i="4"/>
  <c r="O199" i="8"/>
  <c r="M199" i="8"/>
  <c r="N199" i="8"/>
  <c r="B200" i="8"/>
  <c r="O201" i="10"/>
  <c r="M201" i="10"/>
  <c r="N201" i="10"/>
  <c r="B202" i="10"/>
  <c r="O200" i="6" l="1"/>
  <c r="N200" i="6"/>
  <c r="M200" i="6"/>
  <c r="B201" i="6"/>
  <c r="M200" i="4"/>
  <c r="O200" i="4"/>
  <c r="B201" i="4"/>
  <c r="N200" i="4"/>
  <c r="N200" i="9"/>
  <c r="O200" i="9"/>
  <c r="M200" i="9"/>
  <c r="B201" i="9"/>
  <c r="O200" i="5"/>
  <c r="N200" i="5"/>
  <c r="M200" i="5"/>
  <c r="B201" i="5"/>
  <c r="N200" i="8"/>
  <c r="O200" i="8"/>
  <c r="M200" i="8"/>
  <c r="B201" i="8"/>
  <c r="O200" i="7"/>
  <c r="M200" i="7"/>
  <c r="N200" i="7"/>
  <c r="B201" i="7"/>
  <c r="N202" i="10"/>
  <c r="M202" i="10"/>
  <c r="O202" i="10"/>
  <c r="B203" i="10"/>
  <c r="O201" i="4" l="1"/>
  <c r="N201" i="4"/>
  <c r="M201" i="4"/>
  <c r="B202" i="4"/>
  <c r="M201" i="8"/>
  <c r="N201" i="8"/>
  <c r="O201" i="8"/>
  <c r="B202" i="8"/>
  <c r="O201" i="9"/>
  <c r="M201" i="9"/>
  <c r="B202" i="9"/>
  <c r="N201" i="9"/>
  <c r="N201" i="6"/>
  <c r="M201" i="6"/>
  <c r="O201" i="6"/>
  <c r="B202" i="6"/>
  <c r="O201" i="5"/>
  <c r="M201" i="5"/>
  <c r="N201" i="5"/>
  <c r="B202" i="5"/>
  <c r="O201" i="7"/>
  <c r="N201" i="7"/>
  <c r="M201" i="7"/>
  <c r="B202" i="7"/>
  <c r="M203" i="10"/>
  <c r="N203" i="10"/>
  <c r="O203" i="10"/>
  <c r="B204" i="10"/>
  <c r="M202" i="6" l="1"/>
  <c r="N202" i="6"/>
  <c r="O202" i="6"/>
  <c r="B203" i="6"/>
  <c r="M202" i="5"/>
  <c r="B203" i="5"/>
  <c r="O202" i="5"/>
  <c r="N202" i="5"/>
  <c r="O202" i="4"/>
  <c r="N202" i="4"/>
  <c r="M202" i="4"/>
  <c r="B203" i="4"/>
  <c r="O202" i="8"/>
  <c r="N202" i="8"/>
  <c r="M202" i="8"/>
  <c r="B203" i="8"/>
  <c r="O202" i="9"/>
  <c r="N202" i="9"/>
  <c r="B203" i="9"/>
  <c r="M202" i="9"/>
  <c r="O202" i="7"/>
  <c r="N202" i="7"/>
  <c r="M202" i="7"/>
  <c r="B203" i="7"/>
  <c r="O204" i="10"/>
  <c r="M204" i="10"/>
  <c r="N204" i="10"/>
  <c r="B205" i="10"/>
  <c r="O203" i="5" l="1"/>
  <c r="B204" i="5"/>
  <c r="M203" i="5"/>
  <c r="N203" i="5"/>
  <c r="O203" i="7"/>
  <c r="B204" i="7"/>
  <c r="N203" i="7"/>
  <c r="M203" i="7"/>
  <c r="O203" i="9"/>
  <c r="N203" i="9"/>
  <c r="M203" i="9"/>
  <c r="B204" i="9"/>
  <c r="O203" i="8"/>
  <c r="M203" i="8"/>
  <c r="B204" i="8"/>
  <c r="N203" i="8"/>
  <c r="N203" i="4"/>
  <c r="O203" i="4"/>
  <c r="M203" i="4"/>
  <c r="B204" i="4"/>
  <c r="O203" i="6"/>
  <c r="N203" i="6"/>
  <c r="M203" i="6"/>
  <c r="B204" i="6"/>
  <c r="N205" i="10"/>
  <c r="M205" i="10"/>
  <c r="O205" i="10"/>
  <c r="B206" i="10"/>
  <c r="N204" i="8" l="1"/>
  <c r="O204" i="8"/>
  <c r="B205" i="8"/>
  <c r="M204" i="8"/>
  <c r="O204" i="6"/>
  <c r="N204" i="6"/>
  <c r="M204" i="6"/>
  <c r="B205" i="6"/>
  <c r="O204" i="7"/>
  <c r="N204" i="7"/>
  <c r="M204" i="7"/>
  <c r="B205" i="7"/>
  <c r="O204" i="4"/>
  <c r="N204" i="4"/>
  <c r="M204" i="4"/>
  <c r="B205" i="4"/>
  <c r="O204" i="9"/>
  <c r="M204" i="9"/>
  <c r="B205" i="9"/>
  <c r="N204" i="9"/>
  <c r="N204" i="5"/>
  <c r="M204" i="5"/>
  <c r="B205" i="5"/>
  <c r="O204" i="5"/>
  <c r="O206" i="10"/>
  <c r="N206" i="10"/>
  <c r="M206" i="10"/>
  <c r="B207" i="10"/>
  <c r="M205" i="6" l="1"/>
  <c r="B206" i="6"/>
  <c r="O205" i="6"/>
  <c r="N205" i="6"/>
  <c r="O205" i="7"/>
  <c r="N205" i="7"/>
  <c r="M205" i="7"/>
  <c r="B206" i="7"/>
  <c r="O205" i="4"/>
  <c r="B206" i="4"/>
  <c r="N205" i="4"/>
  <c r="M205" i="4"/>
  <c r="O205" i="9"/>
  <c r="M205" i="9"/>
  <c r="B206" i="9"/>
  <c r="N205" i="9"/>
  <c r="M205" i="8"/>
  <c r="N205" i="8"/>
  <c r="O205" i="8"/>
  <c r="B206" i="8"/>
  <c r="M205" i="5"/>
  <c r="O205" i="5"/>
  <c r="N205" i="5"/>
  <c r="B206" i="5"/>
  <c r="N207" i="10"/>
  <c r="O207" i="10"/>
  <c r="M207" i="10"/>
  <c r="B208" i="10"/>
  <c r="M206" i="9" l="1"/>
  <c r="N206" i="9"/>
  <c r="O206" i="9"/>
  <c r="B207" i="9"/>
  <c r="O206" i="7"/>
  <c r="N206" i="7"/>
  <c r="M206" i="7"/>
  <c r="B207" i="7"/>
  <c r="O206" i="5"/>
  <c r="B207" i="5"/>
  <c r="N206" i="5"/>
  <c r="M206" i="5"/>
  <c r="M206" i="8"/>
  <c r="B207" i="8"/>
  <c r="O206" i="8"/>
  <c r="N206" i="8"/>
  <c r="O206" i="4"/>
  <c r="N206" i="4"/>
  <c r="M206" i="4"/>
  <c r="B207" i="4"/>
  <c r="O206" i="6"/>
  <c r="N206" i="6"/>
  <c r="B207" i="6"/>
  <c r="M206" i="6"/>
  <c r="M208" i="10"/>
  <c r="O208" i="10"/>
  <c r="N208" i="10"/>
  <c r="B209" i="10"/>
  <c r="O207" i="6" l="1"/>
  <c r="N207" i="6"/>
  <c r="M207" i="6"/>
  <c r="B208" i="6"/>
  <c r="O207" i="7"/>
  <c r="N207" i="7"/>
  <c r="M207" i="7"/>
  <c r="B208" i="7"/>
  <c r="O207" i="4"/>
  <c r="N207" i="4"/>
  <c r="M207" i="4"/>
  <c r="B208" i="4"/>
  <c r="O207" i="9"/>
  <c r="N207" i="9"/>
  <c r="B208" i="9"/>
  <c r="M207" i="9"/>
  <c r="O207" i="8"/>
  <c r="M207" i="8"/>
  <c r="N207" i="8"/>
  <c r="B208" i="8"/>
  <c r="O207" i="5"/>
  <c r="N207" i="5"/>
  <c r="B208" i="5"/>
  <c r="M207" i="5"/>
  <c r="O209" i="10"/>
  <c r="M209" i="10"/>
  <c r="N209" i="10"/>
  <c r="B210" i="10"/>
  <c r="O208" i="5" l="1"/>
  <c r="N208" i="5"/>
  <c r="B209" i="5"/>
  <c r="M208" i="5"/>
  <c r="O208" i="7"/>
  <c r="M208" i="7"/>
  <c r="N208" i="7"/>
  <c r="B209" i="7"/>
  <c r="N208" i="9"/>
  <c r="B209" i="9"/>
  <c r="O208" i="9"/>
  <c r="M208" i="9"/>
  <c r="N208" i="8"/>
  <c r="M208" i="8"/>
  <c r="O208" i="8"/>
  <c r="B209" i="8"/>
  <c r="N208" i="4"/>
  <c r="M208" i="4"/>
  <c r="B209" i="4"/>
  <c r="O208" i="4"/>
  <c r="B209" i="6"/>
  <c r="M208" i="6"/>
  <c r="O208" i="6"/>
  <c r="N208" i="6"/>
  <c r="N210" i="10"/>
  <c r="O210" i="10"/>
  <c r="M210" i="10"/>
  <c r="B211" i="10"/>
  <c r="M209" i="8" l="1"/>
  <c r="N209" i="8"/>
  <c r="O209" i="8"/>
  <c r="B210" i="8"/>
  <c r="O209" i="7"/>
  <c r="M209" i="7"/>
  <c r="B210" i="7"/>
  <c r="N209" i="7"/>
  <c r="N209" i="6"/>
  <c r="M209" i="6"/>
  <c r="O209" i="6"/>
  <c r="B210" i="6"/>
  <c r="O209" i="4"/>
  <c r="M209" i="4"/>
  <c r="B210" i="4"/>
  <c r="N209" i="4"/>
  <c r="O209" i="5"/>
  <c r="N209" i="5"/>
  <c r="B210" i="5"/>
  <c r="M209" i="5"/>
  <c r="O209" i="9"/>
  <c r="N209" i="9"/>
  <c r="M209" i="9"/>
  <c r="B210" i="9"/>
  <c r="M211" i="10"/>
  <c r="N211" i="10"/>
  <c r="O211" i="10"/>
  <c r="B212" i="10"/>
  <c r="N210" i="9" l="1"/>
  <c r="M210" i="9"/>
  <c r="O210" i="9"/>
  <c r="B211" i="9"/>
  <c r="N210" i="7"/>
  <c r="M210" i="7"/>
  <c r="O210" i="7"/>
  <c r="B211" i="7"/>
  <c r="M210" i="6"/>
  <c r="O210" i="6"/>
  <c r="N210" i="6"/>
  <c r="B211" i="6"/>
  <c r="O210" i="8"/>
  <c r="M210" i="8"/>
  <c r="B211" i="8"/>
  <c r="N210" i="8"/>
  <c r="O210" i="5"/>
  <c r="B211" i="5"/>
  <c r="N210" i="5"/>
  <c r="M210" i="5"/>
  <c r="M210" i="4"/>
  <c r="N210" i="4"/>
  <c r="O210" i="4"/>
  <c r="B211" i="4"/>
  <c r="O212" i="10"/>
  <c r="N212" i="10"/>
  <c r="M212" i="10"/>
  <c r="B213" i="10"/>
  <c r="M211" i="4" l="1"/>
  <c r="O211" i="4"/>
  <c r="N211" i="4"/>
  <c r="B212" i="4"/>
  <c r="N211" i="7"/>
  <c r="M211" i="7"/>
  <c r="O211" i="7"/>
  <c r="B212" i="7"/>
  <c r="N211" i="8"/>
  <c r="M211" i="8"/>
  <c r="O211" i="8"/>
  <c r="B212" i="8"/>
  <c r="O211" i="6"/>
  <c r="N211" i="6"/>
  <c r="M211" i="6"/>
  <c r="B212" i="6"/>
  <c r="O211" i="9"/>
  <c r="B212" i="9"/>
  <c r="N211" i="9"/>
  <c r="M211" i="9"/>
  <c r="O211" i="5"/>
  <c r="N211" i="5"/>
  <c r="B212" i="5"/>
  <c r="M211" i="5"/>
  <c r="O213" i="10"/>
  <c r="M213" i="10"/>
  <c r="N213" i="10"/>
  <c r="B214" i="10"/>
  <c r="O212" i="6" l="1"/>
  <c r="B213" i="6"/>
  <c r="N212" i="6"/>
  <c r="M212" i="6"/>
  <c r="N212" i="7"/>
  <c r="O212" i="7"/>
  <c r="M212" i="7"/>
  <c r="B213" i="7"/>
  <c r="N212" i="8"/>
  <c r="M212" i="8"/>
  <c r="O212" i="8"/>
  <c r="B213" i="8"/>
  <c r="O212" i="4"/>
  <c r="N212" i="4"/>
  <c r="M212" i="4"/>
  <c r="B213" i="4"/>
  <c r="N212" i="5"/>
  <c r="M212" i="5"/>
  <c r="B213" i="5"/>
  <c r="O212" i="5"/>
  <c r="M212" i="9"/>
  <c r="N212" i="9"/>
  <c r="B213" i="9"/>
  <c r="O212" i="9"/>
  <c r="O214" i="10"/>
  <c r="M214" i="10"/>
  <c r="N214" i="10"/>
  <c r="B215" i="10"/>
  <c r="O213" i="4" l="1"/>
  <c r="N213" i="4"/>
  <c r="M213" i="4"/>
  <c r="B214" i="4"/>
  <c r="M213" i="9"/>
  <c r="N213" i="9"/>
  <c r="O213" i="9"/>
  <c r="B214" i="9"/>
  <c r="O213" i="8"/>
  <c r="M213" i="8"/>
  <c r="B214" i="8"/>
  <c r="N213" i="8"/>
  <c r="O213" i="7"/>
  <c r="N213" i="7"/>
  <c r="B214" i="7"/>
  <c r="M213" i="7"/>
  <c r="O213" i="6"/>
  <c r="N213" i="6"/>
  <c r="M213" i="6"/>
  <c r="B214" i="6"/>
  <c r="B214" i="5"/>
  <c r="M213" i="5"/>
  <c r="O213" i="5"/>
  <c r="N213" i="5"/>
  <c r="N215" i="10"/>
  <c r="M215" i="10"/>
  <c r="O215" i="10"/>
  <c r="B216" i="10"/>
  <c r="N214" i="4" l="1"/>
  <c r="B215" i="4"/>
  <c r="M214" i="4"/>
  <c r="O214" i="4"/>
  <c r="N214" i="5"/>
  <c r="B215" i="5"/>
  <c r="M214" i="5"/>
  <c r="O214" i="5"/>
  <c r="N214" i="7"/>
  <c r="O214" i="7"/>
  <c r="M214" i="7"/>
  <c r="B215" i="7"/>
  <c r="M214" i="9"/>
  <c r="N214" i="9"/>
  <c r="B215" i="9"/>
  <c r="O214" i="9"/>
  <c r="N214" i="6"/>
  <c r="N6" i="6" s="1"/>
  <c r="H3" i="1" s="1"/>
  <c r="I3" i="1" s="1"/>
  <c r="M214" i="6"/>
  <c r="M6" i="6" s="1"/>
  <c r="E3" i="1" s="1"/>
  <c r="F3" i="1" s="1"/>
  <c r="O214" i="6"/>
  <c r="O6" i="6" s="1"/>
  <c r="N214" i="8"/>
  <c r="O214" i="8"/>
  <c r="M214" i="8"/>
  <c r="B215" i="8"/>
  <c r="M216" i="10"/>
  <c r="N216" i="10"/>
  <c r="O216" i="10"/>
  <c r="B217" i="10"/>
  <c r="B216" i="9" l="1"/>
  <c r="O215" i="9"/>
  <c r="N215" i="9"/>
  <c r="M215" i="9"/>
  <c r="O215" i="8"/>
  <c r="M215" i="8"/>
  <c r="N215" i="8"/>
  <c r="B216" i="8"/>
  <c r="O215" i="5"/>
  <c r="M215" i="5"/>
  <c r="N215" i="5"/>
  <c r="B216" i="5"/>
  <c r="O215" i="7"/>
  <c r="B216" i="7"/>
  <c r="N215" i="7"/>
  <c r="M215" i="7"/>
  <c r="J3" i="1"/>
  <c r="O4" i="6"/>
  <c r="K3" i="1" s="1"/>
  <c r="O215" i="4"/>
  <c r="B216" i="4"/>
  <c r="N215" i="4"/>
  <c r="M215" i="4"/>
  <c r="O217" i="10"/>
  <c r="M217" i="10"/>
  <c r="N217" i="10"/>
  <c r="B218" i="10"/>
  <c r="N216" i="8" l="1"/>
  <c r="M216" i="8"/>
  <c r="O216" i="8"/>
  <c r="B217" i="8"/>
  <c r="O216" i="7"/>
  <c r="N216" i="7"/>
  <c r="M216" i="7"/>
  <c r="B217" i="7"/>
  <c r="M216" i="4"/>
  <c r="O216" i="4"/>
  <c r="B217" i="4"/>
  <c r="N216" i="4"/>
  <c r="B217" i="5"/>
  <c r="O216" i="5"/>
  <c r="N216" i="5"/>
  <c r="M216" i="5"/>
  <c r="O216" i="9"/>
  <c r="B217" i="9"/>
  <c r="N216" i="9"/>
  <c r="M216" i="9"/>
  <c r="N218" i="10"/>
  <c r="O218" i="10"/>
  <c r="M218" i="10"/>
  <c r="B219" i="10"/>
  <c r="O217" i="7" l="1"/>
  <c r="B218" i="7"/>
  <c r="N217" i="7"/>
  <c r="M217" i="7"/>
  <c r="M217" i="5"/>
  <c r="B218" i="5"/>
  <c r="O217" i="5"/>
  <c r="N217" i="5"/>
  <c r="M217" i="8"/>
  <c r="N217" i="8"/>
  <c r="O217" i="8"/>
  <c r="B218" i="8"/>
  <c r="O217" i="4"/>
  <c r="N217" i="4"/>
  <c r="M217" i="4"/>
  <c r="B218" i="4"/>
  <c r="O217" i="9"/>
  <c r="M217" i="9"/>
  <c r="N217" i="9"/>
  <c r="B218" i="9"/>
  <c r="M219" i="10"/>
  <c r="O219" i="10"/>
  <c r="N219" i="10"/>
  <c r="B220" i="10"/>
  <c r="O218" i="5" l="1"/>
  <c r="N218" i="5"/>
  <c r="M218" i="5"/>
  <c r="B219" i="5"/>
  <c r="O218" i="4"/>
  <c r="B219" i="4"/>
  <c r="N218" i="4"/>
  <c r="M218" i="4"/>
  <c r="B219" i="9"/>
  <c r="O218" i="9"/>
  <c r="N218" i="9"/>
  <c r="M218" i="9"/>
  <c r="M218" i="8"/>
  <c r="N218" i="8"/>
  <c r="B219" i="8"/>
  <c r="O218" i="8"/>
  <c r="O218" i="7"/>
  <c r="N218" i="7"/>
  <c r="M218" i="7"/>
  <c r="B219" i="7"/>
  <c r="O220" i="10"/>
  <c r="N220" i="10"/>
  <c r="M220" i="10"/>
  <c r="B221" i="10"/>
  <c r="M219" i="8" l="1"/>
  <c r="O219" i="8"/>
  <c r="B220" i="8"/>
  <c r="N219" i="8"/>
  <c r="M219" i="4"/>
  <c r="B220" i="4"/>
  <c r="O219" i="4"/>
  <c r="N219" i="4"/>
  <c r="B220" i="7"/>
  <c r="N219" i="7"/>
  <c r="M219" i="7"/>
  <c r="O219" i="7"/>
  <c r="M219" i="5"/>
  <c r="O219" i="5"/>
  <c r="B220" i="5"/>
  <c r="N219" i="5"/>
  <c r="M219" i="9"/>
  <c r="B220" i="9"/>
  <c r="O219" i="9"/>
  <c r="N219" i="9"/>
  <c r="M221" i="10"/>
  <c r="N221" i="10"/>
  <c r="O221" i="10"/>
  <c r="B222" i="10"/>
  <c r="N220" i="5" l="1"/>
  <c r="O220" i="5"/>
  <c r="M220" i="5"/>
  <c r="B221" i="5"/>
  <c r="O220" i="4"/>
  <c r="M220" i="4"/>
  <c r="N220" i="4"/>
  <c r="B221" i="4"/>
  <c r="N220" i="8"/>
  <c r="M220" i="8"/>
  <c r="B221" i="8"/>
  <c r="O220" i="8"/>
  <c r="N220" i="9"/>
  <c r="O220" i="9"/>
  <c r="M220" i="9"/>
  <c r="B221" i="9"/>
  <c r="B221" i="7"/>
  <c r="M220" i="7"/>
  <c r="N220" i="7"/>
  <c r="O220" i="7"/>
  <c r="O222" i="10"/>
  <c r="M222" i="10"/>
  <c r="N222" i="10"/>
  <c r="B223" i="10"/>
  <c r="O221" i="4" l="1"/>
  <c r="N221" i="4"/>
  <c r="M221" i="4"/>
  <c r="B222" i="4"/>
  <c r="M221" i="9"/>
  <c r="N221" i="9"/>
  <c r="B222" i="9"/>
  <c r="O221" i="9"/>
  <c r="N221" i="5"/>
  <c r="B222" i="5"/>
  <c r="M221" i="5"/>
  <c r="O221" i="5"/>
  <c r="O221" i="8"/>
  <c r="M221" i="8"/>
  <c r="N221" i="8"/>
  <c r="B222" i="8"/>
  <c r="N221" i="7"/>
  <c r="M221" i="7"/>
  <c r="B222" i="7"/>
  <c r="O221" i="7"/>
  <c r="N223" i="10"/>
  <c r="O223" i="10"/>
  <c r="M223" i="10"/>
  <c r="B224" i="10"/>
  <c r="M222" i="9" l="1"/>
  <c r="O222" i="9"/>
  <c r="N222" i="9"/>
  <c r="B223" i="9"/>
  <c r="M222" i="4"/>
  <c r="N222" i="4"/>
  <c r="B223" i="4"/>
  <c r="O222" i="4"/>
  <c r="O222" i="7"/>
  <c r="M222" i="7"/>
  <c r="B223" i="7"/>
  <c r="N222" i="7"/>
  <c r="N222" i="8"/>
  <c r="M222" i="8"/>
  <c r="O222" i="8"/>
  <c r="B223" i="8"/>
  <c r="O222" i="5"/>
  <c r="N222" i="5"/>
  <c r="M222" i="5"/>
  <c r="B223" i="5"/>
  <c r="M224" i="10"/>
  <c r="N224" i="10"/>
  <c r="O224" i="10"/>
  <c r="B225" i="10"/>
  <c r="N223" i="8" l="1"/>
  <c r="B224" i="8"/>
  <c r="O223" i="8"/>
  <c r="M223" i="8"/>
  <c r="M223" i="4"/>
  <c r="O223" i="4"/>
  <c r="B224" i="4"/>
  <c r="N223" i="4"/>
  <c r="O223" i="5"/>
  <c r="N223" i="5"/>
  <c r="B224" i="5"/>
  <c r="M223" i="5"/>
  <c r="O223" i="9"/>
  <c r="N223" i="9"/>
  <c r="M223" i="9"/>
  <c r="B224" i="9"/>
  <c r="N223" i="7"/>
  <c r="M223" i="7"/>
  <c r="O223" i="7"/>
  <c r="B224" i="7"/>
  <c r="O225" i="10"/>
  <c r="N225" i="10"/>
  <c r="M225" i="10"/>
  <c r="B226" i="10"/>
  <c r="N224" i="4" l="1"/>
  <c r="M224" i="4"/>
  <c r="O224" i="4"/>
  <c r="B225" i="4"/>
  <c r="M224" i="9"/>
  <c r="O224" i="9"/>
  <c r="B225" i="9"/>
  <c r="N224" i="9"/>
  <c r="N224" i="7"/>
  <c r="B225" i="7"/>
  <c r="O224" i="7"/>
  <c r="M224" i="7"/>
  <c r="O224" i="5"/>
  <c r="B225" i="5"/>
  <c r="N224" i="5"/>
  <c r="M224" i="5"/>
  <c r="N224" i="8"/>
  <c r="O224" i="8"/>
  <c r="M224" i="8"/>
  <c r="B225" i="8"/>
  <c r="N226" i="10"/>
  <c r="O226" i="10"/>
  <c r="M226" i="10"/>
  <c r="B227" i="10"/>
  <c r="O225" i="9" l="1"/>
  <c r="M225" i="9"/>
  <c r="B226" i="9"/>
  <c r="N225" i="9"/>
  <c r="N225" i="5"/>
  <c r="B226" i="5"/>
  <c r="O225" i="5"/>
  <c r="M225" i="5"/>
  <c r="O225" i="8"/>
  <c r="M225" i="8"/>
  <c r="N225" i="8"/>
  <c r="B226" i="8"/>
  <c r="M225" i="4"/>
  <c r="B226" i="4"/>
  <c r="O225" i="4"/>
  <c r="N225" i="4"/>
  <c r="O225" i="7"/>
  <c r="B226" i="7"/>
  <c r="N225" i="7"/>
  <c r="M225" i="7"/>
  <c r="M227" i="10"/>
  <c r="O227" i="10"/>
  <c r="N227" i="10"/>
  <c r="B228" i="10"/>
  <c r="M226" i="4" l="1"/>
  <c r="O226" i="4"/>
  <c r="N226" i="4"/>
  <c r="B227" i="4"/>
  <c r="O226" i="5"/>
  <c r="N226" i="5"/>
  <c r="M226" i="5"/>
  <c r="B227" i="5"/>
  <c r="O226" i="8"/>
  <c r="M226" i="8"/>
  <c r="N226" i="8"/>
  <c r="B227" i="8"/>
  <c r="B227" i="9"/>
  <c r="O226" i="9"/>
  <c r="N226" i="9"/>
  <c r="M226" i="9"/>
  <c r="M226" i="7"/>
  <c r="O226" i="7"/>
  <c r="N226" i="7"/>
  <c r="B227" i="7"/>
  <c r="M228" i="10"/>
  <c r="O228" i="10"/>
  <c r="N228" i="10"/>
  <c r="B229" i="10"/>
  <c r="O227" i="5" l="1"/>
  <c r="N227" i="5"/>
  <c r="M227" i="5"/>
  <c r="B228" i="5"/>
  <c r="O227" i="9"/>
  <c r="N227" i="9"/>
  <c r="B228" i="9"/>
  <c r="M227" i="9"/>
  <c r="M227" i="7"/>
  <c r="N227" i="7"/>
  <c r="O227" i="7"/>
  <c r="B228" i="7"/>
  <c r="O227" i="8"/>
  <c r="N227" i="8"/>
  <c r="M227" i="8"/>
  <c r="B228" i="8"/>
  <c r="M227" i="4"/>
  <c r="B228" i="4"/>
  <c r="N227" i="4"/>
  <c r="O227" i="4"/>
  <c r="N229" i="10"/>
  <c r="O229" i="10"/>
  <c r="M229" i="10"/>
  <c r="B230" i="10"/>
  <c r="N228" i="8" l="1"/>
  <c r="M228" i="8"/>
  <c r="O228" i="8"/>
  <c r="B229" i="8"/>
  <c r="N228" i="9"/>
  <c r="M228" i="9"/>
  <c r="B229" i="9"/>
  <c r="O228" i="9"/>
  <c r="B229" i="7"/>
  <c r="O228" i="7"/>
  <c r="M228" i="7"/>
  <c r="N228" i="7"/>
  <c r="N228" i="5"/>
  <c r="O228" i="5"/>
  <c r="B229" i="5"/>
  <c r="M228" i="5"/>
  <c r="M228" i="4"/>
  <c r="N228" i="4"/>
  <c r="O228" i="4"/>
  <c r="B229" i="4"/>
  <c r="O230" i="10"/>
  <c r="M230" i="10"/>
  <c r="N230" i="10"/>
  <c r="B231" i="10"/>
  <c r="O229" i="5" l="1"/>
  <c r="B230" i="5"/>
  <c r="M229" i="5"/>
  <c r="N229" i="5"/>
  <c r="M229" i="8"/>
  <c r="O229" i="8"/>
  <c r="N229" i="8"/>
  <c r="B230" i="8"/>
  <c r="M229" i="9"/>
  <c r="N229" i="9"/>
  <c r="B230" i="9"/>
  <c r="O229" i="9"/>
  <c r="B230" i="4"/>
  <c r="O229" i="4"/>
  <c r="N229" i="4"/>
  <c r="M229" i="4"/>
  <c r="M229" i="7"/>
  <c r="O229" i="7"/>
  <c r="N229" i="7"/>
  <c r="B230" i="7"/>
  <c r="N231" i="10"/>
  <c r="O231" i="10"/>
  <c r="M231" i="10"/>
  <c r="B232" i="10"/>
  <c r="O230" i="4" l="1"/>
  <c r="O6" i="4" s="1"/>
  <c r="N230" i="4"/>
  <c r="N6" i="4" s="1"/>
  <c r="H2" i="1" s="1"/>
  <c r="I2" i="1" s="1"/>
  <c r="M230" i="4"/>
  <c r="M6" i="4" s="1"/>
  <c r="E2" i="1" s="1"/>
  <c r="F2" i="1" s="1"/>
  <c r="M230" i="7"/>
  <c r="N230" i="7"/>
  <c r="B231" i="7"/>
  <c r="O230" i="7"/>
  <c r="N230" i="9"/>
  <c r="O230" i="9"/>
  <c r="M230" i="9"/>
  <c r="B231" i="9"/>
  <c r="O230" i="5"/>
  <c r="N230" i="5"/>
  <c r="B231" i="5"/>
  <c r="M230" i="5"/>
  <c r="N230" i="8"/>
  <c r="N6" i="8" s="1"/>
  <c r="H6" i="1" s="1"/>
  <c r="I6" i="1" s="1"/>
  <c r="M230" i="8"/>
  <c r="M6" i="8" s="1"/>
  <c r="E6" i="1" s="1"/>
  <c r="F6" i="1" s="1"/>
  <c r="O230" i="8"/>
  <c r="O6" i="8" s="1"/>
  <c r="M232" i="10"/>
  <c r="O232" i="10"/>
  <c r="N232" i="10"/>
  <c r="B233" i="10"/>
  <c r="O231" i="5" l="1"/>
  <c r="N231" i="5"/>
  <c r="M231" i="5"/>
  <c r="B232" i="5"/>
  <c r="N231" i="7"/>
  <c r="B232" i="7"/>
  <c r="M231" i="7"/>
  <c r="O231" i="7"/>
  <c r="O231" i="9"/>
  <c r="N231" i="9"/>
  <c r="M231" i="9"/>
  <c r="B232" i="9"/>
  <c r="J6" i="1"/>
  <c r="O4" i="8"/>
  <c r="K6" i="1" s="1"/>
  <c r="J2" i="1"/>
  <c r="O4" i="4"/>
  <c r="K2" i="1" s="1"/>
  <c r="O233" i="10"/>
  <c r="M233" i="10"/>
  <c r="N233" i="10"/>
  <c r="B234" i="10"/>
  <c r="O232" i="7" l="1"/>
  <c r="M232" i="7"/>
  <c r="N232" i="7"/>
  <c r="B233" i="7"/>
  <c r="N232" i="5"/>
  <c r="M232" i="5"/>
  <c r="O232" i="5"/>
  <c r="B233" i="5"/>
  <c r="N232" i="9"/>
  <c r="M232" i="9"/>
  <c r="O232" i="9"/>
  <c r="B233" i="9"/>
  <c r="N234" i="10"/>
  <c r="M234" i="10"/>
  <c r="O234" i="10"/>
  <c r="B235" i="10"/>
  <c r="O233" i="5" l="1"/>
  <c r="N233" i="5"/>
  <c r="M233" i="5"/>
  <c r="B234" i="5"/>
  <c r="N233" i="9"/>
  <c r="B234" i="9"/>
  <c r="O233" i="9"/>
  <c r="M233" i="9"/>
  <c r="O233" i="7"/>
  <c r="B234" i="7"/>
  <c r="N233" i="7"/>
  <c r="M233" i="7"/>
  <c r="M235" i="10"/>
  <c r="N235" i="10"/>
  <c r="O235" i="10"/>
  <c r="B236" i="10"/>
  <c r="O234" i="9" l="1"/>
  <c r="M234" i="9"/>
  <c r="B235" i="9"/>
  <c r="N234" i="9"/>
  <c r="O234" i="5"/>
  <c r="B235" i="5"/>
  <c r="N234" i="5"/>
  <c r="M234" i="5"/>
  <c r="N234" i="7"/>
  <c r="M234" i="7"/>
  <c r="B235" i="7"/>
  <c r="O234" i="7"/>
  <c r="O236" i="10"/>
  <c r="M236" i="10"/>
  <c r="N236" i="10"/>
  <c r="B237" i="10"/>
  <c r="N235" i="9" l="1"/>
  <c r="B236" i="9"/>
  <c r="O235" i="9"/>
  <c r="M235" i="9"/>
  <c r="O235" i="5"/>
  <c r="N235" i="5"/>
  <c r="B236" i="5"/>
  <c r="M235" i="5"/>
  <c r="N235" i="7"/>
  <c r="O235" i="7"/>
  <c r="M235" i="7"/>
  <c r="B236" i="7"/>
  <c r="N237" i="10"/>
  <c r="M237" i="10"/>
  <c r="O237" i="10"/>
  <c r="B238" i="10"/>
  <c r="O236" i="5" l="1"/>
  <c r="N236" i="5"/>
  <c r="M236" i="5"/>
  <c r="B237" i="5"/>
  <c r="M236" i="7"/>
  <c r="N236" i="7"/>
  <c r="O236" i="7"/>
  <c r="B237" i="7"/>
  <c r="O236" i="9"/>
  <c r="N236" i="9"/>
  <c r="M236" i="9"/>
  <c r="B237" i="9"/>
  <c r="O238" i="10"/>
  <c r="N238" i="10"/>
  <c r="M238" i="10"/>
  <c r="B239" i="10"/>
  <c r="O237" i="7" l="1"/>
  <c r="N237" i="7"/>
  <c r="M237" i="7"/>
  <c r="B238" i="7"/>
  <c r="O237" i="5"/>
  <c r="N237" i="5"/>
  <c r="M237" i="5"/>
  <c r="B238" i="5"/>
  <c r="M237" i="9"/>
  <c r="N237" i="9"/>
  <c r="O237" i="9"/>
  <c r="B238" i="9"/>
  <c r="N239" i="10"/>
  <c r="O239" i="10"/>
  <c r="M239" i="10"/>
  <c r="B240" i="10"/>
  <c r="O238" i="7" l="1"/>
  <c r="N238" i="7"/>
  <c r="B239" i="7"/>
  <c r="M238" i="7"/>
  <c r="O238" i="5"/>
  <c r="N238" i="5"/>
  <c r="M238" i="5"/>
  <c r="B239" i="5"/>
  <c r="O238" i="9"/>
  <c r="M238" i="9"/>
  <c r="N238" i="9"/>
  <c r="B239" i="9"/>
  <c r="M240" i="10"/>
  <c r="O240" i="10"/>
  <c r="N240" i="10"/>
  <c r="B241" i="10"/>
  <c r="O239" i="5" l="1"/>
  <c r="M239" i="5"/>
  <c r="N239" i="5"/>
  <c r="B240" i="5"/>
  <c r="B240" i="7"/>
  <c r="M239" i="7"/>
  <c r="O239" i="7"/>
  <c r="N239" i="7"/>
  <c r="O239" i="9"/>
  <c r="N239" i="9"/>
  <c r="M239" i="9"/>
  <c r="B240" i="9"/>
  <c r="O241" i="10"/>
  <c r="M241" i="10"/>
  <c r="N241" i="10"/>
  <c r="B242" i="10"/>
  <c r="B241" i="5" l="1"/>
  <c r="O240" i="5"/>
  <c r="N240" i="5"/>
  <c r="M240" i="5"/>
  <c r="B241" i="9"/>
  <c r="N240" i="9"/>
  <c r="M240" i="9"/>
  <c r="O240" i="9"/>
  <c r="O240" i="7"/>
  <c r="M240" i="7"/>
  <c r="N240" i="7"/>
  <c r="B241" i="7"/>
  <c r="N242" i="10"/>
  <c r="O242" i="10"/>
  <c r="M242" i="10"/>
  <c r="B243" i="10"/>
  <c r="B242" i="9" l="1"/>
  <c r="M241" i="9"/>
  <c r="N241" i="9"/>
  <c r="O241" i="9"/>
  <c r="B242" i="7"/>
  <c r="O241" i="7"/>
  <c r="N241" i="7"/>
  <c r="M241" i="7"/>
  <c r="O241" i="5"/>
  <c r="N241" i="5"/>
  <c r="B242" i="5"/>
  <c r="M241" i="5"/>
  <c r="M243" i="10"/>
  <c r="N243" i="10"/>
  <c r="O243" i="10"/>
  <c r="B244" i="10"/>
  <c r="O242" i="7" l="1"/>
  <c r="N242" i="7"/>
  <c r="B243" i="7"/>
  <c r="M242" i="7"/>
  <c r="O242" i="5"/>
  <c r="N242" i="5"/>
  <c r="B243" i="5"/>
  <c r="M242" i="5"/>
  <c r="O242" i="9"/>
  <c r="N242" i="9"/>
  <c r="M242" i="9"/>
  <c r="B243" i="9"/>
  <c r="O244" i="10"/>
  <c r="N244" i="10"/>
  <c r="M244" i="10"/>
  <c r="B245" i="10"/>
  <c r="N243" i="5" l="1"/>
  <c r="O243" i="5"/>
  <c r="M243" i="5"/>
  <c r="B244" i="5"/>
  <c r="B244" i="7"/>
  <c r="N243" i="7"/>
  <c r="O243" i="7"/>
  <c r="M243" i="7"/>
  <c r="O243" i="9"/>
  <c r="N243" i="9"/>
  <c r="M243" i="9"/>
  <c r="B244" i="9"/>
  <c r="O245" i="10"/>
  <c r="N245" i="10"/>
  <c r="M245" i="10"/>
  <c r="B246" i="10"/>
  <c r="M244" i="7" l="1"/>
  <c r="O244" i="7"/>
  <c r="N244" i="7"/>
  <c r="B245" i="7"/>
  <c r="M244" i="5"/>
  <c r="O244" i="5"/>
  <c r="N244" i="5"/>
  <c r="B245" i="5"/>
  <c r="N244" i="9"/>
  <c r="M244" i="9"/>
  <c r="O244" i="9"/>
  <c r="B245" i="9"/>
  <c r="O246" i="10"/>
  <c r="N246" i="10"/>
  <c r="M246" i="10"/>
  <c r="B247" i="10"/>
  <c r="O245" i="5" l="1"/>
  <c r="N245" i="5"/>
  <c r="M245" i="5"/>
  <c r="B246" i="5"/>
  <c r="O245" i="7"/>
  <c r="N245" i="7"/>
  <c r="B246" i="7"/>
  <c r="M245" i="7"/>
  <c r="O245" i="9"/>
  <c r="M245" i="9"/>
  <c r="N245" i="9"/>
  <c r="B246" i="9"/>
  <c r="N247" i="10"/>
  <c r="O247" i="10"/>
  <c r="M247" i="10"/>
  <c r="B248" i="10"/>
  <c r="O246" i="7" l="1"/>
  <c r="N246" i="7"/>
  <c r="B247" i="7"/>
  <c r="M246" i="7"/>
  <c r="M246" i="5"/>
  <c r="M6" i="5" s="1"/>
  <c r="E4" i="1" s="1"/>
  <c r="F4" i="1" s="1"/>
  <c r="O246" i="5"/>
  <c r="O6" i="5" s="1"/>
  <c r="N246" i="5"/>
  <c r="N6" i="5" s="1"/>
  <c r="H4" i="1" s="1"/>
  <c r="I4" i="1" s="1"/>
  <c r="O246" i="9"/>
  <c r="O6" i="9" s="1"/>
  <c r="M246" i="9"/>
  <c r="M6" i="9" s="1"/>
  <c r="E7" i="1" s="1"/>
  <c r="F7" i="1" s="1"/>
  <c r="N246" i="9"/>
  <c r="N6" i="9" s="1"/>
  <c r="H7" i="1" s="1"/>
  <c r="I7" i="1" s="1"/>
  <c r="M248" i="10"/>
  <c r="N248" i="10"/>
  <c r="O248" i="10"/>
  <c r="B249" i="10"/>
  <c r="O4" i="9" l="1"/>
  <c r="K7" i="1" s="1"/>
  <c r="J7" i="1"/>
  <c r="O4" i="5"/>
  <c r="K4" i="1" s="1"/>
  <c r="J4" i="1"/>
  <c r="M247" i="7"/>
  <c r="B248" i="7"/>
  <c r="N247" i="7"/>
  <c r="O247" i="7"/>
  <c r="O249" i="10"/>
  <c r="M249" i="10"/>
  <c r="N249" i="10"/>
  <c r="B250" i="10"/>
  <c r="N248" i="7" l="1"/>
  <c r="M248" i="7"/>
  <c r="B249" i="7"/>
  <c r="O248" i="7"/>
  <c r="N250" i="10"/>
  <c r="O250" i="10"/>
  <c r="M250" i="10"/>
  <c r="B251" i="10"/>
  <c r="O249" i="7" l="1"/>
  <c r="N249" i="7"/>
  <c r="M249" i="7"/>
  <c r="B250" i="7"/>
  <c r="M251" i="10"/>
  <c r="O251" i="10"/>
  <c r="N251" i="10"/>
  <c r="B252" i="10"/>
  <c r="O250" i="7" l="1"/>
  <c r="N250" i="7"/>
  <c r="M250" i="7"/>
  <c r="B251" i="7"/>
  <c r="M252" i="10"/>
  <c r="O252" i="10"/>
  <c r="N252" i="10"/>
  <c r="B253" i="10"/>
  <c r="N251" i="7" l="1"/>
  <c r="M251" i="7"/>
  <c r="B252" i="7"/>
  <c r="O251" i="7"/>
  <c r="M253" i="10"/>
  <c r="O253" i="10"/>
  <c r="N253" i="10"/>
  <c r="B254" i="10"/>
  <c r="O252" i="7" l="1"/>
  <c r="M252" i="7"/>
  <c r="N252" i="7"/>
  <c r="B253" i="7"/>
  <c r="O254" i="10"/>
  <c r="M254" i="10"/>
  <c r="N254" i="10"/>
  <c r="B255" i="10"/>
  <c r="B254" i="7" l="1"/>
  <c r="O253" i="7"/>
  <c r="N253" i="7"/>
  <c r="M253" i="7"/>
  <c r="N255" i="10"/>
  <c r="O255" i="10"/>
  <c r="M255" i="10"/>
  <c r="B256" i="10"/>
  <c r="O254" i="7" l="1"/>
  <c r="N254" i="7"/>
  <c r="M254" i="7"/>
  <c r="B255" i="7"/>
  <c r="M256" i="10"/>
  <c r="N256" i="10"/>
  <c r="O256" i="10"/>
  <c r="B257" i="10"/>
  <c r="O255" i="7" l="1"/>
  <c r="N255" i="7"/>
  <c r="M255" i="7"/>
  <c r="B256" i="7"/>
  <c r="O257" i="10"/>
  <c r="N257" i="10"/>
  <c r="M257" i="10"/>
  <c r="B258" i="10"/>
  <c r="O256" i="7" l="1"/>
  <c r="M256" i="7"/>
  <c r="B257" i="7"/>
  <c r="N256" i="7"/>
  <c r="N258" i="10"/>
  <c r="O258" i="10"/>
  <c r="M258" i="10"/>
  <c r="B259" i="10"/>
  <c r="O257" i="7" l="1"/>
  <c r="B258" i="7"/>
  <c r="N257" i="7"/>
  <c r="M257" i="7"/>
  <c r="M259" i="10"/>
  <c r="O259" i="10"/>
  <c r="N259" i="10"/>
  <c r="B260" i="10"/>
  <c r="N258" i="7" l="1"/>
  <c r="M258" i="7"/>
  <c r="B259" i="7"/>
  <c r="O258" i="7"/>
  <c r="M260" i="10"/>
  <c r="O260" i="10"/>
  <c r="N260" i="10"/>
  <c r="B261" i="10"/>
  <c r="N259" i="7" l="1"/>
  <c r="O259" i="7"/>
  <c r="M259" i="7"/>
  <c r="B260" i="7"/>
  <c r="N261" i="10"/>
  <c r="O261" i="10"/>
  <c r="M261" i="10"/>
  <c r="B262" i="10"/>
  <c r="M260" i="7" l="1"/>
  <c r="N260" i="7"/>
  <c r="B261" i="7"/>
  <c r="O260" i="7"/>
  <c r="O262" i="10"/>
  <c r="M262" i="10"/>
  <c r="N262" i="10"/>
  <c r="B263" i="10"/>
  <c r="O261" i="7" l="1"/>
  <c r="B262" i="7"/>
  <c r="N261" i="7"/>
  <c r="M261" i="7"/>
  <c r="N263" i="10"/>
  <c r="O263" i="10"/>
  <c r="M263" i="10"/>
  <c r="B264" i="10"/>
  <c r="N262" i="7" l="1"/>
  <c r="B263" i="7"/>
  <c r="O262" i="7"/>
  <c r="M262" i="7"/>
  <c r="M264" i="10"/>
  <c r="O264" i="10"/>
  <c r="N264" i="10"/>
  <c r="B265" i="10"/>
  <c r="O263" i="7" l="1"/>
  <c r="N263" i="7"/>
  <c r="M263" i="7"/>
  <c r="B264" i="7"/>
  <c r="O265" i="10"/>
  <c r="N265" i="10"/>
  <c r="M265" i="10"/>
  <c r="B266" i="10"/>
  <c r="B265" i="7" l="1"/>
  <c r="O264" i="7"/>
  <c r="N264" i="7"/>
  <c r="M264" i="7"/>
  <c r="N266" i="10"/>
  <c r="O266" i="10"/>
  <c r="M266" i="10"/>
  <c r="B267" i="10"/>
  <c r="N265" i="7" l="1"/>
  <c r="O265" i="7"/>
  <c r="B266" i="7"/>
  <c r="M265" i="7"/>
  <c r="M267" i="10"/>
  <c r="N267" i="10"/>
  <c r="O267" i="10"/>
  <c r="B268" i="10"/>
  <c r="O266" i="7" l="1"/>
  <c r="M266" i="7"/>
  <c r="B267" i="7"/>
  <c r="N266" i="7"/>
  <c r="O268" i="10"/>
  <c r="M268" i="10"/>
  <c r="N268" i="10"/>
  <c r="B269" i="10"/>
  <c r="B268" i="7" l="1"/>
  <c r="M267" i="7"/>
  <c r="O267" i="7"/>
  <c r="N267" i="7"/>
  <c r="N269" i="10"/>
  <c r="M269" i="10"/>
  <c r="O269" i="10"/>
  <c r="B270" i="10"/>
  <c r="M268" i="7" l="1"/>
  <c r="O268" i="7"/>
  <c r="B269" i="7"/>
  <c r="N268" i="7"/>
  <c r="O270" i="10"/>
  <c r="N270" i="10"/>
  <c r="M270" i="10"/>
  <c r="B271" i="10"/>
  <c r="B270" i="7" l="1"/>
  <c r="O269" i="7"/>
  <c r="M269" i="7"/>
  <c r="N269" i="7"/>
  <c r="N271" i="10"/>
  <c r="O271" i="10"/>
  <c r="M271" i="10"/>
  <c r="B272" i="10"/>
  <c r="O270" i="7" l="1"/>
  <c r="N270" i="7"/>
  <c r="M270" i="7"/>
  <c r="B271" i="7"/>
  <c r="M272" i="10"/>
  <c r="O272" i="10"/>
  <c r="N272" i="10"/>
  <c r="B273" i="10"/>
  <c r="O271" i="7" l="1"/>
  <c r="N271" i="7"/>
  <c r="M271" i="7"/>
  <c r="B272" i="7"/>
  <c r="O273" i="10"/>
  <c r="M273" i="10"/>
  <c r="N273" i="10"/>
  <c r="B274" i="10"/>
  <c r="O272" i="7" l="1"/>
  <c r="N272" i="7"/>
  <c r="M272" i="7"/>
  <c r="B273" i="7"/>
  <c r="N274" i="10"/>
  <c r="O274" i="10"/>
  <c r="M274" i="10"/>
  <c r="B275" i="10"/>
  <c r="N273" i="7" l="1"/>
  <c r="M273" i="7"/>
  <c r="O273" i="7"/>
  <c r="B274" i="7"/>
  <c r="M275" i="10"/>
  <c r="N275" i="10"/>
  <c r="O275" i="10"/>
  <c r="B276" i="10"/>
  <c r="O274" i="7" l="1"/>
  <c r="N274" i="7"/>
  <c r="M274" i="7"/>
  <c r="B275" i="7"/>
  <c r="O276" i="10"/>
  <c r="N276" i="10"/>
  <c r="M276" i="10"/>
  <c r="B277" i="10"/>
  <c r="M275" i="7" l="1"/>
  <c r="O275" i="7"/>
  <c r="B276" i="7"/>
  <c r="N275" i="7"/>
  <c r="O277" i="10"/>
  <c r="N277" i="10"/>
  <c r="M277" i="10"/>
  <c r="B278" i="10"/>
  <c r="M276" i="7" l="1"/>
  <c r="B277" i="7"/>
  <c r="O276" i="7"/>
  <c r="N276" i="7"/>
  <c r="O278" i="10"/>
  <c r="O6" i="10" s="1"/>
  <c r="N278" i="10"/>
  <c r="N6" i="10" s="1"/>
  <c r="H8" i="1" s="1"/>
  <c r="I8" i="1" s="1"/>
  <c r="M278" i="10"/>
  <c r="M6" i="10" s="1"/>
  <c r="E8" i="1" s="1"/>
  <c r="F8" i="1" s="1"/>
  <c r="B278" i="7" l="1"/>
  <c r="N277" i="7"/>
  <c r="O277" i="7"/>
  <c r="M277" i="7"/>
  <c r="J8" i="1"/>
  <c r="O4" i="10"/>
  <c r="K8" i="1" s="1"/>
  <c r="O278" i="7" l="1"/>
  <c r="N278" i="7"/>
  <c r="M278" i="7"/>
  <c r="B279" i="7"/>
  <c r="M279" i="7" l="1"/>
  <c r="O279" i="7"/>
  <c r="B280" i="7"/>
  <c r="N279" i="7"/>
  <c r="O280" i="7" l="1"/>
  <c r="N280" i="7"/>
  <c r="B281" i="7"/>
  <c r="M280" i="7"/>
  <c r="M281" i="7" l="1"/>
  <c r="B282" i="7"/>
  <c r="O281" i="7"/>
  <c r="N281" i="7"/>
  <c r="N282" i="7" l="1"/>
  <c r="B283" i="7"/>
  <c r="O282" i="7"/>
  <c r="M282" i="7"/>
  <c r="N283" i="7" l="1"/>
  <c r="M283" i="7"/>
  <c r="O283" i="7"/>
  <c r="B284" i="7"/>
  <c r="M284" i="7" l="1"/>
  <c r="O284" i="7"/>
  <c r="N284" i="7"/>
  <c r="B285" i="7"/>
  <c r="O285" i="7" l="1"/>
  <c r="N285" i="7"/>
  <c r="M285" i="7"/>
  <c r="B286" i="7"/>
  <c r="O286" i="7" l="1"/>
  <c r="N286" i="7"/>
  <c r="B287" i="7"/>
  <c r="M286" i="7"/>
  <c r="O287" i="7" l="1"/>
  <c r="N287" i="7"/>
  <c r="M287" i="7"/>
  <c r="B288" i="7"/>
  <c r="O288" i="7" l="1"/>
  <c r="N288" i="7"/>
  <c r="M288" i="7"/>
  <c r="B289" i="7"/>
  <c r="N289" i="7" l="1"/>
  <c r="O289" i="7"/>
  <c r="M289" i="7"/>
  <c r="B290" i="7"/>
  <c r="O290" i="7" l="1"/>
  <c r="N290" i="7"/>
  <c r="M290" i="7"/>
  <c r="B291" i="7"/>
  <c r="M291" i="7" l="1"/>
  <c r="B292" i="7"/>
  <c r="N291" i="7"/>
  <c r="O291" i="7"/>
  <c r="O292" i="7" l="1"/>
  <c r="B293" i="7"/>
  <c r="M292" i="7"/>
  <c r="N292" i="7"/>
  <c r="O293" i="7" l="1"/>
  <c r="M293" i="7"/>
  <c r="N293" i="7"/>
  <c r="B294" i="7"/>
  <c r="N294" i="7" l="1"/>
  <c r="N6" i="7" s="1"/>
  <c r="H5" i="1" s="1"/>
  <c r="M294" i="7"/>
  <c r="M6" i="7" s="1"/>
  <c r="E5" i="1" s="1"/>
  <c r="O294" i="7"/>
  <c r="O6" i="7" s="1"/>
  <c r="J5" i="1" l="1"/>
  <c r="J9" i="1" s="1"/>
  <c r="O4" i="7"/>
  <c r="K5" i="1" s="1"/>
  <c r="F5" i="1"/>
  <c r="E9" i="1"/>
  <c r="F9" i="1" s="1"/>
  <c r="I5" i="1"/>
  <c r="H9" i="1"/>
  <c r="I9" i="1" l="1"/>
  <c r="K9" i="1"/>
</calcChain>
</file>

<file path=xl/sharedStrings.xml><?xml version="1.0" encoding="utf-8"?>
<sst xmlns="http://schemas.openxmlformats.org/spreadsheetml/2006/main" count="9669" uniqueCount="823">
  <si>
    <t>STT</t>
  </si>
  <si>
    <t>Tổ Hạ Tầng</t>
  </si>
  <si>
    <t>Số lượng NV</t>
  </si>
  <si>
    <t>SL mẫu cần đo i-Speed</t>
  </si>
  <si>
    <t>Đã thực hiện i-Speed</t>
  </si>
  <si>
    <t>Tỉ lệ hoàn thành i-Speed</t>
  </si>
  <si>
    <t>SL mẫu cần đo speedtest</t>
  </si>
  <si>
    <t>Đã thực hiện Speedtest (Theo tuần)</t>
  </si>
  <si>
    <t xml:space="preserve">Tỉ lệ hoàn thành Speedtest </t>
  </si>
  <si>
    <t>SL mẫu đo 5G Speedtest</t>
  </si>
  <si>
    <t>Tỉ lệ mẫu đo 5G/số mẫu đo SpeedTest (&gt;60%/Tổ)</t>
  </si>
  <si>
    <t>Bến Lức</t>
  </si>
  <si>
    <t>Đức Hòa</t>
  </si>
  <si>
    <t>Gò Dầu</t>
  </si>
  <si>
    <t>Kiến Tường</t>
  </si>
  <si>
    <t>Tân An</t>
  </si>
  <si>
    <t>Tân Châu</t>
  </si>
  <si>
    <t>Tân Ninh</t>
  </si>
  <si>
    <t>Tây Ninh</t>
  </si>
  <si>
    <t>Ngày báo cáo</t>
  </si>
  <si>
    <t>Đơn vị TTHT
( Cũ - bỏ trống nếu là NV mới) )</t>
  </si>
  <si>
    <t>Tên Nhân Viên</t>
  </si>
  <si>
    <t>Email</t>
  </si>
  <si>
    <t>SĐT</t>
  </si>
  <si>
    <r>
      <rPr>
        <b/>
        <sz val="11"/>
        <color rgb="FF000000"/>
        <rFont val="Arial"/>
        <family val="2"/>
      </rPr>
      <t xml:space="preserve">Link test kết quả mới
 </t>
    </r>
    <r>
      <rPr>
        <b/>
        <sz val="9"/>
        <color rgb="FFFF0000"/>
        <rFont val="Arial"/>
        <family val="2"/>
      </rPr>
      <t>( Chỉ nhập khi chưa thực hiện lần đầu hoặc thay đổi thiết bị )</t>
    </r>
  </si>
  <si>
    <r>
      <rPr>
        <b/>
        <sz val="11"/>
        <color rgb="FF000000"/>
        <rFont val="Arial"/>
        <family val="2"/>
      </rPr>
      <t xml:space="preserve">Đơn vị TTHT
</t>
    </r>
    <r>
      <rPr>
        <b/>
        <sz val="11"/>
        <color rgb="FFFF0000"/>
        <rFont val="Arial"/>
        <family val="2"/>
      </rPr>
      <t>( Mới )</t>
    </r>
  </si>
  <si>
    <t>Ngày thay đổi</t>
  </si>
  <si>
    <t>Lý do thay đổi</t>
  </si>
  <si>
    <t>Trạng thái hỗ trợ</t>
  </si>
  <si>
    <t>X</t>
  </si>
  <si>
    <t>Nhân viên</t>
  </si>
  <si>
    <t>Đơn vị</t>
  </si>
  <si>
    <t>Ngày đo</t>
  </si>
  <si>
    <t>Số điện thoại</t>
  </si>
  <si>
    <t>Device ID</t>
  </si>
  <si>
    <t>Thiết bị</t>
  </si>
  <si>
    <t>Nhà mạng</t>
  </si>
  <si>
    <t>Địa chỉ</t>
  </si>
  <si>
    <t>Download Mbps</t>
  </si>
  <si>
    <t>Upload Mbps</t>
  </si>
  <si>
    <t>Mẫu hợp lệ</t>
  </si>
  <si>
    <t>Máy hỗ trợ 5G</t>
  </si>
  <si>
    <t>Jitter (ms)</t>
  </si>
  <si>
    <t>Trương Đình Lợi_TNH</t>
  </si>
  <si>
    <t>VNPT TNH</t>
  </si>
  <si>
    <t>Galaxy S22 Ultra</t>
  </si>
  <si>
    <t>Vinaphone</t>
  </si>
  <si>
    <t>Có</t>
  </si>
  <si>
    <t>Nguyên bản</t>
  </si>
  <si>
    <t>Phạm Nguyễn Quang Huy_LAN</t>
  </si>
  <si>
    <t>14T</t>
  </si>
  <si>
    <t>Long An</t>
  </si>
  <si>
    <t>Nguyễn Hoàng Tuấn_LAN</t>
  </si>
  <si>
    <t>Galaxy A54</t>
  </si>
  <si>
    <t>Hồ Chí Linh_LAN</t>
  </si>
  <si>
    <t>HONOR 400</t>
  </si>
  <si>
    <t>Đinh Phú Trung_LAN</t>
  </si>
  <si>
    <t>Galaxy A33 5G</t>
  </si>
  <si>
    <t>Long An Province</t>
  </si>
  <si>
    <t>Trịnh Minh Trí_LAN</t>
  </si>
  <si>
    <t>Galaxy A52s 5G</t>
  </si>
  <si>
    <t>Đặng Ngọc Sơn_LAN</t>
  </si>
  <si>
    <t>Redmi Note 12 4G</t>
  </si>
  <si>
    <t>N/A</t>
  </si>
  <si>
    <t>Đỗ Tấn Phát_LAN</t>
  </si>
  <si>
    <t>iPhone 12 Pro Max 5G</t>
  </si>
  <si>
    <t>Nguyễn Quang Trực_LAN</t>
  </si>
  <si>
    <t>43.8</t>
  </si>
  <si>
    <t>Đặng Hoàng Vũ_LAN</t>
  </si>
  <si>
    <t>Đặng Hoàng Vũ_LAN</t>
  </si>
  <si>
    <t>Dương Nhật Phương_LAN</t>
  </si>
  <si>
    <t>Galaxy A55</t>
  </si>
  <si>
    <t>Lê Thành Tài_TNH</t>
  </si>
  <si>
    <t>GT Neo 5</t>
  </si>
  <si>
    <t>Võ Quang Duy_LAN</t>
  </si>
  <si>
    <t>Galaxy S24 Ultra</t>
  </si>
  <si>
    <t>40.5</t>
  </si>
  <si>
    <t>Nguyễn Hữu Tân_LAN</t>
  </si>
  <si>
    <t>Galaxy S10</t>
  </si>
  <si>
    <t>Không</t>
  </si>
  <si>
    <t>Rooted</t>
  </si>
  <si>
    <t>Phù Hoàng Thành_LAN</t>
  </si>
  <si>
    <t>Redmi Note 10 Pro</t>
  </si>
  <si>
    <t>Lê Minh Kha_LAN</t>
  </si>
  <si>
    <t>11T Pro</t>
  </si>
  <si>
    <t>Trần Minh Tuấn1_TNH</t>
  </si>
  <si>
    <t>Reno5 5G</t>
  </si>
  <si>
    <t>Ho Chi Minh City</t>
  </si>
  <si>
    <t>Huỳnh Phước Yên_LAN</t>
  </si>
  <si>
    <t>Nguyễn Thành Chí_LAN</t>
  </si>
  <si>
    <t>iPhone 14 Pro Max</t>
  </si>
  <si>
    <t>Lê Hoàng Vinh_LAN</t>
  </si>
  <si>
    <t>Unknown Device</t>
  </si>
  <si>
    <t>999.9</t>
  </si>
  <si>
    <t>Đoàn Nguyễn Tuấn Anh_LAN</t>
  </si>
  <si>
    <t>Galaxy A53</t>
  </si>
  <si>
    <t>Võ Quốc Huy_LAN</t>
  </si>
  <si>
    <t>Nguyễn Giê Nha_TNH</t>
  </si>
  <si>
    <t>Redmi Note 13 4G</t>
  </si>
  <si>
    <t>13.0</t>
  </si>
  <si>
    <t>8.0</t>
  </si>
  <si>
    <t>40.7</t>
  </si>
  <si>
    <t>Nguyễn Minh Tùng_LAN</t>
  </si>
  <si>
    <t>Galaxy Note10+</t>
  </si>
  <si>
    <t>Nguyễn Phước Thọ_LAN</t>
  </si>
  <si>
    <t>6.0</t>
  </si>
  <si>
    <t>Trương Vũ Hải_TNH</t>
  </si>
  <si>
    <t>Galaxy A73 5G</t>
  </si>
  <si>
    <t>Lê Ân Tình_LAN</t>
  </si>
  <si>
    <t>Galaxy S23 Ultra</t>
  </si>
  <si>
    <t>Trần Thanh Giàu_LAN</t>
  </si>
  <si>
    <t>Nguyễn Hải Đăng_LAN</t>
  </si>
  <si>
    <t>Redmi Note 14</t>
  </si>
  <si>
    <t>14.0</t>
  </si>
  <si>
    <t>Huỳnh Trọng Nam_LAN</t>
  </si>
  <si>
    <t>Xiaomi 13</t>
  </si>
  <si>
    <t>25.0</t>
  </si>
  <si>
    <t>Nguyễn Văn Long_TNH</t>
  </si>
  <si>
    <t>12.0</t>
  </si>
  <si>
    <t>Nguyễn Thanh Hùng_LAN</t>
  </si>
  <si>
    <t>Galaxy A21s</t>
  </si>
  <si>
    <t>Nguyễn Ngọc Thơ_TNH</t>
  </si>
  <si>
    <t>Galaxy A56</t>
  </si>
  <si>
    <t>5.0</t>
  </si>
  <si>
    <t>Trần Lê Duy Tân_TNH</t>
  </si>
  <si>
    <t>iPhone 15 Pro Max</t>
  </si>
  <si>
    <t>Nguyễn Thành Phạm Trung_LAN</t>
  </si>
  <si>
    <t>Redmi Note 13 Pro 4G</t>
  </si>
  <si>
    <t>41.3</t>
  </si>
  <si>
    <t>Thái Minh Phúc_TNH</t>
  </si>
  <si>
    <t>Galaxy A13</t>
  </si>
  <si>
    <t>Lê Xuân Tình_LAN</t>
  </si>
  <si>
    <t>Galaxy A15</t>
  </si>
  <si>
    <t>Võ Quang Thìn_LAN</t>
  </si>
  <si>
    <t>Nguyễn Đông Triều_TNH</t>
  </si>
  <si>
    <t>10.0</t>
  </si>
  <si>
    <t>Lê Xuân Trình_LAN</t>
  </si>
  <si>
    <t>4.0</t>
  </si>
  <si>
    <t>Trần Xuân Toại_LAN</t>
  </si>
  <si>
    <t>Galaxy A22</t>
  </si>
  <si>
    <t>Bùi Tiến Dũng_LAN</t>
  </si>
  <si>
    <t>Xperia 1 II 5G</t>
  </si>
  <si>
    <t>15.0</t>
  </si>
  <si>
    <t>Phạm Tiến Dũng_LAN</t>
  </si>
  <si>
    <t>iPhone 11 Pro</t>
  </si>
  <si>
    <t>Can Tho</t>
  </si>
  <si>
    <t>Trần Minh Phụng_LAN</t>
  </si>
  <si>
    <t>1.0</t>
  </si>
  <si>
    <t>Trần Hoài Vũ_TNH</t>
  </si>
  <si>
    <t>Surface Duo</t>
  </si>
  <si>
    <t>2.0</t>
  </si>
  <si>
    <t>Huỳnh Hạo Thiên_TNH</t>
  </si>
  <si>
    <t>0.9</t>
  </si>
  <si>
    <t>0.6</t>
  </si>
  <si>
    <t>0.7</t>
  </si>
  <si>
    <t>Bùi Minh Tú_LAN</t>
  </si>
  <si>
    <t>Galaxy A34</t>
  </si>
  <si>
    <t>Bùi Trung Duy_LAN</t>
  </si>
  <si>
    <t>3.0</t>
  </si>
  <si>
    <t>Ngô Văn Tâm_TNH</t>
  </si>
  <si>
    <t>Galaxy A23</t>
  </si>
  <si>
    <t>Trần Văn Thuyết_LAN</t>
  </si>
  <si>
    <t>iPhone 15 Plus</t>
  </si>
  <si>
    <t>Huỳnh Phương Đông_LAN</t>
  </si>
  <si>
    <t>0.4</t>
  </si>
  <si>
    <t>0.3</t>
  </si>
  <si>
    <t>49.9</t>
  </si>
  <si>
    <t>Nguyễn Hữu Nghĩa_LAN</t>
  </si>
  <si>
    <t>Galaxy S24+</t>
  </si>
  <si>
    <t>Nguyễn Hoàng Đạt_TNH</t>
  </si>
  <si>
    <t>Nguyễn Trường Quang_TNH</t>
  </si>
  <si>
    <t>iPhone 12 Mini 5G</t>
  </si>
  <si>
    <t>32.9</t>
  </si>
  <si>
    <t>Lâm Bảo Tuấn_TNH</t>
  </si>
  <si>
    <t>iPhone 12 Pro 5G</t>
  </si>
  <si>
    <t>0.8</t>
  </si>
  <si>
    <t>Huỳnh Đức Huy_LAN</t>
  </si>
  <si>
    <t>Galaxy M51</t>
  </si>
  <si>
    <t>63.8</t>
  </si>
  <si>
    <t>Trần Quốc Đạt_TNH</t>
  </si>
  <si>
    <t>X200</t>
  </si>
  <si>
    <t>Viettel</t>
  </si>
  <si>
    <t>Bùi Tấn Bảo_LAN</t>
  </si>
  <si>
    <t>Realme 13+</t>
  </si>
  <si>
    <t>Nguyễn Văn Đờt Rét Mười Lăm_LAN</t>
  </si>
  <si>
    <t>A54</t>
  </si>
  <si>
    <t>Nguyễn Công Giang_LAN</t>
  </si>
  <si>
    <t>Trương Đình Minh Tân_LAN</t>
  </si>
  <si>
    <t>Galaxy F15</t>
  </si>
  <si>
    <t>Lê Minh Hòa_LAN</t>
  </si>
  <si>
    <t>Redmi Note 13 Pro</t>
  </si>
  <si>
    <t>16.0</t>
  </si>
  <si>
    <t>Đinh Bộ Lĩnh_LAN</t>
  </si>
  <si>
    <t>Redmi Note 11 4G</t>
  </si>
  <si>
    <t>Tiêu Văn Y_LAN</t>
  </si>
  <si>
    <t>Galaxy S23 FE</t>
  </si>
  <si>
    <t>Nguyễn Hoàng Phi_LAN</t>
  </si>
  <si>
    <t>Thiệu Thái An_LAN</t>
  </si>
  <si>
    <t>18.0</t>
  </si>
  <si>
    <t>32.7</t>
  </si>
  <si>
    <t>Phạm Hoàng Giang_LAN</t>
  </si>
  <si>
    <t>9.0</t>
  </si>
  <si>
    <t>83.5</t>
  </si>
  <si>
    <t>Bùi Hoàng Tường_LAN</t>
  </si>
  <si>
    <t>Galaxy A14</t>
  </si>
  <si>
    <t>Nguyễn Quốc Hùng_LAN</t>
  </si>
  <si>
    <t>Galaxy S20 Fan Edition</t>
  </si>
  <si>
    <t>Tô Tiểu Ngọc_TNH</t>
  </si>
  <si>
    <t>F21s Pro</t>
  </si>
  <si>
    <t>36.3</t>
  </si>
  <si>
    <t>Huỳnh Quốc Thông_TNH</t>
  </si>
  <si>
    <t>37.7</t>
  </si>
  <si>
    <t>Trần Minh Tuấn2_TNH</t>
  </si>
  <si>
    <t>Nguyễn Tấn Đạt_TNH</t>
  </si>
  <si>
    <t>7.0</t>
  </si>
  <si>
    <t>20.0</t>
  </si>
  <si>
    <t>Mai Thiện Phương_LAN</t>
  </si>
  <si>
    <t>Ngô Trung Hiếu_TNH</t>
  </si>
  <si>
    <t>57.9</t>
  </si>
  <si>
    <t>Đặng Chí Hiếu_TNH</t>
  </si>
  <si>
    <t>Y36</t>
  </si>
  <si>
    <t>Lê Tấn Phong_TNH</t>
  </si>
  <si>
    <t>iPhone 16 Plus</t>
  </si>
  <si>
    <t>0.5</t>
  </si>
  <si>
    <t>Võ Thế Minh_TNH</t>
  </si>
  <si>
    <t>Nguyễn Hoàng Sang_LAN</t>
  </si>
  <si>
    <t>C75</t>
  </si>
  <si>
    <t>Trần Thái Hòa_TNH</t>
  </si>
  <si>
    <t>Lê Công Thoại_LAN</t>
  </si>
  <si>
    <t>Lê Kỷ Dậu_TNH</t>
  </si>
  <si>
    <t>iPhone 11 Pro Max</t>
  </si>
  <si>
    <t>Nguyễn Văn Minh_TNH</t>
  </si>
  <si>
    <t>Galaxy M34 5G</t>
  </si>
  <si>
    <t>Nguyễn Hữu Thế</t>
  </si>
  <si>
    <t>Redmi Note 14 5G</t>
  </si>
  <si>
    <t>Lại Quang Vinh_LAN</t>
  </si>
  <si>
    <t>Nguyễn Trung Thắng_LAN</t>
  </si>
  <si>
    <t>182.6</t>
  </si>
  <si>
    <t>17.0</t>
  </si>
  <si>
    <t>38.2</t>
  </si>
  <si>
    <t>32.4</t>
  </si>
  <si>
    <t>Nguyễn Khương Minh_LAN</t>
  </si>
  <si>
    <t>Nguyễn Thế Sự_TNH</t>
  </si>
  <si>
    <t>Xiaomi 13T</t>
  </si>
  <si>
    <t>60.4</t>
  </si>
  <si>
    <t>Phạm Đình Thái_TNH</t>
  </si>
  <si>
    <t>11.0</t>
  </si>
  <si>
    <t>Nguyễn Văn Cường_TNH</t>
  </si>
  <si>
    <t>Galaxy A12</t>
  </si>
  <si>
    <t>Trương Anh Pha_LAN</t>
  </si>
  <si>
    <t>Phan Văn Hân_LAN</t>
  </si>
  <si>
    <t>Nguyễn Phước Lộc2_LAN</t>
  </si>
  <si>
    <t>Nguyễn Phước Lộc_LAN</t>
  </si>
  <si>
    <t>78.8</t>
  </si>
  <si>
    <t>Trà Thanh Phong_TNH</t>
  </si>
  <si>
    <t>24.0</t>
  </si>
  <si>
    <t>61.4</t>
  </si>
  <si>
    <t>Huỳnh Tấn Cường_TNH</t>
  </si>
  <si>
    <t>Galaxy A16 5G</t>
  </si>
  <si>
    <t>Ngô Phương Nam_LAN</t>
  </si>
  <si>
    <t>Galaxy S23</t>
  </si>
  <si>
    <t>Tien Giang</t>
  </si>
  <si>
    <t>33.9</t>
  </si>
  <si>
    <t>124.6</t>
  </si>
  <si>
    <t>33.3</t>
  </si>
  <si>
    <t>29.0</t>
  </si>
  <si>
    <t>34.7</t>
  </si>
  <si>
    <t>62.5</t>
  </si>
  <si>
    <t xml:space="preserve">    TRUNG TÂM HẠ TẦNG
Kỳ báo cáo: tháng 07 năm 2026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</si>
  <si>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</si>
  <si>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t>Tổng mẫu đã đo</t>
  </si>
  <si>
    <t>Tỉ lệ mẫu đo 5G</t>
  </si>
  <si>
    <t>Tên người thực hiện</t>
  </si>
  <si>
    <t>SĐT-TEST</t>
  </si>
  <si>
    <t>Lần đo</t>
  </si>
  <si>
    <t>Ngày đo 
DD/MM/YY</t>
  </si>
  <si>
    <t>i-Speed</t>
  </si>
  <si>
    <t>SpeedTest</t>
  </si>
  <si>
    <t>Ghi chú</t>
  </si>
  <si>
    <t>5G</t>
  </si>
  <si>
    <t>Tốc độ Download</t>
  </si>
  <si>
    <t>Tốc độ Upload</t>
  </si>
  <si>
    <t>57.5</t>
  </si>
  <si>
    <t>58.1</t>
  </si>
  <si>
    <t>48.6</t>
  </si>
  <si>
    <t>44.7</t>
  </si>
  <si>
    <t>31.4</t>
  </si>
  <si>
    <t>31.2</t>
  </si>
  <si>
    <t>45.1</t>
  </si>
  <si>
    <t>42.7</t>
  </si>
  <si>
    <t>76.4</t>
  </si>
  <si>
    <t>45.4</t>
  </si>
  <si>
    <t>78.9</t>
  </si>
  <si>
    <t>93.0</t>
  </si>
  <si>
    <t>47.9</t>
  </si>
  <si>
    <t>47.6</t>
  </si>
  <si>
    <t>34.5</t>
  </si>
  <si>
    <t>83.6</t>
  </si>
  <si>
    <t>42.1</t>
  </si>
  <si>
    <t>54.4</t>
  </si>
  <si>
    <t>52.3</t>
  </si>
  <si>
    <t>275</t>
  </si>
  <si>
    <t>102</t>
  </si>
  <si>
    <t>480</t>
  </si>
  <si>
    <t>135</t>
  </si>
  <si>
    <t>225</t>
  </si>
  <si>
    <t>101</t>
  </si>
  <si>
    <t>444</t>
  </si>
  <si>
    <t>80</t>
  </si>
  <si>
    <t>231</t>
  </si>
  <si>
    <t>49</t>
  </si>
  <si>
    <t>495</t>
  </si>
  <si>
    <t>50</t>
  </si>
  <si>
    <t>235</t>
  </si>
  <si>
    <t>66</t>
  </si>
  <si>
    <t>460</t>
  </si>
  <si>
    <t>42</t>
  </si>
  <si>
    <t>257</t>
  </si>
  <si>
    <t>485</t>
  </si>
  <si>
    <t>56</t>
  </si>
  <si>
    <t>163</t>
  </si>
  <si>
    <t>45</t>
  </si>
  <si>
    <t>105</t>
  </si>
  <si>
    <t>33</t>
  </si>
  <si>
    <t>199</t>
  </si>
  <si>
    <t>61</t>
  </si>
  <si>
    <t>750</t>
  </si>
  <si>
    <t>86</t>
  </si>
  <si>
    <t>234</t>
  </si>
  <si>
    <t>744</t>
  </si>
  <si>
    <t>59</t>
  </si>
  <si>
    <t>150</t>
  </si>
  <si>
    <t>775</t>
  </si>
  <si>
    <t>65</t>
  </si>
  <si>
    <t>207</t>
  </si>
  <si>
    <t>69</t>
  </si>
  <si>
    <t>708</t>
  </si>
  <si>
    <t>68</t>
  </si>
  <si>
    <t>53.4</t>
  </si>
  <si>
    <t>57.7</t>
  </si>
  <si>
    <t>56.9</t>
  </si>
  <si>
    <t>60.6</t>
  </si>
  <si>
    <t>62.3</t>
  </si>
  <si>
    <t>37.8</t>
  </si>
  <si>
    <t>59.6</t>
  </si>
  <si>
    <t>49.3</t>
  </si>
  <si>
    <t>50.4</t>
  </si>
  <si>
    <t>39.5</t>
  </si>
  <si>
    <t>72.3</t>
  </si>
  <si>
    <t>48.9</t>
  </si>
  <si>
    <t>46.8</t>
  </si>
  <si>
    <t>45.6</t>
  </si>
  <si>
    <t>98.1</t>
  </si>
  <si>
    <t>78.4</t>
  </si>
  <si>
    <t>30.2</t>
  </si>
  <si>
    <t>87.2</t>
  </si>
  <si>
    <t>41.6</t>
  </si>
  <si>
    <t>4G</t>
  </si>
  <si>
    <t>85.6</t>
  </si>
  <si>
    <t>56.8</t>
  </si>
  <si>
    <t>9.62</t>
  </si>
  <si>
    <t>57.1</t>
  </si>
  <si>
    <t>96.4</t>
  </si>
  <si>
    <t>40.6</t>
  </si>
  <si>
    <t>55.5</t>
  </si>
  <si>
    <t>85.7</t>
  </si>
  <si>
    <t>47.3</t>
  </si>
  <si>
    <t>80.1</t>
  </si>
  <si>
    <t>73.8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</si>
  <si>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</si>
  <si>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</si>
  <si>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</si>
  <si>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t>82.1</t>
  </si>
  <si>
    <t>7.19</t>
  </si>
  <si>
    <t>37.6</t>
  </si>
  <si>
    <t>93.8</t>
  </si>
  <si>
    <t>49.1</t>
  </si>
  <si>
    <t>73.5</t>
  </si>
  <si>
    <t>7.89</t>
  </si>
  <si>
    <t>59.3</t>
  </si>
  <si>
    <t>87.9</t>
  </si>
  <si>
    <t>49.2</t>
  </si>
  <si>
    <t>80.5</t>
  </si>
  <si>
    <t>35.9</t>
  </si>
  <si>
    <t>48.3</t>
  </si>
  <si>
    <t>79.7</t>
  </si>
  <si>
    <t>37.5</t>
  </si>
  <si>
    <t>35.5</t>
  </si>
  <si>
    <t>82.9</t>
  </si>
  <si>
    <t>52.5</t>
  </si>
  <si>
    <t>51.7</t>
  </si>
  <si>
    <t>74.3</t>
  </si>
  <si>
    <t>42.3</t>
  </si>
  <si>
    <t>54.9</t>
  </si>
  <si>
    <t>75.9</t>
  </si>
  <si>
    <t>43.9</t>
  </si>
  <si>
    <t>70.4</t>
  </si>
  <si>
    <t>36.2</t>
  </si>
  <si>
    <t>96..1</t>
  </si>
  <si>
    <t>45.7</t>
  </si>
  <si>
    <t>51.6</t>
  </si>
  <si>
    <t>72.8</t>
  </si>
  <si>
    <t>49.8</t>
  </si>
  <si>
    <t>47.7</t>
  </si>
  <si>
    <t>54.8</t>
  </si>
  <si>
    <t>84.4</t>
  </si>
  <si>
    <t>43.1</t>
  </si>
  <si>
    <t>94.3</t>
  </si>
  <si>
    <t>75.3</t>
  </si>
  <si>
    <t>54.2</t>
  </si>
  <si>
    <t>79.9</t>
  </si>
  <si>
    <t>9.82</t>
  </si>
  <si>
    <t>66.5</t>
  </si>
  <si>
    <t>70.6</t>
  </si>
  <si>
    <t>93.1</t>
  </si>
  <si>
    <t>8.68</t>
  </si>
  <si>
    <t>64.7</t>
  </si>
  <si>
    <t>57.6</t>
  </si>
  <si>
    <t>75.6</t>
  </si>
  <si>
    <t>59.7</t>
  </si>
  <si>
    <t>57.2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</si>
  <si>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</si>
  <si>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t>50.6</t>
  </si>
  <si>
    <t>45.5</t>
  </si>
  <si>
    <t>44.2</t>
  </si>
  <si>
    <t>47.5</t>
  </si>
  <si>
    <t>46.5</t>
  </si>
  <si>
    <t>61.3</t>
  </si>
  <si>
    <t>72.7</t>
  </si>
  <si>
    <t>48.7</t>
  </si>
  <si>
    <t>50.1</t>
  </si>
  <si>
    <t>90.4</t>
  </si>
  <si>
    <t>82.3</t>
  </si>
  <si>
    <t>84.5</t>
  </si>
  <si>
    <t>93.6</t>
  </si>
  <si>
    <t>83.8</t>
  </si>
  <si>
    <t>56.3</t>
  </si>
  <si>
    <t>02//07/2026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</si>
  <si>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</si>
  <si>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t>61.5</t>
  </si>
  <si>
    <t>79.8</t>
  </si>
  <si>
    <t>62.2</t>
  </si>
  <si>
    <t>62.6</t>
  </si>
  <si>
    <t>90.5</t>
  </si>
  <si>
    <t>58.3</t>
  </si>
  <si>
    <t>105.2</t>
  </si>
  <si>
    <t>55.8</t>
  </si>
  <si>
    <t>64.5</t>
  </si>
  <si>
    <t>88.5</t>
  </si>
  <si>
    <t>62.8</t>
  </si>
  <si>
    <t>60.3</t>
  </si>
  <si>
    <t>93.9</t>
  </si>
  <si>
    <t>48.5</t>
  </si>
  <si>
    <t>60.2</t>
  </si>
  <si>
    <t>104.7</t>
  </si>
  <si>
    <t>53.8</t>
  </si>
  <si>
    <t>85.8</t>
  </si>
  <si>
    <t>98.5</t>
  </si>
  <si>
    <t>60.7</t>
  </si>
  <si>
    <t>76.8</t>
  </si>
  <si>
    <t>62.4</t>
  </si>
  <si>
    <t>61.8</t>
  </si>
  <si>
    <t>100.8</t>
  </si>
  <si>
    <t>61.2</t>
  </si>
  <si>
    <t>86.6</t>
  </si>
  <si>
    <t>75.8</t>
  </si>
  <si>
    <t>60.8</t>
  </si>
  <si>
    <t>62.7</t>
  </si>
  <si>
    <t>79.6</t>
  </si>
  <si>
    <t>58.9</t>
  </si>
  <si>
    <t>39.6</t>
  </si>
  <si>
    <t>45.2</t>
  </si>
  <si>
    <t>43.2</t>
  </si>
  <si>
    <t>99.3</t>
  </si>
  <si>
    <t>113.1</t>
  </si>
  <si>
    <t>42.6</t>
  </si>
  <si>
    <t>40.3</t>
  </si>
  <si>
    <t>38.6</t>
  </si>
  <si>
    <t>39.1</t>
  </si>
  <si>
    <t>35.1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</si>
  <si>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</si>
  <si>
    <t>103</t>
  </si>
  <si>
    <t>312</t>
  </si>
  <si>
    <t>255</t>
  </si>
  <si>
    <t>210</t>
  </si>
  <si>
    <t>47</t>
  </si>
  <si>
    <t>267</t>
  </si>
  <si>
    <t>130</t>
  </si>
  <si>
    <t>496</t>
  </si>
  <si>
    <t>104</t>
  </si>
  <si>
    <t>254</t>
  </si>
  <si>
    <t>467</t>
  </si>
  <si>
    <t>264</t>
  </si>
  <si>
    <t>457</t>
  </si>
  <si>
    <t>117</t>
  </si>
  <si>
    <t>67</t>
  </si>
  <si>
    <t>211</t>
  </si>
  <si>
    <t>142</t>
  </si>
  <si>
    <t>30</t>
  </si>
  <si>
    <t>218</t>
  </si>
  <si>
    <t>58</t>
  </si>
  <si>
    <t>720</t>
  </si>
  <si>
    <t>64</t>
  </si>
  <si>
    <r>
      <rPr>
        <b/>
        <sz val="11"/>
        <color rgb="FF000000"/>
        <rFont val="Arial"/>
        <family val="2"/>
      </rPr>
      <t xml:space="preserve">Link test kết quả lần đầu test
 </t>
    </r>
    <r>
      <rPr>
        <b/>
        <sz val="11"/>
        <color rgb="FFFF0000"/>
        <rFont val="Arial"/>
        <family val="2"/>
      </rPr>
      <t>( link này rất quan trọng nên một người chỉ có 1 link duy nhất/1 thiết bị)</t>
    </r>
  </si>
  <si>
    <t>Tổ HT</t>
  </si>
  <si>
    <t>Điện thoại có hỗ trợ đo 5G
Có đánh "x", không " Bỏ trống"</t>
  </si>
  <si>
    <t>Số mẫu đo đã thực hiện</t>
  </si>
  <si>
    <t>Thực hiện</t>
  </si>
  <si>
    <t>Đinh Phú Trung</t>
  </si>
  <si>
    <t>trungdp.lan@vnpt.vn</t>
  </si>
  <si>
    <t>https://www.speedtest.net/my-result/a/11157681922</t>
  </si>
  <si>
    <t>Nguyễn Phước Lộc</t>
  </si>
  <si>
    <t>locnp.lan@vnpt.vn</t>
  </si>
  <si>
    <t>https://www.speedtest.net/result/i/6785478950</t>
  </si>
  <si>
    <t>Nguyễn Khương Minh</t>
  </si>
  <si>
    <t>minhnk.lan@vnpt.vn</t>
  </si>
  <si>
    <t>https://www.speedtest.net/my-result/a/11159398210</t>
  </si>
  <si>
    <t>Bùi Tấn Bảo</t>
  </si>
  <si>
    <t>baobt.lan@vnpt.vn</t>
  </si>
  <si>
    <t>https://www.speedtest.net/my-result/a/11159287042</t>
  </si>
  <si>
    <t>Đoàn Tấn Phương</t>
  </si>
  <si>
    <t>phuongdt.lan@vnpt.vn</t>
  </si>
  <si>
    <t>https://www.speedtest.net/my-result/a/11159372717</t>
  </si>
  <si>
    <t>Mai Thiện Phương</t>
  </si>
  <si>
    <t>phuongmt.lan@vnpt.vn</t>
  </si>
  <si>
    <t>https://www.speedtest.net/my-result/a/11159414785</t>
  </si>
  <si>
    <t>Trương Anh Pha</t>
  </si>
  <si>
    <t>phata.lan@vnpt.vn</t>
  </si>
  <si>
    <t>https://www.speedtest.net/my-result/a/11159365222</t>
  </si>
  <si>
    <t>Đặng Hoàng Vũ</t>
  </si>
  <si>
    <t>vudh.lan@vnpt.vn</t>
  </si>
  <si>
    <t>https://www.speedtest.net/result/i/6785522588</t>
  </si>
  <si>
    <t>Huỳnh Minh Triết</t>
  </si>
  <si>
    <t>triethm.lan@vnpt.vn</t>
  </si>
  <si>
    <t>https://www.speedtest.net/my-result/a/11159355112</t>
  </si>
  <si>
    <t>Lê Minh Hòa</t>
  </si>
  <si>
    <t>hoalm.lan@vnpt.vn</t>
  </si>
  <si>
    <t>https://www.speedtest.net/my-result/a/11159350859</t>
  </si>
  <si>
    <t>Trần Văn Bình</t>
  </si>
  <si>
    <t>binhtv.tnh@vnpt.vn</t>
  </si>
  <si>
    <t>Trịnh Minh Trí</t>
  </si>
  <si>
    <t>tritm.lan@vnpt.vn</t>
  </si>
  <si>
    <t>https://www.speedtest.net/my-result/a/11159347348</t>
  </si>
  <si>
    <t>Võ Hoàng Anh Tiến</t>
  </si>
  <si>
    <t>tienvha.lan@vnpt.vn</t>
  </si>
  <si>
    <t>https://www.speedtest.net/my-result/a/11159354645</t>
  </si>
  <si>
    <t>Nguyễn Văn Đờ Rét Mười Lăm</t>
  </si>
  <si>
    <t>15nvdr.lan@vnpt.vn</t>
  </si>
  <si>
    <t>https://www.speedtest.net/my-result/a/11159366880</t>
  </si>
  <si>
    <t>Nguyễn Minh Tùng</t>
  </si>
  <si>
    <t>tungnm.lan@vnpt.vn</t>
  </si>
  <si>
    <t>https://www.speedtest.net/my-result/a/11159488208</t>
  </si>
  <si>
    <t>x</t>
  </si>
  <si>
    <t>Nguyễn Công Giang</t>
  </si>
  <si>
    <t>giangnc.lan@vnpt.vn</t>
  </si>
  <si>
    <t>https://www.speedtest.net/my-result/a/11159563571</t>
  </si>
  <si>
    <t>nploc.lan@vnpt.vn</t>
  </si>
  <si>
    <t>https://www.speedtest.net/result/i/6785591551</t>
  </si>
  <si>
    <t>Phạm Tiến Dũng</t>
  </si>
  <si>
    <t>dungpt.lan@vnpt.vn</t>
  </si>
  <si>
    <t>https://www.speedtest.net/result/i/6785554038</t>
  </si>
  <si>
    <t>Nguyễn Thanh Hùng</t>
  </si>
  <si>
    <t>nthung.lan@vnpt.vn</t>
  </si>
  <si>
    <t>https://www.speedtest.net/my-result/a/11159498557</t>
  </si>
  <si>
    <t>Hứa Kế Tường</t>
  </si>
  <si>
    <t>tuonghk.lan@vnpt.vn</t>
  </si>
  <si>
    <t>https://www.speedtest.net/my-result/a/11159609212</t>
  </si>
  <si>
    <t>Lại Quang Vinh</t>
  </si>
  <si>
    <t>vinhlq.lan@vnpt.vn</t>
  </si>
  <si>
    <t>https://www.speedtest.net/my-result/a/11159502849</t>
  </si>
  <si>
    <t>Thái Duy Lâm</t>
  </si>
  <si>
    <t>0837821860</t>
  </si>
  <si>
    <t>lamdt.lan@vnpt.vn</t>
  </si>
  <si>
    <t>https://www.speedtest.net/my-result/a/11412006579</t>
  </si>
  <si>
    <t>Nguyễn Hải Đăng</t>
  </si>
  <si>
    <t>dangnh.lan@vnpt.vn</t>
  </si>
  <si>
    <t>https://www.speedtest.net/my-result/a/11159632684</t>
  </si>
  <si>
    <t>Hồ Chí Linh</t>
  </si>
  <si>
    <t>linhhc.lan@vnpt.vn</t>
  </si>
  <si>
    <t>https://www.speedtest.net/my-result/a/11170209191</t>
  </si>
  <si>
    <t>Lê Ân Tình</t>
  </si>
  <si>
    <t>tinhla.lan@vnpt.vn</t>
  </si>
  <si>
    <t>https://www.speedtest.net/my-result/a/11159545152</t>
  </si>
  <si>
    <t>Trần Thanh Chương</t>
  </si>
  <si>
    <t>Trần Thanh Giàu</t>
  </si>
  <si>
    <t>giautt.lan@vnpt.vn</t>
  </si>
  <si>
    <t>https://www.speedtest.net/my-result/a/11159653899</t>
  </si>
  <si>
    <t>Nguyễn Hiếu Khương</t>
  </si>
  <si>
    <t>khuongnh.tnh@vnpt.vn</t>
  </si>
  <si>
    <t>https://www.speedtest.net/my-result/a/11159495983</t>
  </si>
  <si>
    <t>Nguyễn Phan Duy An</t>
  </si>
  <si>
    <t>Huỳnh Tấn Cường</t>
  </si>
  <si>
    <t>cuonght.tnh@vnpt.vn</t>
  </si>
  <si>
    <t>https://www.speedtest.net/my-result/a/11159466719</t>
  </si>
  <si>
    <t>Nguyễn Văn Minh</t>
  </si>
  <si>
    <t>minhnv.tnh@vnpt.vn</t>
  </si>
  <si>
    <t>https://www.speedtest.net/my-result/a/11159478804</t>
  </si>
  <si>
    <t>Phạm Đình Thái</t>
  </si>
  <si>
    <t>thaipd.tnh@vnpt.vn</t>
  </si>
  <si>
    <t>https://www.speedtest.net/my-result/a/11159503727</t>
  </si>
  <si>
    <t>Phan Văn Thành</t>
  </si>
  <si>
    <t>thanhpv.tnh@vnpt.vn</t>
  </si>
  <si>
    <t>https://www.speedtest.net/my-result/a/11159493054</t>
  </si>
  <si>
    <t>Lê Kỷ Dậu</t>
  </si>
  <si>
    <t>daulk.tnh@vnpt.vn</t>
  </si>
  <si>
    <t>https://www.speedtest.net/result/i/6785542276</t>
  </si>
  <si>
    <t>Lê Tấn Phong</t>
  </si>
  <si>
    <t>phonglt.tnh@vnpt.vn</t>
  </si>
  <si>
    <t>https://www.speedtest.net/result/i/6785569604</t>
  </si>
  <si>
    <t>Trần Quốc Đạt</t>
  </si>
  <si>
    <t>dattq.tnh@vnpt.vn</t>
  </si>
  <si>
    <t>https://www.speedtest.net/my-result/a/11159469896</t>
  </si>
  <si>
    <t>Nguyễn Thế Sự</t>
  </si>
  <si>
    <t>sunt.tnh@vnpt.vn</t>
  </si>
  <si>
    <t>https://www.speedtest.net/my-result/a/11159486372</t>
  </si>
  <si>
    <t>Tô Tiểu Ngọc</t>
  </si>
  <si>
    <t>ngoctt.tnh@vnpt.vn</t>
  </si>
  <si>
    <t>https://www.speedtest.net/my-result/a/11159527542</t>
  </si>
  <si>
    <t>Đặng Chí Hiếu</t>
  </si>
  <si>
    <t>hieudc.tnh@vnpt.vn</t>
  </si>
  <si>
    <t>https://www.speedtest.net/my-result/a/11159457744</t>
  </si>
  <si>
    <t>Trà Thanh Phong</t>
  </si>
  <si>
    <t>phongtt.tnh@vnpt.vn</t>
  </si>
  <si>
    <t>https://www.speedtest.net/my-result/a/11159498156</t>
  </si>
  <si>
    <t>Nguyễn Văn Cường</t>
  </si>
  <si>
    <t>cuongnv.tnh@vnpt.vn</t>
  </si>
  <si>
    <t>https://www.speedtest.net/my-result/a/11159472387</t>
  </si>
  <si>
    <t>thenh.tnh@vnpt.vn</t>
  </si>
  <si>
    <t>https://www.speedtest.net/my-result/a/11344146047</t>
  </si>
  <si>
    <t>new</t>
  </si>
  <si>
    <t>Đặng Ngọc Sơn</t>
  </si>
  <si>
    <t>sondn.lan@vnpt.vn</t>
  </si>
  <si>
    <t>https://www.speedtest.net/my-result/a/11159555288</t>
  </si>
  <si>
    <t>Huỳnh Quốc Hiếu</t>
  </si>
  <si>
    <t>hieuhq.lan@vnpt.vn</t>
  </si>
  <si>
    <t>https://www.speedtest.net/my-result/a/11159484029</t>
  </si>
  <si>
    <t>Trần Xuân Toại</t>
  </si>
  <si>
    <t>toaitx.lan@vnpt.vn</t>
  </si>
  <si>
    <t>https://www.speedtest.net/my-result/a/11159580891</t>
  </si>
  <si>
    <t>Nguyễn Hoàng Sang</t>
  </si>
  <si>
    <t>sangnh.lan@vnpt.vn</t>
  </si>
  <si>
    <t>https://www.speedtest.net/my-result/a/11159511265</t>
  </si>
  <si>
    <t>Lê Xuân Trình</t>
  </si>
  <si>
    <t>trinhlx.lan@vnpt.vn</t>
  </si>
  <si>
    <t>https://www.speedtest.net/my-result/a/11159447695</t>
  </si>
  <si>
    <t>Phan Hồng Quang</t>
  </si>
  <si>
    <t>quangph.lan@vnpt.vn</t>
  </si>
  <si>
    <t>https://www.speedtest.net/my-result/a/11159475889</t>
  </si>
  <si>
    <t>Huỳnh Đức Huy</t>
  </si>
  <si>
    <t>huyhd.lan@vnpt.vn</t>
  </si>
  <si>
    <t>https://www.speedtest.net/my-result/a/11159596791</t>
  </si>
  <si>
    <t>Đinh Bộ Lĩnh</t>
  </si>
  <si>
    <t>linhdb.lan@vnpt.vn</t>
  </si>
  <si>
    <t xml:space="preserve">https://www.speedtest.net/my-result/a/11159476450
</t>
  </si>
  <si>
    <t>Võ Quang Thìn</t>
  </si>
  <si>
    <t>thinvq.lan@vnpt.vn</t>
  </si>
  <si>
    <t>https://www.speedtest.net/my-result/a/11159483018</t>
  </si>
  <si>
    <t>Nguyễn Hoàng Phi</t>
  </si>
  <si>
    <t>phinh.lan@vnpt.vn</t>
  </si>
  <si>
    <t>https://www.speedtest.net/my-result/a/11159513137</t>
  </si>
  <si>
    <t>Lê Duy Bình</t>
  </si>
  <si>
    <t>binhld.tnh@vnpt.vn</t>
  </si>
  <si>
    <t>https://www.speedtest.net/my-result/a/11403178854</t>
  </si>
  <si>
    <t>Tiêu Văn Y</t>
  </si>
  <si>
    <t>ytv.lan@vnpt.vn</t>
  </si>
  <si>
    <t>https://www.speedtest.net/my-result/a/11159460382</t>
  </si>
  <si>
    <t>Thiệu Thái An</t>
  </si>
  <si>
    <t>antt.lan@vnpt.vn</t>
  </si>
  <si>
    <t>https://www.speedtest.net/my-result/a/11159456958</t>
  </si>
  <si>
    <t>Nguyễn Vĩnh Thiên</t>
  </si>
  <si>
    <t>thiennv.lan@vnpt.vn</t>
  </si>
  <si>
    <t>Bùi Hoàng Tường</t>
  </si>
  <si>
    <t>tuongbh.lan@vnpt.vn</t>
  </si>
  <si>
    <t xml:space="preserve">https://www.speedtest.net/my-result/a/11159481054
</t>
  </si>
  <si>
    <t>Trần Thuận Thiên</t>
  </si>
  <si>
    <t>0916186172</t>
  </si>
  <si>
    <t>thientt.tnh@vnpt.vn</t>
  </si>
  <si>
    <t>https://www.speedtest.net/my-result/a/11405251989</t>
  </si>
  <si>
    <t>Bùi Văn Quí</t>
  </si>
  <si>
    <t>0919584123</t>
  </si>
  <si>
    <t>quibv.lan@vnpt.vn</t>
  </si>
  <si>
    <t>https://www.speedtest.net/my-result/a/11407637954</t>
  </si>
  <si>
    <t>Đoàn Nguyễn Tuấn Anh</t>
  </si>
  <si>
    <t>dntanh.lan@vnpt.vn</t>
  </si>
  <si>
    <t>https://www.speedtest.net/my-result/a/11159499991</t>
  </si>
  <si>
    <t>Trần Thái Bình</t>
  </si>
  <si>
    <t>binhtt.lan@vnpt.vn</t>
  </si>
  <si>
    <t>https://www.speedtest.net/my-result/a/11159562402</t>
  </si>
  <si>
    <t>Nguyễn Thành Phạm Trung</t>
  </si>
  <si>
    <t>trungntp.lan@vnpt.vn</t>
  </si>
  <si>
    <t>https://www.speedtest.net/my-result/a/11159694742</t>
  </si>
  <si>
    <t>Đỗ Tấn Phát</t>
  </si>
  <si>
    <t>phatdt.lan@vnpt.vn</t>
  </si>
  <si>
    <t>https://www.speedtest.net/result/i/6785605028</t>
  </si>
  <si>
    <t>Phạm Nguyễn Quang Huy</t>
  </si>
  <si>
    <t>huypnq.lan@vnpt.vn</t>
  </si>
  <si>
    <t>https://www.speedtest.net/my-result/a/11159588006</t>
  </si>
  <si>
    <t>Nguyễn Hoàng Tuấn</t>
  </si>
  <si>
    <t>tuannh.lan@vnpt.vn</t>
  </si>
  <si>
    <t>https://www.speedtest.net/my-result/a/11159586146</t>
  </si>
  <si>
    <t>Võ Quang Duy</t>
  </si>
  <si>
    <t>duyvq.lan@vnpt.vn</t>
  </si>
  <si>
    <t>https://www.speedtest.net/my-result/a/11159590523</t>
  </si>
  <si>
    <t>Bùi Phạm Hải Đăng</t>
  </si>
  <si>
    <t>dangbph.lan@vnpt.vn</t>
  </si>
  <si>
    <t>https://www.speedtest.net/result/i/6785510856</t>
  </si>
  <si>
    <t>Nguyễn Hữu Tân</t>
  </si>
  <si>
    <t>tannh.lan@vnpt.vn</t>
  </si>
  <si>
    <t>https://www.speedtest.net/my-result/a/11159562951</t>
  </si>
  <si>
    <t>Lê Minh Kha</t>
  </si>
  <si>
    <t>khalm.lan@vnpt.vn</t>
  </si>
  <si>
    <t>https://www.speedtest.net/my-result/a/11159588772</t>
  </si>
  <si>
    <t>Huỳnh Phước Yên</t>
  </si>
  <si>
    <t>yenhp.lan@vnpt.vn</t>
  </si>
  <si>
    <t>https://www.speedtest.net/result/i/6785613553</t>
  </si>
  <si>
    <t>Lê Xuân Tình</t>
  </si>
  <si>
    <t>tinhlx.lan@vnpt.vn</t>
  </si>
  <si>
    <t>https://www.speedtest.net/my-result/a/11159565142</t>
  </si>
  <si>
    <t>Phù Hoàng Thành</t>
  </si>
  <si>
    <t>thanhhp.lan@vnpt.vn</t>
  </si>
  <si>
    <t>https://www.speedtest.net/my-result/a/11159597423</t>
  </si>
  <si>
    <t>Nguyễn Thành Chí</t>
  </si>
  <si>
    <t>chint.lan@vnpt.vn</t>
  </si>
  <si>
    <t>https://www.speedtest.net/result/i/6785621761</t>
  </si>
  <si>
    <t>Bùi Thanh Sương</t>
  </si>
  <si>
    <t>btsuong.lan@vnpt.vn</t>
  </si>
  <si>
    <t>https://www.speedtest.net/my-result/a/11213764442</t>
  </si>
  <si>
    <t>Trần Minh Tuấn</t>
  </si>
  <si>
    <t>tuantm.tnh@vnpt.vn</t>
  </si>
  <si>
    <t>https://www.speedtest.net/my-result/a/11159783853</t>
  </si>
  <si>
    <t>Nguyễn Ngọc Thơ</t>
  </si>
  <si>
    <t>thonn.tnh@vnpt.vn</t>
  </si>
  <si>
    <t>https://www.speedtest.net/my-result/a/11159841594</t>
  </si>
  <si>
    <t>Nguyễn Đông Triều</t>
  </si>
  <si>
    <t>trieund.tnh@vnpt.vn</t>
  </si>
  <si>
    <t>https://www.speedtest.net/my-result/a/11159773427</t>
  </si>
  <si>
    <t>Nguyễn Giê Nha</t>
  </si>
  <si>
    <t>nhang.tnh@vnpt.vn</t>
  </si>
  <si>
    <t>https://www.speedtest.net/my-result/a/11159869936</t>
  </si>
  <si>
    <t>Nguyễn Văn Long</t>
  </si>
  <si>
    <t>longnv.tnh@vnpt.vn</t>
  </si>
  <si>
    <t>https://www.speedtest.net/my-result/a/11159732001</t>
  </si>
  <si>
    <t>Phạm Minh Thật</t>
  </si>
  <si>
    <t>0911203792</t>
  </si>
  <si>
    <t>Nguyễn Thành Vương</t>
  </si>
  <si>
    <t>vuongnt.tnh@vnpt.vn</t>
  </si>
  <si>
    <t>https://www.speedtest.net/my-result/a/11159784337</t>
  </si>
  <si>
    <t>Trần Hoài Vũ</t>
  </si>
  <si>
    <t>vuth.tnh@vnpt.vn</t>
  </si>
  <si>
    <t>https://www.speedtest.net/my-result/a/11159888230</t>
  </si>
  <si>
    <t>Hoàng Anh</t>
  </si>
  <si>
    <t>0917728470</t>
  </si>
  <si>
    <t>anhh.tnh@vnpt.vn</t>
  </si>
  <si>
    <t>https://www.speedtest.net/my-result/a/11403130198</t>
  </si>
  <si>
    <t>Huỳnh Quốc Thông</t>
  </si>
  <si>
    <t>thonghq.tnh@vnpt.vn</t>
  </si>
  <si>
    <t>https://www.speedtest.net/my-result/a/11259445848</t>
  </si>
  <si>
    <t>Nguyễn Hoài Tâm</t>
  </si>
  <si>
    <t>tamnh.tnh@vnpt.vn</t>
  </si>
  <si>
    <t>https://www.speedtest.net/my-result/a/11159582985</t>
  </si>
  <si>
    <t>Phạm Đức Nguyên</t>
  </si>
  <si>
    <t>nguyenpd.tnh@vnpt.vn</t>
  </si>
  <si>
    <t>https://www.speedtest.net/result/i/6785660310</t>
  </si>
  <si>
    <t>Nguyễn Thanh Hải</t>
  </si>
  <si>
    <t>haint.tnh@vnpt.vn</t>
  </si>
  <si>
    <t>https://www.speedtest.net/my-result/a/11403599982</t>
  </si>
  <si>
    <t>Nguyễn Văn Tài</t>
  </si>
  <si>
    <t>0944725238</t>
  </si>
  <si>
    <t>Phan Anh Tuấn</t>
  </si>
  <si>
    <t>0918486992</t>
  </si>
  <si>
    <t>Trịnh Thượng Lào</t>
  </si>
  <si>
    <t>laott.tnh@vnpt.vn</t>
  </si>
  <si>
    <t>https://www.speedtest.net/my-result/a/11159386604</t>
  </si>
  <si>
    <t>Nguyễn Trường Quang</t>
  </si>
  <si>
    <t>quangnt.tnh@vnpt.vn</t>
  </si>
  <si>
    <t>https://www.speedtest.net/result/i/6785657792</t>
  </si>
  <si>
    <t>Võ Thế Minh</t>
  </si>
  <si>
    <t>minhvt.tnh@vnpt.vn</t>
  </si>
  <si>
    <t>https://www.speedtest.net/result/a/11159636360</t>
  </si>
  <si>
    <t>Ngô Văn Tâm</t>
  </si>
  <si>
    <t>tamnv.tnh@vnpt.vn</t>
  </si>
  <si>
    <t>https://www.speedtest.net/my-result/a/11159700319</t>
  </si>
  <si>
    <t>Lê Thành Tài</t>
  </si>
  <si>
    <t>lttai.tnh@vnpt.vn</t>
  </si>
  <si>
    <t>https://www.speedtest.net/my-result/a/11159514045</t>
  </si>
  <si>
    <t>Nguyễn Tấn Đạt</t>
  </si>
  <si>
    <t>datnt.tnh@vnpt.vn</t>
  </si>
  <si>
    <t>https://www.speedtest.net/result/a/11159592805</t>
  </si>
  <si>
    <t>Huỳnh Hạo Thiên</t>
  </si>
  <si>
    <t>thienhh.tnh@vnpt.vn</t>
  </si>
  <si>
    <t>https://www.speedtest.net/result/i/6785553641</t>
  </si>
  <si>
    <t>Trương Đình Lợi</t>
  </si>
  <si>
    <t>loitd.tnh@vnpt.vn</t>
  </si>
  <si>
    <t>https://www.speedtest.net/result/a/11159719171</t>
  </si>
  <si>
    <t>Trương Vũ Hải</t>
  </si>
  <si>
    <t>tvhai.tnh@vnpt.vn</t>
  </si>
  <si>
    <t>https://www.speedtest.net/result/a/11157890491</t>
  </si>
  <si>
    <t>Nguyễn Hoàng Đạt</t>
  </si>
  <si>
    <t>datnh.tnh@vnpt.vn</t>
  </si>
  <si>
    <t>https://www.speedtest.net/result/i/6785549243</t>
  </si>
  <si>
    <t>Lê Quốc Trung Thông</t>
  </si>
  <si>
    <t>thonglqt.tnh@vnpt.vn</t>
  </si>
  <si>
    <t>Trần Thái Hòa</t>
  </si>
  <si>
    <t>hoatt.tnh@vnpt.vn</t>
  </si>
  <si>
    <t>https://www.speedtest.net/result/i/6785604498</t>
  </si>
  <si>
    <t>Ngô Trung Hiếu</t>
  </si>
  <si>
    <t>hieunt.tnh@vnpt.vn</t>
  </si>
  <si>
    <t>https://www.speedtest.net/my-result/a/11159471556</t>
  </si>
  <si>
    <t>Lâm Bình Chi</t>
  </si>
  <si>
    <t>chiib.tnh@vnpt.vn</t>
  </si>
  <si>
    <t>https://www.speedtest.net/my-result/a/11189149235</t>
  </si>
  <si>
    <t>Đặng võ thừa Phong</t>
  </si>
  <si>
    <t>0917893993</t>
  </si>
  <si>
    <t>phongdvt.tnh@vnpt.vn</t>
  </si>
  <si>
    <t>https://www.speedtest.net/my-result/a/11403234814</t>
  </si>
  <si>
    <t>Võ Minh Tuấn An</t>
  </si>
  <si>
    <t>0942666870</t>
  </si>
  <si>
    <t>anvmt.tnh@vnpt.vn</t>
  </si>
  <si>
    <t>https://www.speedtest.net/result/i/6947112957</t>
  </si>
  <si>
    <t>Nguyễn Hữu Khương</t>
  </si>
  <si>
    <t>0916755759</t>
  </si>
  <si>
    <t>nhkhuong.tnh@vnpt.vn</t>
  </si>
  <si>
    <r>
      <rPr>
        <b/>
        <sz val="12"/>
        <color theme="1"/>
        <rFont val="Times New Roman"/>
        <family val="1"/>
      </rPr>
      <t xml:space="preserve">Kết quả đo
</t>
    </r>
    <r>
      <rPr>
        <b/>
        <sz val="12"/>
        <color rgb="FFCC0000"/>
        <rFont val="Times New Roman"/>
        <family val="1"/>
      </rPr>
      <t>(Không điền cột này)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</si>
</sst>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d/m/yyyy"/>
    <numFmt numFmtId="166" formatCode="d\.m"/>
    <numFmt numFmtId="167" formatCode="#,##0.0"/>
    <numFmt numFmtId="168" formatCode="d/m/yy"/>
    <numFmt numFmtId="169" formatCode="dd\.mm"/>
  </numFmts>
  <fonts count="50">
    <font>
      <sz val="10"/>
      <color rgb="FF000000"/>
      <name val="Arial"/>
      <scheme val="minor"/>
    </font>
    <font>
      <b/>
      <sz val="13"/>
      <color rgb="FF000000"/>
      <name val="Times New Roman"/>
      <family val="1"/>
    </font>
    <font>
      <b/>
      <sz val="13"/>
      <color rgb="FFCC0000"/>
      <name val="Times New Roman"/>
      <family val="1"/>
    </font>
    <font>
      <sz val="10"/>
      <color theme="1"/>
      <name val="Arial"/>
      <family val="2"/>
      <scheme val="minor"/>
    </font>
    <font>
      <sz val="13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0"/>
      <color theme="1"/>
      <name val="Arial"/>
      <family val="2"/>
      <scheme val="minor"/>
    </font>
    <font>
      <b/>
      <sz val="10"/>
      <color theme="1"/>
      <name val="&quot;Times New Roman&quot;"/>
    </font>
    <font>
      <sz val="10"/>
      <color theme="1"/>
      <name val="Arial"/>
      <family val="2"/>
    </font>
    <font>
      <b/>
      <sz val="11"/>
      <color rgb="FF000000"/>
      <name val="&quot;Aptos Narrow&quot;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i/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1F1F1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color rgb="FF081B3A"/>
      <name val="SegoeuiPc"/>
    </font>
    <font>
      <sz val="11"/>
      <color rgb="FF081B3A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CC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6ED"/>
        <bgColor rgb="FFFFF6E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0">
    <xf numFmtId="0" fontId="0" fillId="0" borderId="0" xfId="0"/>
    <xf numFmtId="0" fontId="3" fillId="0" borderId="0" xfId="0" applyFont="1" applyAlignment="1">
      <alignment wrapText="1"/>
    </xf>
    <xf numFmtId="0" fontId="4" fillId="3" borderId="4" xfId="0" applyFont="1" applyFill="1" applyBorder="1" applyAlignment="1">
      <alignment horizontal="center"/>
    </xf>
    <xf numFmtId="9" fontId="4" fillId="2" borderId="4" xfId="0" applyNumberFormat="1" applyFont="1" applyFill="1" applyBorder="1"/>
    <xf numFmtId="10" fontId="4" fillId="2" borderId="4" xfId="0" applyNumberFormat="1" applyFont="1" applyFill="1" applyBorder="1"/>
    <xf numFmtId="0" fontId="4" fillId="3" borderId="7" xfId="0" applyFont="1" applyFill="1" applyBorder="1" applyAlignment="1">
      <alignment horizontal="center"/>
    </xf>
    <xf numFmtId="9" fontId="4" fillId="2" borderId="7" xfId="0" applyNumberFormat="1" applyFont="1" applyFill="1" applyBorder="1"/>
    <xf numFmtId="10" fontId="4" fillId="2" borderId="7" xfId="0" applyNumberFormat="1" applyFont="1" applyFill="1" applyBorder="1"/>
    <xf numFmtId="0" fontId="3" fillId="3" borderId="0" xfId="0" applyFont="1" applyFill="1"/>
    <xf numFmtId="0" fontId="4" fillId="3" borderId="10" xfId="0" applyFont="1" applyFill="1" applyBorder="1" applyAlignment="1">
      <alignment horizontal="center"/>
    </xf>
    <xf numFmtId="9" fontId="4" fillId="2" borderId="10" xfId="0" applyNumberFormat="1" applyFont="1" applyFill="1" applyBorder="1"/>
    <xf numFmtId="10" fontId="4" fillId="2" borderId="10" xfId="0" applyNumberFormat="1" applyFont="1" applyFill="1" applyBorder="1"/>
    <xf numFmtId="0" fontId="6" fillId="2" borderId="7" xfId="0" applyFont="1" applyFill="1" applyBorder="1"/>
    <xf numFmtId="0" fontId="7" fillId="2" borderId="7" xfId="0" applyFont="1" applyFill="1" applyBorder="1"/>
    <xf numFmtId="0" fontId="8" fillId="0" borderId="0" xfId="0" applyFont="1" applyAlignment="1">
      <alignment vertical="top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3" fillId="0" borderId="7" xfId="0" applyFont="1" applyBorder="1"/>
    <xf numFmtId="0" fontId="13" fillId="0" borderId="7" xfId="0" applyFont="1" applyBorder="1"/>
    <xf numFmtId="16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right"/>
    </xf>
    <xf numFmtId="165" fontId="3" fillId="0" borderId="7" xfId="0" applyNumberFormat="1" applyFont="1" applyBorder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166" fontId="15" fillId="0" borderId="0" xfId="0" applyNumberFormat="1" applyFont="1"/>
    <xf numFmtId="0" fontId="3" fillId="0" borderId="0" xfId="0" applyFont="1"/>
    <xf numFmtId="0" fontId="16" fillId="5" borderId="15" xfId="0" applyFont="1" applyFill="1" applyBorder="1" applyAlignment="1">
      <alignment horizontal="center" vertical="center"/>
    </xf>
    <xf numFmtId="0" fontId="18" fillId="0" borderId="0" xfId="0" applyFont="1"/>
    <xf numFmtId="0" fontId="16" fillId="5" borderId="18" xfId="0" applyFont="1" applyFill="1" applyBorder="1" applyAlignment="1">
      <alignment horizontal="center" vertical="center"/>
    </xf>
    <xf numFmtId="10" fontId="16" fillId="5" borderId="22" xfId="0" applyNumberFormat="1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wrapText="1"/>
    </xf>
    <xf numFmtId="0" fontId="16" fillId="6" borderId="29" xfId="0" applyFont="1" applyFill="1" applyBorder="1" applyAlignment="1">
      <alignment horizontal="center" wrapText="1"/>
    </xf>
    <xf numFmtId="0" fontId="16" fillId="6" borderId="10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wrapText="1"/>
    </xf>
    <xf numFmtId="0" fontId="16" fillId="7" borderId="15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right"/>
    </xf>
    <xf numFmtId="3" fontId="19" fillId="0" borderId="5" xfId="0" applyNumberFormat="1" applyFont="1" applyBorder="1" applyAlignment="1">
      <alignment horizontal="center"/>
    </xf>
    <xf numFmtId="165" fontId="13" fillId="3" borderId="30" xfId="0" applyNumberFormat="1" applyFont="1" applyFill="1" applyBorder="1" applyAlignment="1">
      <alignment horizontal="center"/>
    </xf>
    <xf numFmtId="0" fontId="20" fillId="3" borderId="31" xfId="0" applyFont="1" applyFill="1" applyBorder="1" applyAlignment="1">
      <alignment horizontal="center"/>
    </xf>
    <xf numFmtId="4" fontId="20" fillId="0" borderId="31" xfId="0" applyNumberFormat="1" applyFont="1" applyBorder="1" applyAlignment="1">
      <alignment horizontal="center"/>
    </xf>
    <xf numFmtId="0" fontId="19" fillId="3" borderId="5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/>
    </xf>
    <xf numFmtId="0" fontId="19" fillId="3" borderId="33" xfId="0" applyFont="1" applyFill="1" applyBorder="1" applyAlignment="1">
      <alignment horizontal="center"/>
    </xf>
    <xf numFmtId="0" fontId="19" fillId="3" borderId="34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right"/>
    </xf>
    <xf numFmtId="3" fontId="19" fillId="0" borderId="8" xfId="0" applyNumberFormat="1" applyFont="1" applyBorder="1" applyAlignment="1">
      <alignment horizontal="center"/>
    </xf>
    <xf numFmtId="0" fontId="19" fillId="3" borderId="8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/>
    </xf>
    <xf numFmtId="0" fontId="19" fillId="3" borderId="37" xfId="0" applyFont="1" applyFill="1" applyBorder="1" applyAlignment="1">
      <alignment horizontal="center"/>
    </xf>
    <xf numFmtId="0" fontId="20" fillId="0" borderId="31" xfId="0" applyFont="1" applyBorder="1" applyAlignment="1">
      <alignment horizontal="center"/>
    </xf>
    <xf numFmtId="165" fontId="19" fillId="8" borderId="30" xfId="0" applyNumberFormat="1" applyFont="1" applyFill="1" applyBorder="1" applyAlignment="1">
      <alignment horizontal="center"/>
    </xf>
    <xf numFmtId="0" fontId="19" fillId="8" borderId="7" xfId="0" applyFont="1" applyFill="1" applyBorder="1" applyAlignment="1">
      <alignment horizontal="center"/>
    </xf>
    <xf numFmtId="4" fontId="19" fillId="9" borderId="7" xfId="0" applyNumberFormat="1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165" fontId="19" fillId="9" borderId="38" xfId="0" applyNumberFormat="1" applyFont="1" applyFill="1" applyBorder="1" applyAlignment="1">
      <alignment horizontal="center"/>
    </xf>
    <xf numFmtId="0" fontId="13" fillId="8" borderId="7" xfId="0" applyFont="1" applyFill="1" applyBorder="1" applyAlignment="1">
      <alignment horizontal="center"/>
    </xf>
    <xf numFmtId="165" fontId="19" fillId="8" borderId="38" xfId="0" applyNumberFormat="1" applyFont="1" applyFill="1" applyBorder="1" applyAlignment="1">
      <alignment horizontal="center"/>
    </xf>
    <xf numFmtId="165" fontId="13" fillId="3" borderId="38" xfId="0" applyNumberFormat="1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4" fontId="20" fillId="0" borderId="7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/>
    </xf>
    <xf numFmtId="3" fontId="19" fillId="0" borderId="11" xfId="0" applyNumberFormat="1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4" fontId="20" fillId="0" borderId="30" xfId="0" applyNumberFormat="1" applyFont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165" fontId="13" fillId="3" borderId="31" xfId="0" applyNumberFormat="1" applyFont="1" applyFill="1" applyBorder="1" applyAlignment="1">
      <alignment horizontal="center"/>
    </xf>
    <xf numFmtId="4" fontId="20" fillId="3" borderId="31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166" fontId="20" fillId="3" borderId="31" xfId="0" applyNumberFormat="1" applyFont="1" applyFill="1" applyBorder="1" applyAlignment="1">
      <alignment horizontal="center"/>
    </xf>
    <xf numFmtId="165" fontId="19" fillId="8" borderId="7" xfId="0" applyNumberFormat="1" applyFont="1" applyFill="1" applyBorder="1" applyAlignment="1">
      <alignment horizontal="center"/>
    </xf>
    <xf numFmtId="4" fontId="19" fillId="8" borderId="7" xfId="0" applyNumberFormat="1" applyFont="1" applyFill="1" applyBorder="1" applyAlignment="1">
      <alignment horizontal="center"/>
    </xf>
    <xf numFmtId="0" fontId="19" fillId="8" borderId="8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165" fontId="19" fillId="3" borderId="38" xfId="0" applyNumberFormat="1" applyFont="1" applyFill="1" applyBorder="1" applyAlignment="1">
      <alignment horizontal="center"/>
    </xf>
    <xf numFmtId="4" fontId="19" fillId="0" borderId="7" xfId="0" applyNumberFormat="1" applyFont="1" applyBorder="1" applyAlignment="1">
      <alignment horizontal="center"/>
    </xf>
    <xf numFmtId="4" fontId="19" fillId="3" borderId="7" xfId="0" applyNumberFormat="1" applyFont="1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9" fillId="0" borderId="40" xfId="0" applyFont="1" applyBorder="1" applyAlignment="1">
      <alignment horizontal="left"/>
    </xf>
    <xf numFmtId="0" fontId="19" fillId="0" borderId="40" xfId="0" applyFont="1" applyBorder="1" applyAlignment="1">
      <alignment horizontal="center" vertical="center"/>
    </xf>
    <xf numFmtId="0" fontId="19" fillId="0" borderId="40" xfId="0" applyFont="1" applyBorder="1" applyAlignment="1">
      <alignment horizontal="right"/>
    </xf>
    <xf numFmtId="3" fontId="19" fillId="0" borderId="41" xfId="0" applyNumberFormat="1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7" xfId="0" applyFont="1" applyBorder="1" applyAlignment="1">
      <alignment horizontal="left"/>
    </xf>
    <xf numFmtId="0" fontId="19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right"/>
    </xf>
    <xf numFmtId="3" fontId="19" fillId="0" borderId="43" xfId="0" applyNumberFormat="1" applyFont="1" applyBorder="1" applyAlignment="1">
      <alignment horizontal="center"/>
    </xf>
    <xf numFmtId="165" fontId="19" fillId="3" borderId="7" xfId="0" applyNumberFormat="1" applyFont="1" applyFill="1" applyBorder="1" applyAlignment="1">
      <alignment horizontal="center"/>
    </xf>
    <xf numFmtId="49" fontId="19" fillId="3" borderId="7" xfId="0" applyNumberFormat="1" applyFont="1" applyFill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9" fillId="9" borderId="8" xfId="0" applyFont="1" applyFill="1" applyBorder="1" applyAlignment="1">
      <alignment horizontal="center"/>
    </xf>
    <xf numFmtId="49" fontId="13" fillId="8" borderId="7" xfId="0" applyNumberFormat="1" applyFont="1" applyFill="1" applyBorder="1" applyAlignment="1">
      <alignment horizontal="center"/>
    </xf>
    <xf numFmtId="49" fontId="19" fillId="8" borderId="7" xfId="0" applyNumberFormat="1" applyFont="1" applyFill="1" applyBorder="1" applyAlignment="1">
      <alignment horizontal="center"/>
    </xf>
    <xf numFmtId="3" fontId="19" fillId="3" borderId="7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4" fontId="20" fillId="8" borderId="7" xfId="0" applyNumberFormat="1" applyFont="1" applyFill="1" applyBorder="1" applyAlignment="1">
      <alignment horizontal="center"/>
    </xf>
    <xf numFmtId="0" fontId="20" fillId="8" borderId="31" xfId="0" applyFont="1" applyFill="1" applyBorder="1" applyAlignment="1">
      <alignment horizontal="center"/>
    </xf>
    <xf numFmtId="4" fontId="20" fillId="8" borderId="31" xfId="0" applyNumberFormat="1" applyFont="1" applyFill="1" applyBorder="1" applyAlignment="1">
      <alignment horizontal="center"/>
    </xf>
    <xf numFmtId="4" fontId="20" fillId="8" borderId="44" xfId="0" applyNumberFormat="1" applyFont="1" applyFill="1" applyBorder="1" applyAlignment="1">
      <alignment horizontal="center"/>
    </xf>
    <xf numFmtId="166" fontId="20" fillId="3" borderId="7" xfId="0" applyNumberFormat="1" applyFont="1" applyFill="1" applyBorder="1" applyAlignment="1">
      <alignment horizontal="center"/>
    </xf>
    <xf numFmtId="4" fontId="20" fillId="3" borderId="7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66" fontId="19" fillId="9" borderId="7" xfId="0" applyNumberFormat="1" applyFont="1" applyFill="1" applyBorder="1" applyAlignment="1">
      <alignment horizontal="center"/>
    </xf>
    <xf numFmtId="0" fontId="13" fillId="9" borderId="43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166" fontId="13" fillId="9" borderId="7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9" fillId="8" borderId="38" xfId="0" applyFont="1" applyFill="1" applyBorder="1" applyAlignment="1">
      <alignment horizontal="center"/>
    </xf>
    <xf numFmtId="3" fontId="19" fillId="8" borderId="7" xfId="0" applyNumberFormat="1" applyFont="1" applyFill="1" applyBorder="1" applyAlignment="1">
      <alignment horizontal="center"/>
    </xf>
    <xf numFmtId="167" fontId="19" fillId="8" borderId="7" xfId="0" applyNumberFormat="1" applyFont="1" applyFill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6" fontId="19" fillId="0" borderId="7" xfId="0" applyNumberFormat="1" applyFont="1" applyBorder="1" applyAlignment="1">
      <alignment horizontal="center"/>
    </xf>
    <xf numFmtId="0" fontId="19" fillId="8" borderId="4" xfId="0" applyFont="1" applyFill="1" applyBorder="1" applyAlignment="1">
      <alignment horizontal="center"/>
    </xf>
    <xf numFmtId="0" fontId="19" fillId="8" borderId="8" xfId="0" applyFont="1" applyFill="1" applyBorder="1" applyAlignment="1">
      <alignment horizontal="center" vertical="center"/>
    </xf>
    <xf numFmtId="0" fontId="19" fillId="8" borderId="41" xfId="0" applyFont="1" applyFill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4" fontId="19" fillId="0" borderId="27" xfId="0" applyNumberFormat="1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165" fontId="13" fillId="0" borderId="29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" fontId="19" fillId="0" borderId="1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9" fillId="3" borderId="46" xfId="0" applyFont="1" applyFill="1" applyBorder="1" applyAlignment="1">
      <alignment horizontal="center"/>
    </xf>
    <xf numFmtId="0" fontId="19" fillId="3" borderId="47" xfId="0" applyFont="1" applyFill="1" applyBorder="1" applyAlignment="1">
      <alignment horizontal="center"/>
    </xf>
    <xf numFmtId="0" fontId="19" fillId="3" borderId="48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" fontId="16" fillId="7" borderId="15" xfId="0" applyNumberFormat="1" applyFont="1" applyFill="1" applyBorder="1" applyAlignment="1">
      <alignment horizontal="right" wrapText="1"/>
    </xf>
    <xf numFmtId="3" fontId="16" fillId="7" borderId="15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left"/>
    </xf>
    <xf numFmtId="0" fontId="19" fillId="3" borderId="4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9" fillId="3" borderId="49" xfId="0" applyFont="1" applyFill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0" fontId="19" fillId="3" borderId="5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9" xfId="0" applyFont="1" applyBorder="1" applyAlignment="1">
      <alignment horizontal="center" vertical="center"/>
    </xf>
    <xf numFmtId="164" fontId="13" fillId="0" borderId="45" xfId="0" applyNumberFormat="1" applyFont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19" fillId="3" borderId="52" xfId="0" applyFont="1" applyFill="1" applyBorder="1" applyAlignment="1">
      <alignment horizontal="center"/>
    </xf>
    <xf numFmtId="0" fontId="19" fillId="0" borderId="53" xfId="0" applyFont="1" applyBorder="1" applyAlignment="1">
      <alignment horizontal="center"/>
    </xf>
    <xf numFmtId="0" fontId="19" fillId="0" borderId="30" xfId="0" applyFont="1" applyBorder="1" applyAlignment="1">
      <alignment horizontal="center" vertical="center"/>
    </xf>
    <xf numFmtId="165" fontId="19" fillId="3" borderId="31" xfId="0" applyNumberFormat="1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3" borderId="54" xfId="0" applyFont="1" applyFill="1" applyBorder="1" applyAlignment="1">
      <alignment horizontal="center"/>
    </xf>
    <xf numFmtId="0" fontId="19" fillId="3" borderId="55" xfId="0" applyFont="1" applyFill="1" applyBorder="1" applyAlignment="1">
      <alignment horizontal="center"/>
    </xf>
    <xf numFmtId="0" fontId="19" fillId="0" borderId="56" xfId="0" applyFont="1" applyBorder="1" applyAlignment="1">
      <alignment horizontal="center"/>
    </xf>
    <xf numFmtId="0" fontId="19" fillId="0" borderId="45" xfId="0" applyFont="1" applyBorder="1" applyAlignment="1">
      <alignment horizontal="center" vertical="center"/>
    </xf>
    <xf numFmtId="164" fontId="13" fillId="8" borderId="45" xfId="0" applyNumberFormat="1" applyFont="1" applyFill="1" applyBorder="1" applyAlignment="1">
      <alignment horizontal="center"/>
    </xf>
    <xf numFmtId="0" fontId="13" fillId="8" borderId="40" xfId="0" applyFont="1" applyFill="1" applyBorder="1" applyAlignment="1">
      <alignment horizontal="center"/>
    </xf>
    <xf numFmtId="0" fontId="19" fillId="3" borderId="40" xfId="0" applyFont="1" applyFill="1" applyBorder="1" applyAlignment="1">
      <alignment horizontal="center"/>
    </xf>
    <xf numFmtId="0" fontId="13" fillId="8" borderId="41" xfId="0" applyFont="1" applyFill="1" applyBorder="1" applyAlignment="1">
      <alignment horizontal="center"/>
    </xf>
    <xf numFmtId="0" fontId="19" fillId="3" borderId="57" xfId="0" applyFont="1" applyFill="1" applyBorder="1" applyAlignment="1">
      <alignment horizontal="center"/>
    </xf>
    <xf numFmtId="0" fontId="19" fillId="3" borderId="58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31" xfId="0" applyFont="1" applyBorder="1" applyAlignment="1">
      <alignment horizontal="center" vertical="center"/>
    </xf>
    <xf numFmtId="0" fontId="19" fillId="9" borderId="27" xfId="0" applyFont="1" applyFill="1" applyBorder="1" applyAlignment="1">
      <alignment horizontal="center"/>
    </xf>
    <xf numFmtId="0" fontId="19" fillId="3" borderId="27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164" fontId="13" fillId="9" borderId="45" xfId="0" applyNumberFormat="1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19" fillId="8" borderId="41" xfId="0" applyFont="1" applyFill="1" applyBorder="1" applyAlignment="1">
      <alignment horizontal="center"/>
    </xf>
    <xf numFmtId="0" fontId="19" fillId="3" borderId="43" xfId="0" applyFont="1" applyFill="1" applyBorder="1" applyAlignment="1">
      <alignment horizontal="center"/>
    </xf>
    <xf numFmtId="164" fontId="13" fillId="0" borderId="29" xfId="0" applyNumberFormat="1" applyFont="1" applyBorder="1" applyAlignment="1">
      <alignment horizontal="center"/>
    </xf>
    <xf numFmtId="165" fontId="19" fillId="3" borderId="30" xfId="0" applyNumberFormat="1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165" fontId="19" fillId="3" borderId="45" xfId="0" applyNumberFormat="1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165" fontId="19" fillId="3" borderId="29" xfId="0" applyNumberFormat="1" applyFont="1" applyFill="1" applyBorder="1" applyAlignment="1">
      <alignment horizontal="center"/>
    </xf>
    <xf numFmtId="3" fontId="19" fillId="3" borderId="10" xfId="0" applyNumberFormat="1" applyFont="1" applyFill="1" applyBorder="1" applyAlignment="1">
      <alignment horizontal="center"/>
    </xf>
    <xf numFmtId="3" fontId="19" fillId="3" borderId="4" xfId="0" applyNumberFormat="1" applyFont="1" applyFill="1" applyBorder="1" applyAlignment="1">
      <alignment horizontal="center"/>
    </xf>
    <xf numFmtId="3" fontId="19" fillId="3" borderId="40" xfId="0" applyNumberFormat="1" applyFont="1" applyFill="1" applyBorder="1" applyAlignment="1">
      <alignment horizontal="center"/>
    </xf>
    <xf numFmtId="3" fontId="21" fillId="0" borderId="4" xfId="0" applyNumberFormat="1" applyFont="1" applyBorder="1" applyAlignment="1">
      <alignment horizontal="right"/>
    </xf>
    <xf numFmtId="3" fontId="21" fillId="0" borderId="7" xfId="0" applyNumberFormat="1" applyFont="1" applyBorder="1" applyAlignment="1">
      <alignment horizontal="right"/>
    </xf>
    <xf numFmtId="3" fontId="13" fillId="0" borderId="7" xfId="0" applyNumberFormat="1" applyFont="1" applyBorder="1" applyAlignment="1">
      <alignment horizontal="right"/>
    </xf>
    <xf numFmtId="3" fontId="13" fillId="0" borderId="10" xfId="0" applyNumberFormat="1" applyFont="1" applyBorder="1" applyAlignment="1">
      <alignment horizontal="right"/>
    </xf>
    <xf numFmtId="0" fontId="21" fillId="0" borderId="59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right"/>
    </xf>
    <xf numFmtId="3" fontId="13" fillId="0" borderId="4" xfId="0" applyNumberFormat="1" applyFont="1" applyBorder="1" applyAlignment="1">
      <alignment horizontal="right"/>
    </xf>
    <xf numFmtId="3" fontId="13" fillId="0" borderId="40" xfId="0" applyNumberFormat="1" applyFont="1" applyBorder="1" applyAlignment="1">
      <alignment horizontal="right"/>
    </xf>
    <xf numFmtId="3" fontId="13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4" fontId="19" fillId="3" borderId="4" xfId="0" applyNumberFormat="1" applyFont="1" applyFill="1" applyBorder="1" applyAlignment="1">
      <alignment horizontal="center"/>
    </xf>
    <xf numFmtId="165" fontId="19" fillId="9" borderId="29" xfId="0" applyNumberFormat="1" applyFont="1" applyFill="1" applyBorder="1" applyAlignment="1">
      <alignment horizontal="center"/>
    </xf>
    <xf numFmtId="165" fontId="19" fillId="8" borderId="45" xfId="0" applyNumberFormat="1" applyFont="1" applyFill="1" applyBorder="1" applyAlignment="1">
      <alignment horizontal="center"/>
    </xf>
    <xf numFmtId="0" fontId="3" fillId="0" borderId="38" xfId="0" applyFont="1" applyBorder="1"/>
    <xf numFmtId="49" fontId="19" fillId="0" borderId="30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>
      <alignment horizontal="center" vertical="center"/>
    </xf>
    <xf numFmtId="166" fontId="13" fillId="8" borderId="7" xfId="0" applyNumberFormat="1" applyFont="1" applyFill="1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/>
    </xf>
    <xf numFmtId="165" fontId="13" fillId="8" borderId="45" xfId="0" applyNumberFormat="1" applyFont="1" applyFill="1" applyBorder="1" applyAlignment="1">
      <alignment horizontal="center"/>
    </xf>
    <xf numFmtId="165" fontId="13" fillId="8" borderId="38" xfId="0" applyNumberFormat="1" applyFont="1" applyFill="1" applyBorder="1" applyAlignment="1">
      <alignment horizontal="center"/>
    </xf>
    <xf numFmtId="4" fontId="19" fillId="8" borderId="4" xfId="0" applyNumberFormat="1" applyFont="1" applyFill="1" applyBorder="1" applyAlignment="1">
      <alignment horizontal="center"/>
    </xf>
    <xf numFmtId="4" fontId="19" fillId="8" borderId="40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right"/>
    </xf>
    <xf numFmtId="168" fontId="19" fillId="8" borderId="30" xfId="0" applyNumberFormat="1" applyFont="1" applyFill="1" applyBorder="1" applyAlignment="1">
      <alignment horizontal="center"/>
    </xf>
    <xf numFmtId="168" fontId="19" fillId="8" borderId="38" xfId="0" applyNumberFormat="1" applyFont="1" applyFill="1" applyBorder="1" applyAlignment="1">
      <alignment horizontal="center"/>
    </xf>
    <xf numFmtId="168" fontId="19" fillId="8" borderId="29" xfId="0" applyNumberFormat="1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167" fontId="19" fillId="8" borderId="4" xfId="0" applyNumberFormat="1" applyFont="1" applyFill="1" applyBorder="1" applyAlignment="1">
      <alignment horizontal="center"/>
    </xf>
    <xf numFmtId="167" fontId="19" fillId="8" borderId="40" xfId="0" applyNumberFormat="1" applyFont="1" applyFill="1" applyBorder="1" applyAlignment="1">
      <alignment horizontal="center"/>
    </xf>
    <xf numFmtId="4" fontId="19" fillId="9" borderId="27" xfId="0" applyNumberFormat="1" applyFont="1" applyFill="1" applyBorder="1" applyAlignment="1">
      <alignment horizontal="center"/>
    </xf>
    <xf numFmtId="169" fontId="13" fillId="9" borderId="10" xfId="0" applyNumberFormat="1" applyFont="1" applyFill="1" applyBorder="1" applyAlignment="1">
      <alignment horizontal="center"/>
    </xf>
    <xf numFmtId="4" fontId="19" fillId="9" borderId="10" xfId="0" applyNumberFormat="1" applyFont="1" applyFill="1" applyBorder="1" applyAlignment="1">
      <alignment horizontal="center"/>
    </xf>
    <xf numFmtId="0" fontId="19" fillId="8" borderId="27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19" fillId="3" borderId="31" xfId="0" applyNumberFormat="1" applyFont="1" applyFill="1" applyBorder="1" applyAlignment="1">
      <alignment horizontal="center"/>
    </xf>
    <xf numFmtId="166" fontId="19" fillId="3" borderId="27" xfId="0" applyNumberFormat="1" applyFont="1" applyFill="1" applyBorder="1" applyAlignment="1">
      <alignment horizontal="center"/>
    </xf>
    <xf numFmtId="4" fontId="19" fillId="3" borderId="27" xfId="0" applyNumberFormat="1" applyFont="1" applyFill="1" applyBorder="1" applyAlignment="1">
      <alignment horizontal="center"/>
    </xf>
    <xf numFmtId="166" fontId="19" fillId="3" borderId="7" xfId="0" applyNumberFormat="1" applyFont="1" applyFill="1" applyBorder="1" applyAlignment="1">
      <alignment horizontal="center"/>
    </xf>
    <xf numFmtId="164" fontId="19" fillId="3" borderId="38" xfId="0" applyNumberFormat="1" applyFont="1" applyFill="1" applyBorder="1" applyAlignment="1">
      <alignment horizontal="center"/>
    </xf>
    <xf numFmtId="166" fontId="13" fillId="0" borderId="10" xfId="0" applyNumberFormat="1" applyFont="1" applyBorder="1" applyAlignment="1">
      <alignment horizontal="center"/>
    </xf>
    <xf numFmtId="166" fontId="19" fillId="0" borderId="10" xfId="0" applyNumberFormat="1" applyFont="1" applyBorder="1" applyAlignment="1">
      <alignment horizontal="center"/>
    </xf>
    <xf numFmtId="0" fontId="19" fillId="8" borderId="53" xfId="0" applyFont="1" applyFill="1" applyBorder="1" applyAlignment="1">
      <alignment horizontal="center"/>
    </xf>
    <xf numFmtId="0" fontId="19" fillId="3" borderId="60" xfId="0" applyFont="1" applyFill="1" applyBorder="1" applyAlignment="1">
      <alignment horizontal="center"/>
    </xf>
    <xf numFmtId="166" fontId="19" fillId="8" borderId="7" xfId="0" applyNumberFormat="1" applyFont="1" applyFill="1" applyBorder="1" applyAlignment="1">
      <alignment horizontal="center"/>
    </xf>
    <xf numFmtId="0" fontId="19" fillId="3" borderId="61" xfId="0" applyFont="1" applyFill="1" applyBorder="1" applyAlignment="1">
      <alignment horizontal="center"/>
    </xf>
    <xf numFmtId="0" fontId="19" fillId="3" borderId="62" xfId="0" applyFont="1" applyFill="1" applyBorder="1" applyAlignment="1">
      <alignment horizontal="center"/>
    </xf>
    <xf numFmtId="0" fontId="13" fillId="8" borderId="43" xfId="0" applyFont="1" applyFill="1" applyBorder="1" applyAlignment="1">
      <alignment horizontal="center"/>
    </xf>
    <xf numFmtId="0" fontId="19" fillId="8" borderId="30" xfId="0" applyFont="1" applyFill="1" applyBorder="1" applyAlignment="1">
      <alignment horizontal="center"/>
    </xf>
    <xf numFmtId="3" fontId="19" fillId="8" borderId="4" xfId="0" applyNumberFormat="1" applyFont="1" applyFill="1" applyBorder="1" applyAlignment="1">
      <alignment horizontal="center"/>
    </xf>
    <xf numFmtId="164" fontId="19" fillId="8" borderId="38" xfId="0" applyNumberFormat="1" applyFont="1" applyFill="1" applyBorder="1" applyAlignment="1">
      <alignment horizontal="center"/>
    </xf>
    <xf numFmtId="164" fontId="19" fillId="8" borderId="45" xfId="0" applyNumberFormat="1" applyFont="1" applyFill="1" applyBorder="1" applyAlignment="1">
      <alignment horizontal="center"/>
    </xf>
    <xf numFmtId="3" fontId="19" fillId="8" borderId="40" xfId="0" applyNumberFormat="1" applyFont="1" applyFill="1" applyBorder="1" applyAlignment="1">
      <alignment horizontal="center"/>
    </xf>
    <xf numFmtId="3" fontId="19" fillId="0" borderId="7" xfId="0" applyNumberFormat="1" applyFont="1" applyBorder="1" applyAlignment="1">
      <alignment horizontal="center"/>
    </xf>
    <xf numFmtId="49" fontId="19" fillId="0" borderId="7" xfId="0" applyNumberFormat="1" applyFont="1" applyBorder="1" applyAlignment="1">
      <alignment horizontal="center" vertical="center"/>
    </xf>
    <xf numFmtId="165" fontId="3" fillId="0" borderId="0" xfId="0" applyNumberFormat="1" applyFont="1"/>
    <xf numFmtId="0" fontId="16" fillId="6" borderId="39" xfId="0" applyFont="1" applyFill="1" applyBorder="1" applyAlignment="1">
      <alignment horizontal="center" wrapText="1"/>
    </xf>
    <xf numFmtId="0" fontId="16" fillId="6" borderId="40" xfId="0" applyFont="1" applyFill="1" applyBorder="1" applyAlignment="1">
      <alignment horizontal="center"/>
    </xf>
    <xf numFmtId="0" fontId="16" fillId="7" borderId="26" xfId="0" applyFont="1" applyFill="1" applyBorder="1" applyAlignment="1">
      <alignment horizontal="center" wrapText="1"/>
    </xf>
    <xf numFmtId="0" fontId="16" fillId="7" borderId="26" xfId="0" applyFont="1" applyFill="1" applyBorder="1" applyAlignment="1">
      <alignment horizontal="center"/>
    </xf>
    <xf numFmtId="165" fontId="13" fillId="3" borderId="65" xfId="0" applyNumberFormat="1" applyFont="1" applyFill="1" applyBorder="1" applyAlignment="1">
      <alignment horizontal="center"/>
    </xf>
    <xf numFmtId="0" fontId="20" fillId="8" borderId="65" xfId="0" applyFont="1" applyFill="1" applyBorder="1" applyAlignment="1">
      <alignment horizontal="center"/>
    </xf>
    <xf numFmtId="4" fontId="20" fillId="8" borderId="65" xfId="0" applyNumberFormat="1" applyFont="1" applyFill="1" applyBorder="1" applyAlignment="1">
      <alignment horizontal="center"/>
    </xf>
    <xf numFmtId="0" fontId="20" fillId="3" borderId="66" xfId="0" applyFont="1" applyFill="1" applyBorder="1" applyAlignment="1">
      <alignment horizontal="center"/>
    </xf>
    <xf numFmtId="4" fontId="20" fillId="0" borderId="66" xfId="0" applyNumberFormat="1" applyFont="1" applyBorder="1" applyAlignment="1">
      <alignment horizontal="center"/>
    </xf>
    <xf numFmtId="166" fontId="20" fillId="0" borderId="31" xfId="0" applyNumberFormat="1" applyFont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4" fontId="20" fillId="0" borderId="65" xfId="0" applyNumberFormat="1" applyFont="1" applyBorder="1" applyAlignment="1">
      <alignment horizontal="center"/>
    </xf>
    <xf numFmtId="165" fontId="13" fillId="3" borderId="66" xfId="0" applyNumberFormat="1" applyFont="1" applyFill="1" applyBorder="1" applyAlignment="1">
      <alignment horizontal="center"/>
    </xf>
    <xf numFmtId="0" fontId="20" fillId="8" borderId="30" xfId="0" applyFont="1" applyFill="1" applyBorder="1" applyAlignment="1">
      <alignment horizontal="center"/>
    </xf>
    <xf numFmtId="4" fontId="20" fillId="8" borderId="30" xfId="0" applyNumberFormat="1" applyFont="1" applyFill="1" applyBorder="1" applyAlignment="1">
      <alignment horizontal="center"/>
    </xf>
    <xf numFmtId="4" fontId="20" fillId="8" borderId="67" xfId="0" applyNumberFormat="1" applyFont="1" applyFill="1" applyBorder="1" applyAlignment="1">
      <alignment horizontal="center"/>
    </xf>
    <xf numFmtId="4" fontId="20" fillId="8" borderId="68" xfId="0" applyNumberFormat="1" applyFont="1" applyFill="1" applyBorder="1" applyAlignment="1">
      <alignment horizontal="center"/>
    </xf>
    <xf numFmtId="4" fontId="20" fillId="8" borderId="64" xfId="0" applyNumberFormat="1" applyFont="1" applyFill="1" applyBorder="1" applyAlignment="1">
      <alignment horizontal="center"/>
    </xf>
    <xf numFmtId="0" fontId="13" fillId="8" borderId="69" xfId="0" applyFont="1" applyFill="1" applyBorder="1" applyAlignment="1">
      <alignment horizontal="center"/>
    </xf>
    <xf numFmtId="4" fontId="20" fillId="3" borderId="66" xfId="0" applyNumberFormat="1" applyFont="1" applyFill="1" applyBorder="1" applyAlignment="1">
      <alignment horizontal="center"/>
    </xf>
    <xf numFmtId="164" fontId="13" fillId="3" borderId="30" xfId="0" applyNumberFormat="1" applyFont="1" applyFill="1" applyBorder="1" applyAlignment="1">
      <alignment horizontal="center"/>
    </xf>
    <xf numFmtId="0" fontId="20" fillId="8" borderId="66" xfId="0" applyFont="1" applyFill="1" applyBorder="1" applyAlignment="1">
      <alignment horizontal="center"/>
    </xf>
    <xf numFmtId="4" fontId="20" fillId="8" borderId="66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164" fontId="13" fillId="3" borderId="65" xfId="0" applyNumberFormat="1" applyFont="1" applyFill="1" applyBorder="1" applyAlignment="1">
      <alignment horizontal="center"/>
    </xf>
    <xf numFmtId="164" fontId="13" fillId="3" borderId="31" xfId="0" applyNumberFormat="1" applyFont="1" applyFill="1" applyBorder="1" applyAlignment="1">
      <alignment horizontal="center"/>
    </xf>
    <xf numFmtId="0" fontId="13" fillId="3" borderId="31" xfId="0" applyFont="1" applyFill="1" applyBorder="1" applyAlignment="1">
      <alignment horizontal="center"/>
    </xf>
    <xf numFmtId="3" fontId="19" fillId="0" borderId="4" xfId="0" applyNumberFormat="1" applyFont="1" applyBorder="1" applyAlignment="1">
      <alignment horizontal="center"/>
    </xf>
    <xf numFmtId="165" fontId="19" fillId="3" borderId="4" xfId="0" applyNumberFormat="1" applyFont="1" applyFill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19" fillId="0" borderId="40" xfId="0" applyNumberFormat="1" applyFont="1" applyBorder="1" applyAlignment="1">
      <alignment horizontal="center"/>
    </xf>
    <xf numFmtId="3" fontId="19" fillId="0" borderId="27" xfId="0" applyNumberFormat="1" applyFont="1" applyBorder="1" applyAlignment="1">
      <alignment horizontal="center"/>
    </xf>
    <xf numFmtId="165" fontId="19" fillId="9" borderId="7" xfId="0" applyNumberFormat="1" applyFont="1" applyFill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3" fontId="13" fillId="8" borderId="7" xfId="0" applyNumberFormat="1" applyFont="1" applyFill="1" applyBorder="1" applyAlignment="1">
      <alignment horizontal="center"/>
    </xf>
    <xf numFmtId="49" fontId="19" fillId="0" borderId="31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/>
    </xf>
    <xf numFmtId="165" fontId="22" fillId="3" borderId="7" xfId="0" applyNumberFormat="1" applyFont="1" applyFill="1" applyBorder="1" applyAlignment="1">
      <alignment horizontal="center"/>
    </xf>
    <xf numFmtId="3" fontId="19" fillId="0" borderId="53" xfId="0" applyNumberFormat="1" applyFont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3" fontId="19" fillId="0" borderId="50" xfId="0" applyNumberFormat="1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9" fillId="3" borderId="70" xfId="0" applyFont="1" applyFill="1" applyBorder="1" applyAlignment="1">
      <alignment horizontal="center"/>
    </xf>
    <xf numFmtId="0" fontId="19" fillId="3" borderId="71" xfId="0" applyFont="1" applyFill="1" applyBorder="1" applyAlignment="1">
      <alignment horizontal="center"/>
    </xf>
    <xf numFmtId="3" fontId="19" fillId="0" borderId="23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9" fillId="3" borderId="72" xfId="0" applyFont="1" applyFill="1" applyBorder="1" applyAlignment="1">
      <alignment horizontal="center"/>
    </xf>
    <xf numFmtId="0" fontId="19" fillId="3" borderId="63" xfId="0" applyFont="1" applyFill="1" applyBorder="1" applyAlignment="1">
      <alignment horizontal="center"/>
    </xf>
    <xf numFmtId="0" fontId="19" fillId="3" borderId="73" xfId="0" applyFont="1" applyFill="1" applyBorder="1" applyAlignment="1">
      <alignment horizontal="center"/>
    </xf>
    <xf numFmtId="0" fontId="19" fillId="3" borderId="74" xfId="0" applyFont="1" applyFill="1" applyBorder="1" applyAlignment="1">
      <alignment horizontal="center"/>
    </xf>
    <xf numFmtId="0" fontId="19" fillId="8" borderId="50" xfId="0" applyFont="1" applyFill="1" applyBorder="1" applyAlignment="1">
      <alignment horizontal="center"/>
    </xf>
    <xf numFmtId="0" fontId="19" fillId="3" borderId="75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165" fontId="19" fillId="8" borderId="50" xfId="0" applyNumberFormat="1" applyFont="1" applyFill="1" applyBorder="1" applyAlignment="1">
      <alignment horizontal="center"/>
    </xf>
    <xf numFmtId="3" fontId="19" fillId="0" borderId="56" xfId="0" applyNumberFormat="1" applyFont="1" applyBorder="1" applyAlignment="1">
      <alignment horizontal="center"/>
    </xf>
    <xf numFmtId="165" fontId="13" fillId="8" borderId="56" xfId="0" applyNumberFormat="1" applyFont="1" applyFill="1" applyBorder="1" applyAlignment="1">
      <alignment horizontal="center"/>
    </xf>
    <xf numFmtId="0" fontId="19" fillId="3" borderId="76" xfId="0" applyFont="1" applyFill="1" applyBorder="1" applyAlignment="1">
      <alignment horizontal="center"/>
    </xf>
    <xf numFmtId="0" fontId="19" fillId="3" borderId="77" xfId="0" applyFont="1" applyFill="1" applyBorder="1" applyAlignment="1">
      <alignment horizontal="center"/>
    </xf>
    <xf numFmtId="3" fontId="19" fillId="0" borderId="28" xfId="0" applyNumberFormat="1" applyFont="1" applyBorder="1" applyAlignment="1">
      <alignment horizontal="center"/>
    </xf>
    <xf numFmtId="0" fontId="13" fillId="9" borderId="28" xfId="0" applyFont="1" applyFill="1" applyBorder="1" applyAlignment="1">
      <alignment horizontal="center"/>
    </xf>
    <xf numFmtId="0" fontId="19" fillId="3" borderId="78" xfId="0" applyFont="1" applyFill="1" applyBorder="1" applyAlignment="1">
      <alignment horizontal="center"/>
    </xf>
    <xf numFmtId="0" fontId="19" fillId="3" borderId="64" xfId="0" applyFont="1" applyFill="1" applyBorder="1" applyAlignment="1">
      <alignment horizontal="center"/>
    </xf>
    <xf numFmtId="0" fontId="19" fillId="9" borderId="50" xfId="0" applyFont="1" applyFill="1" applyBorder="1" applyAlignment="1">
      <alignment horizontal="center"/>
    </xf>
    <xf numFmtId="0" fontId="13" fillId="9" borderId="50" xfId="0" applyFont="1" applyFill="1" applyBorder="1" applyAlignment="1">
      <alignment horizontal="center"/>
    </xf>
    <xf numFmtId="0" fontId="19" fillId="9" borderId="23" xfId="0" applyFont="1" applyFill="1" applyBorder="1" applyAlignment="1">
      <alignment horizontal="center"/>
    </xf>
    <xf numFmtId="168" fontId="19" fillId="9" borderId="7" xfId="0" applyNumberFormat="1" applyFont="1" applyFill="1" applyBorder="1" applyAlignment="1">
      <alignment horizontal="center"/>
    </xf>
    <xf numFmtId="0" fontId="19" fillId="8" borderId="56" xfId="0" applyFont="1" applyFill="1" applyBorder="1" applyAlignment="1">
      <alignment horizontal="center"/>
    </xf>
    <xf numFmtId="164" fontId="23" fillId="0" borderId="7" xfId="0" applyNumberFormat="1" applyFont="1" applyBorder="1"/>
    <xf numFmtId="3" fontId="23" fillId="0" borderId="7" xfId="0" applyNumberFormat="1" applyFont="1" applyBorder="1" applyAlignment="1">
      <alignment horizontal="right"/>
    </xf>
    <xf numFmtId="0" fontId="19" fillId="3" borderId="28" xfId="0" applyFont="1" applyFill="1" applyBorder="1" applyAlignment="1">
      <alignment horizontal="center"/>
    </xf>
    <xf numFmtId="0" fontId="19" fillId="3" borderId="50" xfId="0" applyFont="1" applyFill="1" applyBorder="1" applyAlignment="1">
      <alignment horizontal="center"/>
    </xf>
    <xf numFmtId="165" fontId="23" fillId="0" borderId="7" xfId="0" applyNumberFormat="1" applyFont="1" applyBorder="1"/>
    <xf numFmtId="0" fontId="13" fillId="8" borderId="53" xfId="0" applyFont="1" applyFill="1" applyBorder="1" applyAlignment="1">
      <alignment horizontal="center"/>
    </xf>
    <xf numFmtId="0" fontId="13" fillId="8" borderId="56" xfId="0" applyFont="1" applyFill="1" applyBorder="1" applyAlignment="1">
      <alignment horizontal="center"/>
    </xf>
    <xf numFmtId="0" fontId="19" fillId="3" borderId="23" xfId="0" applyFont="1" applyFill="1" applyBorder="1" applyAlignment="1">
      <alignment horizontal="center"/>
    </xf>
    <xf numFmtId="164" fontId="19" fillId="0" borderId="7" xfId="0" applyNumberFormat="1" applyFont="1" applyBorder="1" applyAlignment="1">
      <alignment horizontal="right"/>
    </xf>
    <xf numFmtId="3" fontId="19" fillId="0" borderId="7" xfId="0" applyNumberFormat="1" applyFont="1" applyBorder="1" applyAlignment="1">
      <alignment horizontal="right"/>
    </xf>
    <xf numFmtId="0" fontId="13" fillId="0" borderId="28" xfId="0" applyFont="1" applyBorder="1" applyAlignment="1">
      <alignment horizontal="center"/>
    </xf>
    <xf numFmtId="49" fontId="13" fillId="8" borderId="50" xfId="0" applyNumberFormat="1" applyFont="1" applyFill="1" applyBorder="1" applyAlignment="1">
      <alignment horizontal="center"/>
    </xf>
    <xf numFmtId="49" fontId="13" fillId="8" borderId="56" xfId="0" applyNumberFormat="1" applyFont="1" applyFill="1" applyBorder="1" applyAlignment="1">
      <alignment horizontal="center"/>
    </xf>
    <xf numFmtId="49" fontId="15" fillId="0" borderId="7" xfId="0" applyNumberFormat="1" applyFont="1" applyBorder="1"/>
    <xf numFmtId="49" fontId="15" fillId="0" borderId="7" xfId="0" applyNumberFormat="1" applyFont="1" applyBorder="1" applyAlignment="1">
      <alignment horizontal="center"/>
    </xf>
    <xf numFmtId="0" fontId="19" fillId="3" borderId="53" xfId="0" applyFont="1" applyFill="1" applyBorder="1" applyAlignment="1">
      <alignment horizontal="center"/>
    </xf>
    <xf numFmtId="0" fontId="19" fillId="3" borderId="56" xfId="0" applyFont="1" applyFill="1" applyBorder="1" applyAlignment="1">
      <alignment horizontal="center"/>
    </xf>
    <xf numFmtId="0" fontId="19" fillId="8" borderId="50" xfId="0" applyFont="1" applyFill="1" applyBorder="1" applyAlignment="1">
      <alignment horizontal="center" vertical="center"/>
    </xf>
    <xf numFmtId="0" fontId="19" fillId="8" borderId="56" xfId="0" applyFont="1" applyFill="1" applyBorder="1" applyAlignment="1">
      <alignment horizontal="center" vertical="center"/>
    </xf>
    <xf numFmtId="164" fontId="24" fillId="0" borderId="7" xfId="0" applyNumberFormat="1" applyFont="1" applyBorder="1" applyAlignment="1">
      <alignment horizontal="center"/>
    </xf>
    <xf numFmtId="0" fontId="21" fillId="0" borderId="53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19" fillId="3" borderId="79" xfId="0" applyFont="1" applyFill="1" applyBorder="1" applyAlignment="1">
      <alignment horizontal="center"/>
    </xf>
    <xf numFmtId="164" fontId="21" fillId="0" borderId="7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19" fillId="3" borderId="67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10" borderId="10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/>
    </xf>
    <xf numFmtId="0" fontId="27" fillId="2" borderId="7" xfId="0" applyFont="1" applyFill="1" applyBorder="1" applyAlignment="1">
      <alignment horizontal="center" vertical="center"/>
    </xf>
    <xf numFmtId="0" fontId="28" fillId="2" borderId="71" xfId="0" applyFont="1" applyFill="1" applyBorder="1" applyAlignment="1">
      <alignment vertical="center"/>
    </xf>
    <xf numFmtId="0" fontId="29" fillId="2" borderId="5" xfId="0" applyFont="1" applyFill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vertical="center"/>
    </xf>
    <xf numFmtId="0" fontId="29" fillId="3" borderId="5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7" fillId="2" borderId="6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vertical="center"/>
    </xf>
    <xf numFmtId="0" fontId="29" fillId="3" borderId="8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9" fillId="2" borderId="71" xfId="0" applyFont="1" applyFill="1" applyBorder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30" fillId="2" borderId="71" xfId="0" applyFont="1" applyFill="1" applyBorder="1" applyAlignment="1">
      <alignment vertical="center"/>
    </xf>
    <xf numFmtId="0" fontId="27" fillId="2" borderId="10" xfId="0" applyFont="1" applyFill="1" applyBorder="1" applyAlignment="1">
      <alignment horizontal="left" vertical="center"/>
    </xf>
    <xf numFmtId="0" fontId="27" fillId="2" borderId="10" xfId="0" applyFont="1" applyFill="1" applyBorder="1" applyAlignment="1">
      <alignment horizontal="center" vertical="center"/>
    </xf>
    <xf numFmtId="0" fontId="29" fillId="2" borderId="63" xfId="0" applyFont="1" applyFill="1" applyBorder="1" applyAlignment="1">
      <alignment vertical="center"/>
    </xf>
    <xf numFmtId="0" fontId="29" fillId="2" borderId="11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/>
    </xf>
    <xf numFmtId="0" fontId="27" fillId="2" borderId="40" xfId="0" applyFont="1" applyFill="1" applyBorder="1" applyAlignment="1">
      <alignment horizontal="left" vertical="center"/>
    </xf>
    <xf numFmtId="0" fontId="27" fillId="2" borderId="40" xfId="0" applyFont="1" applyFill="1" applyBorder="1" applyAlignment="1">
      <alignment horizontal="center" vertical="center"/>
    </xf>
    <xf numFmtId="0" fontId="29" fillId="2" borderId="80" xfId="0" applyFont="1" applyFill="1" applyBorder="1" applyAlignment="1">
      <alignment vertical="center"/>
    </xf>
    <xf numFmtId="0" fontId="29" fillId="2" borderId="41" xfId="0" applyFont="1" applyFill="1" applyBorder="1" applyAlignment="1">
      <alignment horizontal="center" vertical="center"/>
    </xf>
    <xf numFmtId="0" fontId="27" fillId="11" borderId="42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left" vertical="center"/>
    </xf>
    <xf numFmtId="0" fontId="27" fillId="11" borderId="4" xfId="0" applyFont="1" applyFill="1" applyBorder="1" applyAlignment="1">
      <alignment horizontal="center" vertical="center"/>
    </xf>
    <xf numFmtId="0" fontId="29" fillId="11" borderId="64" xfId="0" applyFont="1" applyFill="1" applyBorder="1" applyAlignment="1">
      <alignment vertical="center"/>
    </xf>
    <xf numFmtId="0" fontId="29" fillId="11" borderId="5" xfId="0" applyFont="1" applyFill="1" applyBorder="1" applyAlignment="1">
      <alignment horizontal="center" vertical="center"/>
    </xf>
    <xf numFmtId="0" fontId="29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7" fillId="11" borderId="6" xfId="0" applyFont="1" applyFill="1" applyBorder="1" applyAlignment="1">
      <alignment horizontal="center" vertical="center"/>
    </xf>
    <xf numFmtId="0" fontId="27" fillId="11" borderId="7" xfId="0" applyFont="1" applyFill="1" applyBorder="1" applyAlignment="1">
      <alignment horizontal="left" vertical="center"/>
    </xf>
    <xf numFmtId="0" fontId="27" fillId="11" borderId="7" xfId="0" applyFont="1" applyFill="1" applyBorder="1" applyAlignment="1">
      <alignment horizontal="center" vertical="center"/>
    </xf>
    <xf numFmtId="0" fontId="31" fillId="11" borderId="71" xfId="0" applyFont="1" applyFill="1" applyBorder="1" applyAlignment="1">
      <alignment vertical="center"/>
    </xf>
    <xf numFmtId="0" fontId="29" fillId="11" borderId="8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left" vertical="center"/>
    </xf>
    <xf numFmtId="0" fontId="10" fillId="11" borderId="7" xfId="0" applyFont="1" applyFill="1" applyBorder="1" applyAlignment="1">
      <alignment horizontal="center" vertical="center"/>
    </xf>
    <xf numFmtId="0" fontId="26" fillId="11" borderId="8" xfId="0" applyFont="1" applyFill="1" applyBorder="1" applyAlignment="1">
      <alignment horizontal="center" vertical="center"/>
    </xf>
    <xf numFmtId="0" fontId="32" fillId="11" borderId="71" xfId="0" applyFont="1" applyFill="1" applyBorder="1" applyAlignment="1">
      <alignment vertical="center"/>
    </xf>
    <xf numFmtId="49" fontId="27" fillId="11" borderId="7" xfId="0" applyNumberFormat="1" applyFont="1" applyFill="1" applyBorder="1" applyAlignment="1">
      <alignment horizontal="center" vertical="center"/>
    </xf>
    <xf numFmtId="0" fontId="33" fillId="11" borderId="71" xfId="0" applyFont="1" applyFill="1" applyBorder="1" applyAlignment="1">
      <alignment vertical="center"/>
    </xf>
    <xf numFmtId="0" fontId="29" fillId="11" borderId="71" xfId="0" applyFont="1" applyFill="1" applyBorder="1" applyAlignment="1">
      <alignment vertical="center"/>
    </xf>
    <xf numFmtId="0" fontId="27" fillId="11" borderId="7" xfId="0" applyFont="1" applyFill="1" applyBorder="1" applyAlignment="1">
      <alignment vertical="center"/>
    </xf>
    <xf numFmtId="0" fontId="27" fillId="11" borderId="39" xfId="0" applyFont="1" applyFill="1" applyBorder="1" applyAlignment="1">
      <alignment horizontal="center" vertical="center"/>
    </xf>
    <xf numFmtId="0" fontId="27" fillId="11" borderId="40" xfId="0" applyFont="1" applyFill="1" applyBorder="1" applyAlignment="1">
      <alignment horizontal="left" vertical="center"/>
    </xf>
    <xf numFmtId="0" fontId="27" fillId="11" borderId="40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vertical="center"/>
    </xf>
    <xf numFmtId="0" fontId="29" fillId="11" borderId="41" xfId="0" applyFont="1" applyFill="1" applyBorder="1" applyAlignment="1">
      <alignment horizontal="center" vertical="center"/>
    </xf>
    <xf numFmtId="0" fontId="27" fillId="5" borderId="42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vertical="center"/>
    </xf>
    <xf numFmtId="0" fontId="27" fillId="5" borderId="4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vertical="center"/>
    </xf>
    <xf numFmtId="0" fontId="29" fillId="12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left" vertical="center"/>
    </xf>
    <xf numFmtId="0" fontId="27" fillId="5" borderId="7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vertical="center"/>
    </xf>
    <xf numFmtId="0" fontId="29" fillId="12" borderId="8" xfId="0" applyFont="1" applyFill="1" applyBorder="1" applyAlignment="1">
      <alignment horizontal="center" vertical="center"/>
    </xf>
    <xf numFmtId="0" fontId="35" fillId="5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center" vertical="center"/>
    </xf>
    <xf numFmtId="0" fontId="26" fillId="12" borderId="8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vertical="center"/>
    </xf>
    <xf numFmtId="0" fontId="27" fillId="12" borderId="8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40" xfId="0" applyFont="1" applyFill="1" applyBorder="1" applyAlignment="1">
      <alignment vertical="center"/>
    </xf>
    <xf numFmtId="0" fontId="27" fillId="5" borderId="40" xfId="0" applyFont="1" applyFill="1" applyBorder="1" applyAlignment="1">
      <alignment horizontal="center" vertical="center"/>
    </xf>
    <xf numFmtId="0" fontId="27" fillId="12" borderId="41" xfId="0" applyFont="1" applyFill="1" applyBorder="1" applyAlignment="1">
      <alignment horizontal="center" vertical="center"/>
    </xf>
    <xf numFmtId="0" fontId="27" fillId="13" borderId="3" xfId="0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horizontal="left" vertical="center"/>
    </xf>
    <xf numFmtId="0" fontId="27" fillId="13" borderId="4" xfId="0" applyFont="1" applyFill="1" applyBorder="1" applyAlignment="1">
      <alignment horizontal="center" vertical="center"/>
    </xf>
    <xf numFmtId="0" fontId="37" fillId="13" borderId="67" xfId="0" applyFont="1" applyFill="1" applyBorder="1" applyAlignment="1">
      <alignment vertical="center"/>
    </xf>
    <xf numFmtId="0" fontId="29" fillId="13" borderId="5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7" xfId="0" applyFont="1" applyFill="1" applyBorder="1" applyAlignment="1">
      <alignment horizontal="left" vertical="center"/>
    </xf>
    <xf numFmtId="0" fontId="27" fillId="13" borderId="7" xfId="0" applyFont="1" applyFill="1" applyBorder="1" applyAlignment="1">
      <alignment horizontal="center" vertical="center"/>
    </xf>
    <xf numFmtId="0" fontId="38" fillId="13" borderId="71" xfId="0" applyFont="1" applyFill="1" applyBorder="1" applyAlignment="1">
      <alignment vertical="center"/>
    </xf>
    <xf numFmtId="0" fontId="29" fillId="13" borderId="8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left" vertical="center"/>
    </xf>
    <xf numFmtId="0" fontId="10" fillId="13" borderId="7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center" vertical="center"/>
    </xf>
    <xf numFmtId="0" fontId="39" fillId="13" borderId="7" xfId="0" applyFont="1" applyFill="1" applyBorder="1" applyAlignment="1">
      <alignment horizontal="left" vertical="center"/>
    </xf>
    <xf numFmtId="0" fontId="29" fillId="13" borderId="71" xfId="0" applyFont="1" applyFill="1" applyBorder="1" applyAlignment="1">
      <alignment vertical="center"/>
    </xf>
    <xf numFmtId="0" fontId="36" fillId="13" borderId="7" xfId="0" applyFont="1" applyFill="1" applyBorder="1" applyAlignment="1">
      <alignment vertical="center"/>
    </xf>
    <xf numFmtId="49" fontId="3" fillId="13" borderId="7" xfId="0" applyNumberFormat="1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vertical="center"/>
    </xf>
    <xf numFmtId="0" fontId="27" fillId="13" borderId="39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vertical="center"/>
    </xf>
    <xf numFmtId="0" fontId="29" fillId="13" borderId="80" xfId="0" applyFont="1" applyFill="1" applyBorder="1" applyAlignment="1">
      <alignment vertical="center"/>
    </xf>
    <xf numFmtId="0" fontId="27" fillId="13" borderId="40" xfId="0" applyFont="1" applyFill="1" applyBorder="1" applyAlignment="1">
      <alignment horizontal="center" vertical="center"/>
    </xf>
    <xf numFmtId="0" fontId="29" fillId="13" borderId="4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left" vertical="center"/>
    </xf>
    <xf numFmtId="0" fontId="27" fillId="2" borderId="4" xfId="0" applyFont="1" applyFill="1" applyBorder="1" applyAlignment="1">
      <alignment horizontal="center" vertical="center"/>
    </xf>
    <xf numFmtId="0" fontId="40" fillId="2" borderId="67" xfId="0" applyFont="1" applyFill="1" applyBorder="1" applyAlignment="1">
      <alignment vertical="center"/>
    </xf>
    <xf numFmtId="0" fontId="39" fillId="2" borderId="8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41" fillId="5" borderId="67" xfId="0" applyFont="1" applyFill="1" applyBorder="1" applyAlignment="1">
      <alignment vertical="center"/>
    </xf>
    <xf numFmtId="0" fontId="29" fillId="5" borderId="5" xfId="0" applyFont="1" applyFill="1" applyBorder="1" applyAlignment="1">
      <alignment horizontal="center" vertical="center"/>
    </xf>
    <xf numFmtId="0" fontId="42" fillId="5" borderId="71" xfId="0" applyFont="1" applyFill="1" applyBorder="1" applyAlignment="1">
      <alignment vertical="center"/>
    </xf>
    <xf numFmtId="0" fontId="29" fillId="5" borderId="8" xfId="0" applyFont="1" applyFill="1" applyBorder="1" applyAlignment="1">
      <alignment horizontal="center" vertical="center"/>
    </xf>
    <xf numFmtId="49" fontId="27" fillId="5" borderId="7" xfId="0" applyNumberFormat="1" applyFont="1" applyFill="1" applyBorder="1" applyAlignment="1">
      <alignment horizontal="center" vertical="center"/>
    </xf>
    <xf numFmtId="0" fontId="29" fillId="5" borderId="71" xfId="0" applyFont="1" applyFill="1" applyBorder="1" applyAlignment="1">
      <alignment vertical="center"/>
    </xf>
    <xf numFmtId="0" fontId="27" fillId="5" borderId="40" xfId="0" applyFont="1" applyFill="1" applyBorder="1" applyAlignment="1">
      <alignment horizontal="left" vertical="center"/>
    </xf>
    <xf numFmtId="0" fontId="29" fillId="5" borderId="80" xfId="0" applyFont="1" applyFill="1" applyBorder="1" applyAlignment="1">
      <alignment vertical="center"/>
    </xf>
    <xf numFmtId="0" fontId="29" fillId="5" borderId="41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vertical="center"/>
    </xf>
    <xf numFmtId="0" fontId="26" fillId="4" borderId="5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left" vertical="center"/>
    </xf>
    <xf numFmtId="0" fontId="27" fillId="4" borderId="7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vertical="center"/>
    </xf>
    <xf numFmtId="0" fontId="29" fillId="4" borderId="8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45" fillId="4" borderId="7" xfId="0" applyFont="1" applyFill="1" applyBorder="1" applyAlignment="1">
      <alignment vertical="center"/>
    </xf>
    <xf numFmtId="49" fontId="3" fillId="4" borderId="7" xfId="0" applyNumberFormat="1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6" fillId="4" borderId="7" xfId="0" applyFont="1" applyFill="1" applyBorder="1" applyAlignment="1">
      <alignment vertical="center"/>
    </xf>
    <xf numFmtId="0" fontId="29" fillId="4" borderId="7" xfId="0" applyFont="1" applyFill="1" applyBorder="1" applyAlignment="1">
      <alignment vertical="center"/>
    </xf>
    <xf numFmtId="0" fontId="27" fillId="4" borderId="39" xfId="0" applyFont="1" applyFill="1" applyBorder="1" applyAlignment="1">
      <alignment horizontal="center" vertical="center"/>
    </xf>
    <xf numFmtId="0" fontId="45" fillId="4" borderId="40" xfId="0" applyFont="1" applyFill="1" applyBorder="1" applyAlignment="1">
      <alignment vertical="center"/>
    </xf>
    <xf numFmtId="49" fontId="3" fillId="4" borderId="40" xfId="0" applyNumberFormat="1" applyFont="1" applyFill="1" applyBorder="1" applyAlignment="1">
      <alignment vertical="center"/>
    </xf>
    <xf numFmtId="0" fontId="3" fillId="4" borderId="40" xfId="0" applyFont="1" applyFill="1" applyBorder="1" applyAlignment="1">
      <alignment vertical="center"/>
    </xf>
    <xf numFmtId="0" fontId="29" fillId="4" borderId="40" xfId="0" applyFont="1" applyFill="1" applyBorder="1" applyAlignment="1">
      <alignment vertical="center"/>
    </xf>
    <xf numFmtId="0" fontId="27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vertical="center"/>
    </xf>
    <xf numFmtId="0" fontId="29" fillId="3" borderId="39" xfId="0" applyFont="1" applyFill="1" applyBorder="1" applyAlignment="1">
      <alignment horizontal="center" vertical="center"/>
    </xf>
    <xf numFmtId="0" fontId="29" fillId="3" borderId="40" xfId="0" applyFont="1" applyFill="1" applyBorder="1" applyAlignment="1">
      <alignment vertical="center"/>
    </xf>
    <xf numFmtId="0" fontId="29" fillId="3" borderId="41" xfId="0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6" fillId="0" borderId="34" xfId="0" applyFont="1" applyBorder="1" applyAlignment="1">
      <alignment horizontal="center" wrapText="1"/>
    </xf>
    <xf numFmtId="0" fontId="16" fillId="0" borderId="67" xfId="0" applyFont="1" applyBorder="1" applyAlignment="1">
      <alignment horizontal="center" wrapText="1"/>
    </xf>
    <xf numFmtId="0" fontId="16" fillId="6" borderId="56" xfId="0" applyFont="1" applyFill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3" fontId="8" fillId="0" borderId="0" xfId="0" applyNumberFormat="1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4" fontId="3" fillId="0" borderId="0" xfId="0" applyNumberFormat="1" applyFont="1"/>
    <xf numFmtId="166" fontId="3" fillId="0" borderId="0" xfId="0" applyNumberFormat="1" applyFont="1"/>
    <xf numFmtId="49" fontId="3" fillId="0" borderId="0" xfId="0" applyNumberFormat="1" applyFont="1"/>
    <xf numFmtId="167" fontId="3" fillId="0" borderId="0" xfId="0" applyNumberFormat="1" applyFont="1"/>
    <xf numFmtId="164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0" fontId="16" fillId="5" borderId="12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16" xfId="0" applyFont="1" applyBorder="1"/>
    <xf numFmtId="0" fontId="0" fillId="0" borderId="0" xfId="0"/>
    <xf numFmtId="0" fontId="17" fillId="0" borderId="19" xfId="0" applyFont="1" applyBorder="1"/>
    <xf numFmtId="0" fontId="17" fillId="0" borderId="20" xfId="0" applyFont="1" applyBorder="1"/>
    <xf numFmtId="0" fontId="16" fillId="0" borderId="10" xfId="0" applyFont="1" applyBorder="1" applyAlignment="1">
      <alignment horizontal="center" vertical="center"/>
    </xf>
    <xf numFmtId="0" fontId="17" fillId="0" borderId="27" xfId="0" applyFont="1" applyBorder="1"/>
    <xf numFmtId="3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7" fillId="0" borderId="28" xfId="0" applyFont="1" applyBorder="1"/>
    <xf numFmtId="3" fontId="16" fillId="0" borderId="23" xfId="0" applyNumberFormat="1" applyFont="1" applyBorder="1" applyAlignment="1">
      <alignment horizontal="center" vertical="center" wrapText="1"/>
    </xf>
    <xf numFmtId="3" fontId="16" fillId="0" borderId="15" xfId="0" applyNumberFormat="1" applyFont="1" applyBorder="1" applyAlignment="1">
      <alignment horizontal="center" vertical="center" wrapText="1"/>
    </xf>
    <xf numFmtId="0" fontId="17" fillId="0" borderId="22" xfId="0" applyFont="1" applyBorder="1"/>
    <xf numFmtId="0" fontId="16" fillId="6" borderId="24" xfId="0" applyFont="1" applyFill="1" applyBorder="1" applyAlignment="1">
      <alignment horizontal="center" wrapText="1"/>
    </xf>
    <xf numFmtId="0" fontId="17" fillId="0" borderId="25" xfId="0" applyFont="1" applyBorder="1"/>
    <xf numFmtId="0" fontId="16" fillId="7" borderId="24" xfId="0" applyFont="1" applyFill="1" applyBorder="1" applyAlignment="1">
      <alignment horizontal="center" wrapText="1"/>
    </xf>
    <xf numFmtId="3" fontId="16" fillId="4" borderId="12" xfId="0" applyNumberFormat="1" applyFont="1" applyFill="1" applyBorder="1" applyAlignment="1">
      <alignment horizontal="center" vertical="center" wrapText="1"/>
    </xf>
    <xf numFmtId="0" fontId="17" fillId="0" borderId="14" xfId="0" applyFont="1" applyBorder="1"/>
    <xf numFmtId="0" fontId="17" fillId="0" borderId="17" xfId="0" applyFont="1" applyBorder="1"/>
    <xf numFmtId="0" fontId="17" fillId="0" borderId="21" xfId="0" applyFont="1" applyBorder="1"/>
    <xf numFmtId="0" fontId="16" fillId="5" borderId="12" xfId="0" applyFont="1" applyFill="1" applyBorder="1" applyAlignment="1">
      <alignment horizontal="center" vertical="center"/>
    </xf>
    <xf numFmtId="3" fontId="16" fillId="7" borderId="24" xfId="0" applyNumberFormat="1" applyFont="1" applyFill="1" applyBorder="1" applyAlignment="1">
      <alignment horizontal="right" wrapText="1"/>
    </xf>
    <xf numFmtId="0" fontId="16" fillId="0" borderId="63" xfId="0" applyFont="1" applyBorder="1" applyAlignment="1">
      <alignment horizontal="center" vertical="center"/>
    </xf>
    <xf numFmtId="0" fontId="17" fillId="0" borderId="64" xfId="0" applyFont="1" applyBorder="1"/>
    <xf numFmtId="3" fontId="16" fillId="4" borderId="12" xfId="0" applyNumberFormat="1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/>
    </xf>
    <xf numFmtId="0" fontId="17" fillId="0" borderId="81" xfId="0" applyFont="1" applyBorder="1"/>
    <xf numFmtId="10" fontId="16" fillId="5" borderId="79" xfId="0" applyNumberFormat="1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7" fillId="0" borderId="82" xfId="0" applyFont="1" applyBorder="1"/>
    <xf numFmtId="3" fontId="16" fillId="0" borderId="10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3" fontId="16" fillId="0" borderId="15" xfId="0" applyNumberFormat="1" applyFont="1" applyBorder="1" applyAlignment="1">
      <alignment horizontal="center" wrapText="1"/>
    </xf>
    <xf numFmtId="0" fontId="4" fillId="3" borderId="30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10" fontId="4" fillId="2" borderId="53" xfId="0" applyNumberFormat="1" applyFont="1" applyFill="1" applyBorder="1"/>
    <xf numFmtId="10" fontId="4" fillId="2" borderId="50" xfId="0" applyNumberFormat="1" applyFont="1" applyFill="1" applyBorder="1"/>
    <xf numFmtId="10" fontId="4" fillId="2" borderId="23" xfId="0" applyNumberFormat="1" applyFont="1" applyFill="1" applyBorder="1"/>
    <xf numFmtId="0" fontId="1" fillId="2" borderId="66" xfId="0" applyFont="1" applyFill="1" applyBorder="1" applyAlignment="1">
      <alignment horizontal="center" vertical="center" wrapText="1"/>
    </xf>
    <xf numFmtId="0" fontId="1" fillId="2" borderId="84" xfId="0" applyFont="1" applyFill="1" applyBorder="1" applyAlignment="1">
      <alignment horizontal="center" vertical="center" wrapText="1"/>
    </xf>
    <xf numFmtId="0" fontId="2" fillId="2" borderId="84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3" fillId="4" borderId="59" xfId="0" applyFont="1" applyFill="1" applyBorder="1"/>
    <xf numFmtId="0" fontId="5" fillId="3" borderId="8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right"/>
    </xf>
    <xf numFmtId="10" fontId="1" fillId="3" borderId="83" xfId="0" applyNumberFormat="1" applyFont="1" applyFill="1" applyBorder="1" applyAlignment="1">
      <alignment horizontal="right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CFE2F3"/>
          <bgColor rgb="FFCFE2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4" formatCode="0.00%"/>
      <fill>
        <patternFill patternType="solid">
          <fgColor rgb="FFCFE2F3"/>
          <bgColor rgb="FFCFE2F3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4" formatCode="0.00%"/>
      <fill>
        <patternFill patternType="solid">
          <fgColor rgb="FFCFE2F3"/>
          <bgColor rgb="FFCFE2F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3" formatCode="0%"/>
      <fill>
        <patternFill patternType="solid">
          <fgColor rgb="FFCFE2F3"/>
          <bgColor rgb="FFCFE2F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FF1"/>
          <bgColor rgb="FFF4F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138</xdr:row>
      <xdr:rowOff>85725</xdr:rowOff>
    </xdr:from>
    <xdr:ext cx="3752850" cy="38195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791C1-C912-45A0-9697-9EBF45C1F355}" name="b1_quoc" displayName="b1_quoc" ref="A1:K9" totalsRowShown="0" headerRowDxfId="0" dataDxfId="1" tableBorderDxfId="13">
  <autoFilter ref="A1:K9" xr:uid="{998791C1-C912-45A0-9697-9EBF45C1F355}"/>
  <tableColumns count="11">
    <tableColumn id="1" xr3:uid="{5AF76292-8A39-4944-9712-0C639EF91592}" name="STT" dataDxfId="12"/>
    <tableColumn id="2" xr3:uid="{DCDFB343-CE8F-4A6C-ABB7-F0BF7AE9EE90}" name="Tổ Hạ Tầng" dataDxfId="11"/>
    <tableColumn id="3" xr3:uid="{9E778971-E247-4C0F-8B43-C7A5ED8FB4D3}" name="Số lượng NV" dataDxfId="10"/>
    <tableColumn id="4" xr3:uid="{C90082E0-1E4A-447E-913F-BA713C10CA6B}" name="SL mẫu cần đo i-Speed" dataDxfId="9">
      <calculatedColumnFormula>C2*16</calculatedColumnFormula>
    </tableColumn>
    <tableColumn id="5" xr3:uid="{D1CB5907-F530-48E5-B99E-7703E586DD58}" name="Đã thực hiện i-Speed" dataDxfId="8"/>
    <tableColumn id="6" xr3:uid="{6575C9FC-0513-4CBF-BFB6-B50542484979}" name="Tỉ lệ hoàn thành i-Speed" dataDxfId="7">
      <calculatedColumnFormula>E2/D2</calculatedColumnFormula>
    </tableColumn>
    <tableColumn id="7" xr3:uid="{47B95CD8-DC4D-48C1-9B5F-A81CC0BC78BA}" name="SL mẫu cần đo speedtest" dataDxfId="6">
      <calculatedColumnFormula>(C2*16)</calculatedColumnFormula>
    </tableColumn>
    <tableColumn id="8" xr3:uid="{CAAEED70-2229-4406-9870-8F052349BD1C}" name="Đã thực hiện Speedtest (Theo tuần)" dataDxfId="5"/>
    <tableColumn id="9" xr3:uid="{240B3798-7BA7-4566-9D27-473E39C97369}" name="Tỉ lệ hoàn thành Speedtest " dataDxfId="4">
      <calculatedColumnFormula>H2/G2</calculatedColumnFormula>
    </tableColumn>
    <tableColumn id="10" xr3:uid="{5BC960F3-3997-4636-B3CF-B47AA667C702}" name="SL mẫu đo 5G Speedtest" dataDxfId="3"/>
    <tableColumn id="11" xr3:uid="{05A15209-9713-4FB4-9B9E-205319A99092}" name="Tỉ lệ mẫu đo 5G/số mẫu đo SpeedTest (&gt;60%/Tổ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peedtest.net/my-result/a/11159466719" TargetMode="External"/><Relationship Id="rId21" Type="http://schemas.openxmlformats.org/officeDocument/2006/relationships/hyperlink" Target="https://www.speedtest.net/my-result/a/11412006579" TargetMode="External"/><Relationship Id="rId42" Type="http://schemas.openxmlformats.org/officeDocument/2006/relationships/hyperlink" Target="https://www.speedtest.net/my-result/a/11159511265" TargetMode="External"/><Relationship Id="rId47" Type="http://schemas.openxmlformats.org/officeDocument/2006/relationships/hyperlink" Target="https://www.speedtest.net/my-result/a/11159483018" TargetMode="External"/><Relationship Id="rId63" Type="http://schemas.openxmlformats.org/officeDocument/2006/relationships/hyperlink" Target="https://www.speedtest.net/my-result/a/11159562951" TargetMode="External"/><Relationship Id="rId68" Type="http://schemas.openxmlformats.org/officeDocument/2006/relationships/hyperlink" Target="https://www.speedtest.net/result/i/6785621761" TargetMode="External"/><Relationship Id="rId84" Type="http://schemas.openxmlformats.org/officeDocument/2006/relationships/hyperlink" Target="https://www.speedtest.net/result/a/11159636360" TargetMode="External"/><Relationship Id="rId89" Type="http://schemas.openxmlformats.org/officeDocument/2006/relationships/hyperlink" Target="https://www.speedtest.net/result/a/11159719171" TargetMode="External"/><Relationship Id="rId16" Type="http://schemas.openxmlformats.org/officeDocument/2006/relationships/hyperlink" Target="https://www.speedtest.net/result/i/6785591551" TargetMode="External"/><Relationship Id="rId11" Type="http://schemas.openxmlformats.org/officeDocument/2006/relationships/hyperlink" Target="https://www.speedtest.net/my-result/a/11159347348" TargetMode="External"/><Relationship Id="rId32" Type="http://schemas.openxmlformats.org/officeDocument/2006/relationships/hyperlink" Target="https://www.speedtest.net/my-result/a/11159469896" TargetMode="External"/><Relationship Id="rId37" Type="http://schemas.openxmlformats.org/officeDocument/2006/relationships/hyperlink" Target="https://www.speedtest.net/my-result/a/11159472387" TargetMode="External"/><Relationship Id="rId53" Type="http://schemas.openxmlformats.org/officeDocument/2006/relationships/hyperlink" Target="https://www.speedtest.net/my-result/a/11405251989" TargetMode="External"/><Relationship Id="rId58" Type="http://schemas.openxmlformats.org/officeDocument/2006/relationships/hyperlink" Target="https://www.speedtest.net/result/i/6785605028" TargetMode="External"/><Relationship Id="rId74" Type="http://schemas.openxmlformats.org/officeDocument/2006/relationships/hyperlink" Target="https://www.speedtest.net/my-result/a/11159732001" TargetMode="External"/><Relationship Id="rId79" Type="http://schemas.openxmlformats.org/officeDocument/2006/relationships/hyperlink" Target="https://www.speedtest.net/my-result/a/11159582985" TargetMode="External"/><Relationship Id="rId5" Type="http://schemas.openxmlformats.org/officeDocument/2006/relationships/hyperlink" Target="https://www.speedtest.net/my-result/a/11159372717" TargetMode="External"/><Relationship Id="rId90" Type="http://schemas.openxmlformats.org/officeDocument/2006/relationships/hyperlink" Target="https://www.speedtest.net/result/a/11157890491" TargetMode="External"/><Relationship Id="rId95" Type="http://schemas.openxmlformats.org/officeDocument/2006/relationships/hyperlink" Target="https://www.speedtest.net/my-result/a/11189149235" TargetMode="External"/><Relationship Id="rId22" Type="http://schemas.openxmlformats.org/officeDocument/2006/relationships/hyperlink" Target="https://www.speedtest.net/my-result/a/11159632684" TargetMode="External"/><Relationship Id="rId27" Type="http://schemas.openxmlformats.org/officeDocument/2006/relationships/hyperlink" Target="https://www.speedtest.net/my-result/a/11159478804" TargetMode="External"/><Relationship Id="rId43" Type="http://schemas.openxmlformats.org/officeDocument/2006/relationships/hyperlink" Target="https://www.speedtest.net/my-result/a/11159447695" TargetMode="External"/><Relationship Id="rId48" Type="http://schemas.openxmlformats.org/officeDocument/2006/relationships/hyperlink" Target="https://www.speedtest.net/my-result/a/11159513137" TargetMode="External"/><Relationship Id="rId64" Type="http://schemas.openxmlformats.org/officeDocument/2006/relationships/hyperlink" Target="https://www.speedtest.net/my-result/a/11159588772" TargetMode="External"/><Relationship Id="rId69" Type="http://schemas.openxmlformats.org/officeDocument/2006/relationships/hyperlink" Target="https://www.speedtest.net/my-result/a/11213764442" TargetMode="External"/><Relationship Id="rId80" Type="http://schemas.openxmlformats.org/officeDocument/2006/relationships/hyperlink" Target="https://www.speedtest.net/result/i/6785660310" TargetMode="External"/><Relationship Id="rId85" Type="http://schemas.openxmlformats.org/officeDocument/2006/relationships/hyperlink" Target="https://www.speedtest.net/my-result/a/11159700319" TargetMode="External"/><Relationship Id="rId3" Type="http://schemas.openxmlformats.org/officeDocument/2006/relationships/hyperlink" Target="https://www.speedtest.net/my-result/a/11159398210" TargetMode="External"/><Relationship Id="rId12" Type="http://schemas.openxmlformats.org/officeDocument/2006/relationships/hyperlink" Target="https://www.speedtest.net/my-result/a/11159354645" TargetMode="External"/><Relationship Id="rId17" Type="http://schemas.openxmlformats.org/officeDocument/2006/relationships/hyperlink" Target="https://www.speedtest.net/result/i/6785554038" TargetMode="External"/><Relationship Id="rId25" Type="http://schemas.openxmlformats.org/officeDocument/2006/relationships/hyperlink" Target="https://www.speedtest.net/my-result/a/11159495983" TargetMode="External"/><Relationship Id="rId33" Type="http://schemas.openxmlformats.org/officeDocument/2006/relationships/hyperlink" Target="https://www.speedtest.net/my-result/a/11159486372" TargetMode="External"/><Relationship Id="rId38" Type="http://schemas.openxmlformats.org/officeDocument/2006/relationships/hyperlink" Target="https://www.speedtest.net/my-result/a/11344146047" TargetMode="External"/><Relationship Id="rId46" Type="http://schemas.openxmlformats.org/officeDocument/2006/relationships/hyperlink" Target="https://www.speedtest.net/my-result/a/11159476450" TargetMode="External"/><Relationship Id="rId59" Type="http://schemas.openxmlformats.org/officeDocument/2006/relationships/hyperlink" Target="https://www.speedtest.net/my-result/a/11159588006" TargetMode="External"/><Relationship Id="rId67" Type="http://schemas.openxmlformats.org/officeDocument/2006/relationships/hyperlink" Target="https://www.speedtest.net/my-result/a/11159597423" TargetMode="External"/><Relationship Id="rId20" Type="http://schemas.openxmlformats.org/officeDocument/2006/relationships/hyperlink" Target="https://www.speedtest.net/my-result/a/11159502849" TargetMode="External"/><Relationship Id="rId41" Type="http://schemas.openxmlformats.org/officeDocument/2006/relationships/hyperlink" Target="https://www.speedtest.net/my-result/a/11159580891" TargetMode="External"/><Relationship Id="rId54" Type="http://schemas.openxmlformats.org/officeDocument/2006/relationships/hyperlink" Target="https://www.speedtest.net/my-result/a/11407637954" TargetMode="External"/><Relationship Id="rId62" Type="http://schemas.openxmlformats.org/officeDocument/2006/relationships/hyperlink" Target="https://www.speedtest.net/result/i/6785510856" TargetMode="External"/><Relationship Id="rId70" Type="http://schemas.openxmlformats.org/officeDocument/2006/relationships/hyperlink" Target="https://www.speedtest.net/my-result/a/11159783853" TargetMode="External"/><Relationship Id="rId75" Type="http://schemas.openxmlformats.org/officeDocument/2006/relationships/hyperlink" Target="https://www.speedtest.net/my-result/a/11159784337" TargetMode="External"/><Relationship Id="rId83" Type="http://schemas.openxmlformats.org/officeDocument/2006/relationships/hyperlink" Target="https://www.speedtest.net/result/i/6785657792" TargetMode="External"/><Relationship Id="rId88" Type="http://schemas.openxmlformats.org/officeDocument/2006/relationships/hyperlink" Target="https://www.speedtest.net/result/i/6785553641" TargetMode="External"/><Relationship Id="rId91" Type="http://schemas.openxmlformats.org/officeDocument/2006/relationships/hyperlink" Target="https://www.speedtest.net/result/i/6785549243" TargetMode="External"/><Relationship Id="rId96" Type="http://schemas.openxmlformats.org/officeDocument/2006/relationships/hyperlink" Target="https://www.speedtest.net/my-result/a/11403234814" TargetMode="External"/><Relationship Id="rId1" Type="http://schemas.openxmlformats.org/officeDocument/2006/relationships/hyperlink" Target="https://www.speedtest.net/my-result/a/11157681922" TargetMode="External"/><Relationship Id="rId6" Type="http://schemas.openxmlformats.org/officeDocument/2006/relationships/hyperlink" Target="https://www.speedtest.net/my-result/a/11159414785" TargetMode="External"/><Relationship Id="rId15" Type="http://schemas.openxmlformats.org/officeDocument/2006/relationships/hyperlink" Target="https://www.speedtest.net/my-result/a/11159563571" TargetMode="External"/><Relationship Id="rId23" Type="http://schemas.openxmlformats.org/officeDocument/2006/relationships/hyperlink" Target="https://www.speedtest.net/my-result/a/11170209191" TargetMode="External"/><Relationship Id="rId28" Type="http://schemas.openxmlformats.org/officeDocument/2006/relationships/hyperlink" Target="https://www.speedtest.net/my-result/a/11159503727" TargetMode="External"/><Relationship Id="rId36" Type="http://schemas.openxmlformats.org/officeDocument/2006/relationships/hyperlink" Target="https://www.speedtest.net/my-result/a/11159498156" TargetMode="External"/><Relationship Id="rId49" Type="http://schemas.openxmlformats.org/officeDocument/2006/relationships/hyperlink" Target="https://www.speedtest.net/my-result/a/11403178854" TargetMode="External"/><Relationship Id="rId57" Type="http://schemas.openxmlformats.org/officeDocument/2006/relationships/hyperlink" Target="https://www.speedtest.net/my-result/a/11159694742" TargetMode="External"/><Relationship Id="rId10" Type="http://schemas.openxmlformats.org/officeDocument/2006/relationships/hyperlink" Target="https://www.speedtest.net/my-result/a/11159350859" TargetMode="External"/><Relationship Id="rId31" Type="http://schemas.openxmlformats.org/officeDocument/2006/relationships/hyperlink" Target="https://www.speedtest.net/result/i/6785569604" TargetMode="External"/><Relationship Id="rId44" Type="http://schemas.openxmlformats.org/officeDocument/2006/relationships/hyperlink" Target="https://www.speedtest.net/my-result/a/11159475889" TargetMode="External"/><Relationship Id="rId52" Type="http://schemas.openxmlformats.org/officeDocument/2006/relationships/hyperlink" Target="https://www.speedtest.net/my-result/a/11159481054" TargetMode="External"/><Relationship Id="rId60" Type="http://schemas.openxmlformats.org/officeDocument/2006/relationships/hyperlink" Target="https://www.speedtest.net/my-result/a/11159586146" TargetMode="External"/><Relationship Id="rId65" Type="http://schemas.openxmlformats.org/officeDocument/2006/relationships/hyperlink" Target="https://www.speedtest.net/result/i/6785613553" TargetMode="External"/><Relationship Id="rId73" Type="http://schemas.openxmlformats.org/officeDocument/2006/relationships/hyperlink" Target="https://www.speedtest.net/my-result/a/11159869936" TargetMode="External"/><Relationship Id="rId78" Type="http://schemas.openxmlformats.org/officeDocument/2006/relationships/hyperlink" Target="https://www.speedtest.net/my-result/a/11259445848" TargetMode="External"/><Relationship Id="rId81" Type="http://schemas.openxmlformats.org/officeDocument/2006/relationships/hyperlink" Target="https://www.speedtest.net/my-result/a/11403599982" TargetMode="External"/><Relationship Id="rId86" Type="http://schemas.openxmlformats.org/officeDocument/2006/relationships/hyperlink" Target="https://www.speedtest.net/my-result/a/11159514045" TargetMode="External"/><Relationship Id="rId94" Type="http://schemas.openxmlformats.org/officeDocument/2006/relationships/hyperlink" Target="https://www.speedtest.net/my-result/a/11159471556" TargetMode="External"/><Relationship Id="rId4" Type="http://schemas.openxmlformats.org/officeDocument/2006/relationships/hyperlink" Target="https://www.speedtest.net/my-result/a/11159287042" TargetMode="External"/><Relationship Id="rId9" Type="http://schemas.openxmlformats.org/officeDocument/2006/relationships/hyperlink" Target="https://www.speedtest.net/my-result/a/11159355112" TargetMode="External"/><Relationship Id="rId13" Type="http://schemas.openxmlformats.org/officeDocument/2006/relationships/hyperlink" Target="https://www.speedtest.net/my-result/a/11159366880" TargetMode="External"/><Relationship Id="rId18" Type="http://schemas.openxmlformats.org/officeDocument/2006/relationships/hyperlink" Target="https://www.speedtest.net/my-result/a/11159498557" TargetMode="External"/><Relationship Id="rId39" Type="http://schemas.openxmlformats.org/officeDocument/2006/relationships/hyperlink" Target="https://www.speedtest.net/my-result/a/11159555288" TargetMode="External"/><Relationship Id="rId34" Type="http://schemas.openxmlformats.org/officeDocument/2006/relationships/hyperlink" Target="https://www.speedtest.net/my-result/a/11159527542" TargetMode="External"/><Relationship Id="rId50" Type="http://schemas.openxmlformats.org/officeDocument/2006/relationships/hyperlink" Target="https://www.speedtest.net/my-result/a/11159460382" TargetMode="External"/><Relationship Id="rId55" Type="http://schemas.openxmlformats.org/officeDocument/2006/relationships/hyperlink" Target="https://www.speedtest.net/my-result/a/11159499991" TargetMode="External"/><Relationship Id="rId76" Type="http://schemas.openxmlformats.org/officeDocument/2006/relationships/hyperlink" Target="https://www.speedtest.net/my-result/a/11159888230" TargetMode="External"/><Relationship Id="rId97" Type="http://schemas.openxmlformats.org/officeDocument/2006/relationships/hyperlink" Target="https://www.speedtest.net/result/i/6947112957" TargetMode="External"/><Relationship Id="rId7" Type="http://schemas.openxmlformats.org/officeDocument/2006/relationships/hyperlink" Target="https://www.speedtest.net/my-result/a/11159365222" TargetMode="External"/><Relationship Id="rId71" Type="http://schemas.openxmlformats.org/officeDocument/2006/relationships/hyperlink" Target="https://www.speedtest.net/my-result/a/11159841594" TargetMode="External"/><Relationship Id="rId92" Type="http://schemas.openxmlformats.org/officeDocument/2006/relationships/hyperlink" Target="https://www.speedtest.net/my-result/a/11159514045" TargetMode="External"/><Relationship Id="rId2" Type="http://schemas.openxmlformats.org/officeDocument/2006/relationships/hyperlink" Target="https://www.speedtest.net/result/i/6785478950" TargetMode="External"/><Relationship Id="rId29" Type="http://schemas.openxmlformats.org/officeDocument/2006/relationships/hyperlink" Target="https://www.speedtest.net/my-result/a/11159493054" TargetMode="External"/><Relationship Id="rId24" Type="http://schemas.openxmlformats.org/officeDocument/2006/relationships/hyperlink" Target="https://www.speedtest.net/my-result/a/11159597911" TargetMode="External"/><Relationship Id="rId40" Type="http://schemas.openxmlformats.org/officeDocument/2006/relationships/hyperlink" Target="https://www.speedtest.net/my-result/a/11159484029" TargetMode="External"/><Relationship Id="rId45" Type="http://schemas.openxmlformats.org/officeDocument/2006/relationships/hyperlink" Target="https://www.speedtest.net/my-result/a/11159596791" TargetMode="External"/><Relationship Id="rId66" Type="http://schemas.openxmlformats.org/officeDocument/2006/relationships/hyperlink" Target="https://www.speedtest.net/my-result/a/11159565142" TargetMode="External"/><Relationship Id="rId87" Type="http://schemas.openxmlformats.org/officeDocument/2006/relationships/hyperlink" Target="https://www.speedtest.net/result/a/11159592805" TargetMode="External"/><Relationship Id="rId61" Type="http://schemas.openxmlformats.org/officeDocument/2006/relationships/hyperlink" Target="https://www.speedtest.net/my-result/a/11159590523" TargetMode="External"/><Relationship Id="rId82" Type="http://schemas.openxmlformats.org/officeDocument/2006/relationships/hyperlink" Target="https://www.speedtest.net/my-result/a/11159386604" TargetMode="External"/><Relationship Id="rId19" Type="http://schemas.openxmlformats.org/officeDocument/2006/relationships/hyperlink" Target="https://www.speedtest.net/my-result/a/11159609212" TargetMode="External"/><Relationship Id="rId14" Type="http://schemas.openxmlformats.org/officeDocument/2006/relationships/hyperlink" Target="https://www.speedtest.net/my-result/a/11159488208" TargetMode="External"/><Relationship Id="rId30" Type="http://schemas.openxmlformats.org/officeDocument/2006/relationships/hyperlink" Target="https://www.speedtest.net/result/i/6785542276" TargetMode="External"/><Relationship Id="rId35" Type="http://schemas.openxmlformats.org/officeDocument/2006/relationships/hyperlink" Target="https://www.speedtest.net/my-result/a/11159457744" TargetMode="External"/><Relationship Id="rId56" Type="http://schemas.openxmlformats.org/officeDocument/2006/relationships/hyperlink" Target="https://www.speedtest.net/my-result/a/11159562402" TargetMode="External"/><Relationship Id="rId77" Type="http://schemas.openxmlformats.org/officeDocument/2006/relationships/hyperlink" Target="https://www.speedtest.net/my-result/a/11403130198" TargetMode="External"/><Relationship Id="rId8" Type="http://schemas.openxmlformats.org/officeDocument/2006/relationships/hyperlink" Target="https://www.speedtest.net/result/i/6785522588" TargetMode="External"/><Relationship Id="rId51" Type="http://schemas.openxmlformats.org/officeDocument/2006/relationships/hyperlink" Target="https://www.speedtest.net/my-result/a/11159456958" TargetMode="External"/><Relationship Id="rId72" Type="http://schemas.openxmlformats.org/officeDocument/2006/relationships/hyperlink" Target="https://www.speedtest.net/my-result/a/11159773427" TargetMode="External"/><Relationship Id="rId93" Type="http://schemas.openxmlformats.org/officeDocument/2006/relationships/hyperlink" Target="https://www.speedtest.net/result/i/6785604498" TargetMode="External"/><Relationship Id="rId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>
      <pane ySplit="1" topLeftCell="A2" activePane="bottomLeft" state="frozen"/>
      <selection pane="bottomLeft" sqref="A1:K9"/>
    </sheetView>
  </sheetViews>
  <sheetFormatPr defaultColWidth="12.7109375" defaultRowHeight="15" customHeight="1"/>
  <cols>
    <col min="1" max="1" width="11.7109375" customWidth="1"/>
    <col min="2" max="2" width="19.7109375" customWidth="1"/>
    <col min="3" max="3" width="16.28515625" customWidth="1"/>
    <col min="4" max="4" width="26.7109375" customWidth="1"/>
    <col min="5" max="5" width="24.85546875" customWidth="1"/>
    <col min="6" max="6" width="28.42578125" customWidth="1"/>
    <col min="7" max="7" width="28.5703125" customWidth="1"/>
    <col min="8" max="8" width="39.5703125" customWidth="1"/>
    <col min="9" max="9" width="31.140625" customWidth="1"/>
    <col min="10" max="10" width="28.5703125" customWidth="1"/>
    <col min="11" max="11" width="54.28515625" customWidth="1"/>
    <col min="13" max="13" width="12.28515625" customWidth="1"/>
    <col min="14" max="14" width="14.28515625" customWidth="1"/>
  </cols>
  <sheetData>
    <row r="1" spans="1:29" ht="52.5" customHeight="1">
      <c r="A1" s="591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2" t="s">
        <v>5</v>
      </c>
      <c r="G1" s="592" t="s">
        <v>6</v>
      </c>
      <c r="H1" s="592" t="s">
        <v>7</v>
      </c>
      <c r="I1" s="592" t="s">
        <v>8</v>
      </c>
      <c r="J1" s="593" t="s">
        <v>9</v>
      </c>
      <c r="K1" s="59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585">
        <v>1</v>
      </c>
      <c r="B2" s="2" t="s">
        <v>11</v>
      </c>
      <c r="C2" s="2">
        <f>COUNTIF('DS nhân viên Speedtest'!F:F,B2)</f>
        <v>14</v>
      </c>
      <c r="D2" s="2">
        <f t="shared" ref="D2:D9" si="0">C2*16</f>
        <v>224</v>
      </c>
      <c r="E2" s="2">
        <f ca="1">'Tổ Bến Lức'!M6</f>
        <v>110</v>
      </c>
      <c r="F2" s="3">
        <f t="shared" ref="F2:F9" ca="1" si="1">E2/D2</f>
        <v>0.49107142857142855</v>
      </c>
      <c r="G2" s="2">
        <f t="shared" ref="G2:G9" si="2">(C2*16)</f>
        <v>224</v>
      </c>
      <c r="H2" s="2">
        <f ca="1">'Tổ Bến Lức'!N6</f>
        <v>101</v>
      </c>
      <c r="I2" s="4">
        <f t="shared" ref="I2:I9" ca="1" si="3">H2/G2</f>
        <v>0.45089285714285715</v>
      </c>
      <c r="J2" s="2">
        <f ca="1">'Tổ Bến Lức'!O6</f>
        <v>67</v>
      </c>
      <c r="K2" s="588">
        <f ca="1">'Tổ Bến Lức'!O4</f>
        <v>0.6633663366336634</v>
      </c>
    </row>
    <row r="3" spans="1:29" ht="15.75" customHeight="1">
      <c r="A3" s="586">
        <v>2</v>
      </c>
      <c r="B3" s="5" t="s">
        <v>12</v>
      </c>
      <c r="C3" s="5">
        <f>COUNTIF('DS nhân viên Speedtest'!F:F,B3)</f>
        <v>13</v>
      </c>
      <c r="D3" s="5">
        <f t="shared" si="0"/>
        <v>208</v>
      </c>
      <c r="E3" s="5">
        <f ca="1">'Tổ Đức Hòa'!M6</f>
        <v>23</v>
      </c>
      <c r="F3" s="6">
        <f t="shared" ca="1" si="1"/>
        <v>0.11057692307692307</v>
      </c>
      <c r="G3" s="5">
        <f t="shared" si="2"/>
        <v>208</v>
      </c>
      <c r="H3" s="5">
        <f ca="1">'Tổ Đức Hòa'!N6</f>
        <v>21</v>
      </c>
      <c r="I3" s="7">
        <f t="shared" ca="1" si="3"/>
        <v>0.10096153846153846</v>
      </c>
      <c r="J3" s="5">
        <f ca="1">'Tổ Đức Hòa'!O6</f>
        <v>5</v>
      </c>
      <c r="K3" s="589">
        <f ca="1">'Tổ Đức Hòa'!O4</f>
        <v>0.23809523809523808</v>
      </c>
    </row>
    <row r="4" spans="1:29" ht="15.75" customHeight="1">
      <c r="A4" s="586">
        <v>3</v>
      </c>
      <c r="B4" s="5" t="s">
        <v>13</v>
      </c>
      <c r="C4" s="5">
        <f>COUNTIF('DS nhân viên Speedtest'!F:F,B4)</f>
        <v>15</v>
      </c>
      <c r="D4" s="5">
        <f t="shared" si="0"/>
        <v>240</v>
      </c>
      <c r="E4" s="5">
        <f ca="1">'Tổ Gò Dầu'!M6</f>
        <v>180</v>
      </c>
      <c r="F4" s="6">
        <f t="shared" ca="1" si="1"/>
        <v>0.75</v>
      </c>
      <c r="G4" s="5">
        <f t="shared" si="2"/>
        <v>240</v>
      </c>
      <c r="H4" s="5">
        <f ca="1">'Tổ Gò Dầu'!N6</f>
        <v>180</v>
      </c>
      <c r="I4" s="7">
        <f t="shared" ca="1" si="3"/>
        <v>0.75</v>
      </c>
      <c r="J4" s="5">
        <f ca="1">'Tổ Gò Dầu'!O6</f>
        <v>39</v>
      </c>
      <c r="K4" s="589">
        <f ca="1">'Tổ Gò Dầu'!O4</f>
        <v>0.21666666666666667</v>
      </c>
      <c r="M4" s="8"/>
    </row>
    <row r="5" spans="1:29" ht="15.75" customHeight="1">
      <c r="A5" s="586">
        <v>4</v>
      </c>
      <c r="B5" s="5" t="s">
        <v>14</v>
      </c>
      <c r="C5" s="5">
        <f>COUNTIF('DS nhân viên Speedtest'!F:F,B5)</f>
        <v>18</v>
      </c>
      <c r="D5" s="5">
        <f t="shared" si="0"/>
        <v>288</v>
      </c>
      <c r="E5" s="5">
        <f ca="1">'Tổ Kiến Tường'!M6</f>
        <v>85</v>
      </c>
      <c r="F5" s="6">
        <f t="shared" ca="1" si="1"/>
        <v>0.2951388888888889</v>
      </c>
      <c r="G5" s="5">
        <f t="shared" si="2"/>
        <v>288</v>
      </c>
      <c r="H5" s="5">
        <f ca="1">'Tổ Kiến Tường'!N6</f>
        <v>84</v>
      </c>
      <c r="I5" s="7">
        <f t="shared" ca="1" si="3"/>
        <v>0.29166666666666669</v>
      </c>
      <c r="J5" s="5">
        <f ca="1">'Tổ Kiến Tường'!O6</f>
        <v>0</v>
      </c>
      <c r="K5" s="589">
        <f ca="1">'Tổ Kiến Tường'!O4</f>
        <v>0</v>
      </c>
      <c r="M5" s="8"/>
    </row>
    <row r="6" spans="1:29" ht="15.75" customHeight="1">
      <c r="A6" s="586">
        <v>5</v>
      </c>
      <c r="B6" s="5" t="s">
        <v>15</v>
      </c>
      <c r="C6" s="5">
        <f>COUNTIF('DS nhân viên Speedtest'!F:F,B6)</f>
        <v>14</v>
      </c>
      <c r="D6" s="5">
        <f t="shared" si="0"/>
        <v>224</v>
      </c>
      <c r="E6" s="5">
        <f ca="1">'Tổ Tân An'!M6</f>
        <v>126</v>
      </c>
      <c r="F6" s="6">
        <f t="shared" ca="1" si="1"/>
        <v>0.5625</v>
      </c>
      <c r="G6" s="5">
        <f t="shared" si="2"/>
        <v>224</v>
      </c>
      <c r="H6" s="5">
        <f ca="1">'Tổ Tân An'!N6</f>
        <v>126</v>
      </c>
      <c r="I6" s="7">
        <f t="shared" ca="1" si="3"/>
        <v>0.5625</v>
      </c>
      <c r="J6" s="5">
        <f ca="1">'Tổ Tân An'!O6</f>
        <v>103</v>
      </c>
      <c r="K6" s="589">
        <f ca="1">'Tổ Tân An'!O4</f>
        <v>0.81746031746031744</v>
      </c>
    </row>
    <row r="7" spans="1:29" ht="15.75" customHeight="1">
      <c r="A7" s="586">
        <v>6</v>
      </c>
      <c r="B7" s="5" t="s">
        <v>16</v>
      </c>
      <c r="C7" s="5">
        <f>COUNTIF('DS nhân viên Speedtest'!F:F,B7)</f>
        <v>15</v>
      </c>
      <c r="D7" s="5">
        <f t="shared" si="0"/>
        <v>240</v>
      </c>
      <c r="E7" s="5">
        <f ca="1">'Tổ Tân Châu'!M6</f>
        <v>67</v>
      </c>
      <c r="F7" s="6">
        <f t="shared" ca="1" si="1"/>
        <v>0.27916666666666667</v>
      </c>
      <c r="G7" s="5">
        <f t="shared" si="2"/>
        <v>240</v>
      </c>
      <c r="H7" s="5">
        <f ca="1">'Tổ Tân Châu'!N6</f>
        <v>68</v>
      </c>
      <c r="I7" s="7">
        <f t="shared" ca="1" si="3"/>
        <v>0.28333333333333333</v>
      </c>
      <c r="J7" s="5">
        <f ca="1">'Tổ Tân Châu'!O6</f>
        <v>22</v>
      </c>
      <c r="K7" s="589">
        <f ca="1">'Tổ Tân Châu'!O4</f>
        <v>0.3235294117647059</v>
      </c>
    </row>
    <row r="8" spans="1:29" ht="15.75" customHeight="1" thickBot="1">
      <c r="A8" s="587">
        <v>7</v>
      </c>
      <c r="B8" s="9" t="s">
        <v>17</v>
      </c>
      <c r="C8" s="9">
        <f>COUNTIF('DS nhân viên Speedtest'!F:F,B8)</f>
        <v>17</v>
      </c>
      <c r="D8" s="9">
        <f t="shared" si="0"/>
        <v>272</v>
      </c>
      <c r="E8" s="9">
        <f ca="1">'Tổ Tân Ninh'!M6</f>
        <v>125</v>
      </c>
      <c r="F8" s="10">
        <f t="shared" ca="1" si="1"/>
        <v>0.45955882352941174</v>
      </c>
      <c r="G8" s="9">
        <f t="shared" si="2"/>
        <v>272</v>
      </c>
      <c r="H8" s="9">
        <f ca="1">'Tổ Tân Ninh'!N6</f>
        <v>125</v>
      </c>
      <c r="I8" s="11">
        <f t="shared" ca="1" si="3"/>
        <v>0.45955882352941174</v>
      </c>
      <c r="J8" s="9">
        <f ca="1">'Tổ Tân Ninh'!O6</f>
        <v>77</v>
      </c>
      <c r="K8" s="590">
        <f ca="1">'Tổ Tân Ninh'!O4</f>
        <v>0.54609929078014185</v>
      </c>
    </row>
    <row r="9" spans="1:29" ht="19.5">
      <c r="A9" s="595"/>
      <c r="B9" s="596" t="s">
        <v>18</v>
      </c>
      <c r="C9" s="597">
        <f>SUM(C2:C8)</f>
        <v>106</v>
      </c>
      <c r="D9" s="597">
        <f t="shared" si="0"/>
        <v>1696</v>
      </c>
      <c r="E9" s="597">
        <f ca="1">SUM(E2:E8)</f>
        <v>716</v>
      </c>
      <c r="F9" s="598">
        <f t="shared" ca="1" si="1"/>
        <v>0.42216981132075471</v>
      </c>
      <c r="G9" s="597">
        <f t="shared" si="2"/>
        <v>1696</v>
      </c>
      <c r="H9" s="597">
        <f ca="1">SUM(H2:H8)</f>
        <v>705</v>
      </c>
      <c r="I9" s="598">
        <f t="shared" ca="1" si="3"/>
        <v>0.41568396226415094</v>
      </c>
      <c r="J9" s="597">
        <f ca="1">SUM(J2:J8)</f>
        <v>313</v>
      </c>
      <c r="K9" s="599">
        <f ca="1">IF(H9 = 0, 0, J9/H9)</f>
        <v>0.44397163120567373</v>
      </c>
    </row>
    <row r="10" spans="1:29" ht="15.75" customHeight="1"/>
    <row r="11" spans="1:29" ht="15.75" customHeight="1"/>
    <row r="12" spans="1:29" ht="15.75" customHeight="1">
      <c r="A12" s="12" t="s">
        <v>19</v>
      </c>
      <c r="B12" s="13" t="str">
        <f ca="1">TEXT(DATE(YEAR(TODAY()),MONTH(TODAY()),1),"dd/mm/yyyy")&amp;" - "&amp;TEXT(TODAY(),"dd/mm/yyyy")</f>
        <v>01/07/2026 - 18/07/2026</v>
      </c>
    </row>
    <row r="13" spans="1:29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29" ht="15.75" customHeight="1">
      <c r="A14" s="14"/>
      <c r="B14" s="14"/>
      <c r="C14" s="14"/>
      <c r="D14" s="14"/>
      <c r="E14" s="14"/>
      <c r="F14" s="14"/>
      <c r="G14" s="14"/>
      <c r="H14" s="14"/>
      <c r="I14" s="14"/>
    </row>
    <row r="15" spans="1:29" ht="15.7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29" ht="15.75" customHeight="1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.75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15.75" customHeight="1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.75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15.75" customHeight="1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.75" customHeight="1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8 I2:I8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2:K8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/>
  </sheetViews>
  <sheetFormatPr defaultColWidth="12.7109375" defaultRowHeight="15" customHeight="1"/>
  <cols>
    <col min="1" max="1" width="7" customWidth="1"/>
    <col min="2" max="2" width="29.140625" customWidth="1"/>
    <col min="3" max="3" width="20.28515625" customWidth="1"/>
    <col min="4" max="4" width="16.7109375" customWidth="1"/>
    <col min="6" max="6" width="52.85546875" customWidth="1"/>
    <col min="7" max="7" width="28.28515625" customWidth="1"/>
    <col min="8" max="8" width="15.42578125" customWidth="1"/>
    <col min="9" max="9" width="15.85546875" customWidth="1"/>
    <col min="10" max="10" width="14" customWidth="1"/>
    <col min="11" max="11" width="7" customWidth="1"/>
  </cols>
  <sheetData>
    <row r="1" spans="1:11" ht="30">
      <c r="A1" s="15" t="s">
        <v>0</v>
      </c>
      <c r="B1" s="16" t="s">
        <v>20</v>
      </c>
      <c r="C1" s="15" t="s">
        <v>21</v>
      </c>
      <c r="D1" s="15" t="s">
        <v>22</v>
      </c>
      <c r="E1" s="17" t="s">
        <v>23</v>
      </c>
      <c r="F1" s="18" t="s">
        <v>24</v>
      </c>
      <c r="G1" s="19" t="s">
        <v>25</v>
      </c>
      <c r="H1" s="19" t="s">
        <v>26</v>
      </c>
      <c r="I1" s="19" t="s">
        <v>27</v>
      </c>
      <c r="J1" s="20" t="s">
        <v>28</v>
      </c>
      <c r="K1" s="21" t="s">
        <v>29</v>
      </c>
    </row>
    <row r="2" spans="1:11" ht="15" customHeight="1">
      <c r="A2" s="22">
        <v>1</v>
      </c>
      <c r="B2" s="23"/>
      <c r="C2" s="23"/>
      <c r="D2" s="23"/>
      <c r="E2" s="24"/>
      <c r="F2" s="23"/>
      <c r="G2" s="23"/>
      <c r="H2" s="25"/>
      <c r="I2" s="23"/>
      <c r="J2" s="23"/>
      <c r="K2" s="26"/>
    </row>
    <row r="3" spans="1:11" ht="12.75">
      <c r="A3" s="22">
        <v>2</v>
      </c>
      <c r="B3" s="23"/>
      <c r="C3" s="23"/>
      <c r="D3" s="23"/>
      <c r="E3" s="27"/>
      <c r="F3" s="23"/>
      <c r="G3" s="23"/>
      <c r="H3" s="25"/>
      <c r="I3" s="23"/>
      <c r="J3" s="23"/>
      <c r="K3" s="26"/>
    </row>
    <row r="4" spans="1:11" ht="12.75">
      <c r="A4" s="22">
        <v>3</v>
      </c>
      <c r="B4" s="23"/>
      <c r="C4" s="23"/>
      <c r="D4" s="23"/>
      <c r="E4" s="23"/>
      <c r="F4" s="23"/>
      <c r="G4" s="23"/>
      <c r="H4" s="28"/>
      <c r="I4" s="23"/>
      <c r="J4" s="23"/>
      <c r="K4" s="26"/>
    </row>
    <row r="5" spans="1:11" ht="12.75">
      <c r="A5" s="22">
        <v>4</v>
      </c>
      <c r="B5" s="23"/>
      <c r="C5" s="23"/>
      <c r="D5" s="23"/>
      <c r="E5" s="23"/>
      <c r="F5" s="23"/>
      <c r="G5" s="23"/>
      <c r="H5" s="25"/>
      <c r="I5" s="23"/>
      <c r="J5" s="23"/>
      <c r="K5" s="26"/>
    </row>
    <row r="6" spans="1:11" ht="12.75">
      <c r="A6" s="22">
        <v>5</v>
      </c>
      <c r="B6" s="23"/>
      <c r="C6" s="23"/>
      <c r="D6" s="23"/>
      <c r="E6" s="23"/>
      <c r="F6" s="23"/>
      <c r="G6" s="23"/>
      <c r="H6" s="28"/>
      <c r="I6" s="23"/>
      <c r="J6" s="23"/>
      <c r="K6" s="26"/>
    </row>
    <row r="7" spans="1:11" ht="12.75">
      <c r="A7" s="22">
        <v>6</v>
      </c>
      <c r="B7" s="23"/>
      <c r="C7" s="23"/>
      <c r="D7" s="23"/>
      <c r="E7" s="23"/>
      <c r="F7" s="23"/>
      <c r="G7" s="23"/>
      <c r="H7" s="23"/>
      <c r="I7" s="23"/>
      <c r="J7" s="23" t="str">
        <f t="shared" ref="J7:J32" si="0">IF(K7 = "x","Đã hỗ trợ xong", IF(C7&lt;&gt; "","Chưa hỗ trợ",""))</f>
        <v/>
      </c>
      <c r="K7" s="26"/>
    </row>
    <row r="8" spans="1:11" ht="12.75">
      <c r="A8" s="22">
        <v>7</v>
      </c>
      <c r="B8" s="23"/>
      <c r="C8" s="23"/>
      <c r="D8" s="23"/>
      <c r="E8" s="23"/>
      <c r="F8" s="23"/>
      <c r="G8" s="23"/>
      <c r="H8" s="23"/>
      <c r="I8" s="23"/>
      <c r="J8" s="23" t="str">
        <f t="shared" si="0"/>
        <v/>
      </c>
      <c r="K8" s="26"/>
    </row>
    <row r="9" spans="1:11" ht="12.75">
      <c r="A9" s="22">
        <v>8</v>
      </c>
      <c r="B9" s="23"/>
      <c r="C9" s="23"/>
      <c r="D9" s="23"/>
      <c r="E9" s="23"/>
      <c r="F9" s="23"/>
      <c r="G9" s="23"/>
      <c r="H9" s="23"/>
      <c r="I9" s="23"/>
      <c r="J9" s="23" t="str">
        <f t="shared" si="0"/>
        <v/>
      </c>
      <c r="K9" s="26"/>
    </row>
    <row r="10" spans="1:11" ht="12.75">
      <c r="A10" s="22">
        <v>9</v>
      </c>
      <c r="B10" s="23"/>
      <c r="C10" s="23"/>
      <c r="D10" s="23"/>
      <c r="E10" s="23"/>
      <c r="F10" s="23"/>
      <c r="G10" s="23"/>
      <c r="H10" s="23"/>
      <c r="I10" s="23"/>
      <c r="J10" s="23" t="str">
        <f t="shared" si="0"/>
        <v/>
      </c>
      <c r="K10" s="26"/>
    </row>
    <row r="11" spans="1:11" ht="12.75">
      <c r="A11" s="22">
        <v>10</v>
      </c>
      <c r="B11" s="23"/>
      <c r="C11" s="23"/>
      <c r="D11" s="23"/>
      <c r="E11" s="23"/>
      <c r="F11" s="23"/>
      <c r="G11" s="23"/>
      <c r="H11" s="23"/>
      <c r="I11" s="23"/>
      <c r="J11" s="23" t="str">
        <f t="shared" si="0"/>
        <v/>
      </c>
      <c r="K11" s="26"/>
    </row>
    <row r="12" spans="1:11" ht="12.75">
      <c r="A12" s="22">
        <v>11</v>
      </c>
      <c r="B12" s="23"/>
      <c r="C12" s="23"/>
      <c r="D12" s="23"/>
      <c r="E12" s="23"/>
      <c r="F12" s="23"/>
      <c r="G12" s="23"/>
      <c r="H12" s="23"/>
      <c r="I12" s="23"/>
      <c r="J12" s="23" t="str">
        <f t="shared" si="0"/>
        <v/>
      </c>
      <c r="K12" s="26"/>
    </row>
    <row r="13" spans="1:11" ht="12.75">
      <c r="A13" s="22">
        <v>12</v>
      </c>
      <c r="B13" s="23"/>
      <c r="C13" s="23"/>
      <c r="D13" s="23"/>
      <c r="E13" s="23"/>
      <c r="F13" s="23"/>
      <c r="G13" s="23"/>
      <c r="H13" s="23"/>
      <c r="I13" s="23"/>
      <c r="J13" s="23" t="str">
        <f t="shared" si="0"/>
        <v/>
      </c>
      <c r="K13" s="26"/>
    </row>
    <row r="14" spans="1:11" ht="12.75">
      <c r="A14" s="22">
        <v>13</v>
      </c>
      <c r="B14" s="23"/>
      <c r="C14" s="23"/>
      <c r="D14" s="23"/>
      <c r="E14" s="23"/>
      <c r="F14" s="23"/>
      <c r="G14" s="23"/>
      <c r="H14" s="23"/>
      <c r="I14" s="23"/>
      <c r="J14" s="23" t="str">
        <f t="shared" si="0"/>
        <v/>
      </c>
      <c r="K14" s="26"/>
    </row>
    <row r="15" spans="1:11" ht="12.75">
      <c r="A15" s="22">
        <v>14</v>
      </c>
      <c r="B15" s="23"/>
      <c r="C15" s="23"/>
      <c r="D15" s="23"/>
      <c r="E15" s="23"/>
      <c r="F15" s="23"/>
      <c r="G15" s="23"/>
      <c r="H15" s="23"/>
      <c r="I15" s="23"/>
      <c r="J15" s="23" t="str">
        <f t="shared" si="0"/>
        <v/>
      </c>
      <c r="K15" s="26"/>
    </row>
    <row r="16" spans="1:11" ht="12.75">
      <c r="A16" s="22">
        <v>15</v>
      </c>
      <c r="B16" s="23"/>
      <c r="C16" s="23"/>
      <c r="D16" s="23"/>
      <c r="E16" s="23"/>
      <c r="F16" s="23"/>
      <c r="G16" s="23"/>
      <c r="H16" s="23"/>
      <c r="I16" s="23"/>
      <c r="J16" s="23" t="str">
        <f t="shared" si="0"/>
        <v/>
      </c>
      <c r="K16" s="26"/>
    </row>
    <row r="17" spans="1:11" ht="12.75">
      <c r="A17" s="22">
        <v>16</v>
      </c>
      <c r="B17" s="23"/>
      <c r="C17" s="23"/>
      <c r="D17" s="23"/>
      <c r="E17" s="23"/>
      <c r="F17" s="23"/>
      <c r="G17" s="23"/>
      <c r="H17" s="23"/>
      <c r="I17" s="23"/>
      <c r="J17" s="23" t="str">
        <f t="shared" si="0"/>
        <v/>
      </c>
      <c r="K17" s="26"/>
    </row>
    <row r="18" spans="1:11" ht="12.75">
      <c r="A18" s="22">
        <v>17</v>
      </c>
      <c r="B18" s="23"/>
      <c r="C18" s="23"/>
      <c r="D18" s="23"/>
      <c r="E18" s="23"/>
      <c r="F18" s="23"/>
      <c r="G18" s="23"/>
      <c r="H18" s="23"/>
      <c r="I18" s="23"/>
      <c r="J18" s="23" t="str">
        <f t="shared" si="0"/>
        <v/>
      </c>
      <c r="K18" s="26"/>
    </row>
    <row r="19" spans="1:11" ht="12.75">
      <c r="A19" s="22">
        <v>18</v>
      </c>
      <c r="B19" s="23"/>
      <c r="C19" s="23"/>
      <c r="D19" s="23"/>
      <c r="E19" s="23"/>
      <c r="F19" s="23"/>
      <c r="G19" s="23"/>
      <c r="H19" s="23"/>
      <c r="I19" s="23"/>
      <c r="J19" s="23" t="str">
        <f t="shared" si="0"/>
        <v/>
      </c>
      <c r="K19" s="26"/>
    </row>
    <row r="20" spans="1:11" ht="12.75">
      <c r="A20" s="22">
        <v>19</v>
      </c>
      <c r="B20" s="23"/>
      <c r="C20" s="23"/>
      <c r="D20" s="23"/>
      <c r="E20" s="23"/>
      <c r="F20" s="23"/>
      <c r="G20" s="23"/>
      <c r="H20" s="23"/>
      <c r="I20" s="23"/>
      <c r="J20" s="23" t="str">
        <f t="shared" si="0"/>
        <v/>
      </c>
      <c r="K20" s="26"/>
    </row>
    <row r="21" spans="1:11" ht="12.75">
      <c r="A21" s="22">
        <v>20</v>
      </c>
      <c r="B21" s="23"/>
      <c r="C21" s="23"/>
      <c r="D21" s="23"/>
      <c r="E21" s="23"/>
      <c r="F21" s="23"/>
      <c r="G21" s="23"/>
      <c r="H21" s="23"/>
      <c r="I21" s="23"/>
      <c r="J21" s="23" t="str">
        <f t="shared" si="0"/>
        <v/>
      </c>
      <c r="K21" s="26"/>
    </row>
    <row r="22" spans="1:11" ht="12.75">
      <c r="A22" s="22">
        <v>21</v>
      </c>
      <c r="B22" s="23"/>
      <c r="C22" s="23"/>
      <c r="D22" s="23"/>
      <c r="E22" s="23"/>
      <c r="F22" s="23"/>
      <c r="G22" s="23"/>
      <c r="H22" s="23"/>
      <c r="I22" s="23"/>
      <c r="J22" s="23" t="str">
        <f t="shared" si="0"/>
        <v/>
      </c>
      <c r="K22" s="26"/>
    </row>
    <row r="23" spans="1:11" ht="12.75">
      <c r="A23" s="22">
        <v>22</v>
      </c>
      <c r="B23" s="23"/>
      <c r="C23" s="23"/>
      <c r="D23" s="23"/>
      <c r="E23" s="23"/>
      <c r="F23" s="23"/>
      <c r="G23" s="23"/>
      <c r="H23" s="23"/>
      <c r="I23" s="23"/>
      <c r="J23" s="23" t="str">
        <f t="shared" si="0"/>
        <v/>
      </c>
      <c r="K23" s="26"/>
    </row>
    <row r="24" spans="1:11" ht="12.75">
      <c r="A24" s="22">
        <v>23</v>
      </c>
      <c r="B24" s="23"/>
      <c r="C24" s="23"/>
      <c r="D24" s="23"/>
      <c r="E24" s="23"/>
      <c r="F24" s="23"/>
      <c r="G24" s="23"/>
      <c r="H24" s="23"/>
      <c r="I24" s="23"/>
      <c r="J24" s="23" t="str">
        <f t="shared" si="0"/>
        <v/>
      </c>
      <c r="K24" s="26"/>
    </row>
    <row r="25" spans="1:11" ht="12.75">
      <c r="A25" s="22">
        <v>24</v>
      </c>
      <c r="B25" s="23"/>
      <c r="C25" s="23"/>
      <c r="D25" s="23"/>
      <c r="E25" s="23"/>
      <c r="F25" s="23"/>
      <c r="G25" s="23"/>
      <c r="H25" s="23"/>
      <c r="I25" s="23"/>
      <c r="J25" s="23" t="str">
        <f t="shared" si="0"/>
        <v/>
      </c>
      <c r="K25" s="26"/>
    </row>
    <row r="26" spans="1:11" ht="12.75">
      <c r="A26" s="22">
        <v>25</v>
      </c>
      <c r="B26" s="23"/>
      <c r="C26" s="23"/>
      <c r="D26" s="23"/>
      <c r="E26" s="23"/>
      <c r="F26" s="23"/>
      <c r="G26" s="23"/>
      <c r="H26" s="23"/>
      <c r="I26" s="23"/>
      <c r="J26" s="23" t="str">
        <f t="shared" si="0"/>
        <v/>
      </c>
      <c r="K26" s="26"/>
    </row>
    <row r="27" spans="1:11" ht="12.75">
      <c r="A27" s="22">
        <v>26</v>
      </c>
      <c r="B27" s="23"/>
      <c r="C27" s="23"/>
      <c r="D27" s="23"/>
      <c r="E27" s="23"/>
      <c r="F27" s="23"/>
      <c r="G27" s="23"/>
      <c r="H27" s="23"/>
      <c r="I27" s="23"/>
      <c r="J27" s="23" t="str">
        <f t="shared" si="0"/>
        <v/>
      </c>
      <c r="K27" s="26"/>
    </row>
    <row r="28" spans="1:11" ht="12.75">
      <c r="A28" s="22">
        <v>27</v>
      </c>
      <c r="B28" s="23"/>
      <c r="C28" s="23"/>
      <c r="D28" s="23"/>
      <c r="E28" s="23"/>
      <c r="F28" s="23"/>
      <c r="G28" s="23"/>
      <c r="H28" s="23"/>
      <c r="I28" s="23"/>
      <c r="J28" s="23" t="str">
        <f t="shared" si="0"/>
        <v/>
      </c>
      <c r="K28" s="26"/>
    </row>
    <row r="29" spans="1:11" ht="12.75">
      <c r="A29" s="22">
        <v>28</v>
      </c>
      <c r="B29" s="23"/>
      <c r="C29" s="23"/>
      <c r="D29" s="23"/>
      <c r="E29" s="23"/>
      <c r="F29" s="23"/>
      <c r="G29" s="23"/>
      <c r="H29" s="23"/>
      <c r="I29" s="23"/>
      <c r="J29" s="23" t="str">
        <f t="shared" si="0"/>
        <v/>
      </c>
      <c r="K29" s="26"/>
    </row>
    <row r="30" spans="1:11" ht="12.75">
      <c r="A30" s="22">
        <v>29</v>
      </c>
      <c r="B30" s="23"/>
      <c r="C30" s="23"/>
      <c r="D30" s="23"/>
      <c r="E30" s="23"/>
      <c r="F30" s="23"/>
      <c r="G30" s="23"/>
      <c r="H30" s="23"/>
      <c r="I30" s="23"/>
      <c r="J30" s="23" t="str">
        <f t="shared" si="0"/>
        <v/>
      </c>
      <c r="K30" s="26"/>
    </row>
    <row r="31" spans="1:11" ht="12.75">
      <c r="A31" s="22">
        <v>30</v>
      </c>
      <c r="B31" s="23"/>
      <c r="C31" s="23"/>
      <c r="D31" s="23"/>
      <c r="E31" s="23"/>
      <c r="F31" s="23"/>
      <c r="G31" s="23"/>
      <c r="H31" s="23"/>
      <c r="I31" s="23"/>
      <c r="J31" s="23" t="str">
        <f t="shared" si="0"/>
        <v/>
      </c>
      <c r="K31" s="26"/>
    </row>
    <row r="32" spans="1:11" ht="12.75">
      <c r="A32" s="22">
        <v>31</v>
      </c>
      <c r="B32" s="23"/>
      <c r="C32" s="23"/>
      <c r="D32" s="23"/>
      <c r="E32" s="23"/>
      <c r="F32" s="23"/>
      <c r="G32" s="23"/>
      <c r="H32" s="23"/>
      <c r="I32" s="23"/>
      <c r="J32" s="23" t="str">
        <f t="shared" si="0"/>
        <v/>
      </c>
      <c r="K32" s="26"/>
    </row>
    <row r="33" spans="1:11" ht="12.75">
      <c r="A33" s="29"/>
      <c r="K33" s="30"/>
    </row>
    <row r="34" spans="1:11" ht="12.75">
      <c r="A34" s="29"/>
      <c r="K34" s="30"/>
    </row>
    <row r="35" spans="1:11" ht="12.75">
      <c r="A35" s="29"/>
      <c r="K35" s="30"/>
    </row>
    <row r="36" spans="1:11" ht="12.75">
      <c r="A36" s="29"/>
      <c r="K36" s="30"/>
    </row>
    <row r="37" spans="1:11" ht="12.75">
      <c r="A37" s="29"/>
      <c r="K37" s="30"/>
    </row>
    <row r="38" spans="1:11" ht="12.75">
      <c r="A38" s="29"/>
      <c r="K38" s="30"/>
    </row>
    <row r="39" spans="1:11" ht="12.75">
      <c r="A39" s="29"/>
      <c r="K39" s="30"/>
    </row>
    <row r="40" spans="1:11" ht="12.75">
      <c r="A40" s="29"/>
      <c r="K40" s="30"/>
    </row>
    <row r="41" spans="1:11" ht="12.75">
      <c r="A41" s="29"/>
      <c r="K41" s="30"/>
    </row>
    <row r="42" spans="1:11" ht="12.75">
      <c r="A42" s="29"/>
      <c r="K42" s="30"/>
    </row>
    <row r="43" spans="1:11" ht="12.75">
      <c r="A43" s="29"/>
      <c r="K43" s="30"/>
    </row>
    <row r="44" spans="1:11" ht="12.75">
      <c r="A44" s="29"/>
      <c r="K44" s="30"/>
    </row>
    <row r="45" spans="1:11" ht="12.75">
      <c r="A45" s="29"/>
      <c r="K45" s="30"/>
    </row>
    <row r="46" spans="1:11" ht="12.75">
      <c r="A46" s="29"/>
      <c r="K46" s="30"/>
    </row>
    <row r="47" spans="1:11" ht="12.75">
      <c r="A47" s="29"/>
      <c r="K47" s="30"/>
    </row>
    <row r="48" spans="1:11" ht="12.75">
      <c r="A48" s="29"/>
      <c r="K48" s="30"/>
    </row>
    <row r="49" spans="1:11" ht="12.75">
      <c r="A49" s="29"/>
      <c r="K49" s="30"/>
    </row>
    <row r="50" spans="1:11" ht="12.75">
      <c r="A50" s="29"/>
      <c r="K50" s="30"/>
    </row>
    <row r="51" spans="1:11" ht="12.75">
      <c r="A51" s="29"/>
      <c r="K51" s="30"/>
    </row>
    <row r="52" spans="1:11" ht="12.75">
      <c r="A52" s="29"/>
      <c r="K52" s="30"/>
    </row>
    <row r="53" spans="1:11" ht="12.75">
      <c r="A53" s="29"/>
      <c r="K53" s="30"/>
    </row>
    <row r="54" spans="1:11" ht="12.75">
      <c r="A54" s="29"/>
      <c r="K54" s="30"/>
    </row>
    <row r="55" spans="1:11" ht="12.75">
      <c r="A55" s="29"/>
      <c r="K55" s="30"/>
    </row>
    <row r="56" spans="1:11" ht="12.75">
      <c r="A56" s="29"/>
      <c r="K56" s="30"/>
    </row>
    <row r="57" spans="1:11" ht="12.75">
      <c r="A57" s="29"/>
      <c r="K57" s="30"/>
    </row>
    <row r="58" spans="1:11" ht="12.75">
      <c r="A58" s="29"/>
      <c r="K58" s="30"/>
    </row>
    <row r="59" spans="1:11" ht="12.75">
      <c r="A59" s="29"/>
      <c r="K59" s="30"/>
    </row>
    <row r="60" spans="1:11" ht="12.75">
      <c r="A60" s="29"/>
      <c r="K60" s="30"/>
    </row>
    <row r="61" spans="1:11" ht="12.75">
      <c r="A61" s="29"/>
      <c r="K61" s="30"/>
    </row>
    <row r="62" spans="1:11" ht="12.75">
      <c r="A62" s="29"/>
      <c r="K62" s="30"/>
    </row>
    <row r="63" spans="1:11" ht="12.75">
      <c r="A63" s="29"/>
      <c r="K63" s="30"/>
    </row>
    <row r="64" spans="1:11" ht="12.75">
      <c r="A64" s="29"/>
      <c r="K64" s="30"/>
    </row>
    <row r="65" spans="1:11" ht="12.75">
      <c r="A65" s="29"/>
      <c r="K65" s="30"/>
    </row>
    <row r="66" spans="1:11" ht="12.75">
      <c r="A66" s="29"/>
      <c r="K66" s="30"/>
    </row>
    <row r="67" spans="1:11" ht="12.75">
      <c r="A67" s="29"/>
      <c r="K67" s="30"/>
    </row>
    <row r="68" spans="1:11" ht="12.75">
      <c r="A68" s="29"/>
      <c r="K68" s="30"/>
    </row>
    <row r="69" spans="1:11" ht="12.75">
      <c r="A69" s="29"/>
      <c r="K69" s="30"/>
    </row>
    <row r="70" spans="1:11" ht="12.75">
      <c r="A70" s="29"/>
      <c r="K70" s="30"/>
    </row>
    <row r="71" spans="1:11" ht="12.75">
      <c r="A71" s="29"/>
      <c r="K71" s="30"/>
    </row>
    <row r="72" spans="1:11" ht="12.75">
      <c r="A72" s="29"/>
      <c r="K72" s="30"/>
    </row>
    <row r="73" spans="1:11" ht="12.75">
      <c r="A73" s="29"/>
      <c r="K73" s="30"/>
    </row>
    <row r="74" spans="1:11" ht="12.75">
      <c r="A74" s="29"/>
      <c r="K74" s="30"/>
    </row>
    <row r="75" spans="1:11" ht="12.75">
      <c r="A75" s="29"/>
      <c r="K75" s="30"/>
    </row>
    <row r="76" spans="1:11" ht="12.75">
      <c r="A76" s="29"/>
      <c r="K76" s="30"/>
    </row>
    <row r="77" spans="1:11" ht="12.75">
      <c r="A77" s="29"/>
      <c r="K77" s="30"/>
    </row>
    <row r="78" spans="1:11" ht="12.75">
      <c r="A78" s="29"/>
      <c r="K78" s="30"/>
    </row>
    <row r="79" spans="1:11" ht="12.75">
      <c r="A79" s="29"/>
      <c r="K79" s="30"/>
    </row>
    <row r="80" spans="1:11" ht="12.75">
      <c r="A80" s="29"/>
      <c r="K80" s="30"/>
    </row>
    <row r="81" spans="1:11" ht="12.75">
      <c r="A81" s="29"/>
      <c r="K81" s="30"/>
    </row>
    <row r="82" spans="1:11" ht="12.75">
      <c r="A82" s="29"/>
      <c r="K82" s="30"/>
    </row>
    <row r="83" spans="1:11" ht="12.75">
      <c r="A83" s="29"/>
      <c r="K83" s="30"/>
    </row>
    <row r="84" spans="1:11" ht="12.75">
      <c r="A84" s="29"/>
      <c r="K84" s="30"/>
    </row>
    <row r="85" spans="1:11" ht="12.75">
      <c r="A85" s="29"/>
      <c r="K85" s="30"/>
    </row>
    <row r="86" spans="1:11" ht="12.75">
      <c r="A86" s="29"/>
      <c r="K86" s="30"/>
    </row>
    <row r="87" spans="1:11" ht="12.75">
      <c r="A87" s="29"/>
      <c r="K87" s="30"/>
    </row>
    <row r="88" spans="1:11" ht="12.75">
      <c r="A88" s="29"/>
      <c r="K88" s="30"/>
    </row>
    <row r="89" spans="1:11" ht="12.75">
      <c r="A89" s="29"/>
      <c r="K89" s="30"/>
    </row>
    <row r="90" spans="1:11" ht="12.75">
      <c r="A90" s="29"/>
      <c r="K90" s="30"/>
    </row>
    <row r="91" spans="1:11" ht="12.75">
      <c r="A91" s="29"/>
      <c r="K91" s="30"/>
    </row>
    <row r="92" spans="1:11" ht="12.75">
      <c r="A92" s="29"/>
      <c r="K92" s="30"/>
    </row>
    <row r="93" spans="1:11" ht="12.75">
      <c r="A93" s="29"/>
      <c r="K93" s="30"/>
    </row>
    <row r="94" spans="1:11" ht="12.75">
      <c r="A94" s="29"/>
      <c r="K94" s="30"/>
    </row>
    <row r="95" spans="1:11" ht="12.75">
      <c r="A95" s="29"/>
      <c r="K95" s="30"/>
    </row>
    <row r="96" spans="1:11" ht="12.75">
      <c r="A96" s="29"/>
      <c r="K96" s="30"/>
    </row>
    <row r="97" spans="1:11" ht="12.75">
      <c r="A97" s="29"/>
      <c r="K97" s="30"/>
    </row>
    <row r="98" spans="1:11" ht="12.75">
      <c r="A98" s="29"/>
      <c r="K98" s="30"/>
    </row>
    <row r="99" spans="1:11" ht="12.75">
      <c r="A99" s="29"/>
      <c r="K99" s="30"/>
    </row>
    <row r="100" spans="1:11" ht="12.75">
      <c r="A100" s="29"/>
      <c r="K100" s="30"/>
    </row>
    <row r="101" spans="1:11" ht="12.75">
      <c r="A101" s="29"/>
      <c r="K101" s="30"/>
    </row>
    <row r="102" spans="1:11" ht="12.75">
      <c r="A102" s="29"/>
      <c r="K102" s="30"/>
    </row>
    <row r="103" spans="1:11" ht="12.75">
      <c r="A103" s="29"/>
      <c r="K103" s="30"/>
    </row>
    <row r="104" spans="1:11" ht="12.75">
      <c r="A104" s="29"/>
      <c r="K104" s="30"/>
    </row>
    <row r="105" spans="1:11" ht="12.75">
      <c r="A105" s="29"/>
      <c r="K105" s="30"/>
    </row>
    <row r="106" spans="1:11" ht="12.75">
      <c r="A106" s="29"/>
      <c r="K106" s="30"/>
    </row>
    <row r="107" spans="1:11" ht="12.75">
      <c r="A107" s="29"/>
      <c r="K107" s="30"/>
    </row>
    <row r="108" spans="1:11" ht="12.75">
      <c r="A108" s="29"/>
      <c r="K108" s="30"/>
    </row>
    <row r="109" spans="1:11" ht="12.75">
      <c r="A109" s="29"/>
      <c r="K109" s="30"/>
    </row>
    <row r="110" spans="1:11" ht="12.75">
      <c r="A110" s="29"/>
      <c r="K110" s="30"/>
    </row>
    <row r="111" spans="1:11" ht="12.75">
      <c r="A111" s="29"/>
      <c r="K111" s="30"/>
    </row>
    <row r="112" spans="1:11" ht="12.75">
      <c r="A112" s="29"/>
      <c r="K112" s="30"/>
    </row>
    <row r="113" spans="1:11" ht="12.75">
      <c r="A113" s="29"/>
      <c r="K113" s="30"/>
    </row>
    <row r="114" spans="1:11" ht="12.75">
      <c r="A114" s="29"/>
      <c r="K114" s="30"/>
    </row>
    <row r="115" spans="1:11" ht="12.75">
      <c r="A115" s="29"/>
      <c r="K115" s="30"/>
    </row>
    <row r="116" spans="1:11" ht="12.75">
      <c r="A116" s="29"/>
      <c r="K116" s="30"/>
    </row>
    <row r="117" spans="1:11" ht="12.75">
      <c r="A117" s="29"/>
      <c r="K117" s="30"/>
    </row>
    <row r="118" spans="1:11" ht="12.75">
      <c r="A118" s="29"/>
      <c r="K118" s="30"/>
    </row>
    <row r="119" spans="1:11" ht="12.75">
      <c r="A119" s="29"/>
      <c r="K119" s="30"/>
    </row>
    <row r="120" spans="1:11" ht="12.75">
      <c r="A120" s="29"/>
      <c r="K120" s="30"/>
    </row>
    <row r="121" spans="1:11" ht="12.75">
      <c r="A121" s="29"/>
      <c r="K121" s="30"/>
    </row>
    <row r="122" spans="1:11" ht="12.75">
      <c r="A122" s="29"/>
      <c r="K122" s="30"/>
    </row>
    <row r="123" spans="1:11" ht="12.75">
      <c r="A123" s="29"/>
      <c r="K123" s="30"/>
    </row>
    <row r="124" spans="1:11" ht="12.75">
      <c r="A124" s="29"/>
      <c r="K124" s="30"/>
    </row>
    <row r="125" spans="1:11" ht="12.75">
      <c r="A125" s="29"/>
      <c r="K125" s="30"/>
    </row>
    <row r="126" spans="1:11" ht="12.75">
      <c r="A126" s="29"/>
      <c r="K126" s="30"/>
    </row>
    <row r="127" spans="1:11" ht="12.75">
      <c r="A127" s="29"/>
      <c r="K127" s="30"/>
    </row>
    <row r="128" spans="1:11" ht="12.75">
      <c r="A128" s="29"/>
      <c r="K128" s="30"/>
    </row>
    <row r="129" spans="1:11" ht="12.75">
      <c r="A129" s="29"/>
      <c r="K129" s="30"/>
    </row>
    <row r="130" spans="1:11" ht="12.75">
      <c r="A130" s="29"/>
      <c r="K130" s="30"/>
    </row>
    <row r="131" spans="1:11" ht="12.75">
      <c r="A131" s="29"/>
      <c r="K131" s="30"/>
    </row>
    <row r="132" spans="1:11" ht="12.75">
      <c r="A132" s="29"/>
      <c r="K132" s="30"/>
    </row>
    <row r="133" spans="1:11" ht="12.75">
      <c r="A133" s="29"/>
      <c r="K133" s="30"/>
    </row>
    <row r="134" spans="1:11" ht="12.75">
      <c r="A134" s="29"/>
      <c r="K134" s="30"/>
    </row>
    <row r="135" spans="1:11" ht="12.75">
      <c r="A135" s="29"/>
      <c r="K135" s="30"/>
    </row>
    <row r="136" spans="1:11" ht="12.75">
      <c r="A136" s="29"/>
      <c r="K136" s="30"/>
    </row>
    <row r="137" spans="1:11" ht="12.75">
      <c r="A137" s="29"/>
      <c r="K137" s="30"/>
    </row>
    <row r="138" spans="1:11" ht="12.75">
      <c r="A138" s="29"/>
      <c r="K138" s="30"/>
    </row>
    <row r="139" spans="1:11" ht="12.75">
      <c r="A139" s="29"/>
      <c r="K139" s="30"/>
    </row>
    <row r="140" spans="1:11" ht="12.75">
      <c r="A140" s="29"/>
      <c r="K140" s="30"/>
    </row>
    <row r="141" spans="1:11" ht="12.75">
      <c r="A141" s="29"/>
      <c r="K141" s="30"/>
    </row>
    <row r="142" spans="1:11" ht="12.75">
      <c r="A142" s="29"/>
      <c r="K142" s="30"/>
    </row>
    <row r="143" spans="1:11" ht="12.75">
      <c r="A143" s="29"/>
      <c r="K143" s="30"/>
    </row>
    <row r="144" spans="1:11" ht="12.75">
      <c r="A144" s="29"/>
      <c r="K144" s="30"/>
    </row>
    <row r="145" spans="1:11" ht="12.75">
      <c r="A145" s="29"/>
      <c r="K145" s="30"/>
    </row>
    <row r="146" spans="1:11" ht="12.75">
      <c r="A146" s="29"/>
      <c r="K146" s="30"/>
    </row>
    <row r="147" spans="1:11" ht="12.75">
      <c r="A147" s="29"/>
      <c r="K147" s="30"/>
    </row>
    <row r="148" spans="1:11" ht="12.75">
      <c r="A148" s="29"/>
      <c r="K148" s="30"/>
    </row>
    <row r="149" spans="1:11" ht="12.75">
      <c r="A149" s="29"/>
      <c r="K149" s="30"/>
    </row>
    <row r="150" spans="1:11" ht="12.75">
      <c r="A150" s="29"/>
      <c r="K150" s="30"/>
    </row>
    <row r="151" spans="1:11" ht="12.75">
      <c r="A151" s="29"/>
      <c r="K151" s="30"/>
    </row>
    <row r="152" spans="1:11" ht="12.75">
      <c r="A152" s="29"/>
      <c r="K152" s="30"/>
    </row>
    <row r="153" spans="1:11" ht="12.75">
      <c r="A153" s="29"/>
      <c r="K153" s="30"/>
    </row>
    <row r="154" spans="1:11" ht="12.75">
      <c r="A154" s="29"/>
      <c r="K154" s="30"/>
    </row>
    <row r="155" spans="1:11" ht="12.75">
      <c r="A155" s="29"/>
      <c r="K155" s="30"/>
    </row>
    <row r="156" spans="1:11" ht="12.75">
      <c r="A156" s="29"/>
      <c r="K156" s="30"/>
    </row>
    <row r="157" spans="1:11" ht="12.75">
      <c r="A157" s="29"/>
      <c r="K157" s="30"/>
    </row>
    <row r="158" spans="1:11" ht="12.75">
      <c r="A158" s="29"/>
      <c r="K158" s="30"/>
    </row>
    <row r="159" spans="1:11" ht="12.75">
      <c r="A159" s="29"/>
      <c r="K159" s="30"/>
    </row>
    <row r="160" spans="1:11" ht="12.75">
      <c r="A160" s="29"/>
      <c r="K160" s="30"/>
    </row>
    <row r="161" spans="1:11" ht="12.75">
      <c r="A161" s="29"/>
      <c r="K161" s="30"/>
    </row>
    <row r="162" spans="1:11" ht="12.75">
      <c r="A162" s="29"/>
      <c r="K162" s="30"/>
    </row>
    <row r="163" spans="1:11" ht="12.75">
      <c r="A163" s="29"/>
      <c r="K163" s="30"/>
    </row>
    <row r="164" spans="1:11" ht="12.75">
      <c r="A164" s="29"/>
      <c r="K164" s="30"/>
    </row>
    <row r="165" spans="1:11" ht="12.75">
      <c r="A165" s="29"/>
      <c r="K165" s="30"/>
    </row>
    <row r="166" spans="1:11" ht="12.75">
      <c r="A166" s="29"/>
      <c r="K166" s="30"/>
    </row>
    <row r="167" spans="1:11" ht="12.75">
      <c r="A167" s="29"/>
      <c r="K167" s="30"/>
    </row>
    <row r="168" spans="1:11" ht="12.75">
      <c r="A168" s="29"/>
      <c r="K168" s="30"/>
    </row>
    <row r="169" spans="1:11" ht="12.75">
      <c r="A169" s="29"/>
      <c r="K169" s="30"/>
    </row>
    <row r="170" spans="1:11" ht="12.75">
      <c r="A170" s="29"/>
      <c r="K170" s="30"/>
    </row>
    <row r="171" spans="1:11" ht="12.75">
      <c r="A171" s="29"/>
      <c r="K171" s="30"/>
    </row>
    <row r="172" spans="1:11" ht="12.75">
      <c r="A172" s="29"/>
      <c r="K172" s="30"/>
    </row>
    <row r="173" spans="1:11" ht="12.75">
      <c r="A173" s="29"/>
      <c r="K173" s="30"/>
    </row>
    <row r="174" spans="1:11" ht="12.75">
      <c r="A174" s="29"/>
      <c r="K174" s="30"/>
    </row>
    <row r="175" spans="1:11" ht="12.75">
      <c r="A175" s="29"/>
      <c r="K175" s="30"/>
    </row>
    <row r="176" spans="1:11" ht="12.75">
      <c r="A176" s="29"/>
      <c r="K176" s="30"/>
    </row>
    <row r="177" spans="1:11" ht="12.75">
      <c r="A177" s="29"/>
      <c r="K177" s="30"/>
    </row>
    <row r="178" spans="1:11" ht="12.75">
      <c r="A178" s="29"/>
      <c r="K178" s="30"/>
    </row>
    <row r="179" spans="1:11" ht="12.75">
      <c r="A179" s="29"/>
      <c r="K179" s="30"/>
    </row>
    <row r="180" spans="1:11" ht="12.75">
      <c r="A180" s="29"/>
      <c r="K180" s="30"/>
    </row>
    <row r="181" spans="1:11" ht="12.75">
      <c r="A181" s="29"/>
      <c r="K181" s="30"/>
    </row>
    <row r="182" spans="1:11" ht="12.75">
      <c r="A182" s="29"/>
      <c r="K182" s="30"/>
    </row>
    <row r="183" spans="1:11" ht="12.75">
      <c r="A183" s="29"/>
      <c r="K183" s="30"/>
    </row>
    <row r="184" spans="1:11" ht="12.75">
      <c r="A184" s="29"/>
      <c r="K184" s="30"/>
    </row>
    <row r="185" spans="1:11" ht="12.75">
      <c r="A185" s="29"/>
      <c r="K185" s="30"/>
    </row>
    <row r="186" spans="1:11" ht="12.75">
      <c r="A186" s="29"/>
      <c r="K186" s="30"/>
    </row>
    <row r="187" spans="1:11" ht="12.75">
      <c r="A187" s="29"/>
      <c r="K187" s="30"/>
    </row>
    <row r="188" spans="1:11" ht="12.75">
      <c r="A188" s="29"/>
      <c r="K188" s="30"/>
    </row>
    <row r="189" spans="1:11" ht="12.75">
      <c r="A189" s="29"/>
      <c r="K189" s="30"/>
    </row>
    <row r="190" spans="1:11" ht="12.75">
      <c r="A190" s="29"/>
      <c r="K190" s="30"/>
    </row>
    <row r="191" spans="1:11" ht="12.75">
      <c r="A191" s="29"/>
      <c r="K191" s="30"/>
    </row>
    <row r="192" spans="1:11" ht="12.75">
      <c r="A192" s="29"/>
      <c r="K192" s="30"/>
    </row>
    <row r="193" spans="1:11" ht="12.75">
      <c r="A193" s="29"/>
      <c r="K193" s="30"/>
    </row>
    <row r="194" spans="1:11" ht="12.75">
      <c r="A194" s="29"/>
      <c r="K194" s="30"/>
    </row>
    <row r="195" spans="1:11" ht="12.75">
      <c r="A195" s="29"/>
      <c r="K195" s="30"/>
    </row>
    <row r="196" spans="1:11" ht="12.75">
      <c r="A196" s="29"/>
      <c r="K196" s="30"/>
    </row>
    <row r="197" spans="1:11" ht="12.75">
      <c r="A197" s="29"/>
      <c r="K197" s="30"/>
    </row>
    <row r="198" spans="1:11" ht="12.75">
      <c r="A198" s="29"/>
      <c r="K198" s="30"/>
    </row>
    <row r="199" spans="1:11" ht="12.75">
      <c r="A199" s="29"/>
      <c r="K199" s="30"/>
    </row>
    <row r="200" spans="1:11" ht="12.75">
      <c r="A200" s="29"/>
      <c r="K200" s="30"/>
    </row>
    <row r="201" spans="1:11" ht="12.75">
      <c r="A201" s="29"/>
      <c r="K201" s="30"/>
    </row>
    <row r="202" spans="1:11" ht="12.75">
      <c r="A202" s="29"/>
      <c r="K202" s="30"/>
    </row>
    <row r="203" spans="1:11" ht="12.75">
      <c r="A203" s="29"/>
      <c r="K203" s="30"/>
    </row>
    <row r="204" spans="1:11" ht="12.75">
      <c r="A204" s="29"/>
      <c r="K204" s="30"/>
    </row>
    <row r="205" spans="1:11" ht="12.75">
      <c r="A205" s="29"/>
      <c r="K205" s="30"/>
    </row>
    <row r="206" spans="1:11" ht="12.75">
      <c r="A206" s="29"/>
      <c r="K206" s="30"/>
    </row>
    <row r="207" spans="1:11" ht="12.75">
      <c r="A207" s="29"/>
      <c r="K207" s="30"/>
    </row>
    <row r="208" spans="1:11" ht="12.75">
      <c r="A208" s="29"/>
      <c r="K208" s="30"/>
    </row>
    <row r="209" spans="1:11" ht="12.75">
      <c r="A209" s="29"/>
      <c r="K209" s="30"/>
    </row>
    <row r="210" spans="1:11" ht="12.75">
      <c r="A210" s="29"/>
      <c r="K210" s="30"/>
    </row>
    <row r="211" spans="1:11" ht="12.75">
      <c r="A211" s="29"/>
      <c r="K211" s="30"/>
    </row>
    <row r="212" spans="1:11" ht="12.75">
      <c r="A212" s="29"/>
      <c r="K212" s="30"/>
    </row>
    <row r="213" spans="1:11" ht="12.75">
      <c r="A213" s="29"/>
      <c r="K213" s="30"/>
    </row>
    <row r="214" spans="1:11" ht="12.75">
      <c r="A214" s="29"/>
      <c r="K214" s="30"/>
    </row>
    <row r="215" spans="1:11" ht="12.75">
      <c r="A215" s="29"/>
      <c r="K215" s="30"/>
    </row>
    <row r="216" spans="1:11" ht="12.75">
      <c r="A216" s="29"/>
      <c r="K216" s="30"/>
    </row>
    <row r="217" spans="1:11" ht="12.75">
      <c r="A217" s="29"/>
      <c r="K217" s="30"/>
    </row>
    <row r="218" spans="1:11" ht="12.75">
      <c r="A218" s="29"/>
      <c r="K218" s="30"/>
    </row>
    <row r="219" spans="1:11" ht="12.75">
      <c r="A219" s="29"/>
      <c r="K219" s="30"/>
    </row>
    <row r="220" spans="1:11" ht="12.75">
      <c r="A220" s="29"/>
      <c r="K220" s="30"/>
    </row>
    <row r="221" spans="1:11" ht="12.75">
      <c r="A221" s="29"/>
      <c r="K221" s="30"/>
    </row>
    <row r="222" spans="1:11" ht="12.75">
      <c r="A222" s="29"/>
      <c r="K222" s="30"/>
    </row>
    <row r="223" spans="1:11" ht="12.75">
      <c r="A223" s="29"/>
      <c r="K223" s="30"/>
    </row>
    <row r="224" spans="1:11" ht="12.75">
      <c r="A224" s="29"/>
      <c r="K224" s="30"/>
    </row>
    <row r="225" spans="1:11" ht="12.75">
      <c r="A225" s="29"/>
      <c r="K225" s="30"/>
    </row>
    <row r="226" spans="1:11" ht="12.75">
      <c r="A226" s="29"/>
      <c r="K226" s="30"/>
    </row>
    <row r="227" spans="1:11" ht="12.75">
      <c r="A227" s="29"/>
      <c r="K227" s="30"/>
    </row>
    <row r="228" spans="1:11" ht="12.75">
      <c r="A228" s="29"/>
      <c r="K228" s="30"/>
    </row>
    <row r="229" spans="1:11" ht="12.75">
      <c r="A229" s="29"/>
      <c r="K229" s="30"/>
    </row>
    <row r="230" spans="1:11" ht="12.75">
      <c r="A230" s="29"/>
      <c r="K230" s="30"/>
    </row>
    <row r="231" spans="1:11" ht="12.75">
      <c r="A231" s="29"/>
      <c r="K231" s="30"/>
    </row>
    <row r="232" spans="1:11" ht="12.75">
      <c r="A232" s="29"/>
      <c r="K232" s="30"/>
    </row>
    <row r="233" spans="1:11" ht="12.75">
      <c r="A233" s="29"/>
      <c r="K233" s="30"/>
    </row>
    <row r="234" spans="1:11" ht="12.75">
      <c r="A234" s="29"/>
      <c r="K234" s="30"/>
    </row>
    <row r="235" spans="1:11" ht="12.75">
      <c r="A235" s="29"/>
      <c r="K235" s="30"/>
    </row>
    <row r="236" spans="1:11" ht="12.75">
      <c r="A236" s="29"/>
      <c r="K236" s="30"/>
    </row>
    <row r="237" spans="1:11" ht="12.75">
      <c r="A237" s="29"/>
      <c r="K237" s="30"/>
    </row>
    <row r="238" spans="1:11" ht="12.75">
      <c r="A238" s="29"/>
      <c r="K238" s="30"/>
    </row>
    <row r="239" spans="1:11" ht="12.75">
      <c r="A239" s="29"/>
      <c r="K239" s="30"/>
    </row>
    <row r="240" spans="1:11" ht="12.75">
      <c r="A240" s="29"/>
      <c r="K240" s="30"/>
    </row>
    <row r="241" spans="1:11" ht="12.75">
      <c r="A241" s="29"/>
      <c r="K241" s="30"/>
    </row>
    <row r="242" spans="1:11" ht="12.75">
      <c r="A242" s="29"/>
      <c r="K242" s="30"/>
    </row>
    <row r="243" spans="1:11" ht="12.75">
      <c r="A243" s="29"/>
      <c r="K243" s="30"/>
    </row>
    <row r="244" spans="1:11" ht="12.75">
      <c r="A244" s="29"/>
      <c r="K244" s="30"/>
    </row>
    <row r="245" spans="1:11" ht="12.75">
      <c r="A245" s="29"/>
      <c r="K245" s="30"/>
    </row>
    <row r="246" spans="1:11" ht="12.75">
      <c r="A246" s="29"/>
      <c r="K246" s="30"/>
    </row>
    <row r="247" spans="1:11" ht="12.75">
      <c r="A247" s="29"/>
      <c r="K247" s="30"/>
    </row>
    <row r="248" spans="1:11" ht="12.75">
      <c r="A248" s="29"/>
      <c r="K248" s="30"/>
    </row>
    <row r="249" spans="1:11" ht="12.75">
      <c r="A249" s="29"/>
      <c r="K249" s="30"/>
    </row>
    <row r="250" spans="1:11" ht="12.75">
      <c r="A250" s="29"/>
      <c r="K250" s="30"/>
    </row>
    <row r="251" spans="1:11" ht="12.75">
      <c r="A251" s="29"/>
      <c r="K251" s="30"/>
    </row>
    <row r="252" spans="1:11" ht="12.75">
      <c r="A252" s="29"/>
      <c r="K252" s="30"/>
    </row>
    <row r="253" spans="1:11" ht="12.75">
      <c r="A253" s="29"/>
      <c r="K253" s="30"/>
    </row>
    <row r="254" spans="1:11" ht="12.75">
      <c r="A254" s="29"/>
      <c r="K254" s="30"/>
    </row>
    <row r="255" spans="1:11" ht="12.75">
      <c r="A255" s="29"/>
      <c r="K255" s="30"/>
    </row>
    <row r="256" spans="1:11" ht="12.75">
      <c r="A256" s="29"/>
      <c r="K256" s="30"/>
    </row>
    <row r="257" spans="1:11" ht="12.75">
      <c r="A257" s="29"/>
      <c r="K257" s="30"/>
    </row>
    <row r="258" spans="1:11" ht="12.75">
      <c r="A258" s="29"/>
      <c r="K258" s="30"/>
    </row>
    <row r="259" spans="1:11" ht="12.75">
      <c r="A259" s="29"/>
      <c r="K259" s="30"/>
    </row>
    <row r="260" spans="1:11" ht="12.75">
      <c r="A260" s="29"/>
      <c r="K260" s="30"/>
    </row>
    <row r="261" spans="1:11" ht="12.75">
      <c r="A261" s="29"/>
      <c r="K261" s="30"/>
    </row>
    <row r="262" spans="1:11" ht="12.75">
      <c r="A262" s="29"/>
      <c r="K262" s="30"/>
    </row>
    <row r="263" spans="1:11" ht="12.75">
      <c r="A263" s="29"/>
      <c r="K263" s="30"/>
    </row>
    <row r="264" spans="1:11" ht="12.75">
      <c r="A264" s="29"/>
      <c r="K264" s="30"/>
    </row>
    <row r="265" spans="1:11" ht="12.75">
      <c r="A265" s="29"/>
      <c r="K265" s="30"/>
    </row>
    <row r="266" spans="1:11" ht="12.75">
      <c r="A266" s="29"/>
      <c r="K266" s="30"/>
    </row>
    <row r="267" spans="1:11" ht="12.75">
      <c r="A267" s="29"/>
      <c r="K267" s="30"/>
    </row>
    <row r="268" spans="1:11" ht="12.75">
      <c r="A268" s="29"/>
      <c r="K268" s="30"/>
    </row>
    <row r="269" spans="1:11" ht="12.75">
      <c r="A269" s="29"/>
      <c r="K269" s="30"/>
    </row>
    <row r="270" spans="1:11" ht="12.75">
      <c r="A270" s="29"/>
      <c r="K270" s="30"/>
    </row>
    <row r="271" spans="1:11" ht="12.75">
      <c r="A271" s="29"/>
      <c r="K271" s="30"/>
    </row>
    <row r="272" spans="1:11" ht="12.75">
      <c r="A272" s="29"/>
      <c r="K272" s="30"/>
    </row>
    <row r="273" spans="1:11" ht="12.75">
      <c r="A273" s="29"/>
      <c r="K273" s="30"/>
    </row>
    <row r="274" spans="1:11" ht="12.75">
      <c r="A274" s="29"/>
      <c r="K274" s="30"/>
    </row>
    <row r="275" spans="1:11" ht="12.75">
      <c r="A275" s="29"/>
      <c r="K275" s="30"/>
    </row>
    <row r="276" spans="1:11" ht="12.75">
      <c r="A276" s="29"/>
      <c r="K276" s="30"/>
    </row>
    <row r="277" spans="1:11" ht="12.75">
      <c r="A277" s="29"/>
      <c r="K277" s="30"/>
    </row>
    <row r="278" spans="1:11" ht="12.75">
      <c r="A278" s="29"/>
      <c r="K278" s="30"/>
    </row>
    <row r="279" spans="1:11" ht="12.75">
      <c r="A279" s="29"/>
      <c r="K279" s="30"/>
    </row>
    <row r="280" spans="1:11" ht="12.75">
      <c r="A280" s="29"/>
      <c r="K280" s="30"/>
    </row>
    <row r="281" spans="1:11" ht="12.75">
      <c r="A281" s="29"/>
      <c r="K281" s="30"/>
    </row>
    <row r="282" spans="1:11" ht="12.75">
      <c r="A282" s="29"/>
      <c r="K282" s="30"/>
    </row>
    <row r="283" spans="1:11" ht="12.75">
      <c r="A283" s="29"/>
      <c r="K283" s="30"/>
    </row>
    <row r="284" spans="1:11" ht="12.75">
      <c r="A284" s="29"/>
      <c r="K284" s="30"/>
    </row>
    <row r="285" spans="1:11" ht="12.75">
      <c r="A285" s="29"/>
      <c r="K285" s="30"/>
    </row>
    <row r="286" spans="1:11" ht="12.75">
      <c r="A286" s="29"/>
      <c r="K286" s="30"/>
    </row>
    <row r="287" spans="1:11" ht="12.75">
      <c r="A287" s="29"/>
      <c r="K287" s="30"/>
    </row>
    <row r="288" spans="1:11" ht="12.75">
      <c r="A288" s="29"/>
      <c r="K288" s="30"/>
    </row>
    <row r="289" spans="1:11" ht="12.75">
      <c r="A289" s="29"/>
      <c r="K289" s="30"/>
    </row>
    <row r="290" spans="1:11" ht="12.75">
      <c r="A290" s="29"/>
      <c r="K290" s="30"/>
    </row>
    <row r="291" spans="1:11" ht="12.75">
      <c r="A291" s="29"/>
      <c r="K291" s="30"/>
    </row>
    <row r="292" spans="1:11" ht="12.75">
      <c r="A292" s="29"/>
      <c r="K292" s="30"/>
    </row>
    <row r="293" spans="1:11" ht="12.75">
      <c r="A293" s="29"/>
      <c r="K293" s="30"/>
    </row>
    <row r="294" spans="1:11" ht="12.75">
      <c r="A294" s="29"/>
      <c r="K294" s="30"/>
    </row>
    <row r="295" spans="1:11" ht="12.75">
      <c r="A295" s="29"/>
      <c r="K295" s="30"/>
    </row>
    <row r="296" spans="1:11" ht="12.75">
      <c r="A296" s="29"/>
      <c r="K296" s="30"/>
    </row>
    <row r="297" spans="1:11" ht="12.75">
      <c r="A297" s="29"/>
      <c r="K297" s="30"/>
    </row>
    <row r="298" spans="1:11" ht="12.75">
      <c r="A298" s="29"/>
      <c r="K298" s="30"/>
    </row>
    <row r="299" spans="1:11" ht="12.75">
      <c r="A299" s="29"/>
      <c r="K299" s="30"/>
    </row>
    <row r="300" spans="1:11" ht="12.75">
      <c r="A300" s="29"/>
      <c r="K300" s="30"/>
    </row>
    <row r="301" spans="1:11" ht="12.75">
      <c r="A301" s="29"/>
      <c r="K301" s="30"/>
    </row>
    <row r="302" spans="1:11" ht="12.75">
      <c r="A302" s="29"/>
      <c r="K302" s="30"/>
    </row>
    <row r="303" spans="1:11" ht="12.75">
      <c r="A303" s="29"/>
      <c r="K303" s="30"/>
    </row>
    <row r="304" spans="1:11" ht="12.75">
      <c r="A304" s="29"/>
      <c r="K304" s="30"/>
    </row>
    <row r="305" spans="1:11" ht="12.75">
      <c r="A305" s="29"/>
      <c r="K305" s="30"/>
    </row>
    <row r="306" spans="1:11" ht="12.75">
      <c r="A306" s="29"/>
      <c r="K306" s="30"/>
    </row>
    <row r="307" spans="1:11" ht="12.75">
      <c r="A307" s="29"/>
      <c r="K307" s="30"/>
    </row>
    <row r="308" spans="1:11" ht="12.75">
      <c r="A308" s="29"/>
      <c r="K308" s="30"/>
    </row>
    <row r="309" spans="1:11" ht="12.75">
      <c r="A309" s="29"/>
      <c r="K309" s="30"/>
    </row>
    <row r="310" spans="1:11" ht="12.75">
      <c r="A310" s="29"/>
      <c r="K310" s="30"/>
    </row>
    <row r="311" spans="1:11" ht="12.75">
      <c r="A311" s="29"/>
      <c r="K311" s="30"/>
    </row>
    <row r="312" spans="1:11" ht="12.75">
      <c r="A312" s="29"/>
      <c r="K312" s="30"/>
    </row>
    <row r="313" spans="1:11" ht="12.75">
      <c r="A313" s="29"/>
      <c r="K313" s="30"/>
    </row>
    <row r="314" spans="1:11" ht="12.75">
      <c r="A314" s="29"/>
      <c r="K314" s="30"/>
    </row>
    <row r="315" spans="1:11" ht="12.75">
      <c r="A315" s="29"/>
      <c r="K315" s="30"/>
    </row>
    <row r="316" spans="1:11" ht="12.75">
      <c r="A316" s="29"/>
      <c r="K316" s="30"/>
    </row>
    <row r="317" spans="1:11" ht="12.75">
      <c r="A317" s="29"/>
      <c r="K317" s="30"/>
    </row>
    <row r="318" spans="1:11" ht="12.75">
      <c r="A318" s="29"/>
      <c r="K318" s="30"/>
    </row>
    <row r="319" spans="1:11" ht="12.75">
      <c r="A319" s="29"/>
      <c r="K319" s="30"/>
    </row>
    <row r="320" spans="1:11" ht="12.75">
      <c r="A320" s="29"/>
      <c r="K320" s="30"/>
    </row>
    <row r="321" spans="1:11" ht="12.75">
      <c r="A321" s="29"/>
      <c r="K321" s="30"/>
    </row>
    <row r="322" spans="1:11" ht="12.75">
      <c r="A322" s="29"/>
      <c r="K322" s="30"/>
    </row>
    <row r="323" spans="1:11" ht="12.75">
      <c r="A323" s="29"/>
      <c r="K323" s="30"/>
    </row>
    <row r="324" spans="1:11" ht="12.75">
      <c r="A324" s="29"/>
      <c r="K324" s="30"/>
    </row>
    <row r="325" spans="1:11" ht="12.75">
      <c r="A325" s="29"/>
      <c r="K325" s="30"/>
    </row>
    <row r="326" spans="1:11" ht="12.75">
      <c r="A326" s="29"/>
      <c r="K326" s="30"/>
    </row>
    <row r="327" spans="1:11" ht="12.75">
      <c r="A327" s="29"/>
      <c r="K327" s="30"/>
    </row>
    <row r="328" spans="1:11" ht="12.75">
      <c r="A328" s="29"/>
      <c r="K328" s="30"/>
    </row>
    <row r="329" spans="1:11" ht="12.75">
      <c r="A329" s="29"/>
      <c r="K329" s="30"/>
    </row>
    <row r="330" spans="1:11" ht="12.75">
      <c r="A330" s="29"/>
      <c r="K330" s="30"/>
    </row>
    <row r="331" spans="1:11" ht="12.75">
      <c r="A331" s="29"/>
      <c r="K331" s="30"/>
    </row>
    <row r="332" spans="1:11" ht="12.75">
      <c r="A332" s="29"/>
      <c r="K332" s="30"/>
    </row>
    <row r="333" spans="1:11" ht="12.75">
      <c r="A333" s="29"/>
      <c r="K333" s="30"/>
    </row>
    <row r="334" spans="1:11" ht="12.75">
      <c r="A334" s="29"/>
      <c r="K334" s="30"/>
    </row>
    <row r="335" spans="1:11" ht="12.75">
      <c r="A335" s="29"/>
      <c r="K335" s="30"/>
    </row>
    <row r="336" spans="1:11" ht="12.75">
      <c r="A336" s="29"/>
      <c r="K336" s="30"/>
    </row>
    <row r="337" spans="1:11" ht="12.75">
      <c r="A337" s="29"/>
      <c r="K337" s="30"/>
    </row>
    <row r="338" spans="1:11" ht="12.75">
      <c r="A338" s="29"/>
      <c r="K338" s="30"/>
    </row>
    <row r="339" spans="1:11" ht="12.75">
      <c r="A339" s="29"/>
      <c r="K339" s="30"/>
    </row>
    <row r="340" spans="1:11" ht="12.75">
      <c r="A340" s="29"/>
      <c r="K340" s="30"/>
    </row>
    <row r="341" spans="1:11" ht="12.75">
      <c r="A341" s="29"/>
      <c r="K341" s="30"/>
    </row>
    <row r="342" spans="1:11" ht="12.75">
      <c r="A342" s="29"/>
      <c r="K342" s="30"/>
    </row>
    <row r="343" spans="1:11" ht="12.75">
      <c r="A343" s="29"/>
      <c r="K343" s="30"/>
    </row>
    <row r="344" spans="1:11" ht="12.75">
      <c r="A344" s="29"/>
      <c r="K344" s="30"/>
    </row>
    <row r="345" spans="1:11" ht="12.75">
      <c r="A345" s="29"/>
      <c r="K345" s="30"/>
    </row>
    <row r="346" spans="1:11" ht="12.75">
      <c r="A346" s="29"/>
      <c r="K346" s="30"/>
    </row>
    <row r="347" spans="1:11" ht="12.75">
      <c r="A347" s="29"/>
      <c r="K347" s="30"/>
    </row>
    <row r="348" spans="1:11" ht="12.75">
      <c r="A348" s="29"/>
      <c r="K348" s="30"/>
    </row>
    <row r="349" spans="1:11" ht="12.75">
      <c r="A349" s="29"/>
      <c r="K349" s="30"/>
    </row>
    <row r="350" spans="1:11" ht="12.75">
      <c r="A350" s="29"/>
      <c r="K350" s="30"/>
    </row>
    <row r="351" spans="1:11" ht="12.75">
      <c r="A351" s="29"/>
      <c r="K351" s="30"/>
    </row>
    <row r="352" spans="1:11" ht="12.75">
      <c r="A352" s="29"/>
      <c r="K352" s="30"/>
    </row>
    <row r="353" spans="1:11" ht="12.75">
      <c r="A353" s="29"/>
      <c r="K353" s="30"/>
    </row>
    <row r="354" spans="1:11" ht="12.75">
      <c r="A354" s="29"/>
      <c r="K354" s="30"/>
    </row>
    <row r="355" spans="1:11" ht="12.75">
      <c r="A355" s="29"/>
      <c r="K355" s="30"/>
    </row>
    <row r="356" spans="1:11" ht="12.75">
      <c r="A356" s="29"/>
      <c r="K356" s="30"/>
    </row>
    <row r="357" spans="1:11" ht="12.75">
      <c r="A357" s="29"/>
      <c r="K357" s="30"/>
    </row>
    <row r="358" spans="1:11" ht="12.75">
      <c r="A358" s="29"/>
      <c r="K358" s="30"/>
    </row>
    <row r="359" spans="1:11" ht="12.75">
      <c r="A359" s="29"/>
      <c r="K359" s="30"/>
    </row>
    <row r="360" spans="1:11" ht="12.75">
      <c r="A360" s="29"/>
      <c r="K360" s="30"/>
    </row>
    <row r="361" spans="1:11" ht="12.75">
      <c r="A361" s="29"/>
      <c r="K361" s="30"/>
    </row>
    <row r="362" spans="1:11" ht="12.75">
      <c r="A362" s="29"/>
      <c r="K362" s="30"/>
    </row>
    <row r="363" spans="1:11" ht="12.75">
      <c r="A363" s="29"/>
      <c r="K363" s="30"/>
    </row>
    <row r="364" spans="1:11" ht="12.75">
      <c r="A364" s="29"/>
      <c r="K364" s="30"/>
    </row>
    <row r="365" spans="1:11" ht="12.75">
      <c r="A365" s="29"/>
      <c r="K365" s="30"/>
    </row>
    <row r="366" spans="1:11" ht="12.75">
      <c r="A366" s="29"/>
      <c r="K366" s="30"/>
    </row>
    <row r="367" spans="1:11" ht="12.75">
      <c r="A367" s="29"/>
      <c r="K367" s="30"/>
    </row>
    <row r="368" spans="1:11" ht="12.75">
      <c r="A368" s="29"/>
      <c r="K368" s="30"/>
    </row>
    <row r="369" spans="1:11" ht="12.75">
      <c r="A369" s="29"/>
      <c r="K369" s="30"/>
    </row>
    <row r="370" spans="1:11" ht="12.75">
      <c r="A370" s="29"/>
      <c r="K370" s="30"/>
    </row>
    <row r="371" spans="1:11" ht="12.75">
      <c r="A371" s="29"/>
      <c r="K371" s="30"/>
    </row>
    <row r="372" spans="1:11" ht="12.75">
      <c r="A372" s="29"/>
      <c r="K372" s="30"/>
    </row>
    <row r="373" spans="1:11" ht="12.75">
      <c r="A373" s="29"/>
      <c r="K373" s="30"/>
    </row>
    <row r="374" spans="1:11" ht="12.75">
      <c r="A374" s="29"/>
      <c r="K374" s="30"/>
    </row>
    <row r="375" spans="1:11" ht="12.75">
      <c r="A375" s="29"/>
      <c r="K375" s="30"/>
    </row>
    <row r="376" spans="1:11" ht="12.75">
      <c r="A376" s="29"/>
      <c r="K376" s="30"/>
    </row>
    <row r="377" spans="1:11" ht="12.75">
      <c r="A377" s="29"/>
      <c r="K377" s="30"/>
    </row>
    <row r="378" spans="1:11" ht="12.75">
      <c r="A378" s="29"/>
      <c r="K378" s="30"/>
    </row>
    <row r="379" spans="1:11" ht="12.75">
      <c r="A379" s="29"/>
      <c r="K379" s="30"/>
    </row>
    <row r="380" spans="1:11" ht="12.75">
      <c r="A380" s="29"/>
      <c r="K380" s="30"/>
    </row>
    <row r="381" spans="1:11" ht="12.75">
      <c r="A381" s="29"/>
      <c r="K381" s="30"/>
    </row>
    <row r="382" spans="1:11" ht="12.75">
      <c r="A382" s="29"/>
      <c r="K382" s="30"/>
    </row>
    <row r="383" spans="1:11" ht="12.75">
      <c r="A383" s="29"/>
      <c r="K383" s="30"/>
    </row>
    <row r="384" spans="1:11" ht="12.75">
      <c r="A384" s="29"/>
      <c r="K384" s="30"/>
    </row>
    <row r="385" spans="1:11" ht="12.75">
      <c r="A385" s="29"/>
      <c r="K385" s="30"/>
    </row>
    <row r="386" spans="1:11" ht="12.75">
      <c r="A386" s="29"/>
      <c r="K386" s="30"/>
    </row>
    <row r="387" spans="1:11" ht="12.75">
      <c r="A387" s="29"/>
      <c r="K387" s="30"/>
    </row>
    <row r="388" spans="1:11" ht="12.75">
      <c r="A388" s="29"/>
      <c r="K388" s="30"/>
    </row>
    <row r="389" spans="1:11" ht="12.75">
      <c r="A389" s="29"/>
      <c r="K389" s="30"/>
    </row>
    <row r="390" spans="1:11" ht="12.75">
      <c r="A390" s="29"/>
      <c r="K390" s="30"/>
    </row>
    <row r="391" spans="1:11" ht="12.75">
      <c r="A391" s="29"/>
      <c r="K391" s="30"/>
    </row>
    <row r="392" spans="1:11" ht="12.75">
      <c r="A392" s="29"/>
      <c r="K392" s="30"/>
    </row>
    <row r="393" spans="1:11" ht="12.75">
      <c r="A393" s="29"/>
      <c r="K393" s="30"/>
    </row>
    <row r="394" spans="1:11" ht="12.75">
      <c r="A394" s="29"/>
      <c r="K394" s="30"/>
    </row>
    <row r="395" spans="1:11" ht="12.75">
      <c r="A395" s="29"/>
      <c r="K395" s="30"/>
    </row>
    <row r="396" spans="1:11" ht="12.75">
      <c r="A396" s="29"/>
      <c r="K396" s="30"/>
    </row>
    <row r="397" spans="1:11" ht="12.75">
      <c r="A397" s="29"/>
      <c r="K397" s="30"/>
    </row>
    <row r="398" spans="1:11" ht="12.75">
      <c r="A398" s="29"/>
      <c r="K398" s="30"/>
    </row>
    <row r="399" spans="1:11" ht="12.75">
      <c r="A399" s="29"/>
      <c r="K399" s="30"/>
    </row>
    <row r="400" spans="1:11" ht="12.75">
      <c r="A400" s="29"/>
      <c r="K400" s="30"/>
    </row>
    <row r="401" spans="1:11" ht="12.75">
      <c r="A401" s="29"/>
      <c r="K401" s="30"/>
    </row>
    <row r="402" spans="1:11" ht="12.75">
      <c r="A402" s="29"/>
      <c r="K402" s="30"/>
    </row>
    <row r="403" spans="1:11" ht="12.75">
      <c r="A403" s="29"/>
      <c r="K403" s="30"/>
    </row>
    <row r="404" spans="1:11" ht="12.75">
      <c r="A404" s="29"/>
      <c r="K404" s="30"/>
    </row>
    <row r="405" spans="1:11" ht="12.75">
      <c r="A405" s="29"/>
      <c r="K405" s="30"/>
    </row>
    <row r="406" spans="1:11" ht="12.75">
      <c r="A406" s="29"/>
      <c r="K406" s="30"/>
    </row>
    <row r="407" spans="1:11" ht="12.75">
      <c r="A407" s="29"/>
      <c r="K407" s="30"/>
    </row>
    <row r="408" spans="1:11" ht="12.75">
      <c r="A408" s="29"/>
      <c r="K408" s="30"/>
    </row>
    <row r="409" spans="1:11" ht="12.75">
      <c r="A409" s="29"/>
      <c r="K409" s="30"/>
    </row>
    <row r="410" spans="1:11" ht="12.75">
      <c r="A410" s="29"/>
      <c r="K410" s="30"/>
    </row>
    <row r="411" spans="1:11" ht="12.75">
      <c r="A411" s="29"/>
      <c r="K411" s="30"/>
    </row>
    <row r="412" spans="1:11" ht="12.75">
      <c r="A412" s="29"/>
      <c r="K412" s="30"/>
    </row>
    <row r="413" spans="1:11" ht="12.75">
      <c r="A413" s="29"/>
      <c r="K413" s="30"/>
    </row>
    <row r="414" spans="1:11" ht="12.75">
      <c r="A414" s="29"/>
      <c r="K414" s="30"/>
    </row>
    <row r="415" spans="1:11" ht="12.75">
      <c r="A415" s="29"/>
      <c r="K415" s="30"/>
    </row>
    <row r="416" spans="1:11" ht="12.75">
      <c r="A416" s="29"/>
      <c r="K416" s="30"/>
    </row>
    <row r="417" spans="1:11" ht="12.75">
      <c r="A417" s="29"/>
      <c r="K417" s="30"/>
    </row>
    <row r="418" spans="1:11" ht="12.75">
      <c r="A418" s="29"/>
      <c r="K418" s="30"/>
    </row>
    <row r="419" spans="1:11" ht="12.75">
      <c r="A419" s="29"/>
      <c r="K419" s="30"/>
    </row>
    <row r="420" spans="1:11" ht="12.75">
      <c r="A420" s="29"/>
      <c r="K420" s="30"/>
    </row>
    <row r="421" spans="1:11" ht="12.75">
      <c r="A421" s="29"/>
      <c r="K421" s="30"/>
    </row>
    <row r="422" spans="1:11" ht="12.75">
      <c r="A422" s="29"/>
      <c r="K422" s="30"/>
    </row>
    <row r="423" spans="1:11" ht="12.75">
      <c r="A423" s="29"/>
      <c r="K423" s="30"/>
    </row>
    <row r="424" spans="1:11" ht="12.75">
      <c r="A424" s="29"/>
      <c r="K424" s="30"/>
    </row>
    <row r="425" spans="1:11" ht="12.75">
      <c r="A425" s="29"/>
      <c r="K425" s="30"/>
    </row>
    <row r="426" spans="1:11" ht="12.75">
      <c r="A426" s="29"/>
      <c r="K426" s="30"/>
    </row>
    <row r="427" spans="1:11" ht="12.75">
      <c r="A427" s="29"/>
      <c r="K427" s="30"/>
    </row>
    <row r="428" spans="1:11" ht="12.75">
      <c r="A428" s="29"/>
      <c r="K428" s="30"/>
    </row>
    <row r="429" spans="1:11" ht="12.75">
      <c r="A429" s="29"/>
      <c r="K429" s="30"/>
    </row>
    <row r="430" spans="1:11" ht="12.75">
      <c r="A430" s="29"/>
      <c r="K430" s="30"/>
    </row>
    <row r="431" spans="1:11" ht="12.75">
      <c r="A431" s="29"/>
      <c r="K431" s="30"/>
    </row>
    <row r="432" spans="1:11" ht="12.75">
      <c r="A432" s="29"/>
      <c r="K432" s="30"/>
    </row>
    <row r="433" spans="1:11" ht="12.75">
      <c r="A433" s="29"/>
      <c r="K433" s="30"/>
    </row>
    <row r="434" spans="1:11" ht="12.75">
      <c r="A434" s="29"/>
      <c r="K434" s="30"/>
    </row>
    <row r="435" spans="1:11" ht="12.75">
      <c r="A435" s="29"/>
      <c r="K435" s="30"/>
    </row>
    <row r="436" spans="1:11" ht="12.75">
      <c r="A436" s="29"/>
      <c r="K436" s="30"/>
    </row>
    <row r="437" spans="1:11" ht="12.75">
      <c r="A437" s="29"/>
      <c r="K437" s="30"/>
    </row>
    <row r="438" spans="1:11" ht="12.75">
      <c r="A438" s="29"/>
      <c r="K438" s="30"/>
    </row>
    <row r="439" spans="1:11" ht="12.75">
      <c r="A439" s="29"/>
      <c r="K439" s="30"/>
    </row>
    <row r="440" spans="1:11" ht="12.75">
      <c r="A440" s="29"/>
      <c r="K440" s="30"/>
    </row>
    <row r="441" spans="1:11" ht="12.75">
      <c r="A441" s="29"/>
      <c r="K441" s="30"/>
    </row>
    <row r="442" spans="1:11" ht="12.75">
      <c r="A442" s="29"/>
      <c r="K442" s="30"/>
    </row>
    <row r="443" spans="1:11" ht="12.75">
      <c r="A443" s="29"/>
      <c r="K443" s="30"/>
    </row>
    <row r="444" spans="1:11" ht="12.75">
      <c r="A444" s="29"/>
      <c r="K444" s="30"/>
    </row>
    <row r="445" spans="1:11" ht="12.75">
      <c r="A445" s="29"/>
      <c r="K445" s="30"/>
    </row>
    <row r="446" spans="1:11" ht="12.75">
      <c r="A446" s="29"/>
      <c r="K446" s="30"/>
    </row>
    <row r="447" spans="1:11" ht="12.75">
      <c r="A447" s="29"/>
      <c r="K447" s="30"/>
    </row>
    <row r="448" spans="1:11" ht="12.75">
      <c r="A448" s="29"/>
      <c r="K448" s="30"/>
    </row>
    <row r="449" spans="1:11" ht="12.75">
      <c r="A449" s="29"/>
      <c r="K449" s="30"/>
    </row>
    <row r="450" spans="1:11" ht="12.75">
      <c r="A450" s="29"/>
      <c r="K450" s="30"/>
    </row>
    <row r="451" spans="1:11" ht="12.75">
      <c r="A451" s="29"/>
      <c r="K451" s="30"/>
    </row>
    <row r="452" spans="1:11" ht="12.75">
      <c r="A452" s="29"/>
      <c r="K452" s="30"/>
    </row>
    <row r="453" spans="1:11" ht="12.75">
      <c r="A453" s="29"/>
      <c r="K453" s="30"/>
    </row>
    <row r="454" spans="1:11" ht="12.75">
      <c r="A454" s="29"/>
      <c r="K454" s="30"/>
    </row>
    <row r="455" spans="1:11" ht="12.75">
      <c r="A455" s="29"/>
      <c r="K455" s="30"/>
    </row>
    <row r="456" spans="1:11" ht="12.75">
      <c r="A456" s="29"/>
      <c r="K456" s="30"/>
    </row>
    <row r="457" spans="1:11" ht="12.75">
      <c r="A457" s="29"/>
      <c r="K457" s="30"/>
    </row>
    <row r="458" spans="1:11" ht="12.75">
      <c r="A458" s="29"/>
      <c r="K458" s="30"/>
    </row>
    <row r="459" spans="1:11" ht="12.75">
      <c r="A459" s="29"/>
      <c r="K459" s="30"/>
    </row>
    <row r="460" spans="1:11" ht="12.75">
      <c r="A460" s="29"/>
      <c r="K460" s="30"/>
    </row>
    <row r="461" spans="1:11" ht="12.75">
      <c r="A461" s="29"/>
      <c r="K461" s="30"/>
    </row>
    <row r="462" spans="1:11" ht="12.75">
      <c r="A462" s="29"/>
      <c r="K462" s="30"/>
    </row>
    <row r="463" spans="1:11" ht="12.75">
      <c r="A463" s="29"/>
      <c r="K463" s="30"/>
    </row>
    <row r="464" spans="1:11" ht="12.75">
      <c r="A464" s="29"/>
      <c r="K464" s="30"/>
    </row>
    <row r="465" spans="1:11" ht="12.75">
      <c r="A465" s="29"/>
      <c r="K465" s="30"/>
    </row>
    <row r="466" spans="1:11" ht="12.75">
      <c r="A466" s="29"/>
      <c r="K466" s="30"/>
    </row>
    <row r="467" spans="1:11" ht="12.75">
      <c r="A467" s="29"/>
      <c r="K467" s="30"/>
    </row>
    <row r="468" spans="1:11" ht="12.75">
      <c r="A468" s="29"/>
      <c r="K468" s="30"/>
    </row>
    <row r="469" spans="1:11" ht="12.75">
      <c r="A469" s="29"/>
      <c r="K469" s="30"/>
    </row>
    <row r="470" spans="1:11" ht="12.75">
      <c r="A470" s="29"/>
      <c r="K470" s="30"/>
    </row>
    <row r="471" spans="1:11" ht="12.75">
      <c r="A471" s="29"/>
      <c r="K471" s="30"/>
    </row>
    <row r="472" spans="1:11" ht="12.75">
      <c r="A472" s="29"/>
      <c r="K472" s="30"/>
    </row>
    <row r="473" spans="1:11" ht="12.75">
      <c r="A473" s="29"/>
      <c r="K473" s="30"/>
    </row>
    <row r="474" spans="1:11" ht="12.75">
      <c r="A474" s="29"/>
      <c r="K474" s="30"/>
    </row>
    <row r="475" spans="1:11" ht="12.75">
      <c r="A475" s="29"/>
      <c r="K475" s="30"/>
    </row>
    <row r="476" spans="1:11" ht="12.75">
      <c r="A476" s="29"/>
      <c r="K476" s="30"/>
    </row>
    <row r="477" spans="1:11" ht="12.75">
      <c r="A477" s="29"/>
      <c r="K477" s="30"/>
    </row>
    <row r="478" spans="1:11" ht="12.75">
      <c r="A478" s="29"/>
      <c r="K478" s="30"/>
    </row>
    <row r="479" spans="1:11" ht="12.75">
      <c r="A479" s="29"/>
      <c r="K479" s="30"/>
    </row>
    <row r="480" spans="1:11" ht="12.75">
      <c r="A480" s="29"/>
      <c r="K480" s="30"/>
    </row>
    <row r="481" spans="1:11" ht="12.75">
      <c r="A481" s="29"/>
      <c r="K481" s="30"/>
    </row>
    <row r="482" spans="1:11" ht="12.75">
      <c r="A482" s="29"/>
      <c r="K482" s="30"/>
    </row>
    <row r="483" spans="1:11" ht="12.75">
      <c r="A483" s="29"/>
      <c r="K483" s="30"/>
    </row>
    <row r="484" spans="1:11" ht="12.75">
      <c r="A484" s="29"/>
      <c r="K484" s="30"/>
    </row>
    <row r="485" spans="1:11" ht="12.75">
      <c r="A485" s="29"/>
      <c r="K485" s="30"/>
    </row>
    <row r="486" spans="1:11" ht="12.75">
      <c r="A486" s="29"/>
      <c r="K486" s="30"/>
    </row>
    <row r="487" spans="1:11" ht="12.75">
      <c r="A487" s="29"/>
      <c r="K487" s="30"/>
    </row>
    <row r="488" spans="1:11" ht="12.75">
      <c r="A488" s="29"/>
      <c r="K488" s="30"/>
    </row>
    <row r="489" spans="1:11" ht="12.75">
      <c r="A489" s="29"/>
      <c r="K489" s="30"/>
    </row>
    <row r="490" spans="1:11" ht="12.75">
      <c r="A490" s="29"/>
      <c r="K490" s="30"/>
    </row>
    <row r="491" spans="1:11" ht="12.75">
      <c r="A491" s="29"/>
      <c r="K491" s="30"/>
    </row>
    <row r="492" spans="1:11" ht="12.75">
      <c r="A492" s="29"/>
      <c r="K492" s="30"/>
    </row>
    <row r="493" spans="1:11" ht="12.75">
      <c r="A493" s="29"/>
      <c r="K493" s="30"/>
    </row>
    <row r="494" spans="1:11" ht="12.75">
      <c r="A494" s="29"/>
      <c r="K494" s="30"/>
    </row>
    <row r="495" spans="1:11" ht="12.75">
      <c r="A495" s="29"/>
      <c r="K495" s="30"/>
    </row>
    <row r="496" spans="1:11" ht="12.75">
      <c r="A496" s="29"/>
      <c r="K496" s="30"/>
    </row>
    <row r="497" spans="1:11" ht="12.75">
      <c r="A497" s="29"/>
      <c r="K497" s="30"/>
    </row>
    <row r="498" spans="1:11" ht="12.75">
      <c r="A498" s="29"/>
      <c r="K498" s="30"/>
    </row>
    <row r="499" spans="1:11" ht="12.75">
      <c r="A499" s="29"/>
      <c r="K499" s="30"/>
    </row>
    <row r="500" spans="1:11" ht="12.75">
      <c r="A500" s="29"/>
      <c r="K500" s="30"/>
    </row>
    <row r="501" spans="1:11" ht="12.75">
      <c r="A501" s="29"/>
      <c r="K501" s="30"/>
    </row>
    <row r="502" spans="1:11" ht="12.75">
      <c r="A502" s="29"/>
      <c r="K502" s="30"/>
    </row>
    <row r="503" spans="1:11" ht="12.75">
      <c r="A503" s="29"/>
      <c r="K503" s="30"/>
    </row>
    <row r="504" spans="1:11" ht="12.75">
      <c r="A504" s="29"/>
      <c r="K504" s="30"/>
    </row>
    <row r="505" spans="1:11" ht="12.75">
      <c r="A505" s="29"/>
      <c r="K505" s="30"/>
    </row>
    <row r="506" spans="1:11" ht="12.75">
      <c r="A506" s="29"/>
      <c r="K506" s="30"/>
    </row>
    <row r="507" spans="1:11" ht="12.75">
      <c r="A507" s="29"/>
      <c r="K507" s="30"/>
    </row>
    <row r="508" spans="1:11" ht="12.75">
      <c r="A508" s="29"/>
      <c r="K508" s="30"/>
    </row>
    <row r="509" spans="1:11" ht="12.75">
      <c r="A509" s="29"/>
      <c r="K509" s="30"/>
    </row>
    <row r="510" spans="1:11" ht="12.75">
      <c r="A510" s="29"/>
      <c r="K510" s="30"/>
    </row>
    <row r="511" spans="1:11" ht="12.75">
      <c r="A511" s="29"/>
      <c r="K511" s="30"/>
    </row>
    <row r="512" spans="1:11" ht="12.75">
      <c r="A512" s="29"/>
      <c r="K512" s="30"/>
    </row>
    <row r="513" spans="1:11" ht="12.75">
      <c r="A513" s="29"/>
      <c r="K513" s="30"/>
    </row>
    <row r="514" spans="1:11" ht="12.75">
      <c r="A514" s="29"/>
      <c r="K514" s="30"/>
    </row>
    <row r="515" spans="1:11" ht="12.75">
      <c r="A515" s="29"/>
      <c r="K515" s="30"/>
    </row>
    <row r="516" spans="1:11" ht="12.75">
      <c r="A516" s="29"/>
      <c r="K516" s="30"/>
    </row>
    <row r="517" spans="1:11" ht="12.75">
      <c r="A517" s="29"/>
      <c r="K517" s="30"/>
    </row>
    <row r="518" spans="1:11" ht="12.75">
      <c r="A518" s="29"/>
      <c r="K518" s="30"/>
    </row>
    <row r="519" spans="1:11" ht="12.75">
      <c r="A519" s="29"/>
      <c r="K519" s="30"/>
    </row>
    <row r="520" spans="1:11" ht="12.75">
      <c r="A520" s="29"/>
      <c r="K520" s="30"/>
    </row>
    <row r="521" spans="1:11" ht="12.75">
      <c r="A521" s="29"/>
      <c r="K521" s="30"/>
    </row>
    <row r="522" spans="1:11" ht="12.75">
      <c r="A522" s="29"/>
      <c r="K522" s="30"/>
    </row>
    <row r="523" spans="1:11" ht="12.75">
      <c r="A523" s="29"/>
      <c r="K523" s="30"/>
    </row>
    <row r="524" spans="1:11" ht="12.75">
      <c r="A524" s="29"/>
      <c r="K524" s="30"/>
    </row>
    <row r="525" spans="1:11" ht="12.75">
      <c r="A525" s="29"/>
      <c r="K525" s="30"/>
    </row>
    <row r="526" spans="1:11" ht="12.75">
      <c r="A526" s="29"/>
      <c r="K526" s="30"/>
    </row>
    <row r="527" spans="1:11" ht="12.75">
      <c r="A527" s="29"/>
      <c r="K527" s="30"/>
    </row>
    <row r="528" spans="1:11" ht="12.75">
      <c r="A528" s="29"/>
      <c r="K528" s="30"/>
    </row>
    <row r="529" spans="1:11" ht="12.75">
      <c r="A529" s="29"/>
      <c r="K529" s="30"/>
    </row>
    <row r="530" spans="1:11" ht="12.75">
      <c r="A530" s="29"/>
      <c r="K530" s="30"/>
    </row>
    <row r="531" spans="1:11" ht="12.75">
      <c r="A531" s="29"/>
      <c r="K531" s="30"/>
    </row>
    <row r="532" spans="1:11" ht="12.75">
      <c r="A532" s="29"/>
      <c r="K532" s="30"/>
    </row>
    <row r="533" spans="1:11" ht="12.75">
      <c r="A533" s="29"/>
      <c r="K533" s="30"/>
    </row>
    <row r="534" spans="1:11" ht="12.75">
      <c r="A534" s="29"/>
      <c r="K534" s="30"/>
    </row>
    <row r="535" spans="1:11" ht="12.75">
      <c r="A535" s="29"/>
      <c r="K535" s="30"/>
    </row>
    <row r="536" spans="1:11" ht="12.75">
      <c r="A536" s="29"/>
      <c r="K536" s="30"/>
    </row>
    <row r="537" spans="1:11" ht="12.75">
      <c r="A537" s="29"/>
      <c r="K537" s="30"/>
    </row>
    <row r="538" spans="1:11" ht="12.75">
      <c r="A538" s="29"/>
      <c r="K538" s="30"/>
    </row>
    <row r="539" spans="1:11" ht="12.75">
      <c r="A539" s="29"/>
      <c r="K539" s="30"/>
    </row>
    <row r="540" spans="1:11" ht="12.75">
      <c r="A540" s="29"/>
      <c r="K540" s="30"/>
    </row>
    <row r="541" spans="1:11" ht="12.75">
      <c r="A541" s="29"/>
      <c r="K541" s="30"/>
    </row>
    <row r="542" spans="1:11" ht="12.75">
      <c r="A542" s="29"/>
      <c r="K542" s="30"/>
    </row>
    <row r="543" spans="1:11" ht="12.75">
      <c r="A543" s="29"/>
      <c r="K543" s="30"/>
    </row>
    <row r="544" spans="1:11" ht="12.75">
      <c r="A544" s="29"/>
      <c r="K544" s="30"/>
    </row>
    <row r="545" spans="1:11" ht="12.75">
      <c r="A545" s="29"/>
      <c r="K545" s="30"/>
    </row>
    <row r="546" spans="1:11" ht="12.75">
      <c r="A546" s="29"/>
      <c r="K546" s="30"/>
    </row>
    <row r="547" spans="1:11" ht="12.75">
      <c r="A547" s="29"/>
      <c r="K547" s="30"/>
    </row>
    <row r="548" spans="1:11" ht="12.75">
      <c r="A548" s="29"/>
      <c r="K548" s="30"/>
    </row>
    <row r="549" spans="1:11" ht="12.75">
      <c r="A549" s="29"/>
      <c r="K549" s="30"/>
    </row>
    <row r="550" spans="1:11" ht="12.75">
      <c r="A550" s="29"/>
      <c r="K550" s="30"/>
    </row>
    <row r="551" spans="1:11" ht="12.75">
      <c r="A551" s="29"/>
      <c r="K551" s="30"/>
    </row>
    <row r="552" spans="1:11" ht="12.75">
      <c r="A552" s="29"/>
      <c r="K552" s="30"/>
    </row>
    <row r="553" spans="1:11" ht="12.75">
      <c r="A553" s="29"/>
      <c r="K553" s="30"/>
    </row>
    <row r="554" spans="1:11" ht="12.75">
      <c r="A554" s="29"/>
      <c r="K554" s="30"/>
    </row>
    <row r="555" spans="1:11" ht="12.75">
      <c r="A555" s="29"/>
      <c r="K555" s="30"/>
    </row>
    <row r="556" spans="1:11" ht="12.75">
      <c r="A556" s="29"/>
      <c r="K556" s="30"/>
    </row>
    <row r="557" spans="1:11" ht="12.75">
      <c r="A557" s="29"/>
      <c r="K557" s="30"/>
    </row>
    <row r="558" spans="1:11" ht="12.75">
      <c r="A558" s="29"/>
      <c r="K558" s="30"/>
    </row>
    <row r="559" spans="1:11" ht="12.75">
      <c r="A559" s="29"/>
      <c r="K559" s="30"/>
    </row>
    <row r="560" spans="1:11" ht="12.75">
      <c r="A560" s="29"/>
      <c r="K560" s="30"/>
    </row>
    <row r="561" spans="1:11" ht="12.75">
      <c r="A561" s="29"/>
      <c r="K561" s="30"/>
    </row>
    <row r="562" spans="1:11" ht="12.75">
      <c r="A562" s="29"/>
      <c r="K562" s="30"/>
    </row>
    <row r="563" spans="1:11" ht="12.75">
      <c r="A563" s="29"/>
      <c r="K563" s="30"/>
    </row>
    <row r="564" spans="1:11" ht="12.75">
      <c r="A564" s="29"/>
      <c r="K564" s="30"/>
    </row>
    <row r="565" spans="1:11" ht="12.75">
      <c r="A565" s="29"/>
      <c r="K565" s="30"/>
    </row>
    <row r="566" spans="1:11" ht="12.75">
      <c r="A566" s="29"/>
      <c r="K566" s="30"/>
    </row>
    <row r="567" spans="1:11" ht="12.75">
      <c r="A567" s="29"/>
      <c r="K567" s="30"/>
    </row>
    <row r="568" spans="1:11" ht="12.75">
      <c r="A568" s="29"/>
      <c r="K568" s="30"/>
    </row>
    <row r="569" spans="1:11" ht="12.75">
      <c r="A569" s="29"/>
      <c r="K569" s="30"/>
    </row>
    <row r="570" spans="1:11" ht="12.75">
      <c r="A570" s="29"/>
      <c r="K570" s="30"/>
    </row>
    <row r="571" spans="1:11" ht="12.75">
      <c r="A571" s="29"/>
      <c r="K571" s="30"/>
    </row>
    <row r="572" spans="1:11" ht="12.75">
      <c r="A572" s="29"/>
      <c r="K572" s="30"/>
    </row>
    <row r="573" spans="1:11" ht="12.75">
      <c r="A573" s="29"/>
      <c r="K573" s="30"/>
    </row>
    <row r="574" spans="1:11" ht="12.75">
      <c r="A574" s="29"/>
      <c r="K574" s="30"/>
    </row>
    <row r="575" spans="1:11" ht="12.75">
      <c r="A575" s="29"/>
      <c r="K575" s="30"/>
    </row>
    <row r="576" spans="1:11" ht="12.75">
      <c r="A576" s="29"/>
      <c r="K576" s="30"/>
    </row>
    <row r="577" spans="1:11" ht="12.75">
      <c r="A577" s="29"/>
      <c r="K577" s="30"/>
    </row>
    <row r="578" spans="1:11" ht="12.75">
      <c r="A578" s="29"/>
      <c r="K578" s="30"/>
    </row>
    <row r="579" spans="1:11" ht="12.75">
      <c r="A579" s="29"/>
      <c r="K579" s="30"/>
    </row>
    <row r="580" spans="1:11" ht="12.75">
      <c r="A580" s="29"/>
      <c r="K580" s="30"/>
    </row>
    <row r="581" spans="1:11" ht="12.75">
      <c r="A581" s="29"/>
      <c r="K581" s="30"/>
    </row>
    <row r="582" spans="1:11" ht="12.75">
      <c r="A582" s="29"/>
      <c r="K582" s="30"/>
    </row>
    <row r="583" spans="1:11" ht="12.75">
      <c r="A583" s="29"/>
      <c r="K583" s="30"/>
    </row>
    <row r="584" spans="1:11" ht="12.75">
      <c r="A584" s="29"/>
      <c r="K584" s="30"/>
    </row>
    <row r="585" spans="1:11" ht="12.75">
      <c r="A585" s="29"/>
      <c r="K585" s="30"/>
    </row>
    <row r="586" spans="1:11" ht="12.75">
      <c r="A586" s="29"/>
      <c r="K586" s="30"/>
    </row>
    <row r="587" spans="1:11" ht="12.75">
      <c r="A587" s="29"/>
      <c r="K587" s="30"/>
    </row>
    <row r="588" spans="1:11" ht="12.75">
      <c r="A588" s="29"/>
      <c r="K588" s="30"/>
    </row>
    <row r="589" spans="1:11" ht="12.75">
      <c r="A589" s="29"/>
      <c r="K589" s="30"/>
    </row>
    <row r="590" spans="1:11" ht="12.75">
      <c r="A590" s="29"/>
      <c r="K590" s="30"/>
    </row>
    <row r="591" spans="1:11" ht="12.75">
      <c r="A591" s="29"/>
      <c r="K591" s="30"/>
    </row>
    <row r="592" spans="1:11" ht="12.75">
      <c r="A592" s="29"/>
      <c r="K592" s="30"/>
    </row>
    <row r="593" spans="1:11" ht="12.75">
      <c r="A593" s="29"/>
      <c r="K593" s="30"/>
    </row>
    <row r="594" spans="1:11" ht="12.75">
      <c r="A594" s="29"/>
      <c r="K594" s="30"/>
    </row>
    <row r="595" spans="1:11" ht="12.75">
      <c r="A595" s="29"/>
      <c r="K595" s="30"/>
    </row>
    <row r="596" spans="1:11" ht="12.75">
      <c r="A596" s="29"/>
      <c r="K596" s="30"/>
    </row>
    <row r="597" spans="1:11" ht="12.75">
      <c r="A597" s="29"/>
      <c r="K597" s="30"/>
    </row>
    <row r="598" spans="1:11" ht="12.75">
      <c r="A598" s="29"/>
      <c r="K598" s="30"/>
    </row>
    <row r="599" spans="1:11" ht="12.75">
      <c r="A599" s="29"/>
      <c r="K599" s="30"/>
    </row>
    <row r="600" spans="1:11" ht="12.75">
      <c r="A600" s="29"/>
      <c r="K600" s="30"/>
    </row>
    <row r="601" spans="1:11" ht="12.75">
      <c r="A601" s="29"/>
      <c r="K601" s="30"/>
    </row>
    <row r="602" spans="1:11" ht="12.75">
      <c r="A602" s="29"/>
      <c r="K602" s="30"/>
    </row>
    <row r="603" spans="1:11" ht="12.75">
      <c r="A603" s="29"/>
      <c r="K603" s="30"/>
    </row>
    <row r="604" spans="1:11" ht="12.75">
      <c r="A604" s="29"/>
      <c r="K604" s="30"/>
    </row>
    <row r="605" spans="1:11" ht="12.75">
      <c r="A605" s="29"/>
      <c r="K605" s="30"/>
    </row>
    <row r="606" spans="1:11" ht="12.75">
      <c r="A606" s="29"/>
      <c r="K606" s="30"/>
    </row>
    <row r="607" spans="1:11" ht="12.75">
      <c r="A607" s="29"/>
      <c r="K607" s="30"/>
    </row>
    <row r="608" spans="1:11" ht="12.75">
      <c r="A608" s="29"/>
      <c r="K608" s="30"/>
    </row>
    <row r="609" spans="1:11" ht="12.75">
      <c r="A609" s="29"/>
      <c r="K609" s="30"/>
    </row>
    <row r="610" spans="1:11" ht="12.75">
      <c r="A610" s="29"/>
      <c r="K610" s="30"/>
    </row>
    <row r="611" spans="1:11" ht="12.75">
      <c r="A611" s="29"/>
      <c r="K611" s="30"/>
    </row>
    <row r="612" spans="1:11" ht="12.75">
      <c r="A612" s="29"/>
      <c r="K612" s="30"/>
    </row>
    <row r="613" spans="1:11" ht="12.75">
      <c r="A613" s="29"/>
      <c r="K613" s="30"/>
    </row>
    <row r="614" spans="1:11" ht="12.75">
      <c r="A614" s="29"/>
      <c r="K614" s="30"/>
    </row>
    <row r="615" spans="1:11" ht="12.75">
      <c r="A615" s="29"/>
      <c r="K615" s="30"/>
    </row>
    <row r="616" spans="1:11" ht="12.75">
      <c r="A616" s="29"/>
      <c r="K616" s="30"/>
    </row>
    <row r="617" spans="1:11" ht="12.75">
      <c r="A617" s="29"/>
      <c r="K617" s="30"/>
    </row>
    <row r="618" spans="1:11" ht="12.75">
      <c r="A618" s="29"/>
      <c r="K618" s="30"/>
    </row>
    <row r="619" spans="1:11" ht="12.75">
      <c r="A619" s="29"/>
      <c r="K619" s="30"/>
    </row>
    <row r="620" spans="1:11" ht="12.75">
      <c r="A620" s="29"/>
      <c r="K620" s="30"/>
    </row>
    <row r="621" spans="1:11" ht="12.75">
      <c r="A621" s="29"/>
      <c r="K621" s="30"/>
    </row>
    <row r="622" spans="1:11" ht="12.75">
      <c r="A622" s="29"/>
      <c r="K622" s="30"/>
    </row>
    <row r="623" spans="1:11" ht="12.75">
      <c r="A623" s="29"/>
      <c r="K623" s="30"/>
    </row>
    <row r="624" spans="1:11" ht="12.75">
      <c r="A624" s="29"/>
      <c r="K624" s="30"/>
    </row>
    <row r="625" spans="1:11" ht="12.75">
      <c r="A625" s="29"/>
      <c r="K625" s="30"/>
    </row>
    <row r="626" spans="1:11" ht="12.75">
      <c r="A626" s="29"/>
      <c r="K626" s="30"/>
    </row>
    <row r="627" spans="1:11" ht="12.75">
      <c r="A627" s="29"/>
      <c r="K627" s="30"/>
    </row>
    <row r="628" spans="1:11" ht="12.75">
      <c r="A628" s="29"/>
      <c r="K628" s="30"/>
    </row>
    <row r="629" spans="1:11" ht="12.75">
      <c r="A629" s="29"/>
      <c r="K629" s="30"/>
    </row>
    <row r="630" spans="1:11" ht="12.75">
      <c r="A630" s="29"/>
      <c r="K630" s="30"/>
    </row>
    <row r="631" spans="1:11" ht="12.75">
      <c r="A631" s="29"/>
      <c r="K631" s="30"/>
    </row>
    <row r="632" spans="1:11" ht="12.75">
      <c r="A632" s="29"/>
      <c r="K632" s="30"/>
    </row>
    <row r="633" spans="1:11" ht="12.75">
      <c r="A633" s="29"/>
      <c r="K633" s="30"/>
    </row>
    <row r="634" spans="1:11" ht="12.75">
      <c r="A634" s="29"/>
      <c r="K634" s="30"/>
    </row>
    <row r="635" spans="1:11" ht="12.75">
      <c r="A635" s="29"/>
      <c r="K635" s="30"/>
    </row>
    <row r="636" spans="1:11" ht="12.75">
      <c r="A636" s="29"/>
      <c r="K636" s="30"/>
    </row>
    <row r="637" spans="1:11" ht="12.75">
      <c r="A637" s="29"/>
      <c r="K637" s="30"/>
    </row>
    <row r="638" spans="1:11" ht="12.75">
      <c r="A638" s="29"/>
      <c r="K638" s="30"/>
    </row>
    <row r="639" spans="1:11" ht="12.75">
      <c r="A639" s="29"/>
      <c r="K639" s="30"/>
    </row>
    <row r="640" spans="1:11" ht="12.75">
      <c r="A640" s="29"/>
      <c r="K640" s="30"/>
    </row>
    <row r="641" spans="1:11" ht="12.75">
      <c r="A641" s="29"/>
      <c r="K641" s="30"/>
    </row>
    <row r="642" spans="1:11" ht="12.75">
      <c r="A642" s="29"/>
      <c r="K642" s="30"/>
    </row>
    <row r="643" spans="1:11" ht="12.75">
      <c r="A643" s="29"/>
      <c r="K643" s="30"/>
    </row>
    <row r="644" spans="1:11" ht="12.75">
      <c r="A644" s="29"/>
      <c r="K644" s="30"/>
    </row>
    <row r="645" spans="1:11" ht="12.75">
      <c r="A645" s="29"/>
      <c r="K645" s="30"/>
    </row>
    <row r="646" spans="1:11" ht="12.75">
      <c r="A646" s="29"/>
      <c r="K646" s="30"/>
    </row>
    <row r="647" spans="1:11" ht="12.75">
      <c r="A647" s="29"/>
      <c r="K647" s="30"/>
    </row>
    <row r="648" spans="1:11" ht="12.75">
      <c r="A648" s="29"/>
      <c r="K648" s="30"/>
    </row>
    <row r="649" spans="1:11" ht="12.75">
      <c r="A649" s="29"/>
      <c r="K649" s="30"/>
    </row>
    <row r="650" spans="1:11" ht="12.75">
      <c r="A650" s="29"/>
      <c r="K650" s="30"/>
    </row>
    <row r="651" spans="1:11" ht="12.75">
      <c r="A651" s="29"/>
      <c r="K651" s="30"/>
    </row>
    <row r="652" spans="1:11" ht="12.75">
      <c r="A652" s="29"/>
      <c r="K652" s="30"/>
    </row>
    <row r="653" spans="1:11" ht="12.75">
      <c r="A653" s="29"/>
      <c r="K653" s="30"/>
    </row>
    <row r="654" spans="1:11" ht="12.75">
      <c r="A654" s="29"/>
      <c r="K654" s="30"/>
    </row>
    <row r="655" spans="1:11" ht="12.75">
      <c r="A655" s="29"/>
      <c r="K655" s="30"/>
    </row>
    <row r="656" spans="1:11" ht="12.75">
      <c r="A656" s="29"/>
      <c r="K656" s="30"/>
    </row>
    <row r="657" spans="1:11" ht="12.75">
      <c r="A657" s="29"/>
      <c r="K657" s="30"/>
    </row>
    <row r="658" spans="1:11" ht="12.75">
      <c r="A658" s="29"/>
      <c r="K658" s="30"/>
    </row>
    <row r="659" spans="1:11" ht="12.75">
      <c r="A659" s="29"/>
      <c r="K659" s="30"/>
    </row>
    <row r="660" spans="1:11" ht="12.75">
      <c r="A660" s="29"/>
      <c r="K660" s="30"/>
    </row>
    <row r="661" spans="1:11" ht="12.75">
      <c r="A661" s="29"/>
      <c r="K661" s="30"/>
    </row>
    <row r="662" spans="1:11" ht="12.75">
      <c r="A662" s="29"/>
      <c r="K662" s="30"/>
    </row>
    <row r="663" spans="1:11" ht="12.75">
      <c r="A663" s="29"/>
      <c r="K663" s="30"/>
    </row>
    <row r="664" spans="1:11" ht="12.75">
      <c r="A664" s="29"/>
      <c r="K664" s="30"/>
    </row>
    <row r="665" spans="1:11" ht="12.75">
      <c r="A665" s="29"/>
      <c r="K665" s="30"/>
    </row>
    <row r="666" spans="1:11" ht="12.75">
      <c r="A666" s="29"/>
      <c r="K666" s="30"/>
    </row>
    <row r="667" spans="1:11" ht="12.75">
      <c r="A667" s="29"/>
      <c r="K667" s="30"/>
    </row>
    <row r="668" spans="1:11" ht="12.75">
      <c r="A668" s="29"/>
      <c r="K668" s="30"/>
    </row>
    <row r="669" spans="1:11" ht="12.75">
      <c r="A669" s="29"/>
      <c r="K669" s="30"/>
    </row>
    <row r="670" spans="1:11" ht="12.75">
      <c r="A670" s="29"/>
      <c r="K670" s="30"/>
    </row>
    <row r="671" spans="1:11" ht="12.75">
      <c r="A671" s="29"/>
      <c r="K671" s="30"/>
    </row>
    <row r="672" spans="1:11" ht="12.75">
      <c r="A672" s="29"/>
      <c r="K672" s="30"/>
    </row>
    <row r="673" spans="1:11" ht="12.75">
      <c r="A673" s="29"/>
      <c r="K673" s="30"/>
    </row>
    <row r="674" spans="1:11" ht="12.75">
      <c r="A674" s="29"/>
      <c r="K674" s="30"/>
    </row>
    <row r="675" spans="1:11" ht="12.75">
      <c r="A675" s="29"/>
      <c r="K675" s="30"/>
    </row>
    <row r="676" spans="1:11" ht="12.75">
      <c r="A676" s="29"/>
      <c r="K676" s="30"/>
    </row>
    <row r="677" spans="1:11" ht="12.75">
      <c r="A677" s="29"/>
      <c r="K677" s="30"/>
    </row>
    <row r="678" spans="1:11" ht="12.75">
      <c r="A678" s="29"/>
      <c r="K678" s="30"/>
    </row>
    <row r="679" spans="1:11" ht="12.75">
      <c r="A679" s="29"/>
      <c r="K679" s="30"/>
    </row>
    <row r="680" spans="1:11" ht="12.75">
      <c r="A680" s="29"/>
      <c r="K680" s="30"/>
    </row>
    <row r="681" spans="1:11" ht="12.75">
      <c r="A681" s="29"/>
      <c r="K681" s="30"/>
    </row>
    <row r="682" spans="1:11" ht="12.75">
      <c r="A682" s="29"/>
      <c r="K682" s="30"/>
    </row>
    <row r="683" spans="1:11" ht="12.75">
      <c r="A683" s="29"/>
      <c r="K683" s="30"/>
    </row>
    <row r="684" spans="1:11" ht="12.75">
      <c r="A684" s="29"/>
      <c r="K684" s="30"/>
    </row>
    <row r="685" spans="1:11" ht="12.75">
      <c r="A685" s="29"/>
      <c r="K685" s="30"/>
    </row>
    <row r="686" spans="1:11" ht="12.75">
      <c r="A686" s="29"/>
      <c r="K686" s="30"/>
    </row>
    <row r="687" spans="1:11" ht="12.75">
      <c r="A687" s="29"/>
      <c r="K687" s="30"/>
    </row>
    <row r="688" spans="1:11" ht="12.75">
      <c r="A688" s="29"/>
      <c r="K688" s="30"/>
    </row>
    <row r="689" spans="1:11" ht="12.75">
      <c r="A689" s="29"/>
      <c r="K689" s="30"/>
    </row>
    <row r="690" spans="1:11" ht="12.75">
      <c r="A690" s="29"/>
      <c r="K690" s="30"/>
    </row>
    <row r="691" spans="1:11" ht="12.75">
      <c r="A691" s="29"/>
      <c r="K691" s="30"/>
    </row>
    <row r="692" spans="1:11" ht="12.75">
      <c r="A692" s="29"/>
      <c r="K692" s="30"/>
    </row>
    <row r="693" spans="1:11" ht="12.75">
      <c r="A693" s="29"/>
      <c r="K693" s="30"/>
    </row>
    <row r="694" spans="1:11" ht="12.75">
      <c r="A694" s="29"/>
      <c r="K694" s="30"/>
    </row>
    <row r="695" spans="1:11" ht="12.75">
      <c r="A695" s="29"/>
      <c r="K695" s="30"/>
    </row>
    <row r="696" spans="1:11" ht="12.75">
      <c r="A696" s="29"/>
      <c r="K696" s="30"/>
    </row>
    <row r="697" spans="1:11" ht="12.75">
      <c r="A697" s="29"/>
      <c r="K697" s="30"/>
    </row>
    <row r="698" spans="1:11" ht="12.75">
      <c r="A698" s="29"/>
      <c r="K698" s="30"/>
    </row>
    <row r="699" spans="1:11" ht="12.75">
      <c r="A699" s="29"/>
      <c r="K699" s="30"/>
    </row>
    <row r="700" spans="1:11" ht="12.75">
      <c r="A700" s="29"/>
      <c r="K700" s="30"/>
    </row>
    <row r="701" spans="1:11" ht="12.75">
      <c r="A701" s="29"/>
      <c r="K701" s="30"/>
    </row>
    <row r="702" spans="1:11" ht="12.75">
      <c r="A702" s="29"/>
      <c r="K702" s="30"/>
    </row>
    <row r="703" spans="1:11" ht="12.75">
      <c r="A703" s="29"/>
      <c r="K703" s="30"/>
    </row>
    <row r="704" spans="1:11" ht="12.75">
      <c r="A704" s="29"/>
      <c r="K704" s="30"/>
    </row>
    <row r="705" spans="1:11" ht="12.75">
      <c r="A705" s="29"/>
      <c r="K705" s="30"/>
    </row>
    <row r="706" spans="1:11" ht="12.75">
      <c r="A706" s="29"/>
      <c r="K706" s="30"/>
    </row>
    <row r="707" spans="1:11" ht="12.75">
      <c r="A707" s="29"/>
      <c r="K707" s="30"/>
    </row>
    <row r="708" spans="1:11" ht="12.75">
      <c r="A708" s="29"/>
      <c r="K708" s="30"/>
    </row>
    <row r="709" spans="1:11" ht="12.75">
      <c r="A709" s="29"/>
      <c r="K709" s="30"/>
    </row>
    <row r="710" spans="1:11" ht="12.75">
      <c r="A710" s="29"/>
      <c r="K710" s="30"/>
    </row>
    <row r="711" spans="1:11" ht="12.75">
      <c r="A711" s="29"/>
      <c r="K711" s="30"/>
    </row>
    <row r="712" spans="1:11" ht="12.75">
      <c r="A712" s="29"/>
      <c r="K712" s="30"/>
    </row>
    <row r="713" spans="1:11" ht="12.75">
      <c r="A713" s="29"/>
      <c r="K713" s="30"/>
    </row>
    <row r="714" spans="1:11" ht="12.75">
      <c r="A714" s="29"/>
      <c r="K714" s="30"/>
    </row>
    <row r="715" spans="1:11" ht="12.75">
      <c r="A715" s="29"/>
      <c r="K715" s="30"/>
    </row>
    <row r="716" spans="1:11" ht="12.75">
      <c r="A716" s="29"/>
      <c r="K716" s="30"/>
    </row>
    <row r="717" spans="1:11" ht="12.75">
      <c r="A717" s="29"/>
      <c r="K717" s="30"/>
    </row>
    <row r="718" spans="1:11" ht="12.75">
      <c r="A718" s="29"/>
      <c r="K718" s="30"/>
    </row>
    <row r="719" spans="1:11" ht="12.75">
      <c r="A719" s="29"/>
      <c r="K719" s="30"/>
    </row>
    <row r="720" spans="1:11" ht="12.75">
      <c r="A720" s="29"/>
      <c r="K720" s="30"/>
    </row>
    <row r="721" spans="1:11" ht="12.75">
      <c r="A721" s="29"/>
      <c r="K721" s="30"/>
    </row>
    <row r="722" spans="1:11" ht="12.75">
      <c r="A722" s="29"/>
      <c r="K722" s="30"/>
    </row>
    <row r="723" spans="1:11" ht="12.75">
      <c r="A723" s="29"/>
      <c r="K723" s="30"/>
    </row>
    <row r="724" spans="1:11" ht="12.75">
      <c r="A724" s="29"/>
      <c r="K724" s="30"/>
    </row>
    <row r="725" spans="1:11" ht="12.75">
      <c r="A725" s="29"/>
      <c r="K725" s="30"/>
    </row>
    <row r="726" spans="1:11" ht="12.75">
      <c r="A726" s="29"/>
      <c r="K726" s="30"/>
    </row>
    <row r="727" spans="1:11" ht="12.75">
      <c r="A727" s="29"/>
      <c r="K727" s="30"/>
    </row>
    <row r="728" spans="1:11" ht="12.75">
      <c r="A728" s="29"/>
      <c r="K728" s="30"/>
    </row>
    <row r="729" spans="1:11" ht="12.75">
      <c r="A729" s="29"/>
      <c r="K729" s="30"/>
    </row>
    <row r="730" spans="1:11" ht="12.75">
      <c r="A730" s="29"/>
      <c r="K730" s="30"/>
    </row>
    <row r="731" spans="1:11" ht="12.75">
      <c r="A731" s="29"/>
      <c r="K731" s="30"/>
    </row>
    <row r="732" spans="1:11" ht="12.75">
      <c r="A732" s="29"/>
      <c r="K732" s="30"/>
    </row>
    <row r="733" spans="1:11" ht="12.75">
      <c r="A733" s="29"/>
      <c r="K733" s="30"/>
    </row>
    <row r="734" spans="1:11" ht="12.75">
      <c r="A734" s="29"/>
      <c r="K734" s="30"/>
    </row>
    <row r="735" spans="1:11" ht="12.75">
      <c r="A735" s="29"/>
      <c r="K735" s="30"/>
    </row>
    <row r="736" spans="1:11" ht="12.75">
      <c r="A736" s="29"/>
      <c r="K736" s="30"/>
    </row>
    <row r="737" spans="1:11" ht="12.75">
      <c r="A737" s="29"/>
      <c r="K737" s="30"/>
    </row>
    <row r="738" spans="1:11" ht="12.75">
      <c r="A738" s="29"/>
      <c r="K738" s="30"/>
    </row>
    <row r="739" spans="1:11" ht="12.75">
      <c r="A739" s="29"/>
      <c r="K739" s="30"/>
    </row>
    <row r="740" spans="1:11" ht="12.75">
      <c r="A740" s="29"/>
      <c r="K740" s="30"/>
    </row>
    <row r="741" spans="1:11" ht="12.75">
      <c r="A741" s="29"/>
      <c r="K741" s="30"/>
    </row>
    <row r="742" spans="1:11" ht="12.75">
      <c r="A742" s="29"/>
      <c r="K742" s="30"/>
    </row>
    <row r="743" spans="1:11" ht="12.75">
      <c r="A743" s="29"/>
      <c r="K743" s="30"/>
    </row>
    <row r="744" spans="1:11" ht="12.75">
      <c r="A744" s="29"/>
      <c r="K744" s="30"/>
    </row>
    <row r="745" spans="1:11" ht="12.75">
      <c r="A745" s="29"/>
      <c r="K745" s="30"/>
    </row>
    <row r="746" spans="1:11" ht="12.75">
      <c r="A746" s="29"/>
      <c r="K746" s="30"/>
    </row>
    <row r="747" spans="1:11" ht="12.75">
      <c r="A747" s="29"/>
      <c r="K747" s="30"/>
    </row>
    <row r="748" spans="1:11" ht="12.75">
      <c r="A748" s="29"/>
      <c r="K748" s="30"/>
    </row>
    <row r="749" spans="1:11" ht="12.75">
      <c r="A749" s="29"/>
      <c r="K749" s="30"/>
    </row>
    <row r="750" spans="1:11" ht="12.75">
      <c r="A750" s="29"/>
      <c r="K750" s="30"/>
    </row>
    <row r="751" spans="1:11" ht="12.75">
      <c r="A751" s="29"/>
      <c r="K751" s="30"/>
    </row>
    <row r="752" spans="1:11" ht="12.75">
      <c r="A752" s="29"/>
      <c r="K752" s="30"/>
    </row>
    <row r="753" spans="1:11" ht="12.75">
      <c r="A753" s="29"/>
      <c r="K753" s="30"/>
    </row>
    <row r="754" spans="1:11" ht="12.75">
      <c r="A754" s="29"/>
      <c r="K754" s="30"/>
    </row>
    <row r="755" spans="1:11" ht="12.75">
      <c r="A755" s="29"/>
      <c r="K755" s="30"/>
    </row>
    <row r="756" spans="1:11" ht="12.75">
      <c r="A756" s="29"/>
      <c r="K756" s="30"/>
    </row>
    <row r="757" spans="1:11" ht="12.75">
      <c r="A757" s="29"/>
      <c r="K757" s="30"/>
    </row>
    <row r="758" spans="1:11" ht="12.75">
      <c r="A758" s="29"/>
      <c r="K758" s="30"/>
    </row>
    <row r="759" spans="1:11" ht="12.75">
      <c r="A759" s="29"/>
      <c r="K759" s="30"/>
    </row>
    <row r="760" spans="1:11" ht="12.75">
      <c r="A760" s="29"/>
      <c r="K760" s="30"/>
    </row>
    <row r="761" spans="1:11" ht="12.75">
      <c r="A761" s="29"/>
      <c r="K761" s="30"/>
    </row>
    <row r="762" spans="1:11" ht="12.75">
      <c r="A762" s="29"/>
      <c r="K762" s="30"/>
    </row>
    <row r="763" spans="1:11" ht="12.75">
      <c r="A763" s="29"/>
      <c r="K763" s="30"/>
    </row>
    <row r="764" spans="1:11" ht="12.75">
      <c r="A764" s="29"/>
      <c r="K764" s="30"/>
    </row>
    <row r="765" spans="1:11" ht="12.75">
      <c r="A765" s="29"/>
      <c r="K765" s="30"/>
    </row>
    <row r="766" spans="1:11" ht="12.75">
      <c r="A766" s="29"/>
      <c r="K766" s="30"/>
    </row>
    <row r="767" spans="1:11" ht="12.75">
      <c r="A767" s="29"/>
      <c r="K767" s="30"/>
    </row>
    <row r="768" spans="1:11" ht="12.75">
      <c r="A768" s="29"/>
      <c r="K768" s="30"/>
    </row>
    <row r="769" spans="1:11" ht="12.75">
      <c r="A769" s="29"/>
      <c r="K769" s="30"/>
    </row>
    <row r="770" spans="1:11" ht="12.75">
      <c r="A770" s="29"/>
      <c r="K770" s="30"/>
    </row>
    <row r="771" spans="1:11" ht="12.75">
      <c r="A771" s="29"/>
      <c r="K771" s="30"/>
    </row>
    <row r="772" spans="1:11" ht="12.75">
      <c r="A772" s="29"/>
      <c r="K772" s="30"/>
    </row>
    <row r="773" spans="1:11" ht="12.75">
      <c r="A773" s="29"/>
      <c r="K773" s="30"/>
    </row>
    <row r="774" spans="1:11" ht="12.75">
      <c r="A774" s="29"/>
      <c r="K774" s="30"/>
    </row>
    <row r="775" spans="1:11" ht="12.75">
      <c r="A775" s="29"/>
      <c r="K775" s="30"/>
    </row>
    <row r="776" spans="1:11" ht="12.75">
      <c r="A776" s="29"/>
      <c r="K776" s="30"/>
    </row>
    <row r="777" spans="1:11" ht="12.75">
      <c r="A777" s="29"/>
      <c r="K777" s="30"/>
    </row>
    <row r="778" spans="1:11" ht="12.75">
      <c r="A778" s="29"/>
      <c r="K778" s="30"/>
    </row>
    <row r="779" spans="1:11" ht="12.75">
      <c r="A779" s="29"/>
      <c r="K779" s="30"/>
    </row>
    <row r="780" spans="1:11" ht="12.75">
      <c r="A780" s="29"/>
      <c r="K780" s="30"/>
    </row>
    <row r="781" spans="1:11" ht="12.75">
      <c r="A781" s="29"/>
      <c r="K781" s="30"/>
    </row>
    <row r="782" spans="1:11" ht="12.75">
      <c r="A782" s="29"/>
      <c r="K782" s="30"/>
    </row>
    <row r="783" spans="1:11" ht="12.75">
      <c r="A783" s="29"/>
      <c r="K783" s="30"/>
    </row>
    <row r="784" spans="1:11" ht="12.75">
      <c r="A784" s="29"/>
      <c r="K784" s="30"/>
    </row>
    <row r="785" spans="1:11" ht="12.75">
      <c r="A785" s="29"/>
      <c r="K785" s="30"/>
    </row>
    <row r="786" spans="1:11" ht="12.75">
      <c r="A786" s="29"/>
      <c r="K786" s="30"/>
    </row>
    <row r="787" spans="1:11" ht="12.75">
      <c r="A787" s="29"/>
      <c r="K787" s="30"/>
    </row>
    <row r="788" spans="1:11" ht="12.75">
      <c r="A788" s="29"/>
      <c r="K788" s="30"/>
    </row>
    <row r="789" spans="1:11" ht="12.75">
      <c r="A789" s="29"/>
      <c r="K789" s="30"/>
    </row>
    <row r="790" spans="1:11" ht="12.75">
      <c r="A790" s="29"/>
      <c r="K790" s="30"/>
    </row>
    <row r="791" spans="1:11" ht="12.75">
      <c r="A791" s="29"/>
      <c r="K791" s="30"/>
    </row>
    <row r="792" spans="1:11" ht="12.75">
      <c r="A792" s="29"/>
      <c r="K792" s="30"/>
    </row>
    <row r="793" spans="1:11" ht="12.75">
      <c r="A793" s="29"/>
      <c r="K793" s="30"/>
    </row>
    <row r="794" spans="1:11" ht="12.75">
      <c r="A794" s="29"/>
      <c r="K794" s="30"/>
    </row>
    <row r="795" spans="1:11" ht="12.75">
      <c r="A795" s="29"/>
      <c r="K795" s="30"/>
    </row>
    <row r="796" spans="1:11" ht="12.75">
      <c r="A796" s="29"/>
      <c r="K796" s="30"/>
    </row>
    <row r="797" spans="1:11" ht="12.75">
      <c r="A797" s="29"/>
      <c r="K797" s="30"/>
    </row>
    <row r="798" spans="1:11" ht="12.75">
      <c r="A798" s="29"/>
      <c r="K798" s="30"/>
    </row>
    <row r="799" spans="1:11" ht="12.75">
      <c r="A799" s="29"/>
      <c r="K799" s="30"/>
    </row>
    <row r="800" spans="1:11" ht="12.75">
      <c r="A800" s="29"/>
      <c r="K800" s="30"/>
    </row>
    <row r="801" spans="1:11" ht="12.75">
      <c r="A801" s="29"/>
      <c r="K801" s="30"/>
    </row>
    <row r="802" spans="1:11" ht="12.75">
      <c r="A802" s="29"/>
      <c r="K802" s="30"/>
    </row>
    <row r="803" spans="1:11" ht="12.75">
      <c r="A803" s="29"/>
      <c r="K803" s="30"/>
    </row>
    <row r="804" spans="1:11" ht="12.75">
      <c r="A804" s="29"/>
      <c r="K804" s="30"/>
    </row>
    <row r="805" spans="1:11" ht="12.75">
      <c r="A805" s="29"/>
      <c r="K805" s="30"/>
    </row>
    <row r="806" spans="1:11" ht="12.75">
      <c r="A806" s="29"/>
      <c r="K806" s="30"/>
    </row>
    <row r="807" spans="1:11" ht="12.75">
      <c r="A807" s="29"/>
      <c r="K807" s="30"/>
    </row>
    <row r="808" spans="1:11" ht="12.75">
      <c r="A808" s="29"/>
      <c r="K808" s="30"/>
    </row>
    <row r="809" spans="1:11" ht="12.75">
      <c r="A809" s="29"/>
      <c r="K809" s="30"/>
    </row>
    <row r="810" spans="1:11" ht="12.75">
      <c r="A810" s="29"/>
      <c r="K810" s="30"/>
    </row>
    <row r="811" spans="1:11" ht="12.75">
      <c r="A811" s="29"/>
      <c r="K811" s="30"/>
    </row>
    <row r="812" spans="1:11" ht="12.75">
      <c r="A812" s="29"/>
      <c r="K812" s="30"/>
    </row>
    <row r="813" spans="1:11" ht="12.75">
      <c r="A813" s="29"/>
      <c r="K813" s="30"/>
    </row>
    <row r="814" spans="1:11" ht="12.75">
      <c r="A814" s="29"/>
      <c r="K814" s="30"/>
    </row>
    <row r="815" spans="1:11" ht="12.75">
      <c r="A815" s="29"/>
      <c r="K815" s="30"/>
    </row>
    <row r="816" spans="1:11" ht="12.75">
      <c r="A816" s="29"/>
      <c r="K816" s="30"/>
    </row>
    <row r="817" spans="1:11" ht="12.75">
      <c r="A817" s="29"/>
      <c r="K817" s="30"/>
    </row>
    <row r="818" spans="1:11" ht="12.75">
      <c r="A818" s="29"/>
      <c r="K818" s="30"/>
    </row>
    <row r="819" spans="1:11" ht="12.75">
      <c r="A819" s="29"/>
      <c r="K819" s="30"/>
    </row>
    <row r="820" spans="1:11" ht="12.75">
      <c r="A820" s="29"/>
      <c r="K820" s="30"/>
    </row>
    <row r="821" spans="1:11" ht="12.75">
      <c r="A821" s="29"/>
      <c r="K821" s="30"/>
    </row>
    <row r="822" spans="1:11" ht="12.75">
      <c r="A822" s="29"/>
      <c r="K822" s="30"/>
    </row>
    <row r="823" spans="1:11" ht="12.75">
      <c r="A823" s="29"/>
      <c r="K823" s="30"/>
    </row>
    <row r="824" spans="1:11" ht="12.75">
      <c r="A824" s="29"/>
      <c r="K824" s="30"/>
    </row>
    <row r="825" spans="1:11" ht="12.75">
      <c r="A825" s="29"/>
      <c r="K825" s="30"/>
    </row>
    <row r="826" spans="1:11" ht="12.75">
      <c r="A826" s="29"/>
      <c r="K826" s="30"/>
    </row>
    <row r="827" spans="1:11" ht="12.75">
      <c r="A827" s="29"/>
      <c r="K827" s="30"/>
    </row>
    <row r="828" spans="1:11" ht="12.75">
      <c r="A828" s="29"/>
      <c r="K828" s="30"/>
    </row>
    <row r="829" spans="1:11" ht="12.75">
      <c r="A829" s="29"/>
      <c r="K829" s="30"/>
    </row>
    <row r="830" spans="1:11" ht="12.75">
      <c r="A830" s="29"/>
      <c r="K830" s="30"/>
    </row>
    <row r="831" spans="1:11" ht="12.75">
      <c r="A831" s="29"/>
      <c r="K831" s="30"/>
    </row>
    <row r="832" spans="1:11" ht="12.75">
      <c r="A832" s="29"/>
      <c r="K832" s="30"/>
    </row>
    <row r="833" spans="1:11" ht="12.75">
      <c r="A833" s="29"/>
      <c r="K833" s="30"/>
    </row>
    <row r="834" spans="1:11" ht="12.75">
      <c r="A834" s="29"/>
      <c r="K834" s="30"/>
    </row>
    <row r="835" spans="1:11" ht="12.75">
      <c r="A835" s="29"/>
      <c r="K835" s="30"/>
    </row>
    <row r="836" spans="1:11" ht="12.75">
      <c r="A836" s="29"/>
      <c r="K836" s="30"/>
    </row>
    <row r="837" spans="1:11" ht="12.75">
      <c r="A837" s="29"/>
      <c r="K837" s="30"/>
    </row>
    <row r="838" spans="1:11" ht="12.75">
      <c r="A838" s="29"/>
      <c r="K838" s="30"/>
    </row>
    <row r="839" spans="1:11" ht="12.75">
      <c r="A839" s="29"/>
      <c r="K839" s="30"/>
    </row>
    <row r="840" spans="1:11" ht="12.75">
      <c r="A840" s="29"/>
      <c r="K840" s="30"/>
    </row>
    <row r="841" spans="1:11" ht="12.75">
      <c r="A841" s="29"/>
      <c r="K841" s="30"/>
    </row>
    <row r="842" spans="1:11" ht="12.75">
      <c r="A842" s="29"/>
      <c r="K842" s="30"/>
    </row>
    <row r="843" spans="1:11" ht="12.75">
      <c r="A843" s="29"/>
      <c r="K843" s="30"/>
    </row>
    <row r="844" spans="1:11" ht="12.75">
      <c r="A844" s="29"/>
      <c r="K844" s="30"/>
    </row>
    <row r="845" spans="1:11" ht="12.75">
      <c r="A845" s="29"/>
      <c r="K845" s="30"/>
    </row>
    <row r="846" spans="1:11" ht="12.75">
      <c r="A846" s="29"/>
      <c r="K846" s="30"/>
    </row>
    <row r="847" spans="1:11" ht="12.75">
      <c r="A847" s="29"/>
      <c r="K847" s="30"/>
    </row>
    <row r="848" spans="1:11" ht="12.75">
      <c r="A848" s="29"/>
      <c r="K848" s="30"/>
    </row>
    <row r="849" spans="1:11" ht="12.75">
      <c r="A849" s="29"/>
      <c r="K849" s="30"/>
    </row>
    <row r="850" spans="1:11" ht="12.75">
      <c r="A850" s="29"/>
      <c r="K850" s="30"/>
    </row>
    <row r="851" spans="1:11" ht="12.75">
      <c r="A851" s="29"/>
      <c r="K851" s="30"/>
    </row>
    <row r="852" spans="1:11" ht="12.75">
      <c r="A852" s="29"/>
      <c r="K852" s="30"/>
    </row>
    <row r="853" spans="1:11" ht="12.75">
      <c r="A853" s="29"/>
      <c r="K853" s="30"/>
    </row>
    <row r="854" spans="1:11" ht="12.75">
      <c r="A854" s="29"/>
      <c r="K854" s="30"/>
    </row>
    <row r="855" spans="1:11" ht="12.75">
      <c r="A855" s="29"/>
      <c r="K855" s="30"/>
    </row>
    <row r="856" spans="1:11" ht="12.75">
      <c r="A856" s="29"/>
      <c r="K856" s="30"/>
    </row>
    <row r="857" spans="1:11" ht="12.75">
      <c r="A857" s="29"/>
      <c r="K857" s="30"/>
    </row>
    <row r="858" spans="1:11" ht="12.75">
      <c r="A858" s="29"/>
      <c r="K858" s="30"/>
    </row>
    <row r="859" spans="1:11" ht="12.75">
      <c r="A859" s="29"/>
      <c r="K859" s="30"/>
    </row>
    <row r="860" spans="1:11" ht="12.75">
      <c r="A860" s="29"/>
      <c r="K860" s="30"/>
    </row>
    <row r="861" spans="1:11" ht="12.75">
      <c r="A861" s="29"/>
      <c r="K861" s="30"/>
    </row>
    <row r="862" spans="1:11" ht="12.75">
      <c r="A862" s="29"/>
      <c r="K862" s="30"/>
    </row>
    <row r="863" spans="1:11" ht="12.75">
      <c r="A863" s="29"/>
      <c r="K863" s="30"/>
    </row>
    <row r="864" spans="1:11" ht="12.75">
      <c r="A864" s="29"/>
      <c r="K864" s="30"/>
    </row>
    <row r="865" spans="1:11" ht="12.75">
      <c r="A865" s="29"/>
      <c r="K865" s="30"/>
    </row>
    <row r="866" spans="1:11" ht="12.75">
      <c r="A866" s="29"/>
      <c r="K866" s="30"/>
    </row>
    <row r="867" spans="1:11" ht="12.75">
      <c r="A867" s="29"/>
      <c r="K867" s="30"/>
    </row>
    <row r="868" spans="1:11" ht="12.75">
      <c r="A868" s="29"/>
      <c r="K868" s="30"/>
    </row>
    <row r="869" spans="1:11" ht="12.75">
      <c r="A869" s="29"/>
      <c r="K869" s="30"/>
    </row>
    <row r="870" spans="1:11" ht="12.75">
      <c r="A870" s="29"/>
      <c r="K870" s="30"/>
    </row>
    <row r="871" spans="1:11" ht="12.75">
      <c r="A871" s="29"/>
      <c r="K871" s="30"/>
    </row>
    <row r="872" spans="1:11" ht="12.75">
      <c r="A872" s="29"/>
      <c r="K872" s="30"/>
    </row>
    <row r="873" spans="1:11" ht="12.75">
      <c r="A873" s="29"/>
      <c r="K873" s="30"/>
    </row>
    <row r="874" spans="1:11" ht="12.75">
      <c r="A874" s="29"/>
      <c r="K874" s="30"/>
    </row>
    <row r="875" spans="1:11" ht="12.75">
      <c r="A875" s="29"/>
      <c r="K875" s="30"/>
    </row>
    <row r="876" spans="1:11" ht="12.75">
      <c r="A876" s="29"/>
      <c r="K876" s="30"/>
    </row>
    <row r="877" spans="1:11" ht="12.75">
      <c r="A877" s="29"/>
      <c r="K877" s="30"/>
    </row>
    <row r="878" spans="1:11" ht="12.75">
      <c r="A878" s="29"/>
      <c r="K878" s="30"/>
    </row>
    <row r="879" spans="1:11" ht="12.75">
      <c r="A879" s="29"/>
      <c r="K879" s="30"/>
    </row>
    <row r="880" spans="1:11" ht="12.75">
      <c r="A880" s="29"/>
      <c r="K880" s="30"/>
    </row>
    <row r="881" spans="1:11" ht="12.75">
      <c r="A881" s="29"/>
      <c r="K881" s="30"/>
    </row>
    <row r="882" spans="1:11" ht="12.75">
      <c r="A882" s="29"/>
      <c r="K882" s="30"/>
    </row>
    <row r="883" spans="1:11" ht="12.75">
      <c r="A883" s="29"/>
      <c r="K883" s="30"/>
    </row>
    <row r="884" spans="1:11" ht="12.75">
      <c r="A884" s="29"/>
      <c r="K884" s="30"/>
    </row>
    <row r="885" spans="1:11" ht="12.75">
      <c r="A885" s="29"/>
      <c r="K885" s="30"/>
    </row>
    <row r="886" spans="1:11" ht="12.75">
      <c r="A886" s="29"/>
      <c r="K886" s="30"/>
    </row>
    <row r="887" spans="1:11" ht="12.75">
      <c r="A887" s="29"/>
      <c r="K887" s="30"/>
    </row>
    <row r="888" spans="1:11" ht="12.75">
      <c r="A888" s="29"/>
      <c r="K888" s="30"/>
    </row>
    <row r="889" spans="1:11" ht="12.75">
      <c r="A889" s="29"/>
      <c r="K889" s="30"/>
    </row>
    <row r="890" spans="1:11" ht="12.75">
      <c r="A890" s="29"/>
      <c r="K890" s="30"/>
    </row>
    <row r="891" spans="1:11" ht="12.75">
      <c r="A891" s="29"/>
      <c r="K891" s="30"/>
    </row>
    <row r="892" spans="1:11" ht="12.75">
      <c r="A892" s="29"/>
      <c r="K892" s="30"/>
    </row>
    <row r="893" spans="1:11" ht="12.75">
      <c r="A893" s="29"/>
      <c r="K893" s="30"/>
    </row>
    <row r="894" spans="1:11" ht="12.75">
      <c r="A894" s="29"/>
      <c r="K894" s="30"/>
    </row>
    <row r="895" spans="1:11" ht="12.75">
      <c r="A895" s="29"/>
      <c r="K895" s="30"/>
    </row>
    <row r="896" spans="1:11" ht="12.75">
      <c r="A896" s="29"/>
      <c r="K896" s="30"/>
    </row>
    <row r="897" spans="1:11" ht="12.75">
      <c r="A897" s="29"/>
      <c r="K897" s="30"/>
    </row>
    <row r="898" spans="1:11" ht="12.75">
      <c r="A898" s="29"/>
      <c r="K898" s="30"/>
    </row>
    <row r="899" spans="1:11" ht="12.75">
      <c r="A899" s="29"/>
      <c r="K899" s="30"/>
    </row>
    <row r="900" spans="1:11" ht="12.75">
      <c r="A900" s="29"/>
      <c r="K900" s="30"/>
    </row>
    <row r="901" spans="1:11" ht="12.75">
      <c r="A901" s="29"/>
      <c r="K901" s="30"/>
    </row>
    <row r="902" spans="1:11" ht="12.75">
      <c r="A902" s="29"/>
      <c r="K902" s="30"/>
    </row>
    <row r="903" spans="1:11" ht="12.75">
      <c r="A903" s="29"/>
      <c r="K903" s="30"/>
    </row>
    <row r="904" spans="1:11" ht="12.75">
      <c r="A904" s="29"/>
      <c r="K904" s="30"/>
    </row>
    <row r="905" spans="1:11" ht="12.75">
      <c r="A905" s="29"/>
      <c r="K905" s="30"/>
    </row>
    <row r="906" spans="1:11" ht="12.75">
      <c r="A906" s="29"/>
      <c r="K906" s="30"/>
    </row>
    <row r="907" spans="1:11" ht="12.75">
      <c r="A907" s="29"/>
      <c r="K907" s="30"/>
    </row>
    <row r="908" spans="1:11" ht="12.75">
      <c r="A908" s="29"/>
      <c r="K908" s="30"/>
    </row>
    <row r="909" spans="1:11" ht="12.75">
      <c r="A909" s="29"/>
      <c r="K909" s="30"/>
    </row>
    <row r="910" spans="1:11" ht="12.75">
      <c r="A910" s="29"/>
      <c r="K910" s="30"/>
    </row>
    <row r="911" spans="1:11" ht="12.75">
      <c r="A911" s="29"/>
      <c r="K911" s="30"/>
    </row>
    <row r="912" spans="1:11" ht="12.75">
      <c r="A912" s="29"/>
      <c r="K912" s="30"/>
    </row>
    <row r="913" spans="1:11" ht="12.75">
      <c r="A913" s="29"/>
      <c r="K913" s="30"/>
    </row>
    <row r="914" spans="1:11" ht="12.75">
      <c r="A914" s="29"/>
      <c r="K914" s="30"/>
    </row>
    <row r="915" spans="1:11" ht="12.75">
      <c r="A915" s="29"/>
      <c r="K915" s="30"/>
    </row>
    <row r="916" spans="1:11" ht="12.75">
      <c r="A916" s="29"/>
      <c r="K916" s="30"/>
    </row>
    <row r="917" spans="1:11" ht="12.75">
      <c r="A917" s="29"/>
      <c r="K917" s="30"/>
    </row>
    <row r="918" spans="1:11" ht="12.75">
      <c r="A918" s="29"/>
      <c r="K918" s="30"/>
    </row>
    <row r="919" spans="1:11" ht="12.75">
      <c r="A919" s="29"/>
      <c r="K919" s="30"/>
    </row>
    <row r="920" spans="1:11" ht="12.75">
      <c r="A920" s="29"/>
      <c r="K920" s="30"/>
    </row>
    <row r="921" spans="1:11" ht="12.75">
      <c r="A921" s="29"/>
      <c r="K921" s="30"/>
    </row>
    <row r="922" spans="1:11" ht="12.75">
      <c r="A922" s="29"/>
      <c r="K922" s="30"/>
    </row>
    <row r="923" spans="1:11" ht="12.75">
      <c r="A923" s="29"/>
      <c r="K923" s="30"/>
    </row>
    <row r="924" spans="1:11" ht="12.75">
      <c r="A924" s="29"/>
      <c r="K924" s="30"/>
    </row>
    <row r="925" spans="1:11" ht="12.75">
      <c r="A925" s="29"/>
      <c r="K925" s="30"/>
    </row>
    <row r="926" spans="1:11" ht="12.75">
      <c r="A926" s="29"/>
      <c r="K926" s="30"/>
    </row>
    <row r="927" spans="1:11" ht="12.75">
      <c r="A927" s="29"/>
      <c r="K927" s="30"/>
    </row>
    <row r="928" spans="1:11" ht="12.75">
      <c r="A928" s="29"/>
      <c r="K928" s="30"/>
    </row>
    <row r="929" spans="1:11" ht="12.75">
      <c r="A929" s="29"/>
      <c r="K929" s="30"/>
    </row>
    <row r="930" spans="1:11" ht="12.75">
      <c r="A930" s="29"/>
      <c r="K930" s="30"/>
    </row>
    <row r="931" spans="1:11" ht="12.75">
      <c r="A931" s="29"/>
      <c r="K931" s="30"/>
    </row>
    <row r="932" spans="1:11" ht="12.75">
      <c r="A932" s="29"/>
      <c r="K932" s="30"/>
    </row>
    <row r="933" spans="1:11" ht="12.75">
      <c r="A933" s="29"/>
      <c r="K933" s="30"/>
    </row>
    <row r="934" spans="1:11" ht="12.75">
      <c r="A934" s="29"/>
      <c r="K934" s="30"/>
    </row>
    <row r="935" spans="1:11" ht="12.75">
      <c r="A935" s="29"/>
      <c r="K935" s="30"/>
    </row>
    <row r="936" spans="1:11" ht="12.75">
      <c r="A936" s="29"/>
      <c r="K936" s="30"/>
    </row>
    <row r="937" spans="1:11" ht="12.75">
      <c r="A937" s="29"/>
      <c r="K937" s="30"/>
    </row>
    <row r="938" spans="1:11" ht="12.75">
      <c r="A938" s="29"/>
      <c r="K938" s="30"/>
    </row>
    <row r="939" spans="1:11" ht="12.75">
      <c r="A939" s="29"/>
      <c r="K939" s="30"/>
    </row>
    <row r="940" spans="1:11" ht="12.75">
      <c r="A940" s="29"/>
      <c r="K940" s="30"/>
    </row>
    <row r="941" spans="1:11" ht="12.75">
      <c r="A941" s="29"/>
      <c r="K941" s="30"/>
    </row>
    <row r="942" spans="1:11" ht="12.75">
      <c r="A942" s="29"/>
      <c r="K942" s="30"/>
    </row>
    <row r="943" spans="1:11" ht="12.75">
      <c r="A943" s="29"/>
      <c r="K943" s="30"/>
    </row>
    <row r="944" spans="1:11" ht="12.75">
      <c r="A944" s="29"/>
      <c r="K944" s="30"/>
    </row>
    <row r="945" spans="1:11" ht="12.75">
      <c r="A945" s="29"/>
      <c r="K945" s="30"/>
    </row>
    <row r="946" spans="1:11" ht="12.75">
      <c r="A946" s="29"/>
      <c r="K946" s="30"/>
    </row>
    <row r="947" spans="1:11" ht="12.75">
      <c r="A947" s="29"/>
      <c r="K947" s="30"/>
    </row>
    <row r="948" spans="1:11" ht="12.75">
      <c r="A948" s="29"/>
      <c r="K948" s="30"/>
    </row>
    <row r="949" spans="1:11" ht="12.75">
      <c r="A949" s="29"/>
      <c r="K949" s="30"/>
    </row>
    <row r="950" spans="1:11" ht="12.75">
      <c r="A950" s="29"/>
      <c r="K950" s="30"/>
    </row>
    <row r="951" spans="1:11" ht="12.75">
      <c r="A951" s="29"/>
      <c r="K951" s="30"/>
    </row>
    <row r="952" spans="1:11" ht="12.75">
      <c r="A952" s="29"/>
      <c r="K952" s="30"/>
    </row>
    <row r="953" spans="1:11" ht="12.75">
      <c r="A953" s="29"/>
      <c r="K953" s="30"/>
    </row>
    <row r="954" spans="1:11" ht="12.75">
      <c r="A954" s="29"/>
      <c r="K954" s="30"/>
    </row>
    <row r="955" spans="1:11" ht="12.75">
      <c r="A955" s="29"/>
      <c r="K955" s="30"/>
    </row>
    <row r="956" spans="1:11" ht="12.75">
      <c r="A956" s="29"/>
      <c r="K956" s="30"/>
    </row>
    <row r="957" spans="1:11" ht="12.75">
      <c r="A957" s="29"/>
      <c r="K957" s="30"/>
    </row>
    <row r="958" spans="1:11" ht="12.75">
      <c r="A958" s="29"/>
      <c r="K958" s="30"/>
    </row>
    <row r="959" spans="1:11" ht="12.75">
      <c r="A959" s="29"/>
      <c r="K959" s="30"/>
    </row>
    <row r="960" spans="1:11" ht="12.75">
      <c r="A960" s="29"/>
      <c r="K960" s="30"/>
    </row>
    <row r="961" spans="1:11" ht="12.75">
      <c r="A961" s="29"/>
      <c r="K961" s="30"/>
    </row>
    <row r="962" spans="1:11" ht="12.75">
      <c r="A962" s="29"/>
      <c r="K962" s="30"/>
    </row>
    <row r="963" spans="1:11" ht="12.75">
      <c r="A963" s="29"/>
      <c r="K963" s="30"/>
    </row>
    <row r="964" spans="1:11" ht="12.75">
      <c r="A964" s="29"/>
      <c r="K964" s="30"/>
    </row>
    <row r="965" spans="1:11" ht="12.75">
      <c r="A965" s="29"/>
      <c r="K965" s="30"/>
    </row>
    <row r="966" spans="1:11" ht="12.75">
      <c r="A966" s="29"/>
      <c r="K966" s="30"/>
    </row>
    <row r="967" spans="1:11" ht="12.75">
      <c r="A967" s="29"/>
      <c r="K967" s="30"/>
    </row>
    <row r="968" spans="1:11" ht="12.75">
      <c r="A968" s="29"/>
      <c r="K968" s="30"/>
    </row>
    <row r="969" spans="1:11" ht="12.75">
      <c r="A969" s="29"/>
      <c r="K969" s="30"/>
    </row>
    <row r="970" spans="1:11" ht="12.75">
      <c r="A970" s="29"/>
      <c r="K970" s="30"/>
    </row>
    <row r="971" spans="1:11" ht="12.75">
      <c r="A971" s="29"/>
      <c r="K971" s="30"/>
    </row>
    <row r="972" spans="1:11" ht="12.75">
      <c r="A972" s="29"/>
      <c r="K972" s="30"/>
    </row>
    <row r="973" spans="1:11" ht="12.75">
      <c r="A973" s="29"/>
      <c r="K973" s="30"/>
    </row>
    <row r="974" spans="1:11" ht="12.75">
      <c r="A974" s="29"/>
      <c r="K974" s="30"/>
    </row>
    <row r="975" spans="1:11" ht="12.75">
      <c r="A975" s="29"/>
      <c r="K975" s="30"/>
    </row>
    <row r="976" spans="1:11" ht="12.75">
      <c r="A976" s="29"/>
      <c r="K976" s="30"/>
    </row>
    <row r="977" spans="1:11" ht="12.75">
      <c r="A977" s="29"/>
      <c r="K977" s="30"/>
    </row>
    <row r="978" spans="1:11" ht="12.75">
      <c r="A978" s="29"/>
      <c r="K978" s="30"/>
    </row>
    <row r="979" spans="1:11" ht="12.75">
      <c r="A979" s="29"/>
      <c r="K979" s="30"/>
    </row>
    <row r="980" spans="1:11" ht="12.75">
      <c r="A980" s="29"/>
      <c r="K980" s="30"/>
    </row>
    <row r="981" spans="1:11" ht="12.75">
      <c r="A981" s="29"/>
      <c r="K981" s="30"/>
    </row>
    <row r="982" spans="1:11" ht="12.75">
      <c r="A982" s="29"/>
      <c r="K982" s="30"/>
    </row>
    <row r="983" spans="1:11" ht="12.75">
      <c r="A983" s="29"/>
      <c r="K983" s="30"/>
    </row>
    <row r="984" spans="1:11" ht="12.75">
      <c r="A984" s="29"/>
      <c r="K984" s="30"/>
    </row>
    <row r="985" spans="1:11" ht="12.75">
      <c r="A985" s="29"/>
      <c r="K985" s="30"/>
    </row>
    <row r="986" spans="1:11" ht="12.75">
      <c r="A986" s="29"/>
      <c r="K986" s="30"/>
    </row>
    <row r="987" spans="1:11" ht="12.75">
      <c r="A987" s="29"/>
      <c r="K987" s="30"/>
    </row>
    <row r="988" spans="1:11" ht="12.75">
      <c r="A988" s="29"/>
      <c r="K988" s="30"/>
    </row>
    <row r="989" spans="1:11" ht="12.75">
      <c r="A989" s="29"/>
      <c r="K989" s="30"/>
    </row>
    <row r="990" spans="1:11" ht="12.75">
      <c r="A990" s="29"/>
      <c r="K990" s="30"/>
    </row>
    <row r="991" spans="1:11" ht="12.75">
      <c r="A991" s="29"/>
      <c r="K991" s="30"/>
    </row>
    <row r="992" spans="1:11" ht="12.75">
      <c r="A992" s="29"/>
      <c r="K992" s="30"/>
    </row>
    <row r="993" spans="1:11" ht="12.75">
      <c r="A993" s="29"/>
      <c r="K993" s="30"/>
    </row>
    <row r="994" spans="1:11" ht="12.75">
      <c r="A994" s="29"/>
      <c r="K994" s="30"/>
    </row>
    <row r="995" spans="1:11" ht="12.75">
      <c r="A995" s="29"/>
      <c r="K995" s="30"/>
    </row>
    <row r="996" spans="1:11" ht="12.75">
      <c r="A996" s="29"/>
      <c r="K996" s="30"/>
    </row>
    <row r="997" spans="1:11" ht="12.75">
      <c r="A997" s="29"/>
      <c r="K997" s="30"/>
    </row>
    <row r="998" spans="1:11" ht="12.75">
      <c r="A998" s="29"/>
      <c r="K998" s="30"/>
    </row>
    <row r="999" spans="1:11" ht="12.75">
      <c r="A999" s="29"/>
      <c r="K999" s="30"/>
    </row>
    <row r="1000" spans="1:11" ht="12.75">
      <c r="A1000" s="29"/>
      <c r="K1000" s="30"/>
    </row>
  </sheetData>
  <autoFilter ref="A1:K3" xr:uid="{00000000-0009-0000-0000-000001000000}"/>
  <conditionalFormatting sqref="J2:J32">
    <cfRule type="containsText" dxfId="31" priority="1" operator="containsText" text="Chưa hỗ trợ">
      <formula>NOT(ISERROR(SEARCH(("Chưa hỗ trợ"),(J2))))</formula>
    </cfRule>
    <cfRule type="containsText" dxfId="30" priority="2" operator="containsText" text="Đã hỗ trợ xong">
      <formula>NOT(ISERROR(SEARCH(("Đã hỗ trợ xong"),(J2))))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277"/>
  <sheetViews>
    <sheetView workbookViewId="0"/>
  </sheetViews>
  <sheetFormatPr defaultColWidth="12.7109375" defaultRowHeight="15" customHeight="1"/>
  <cols>
    <col min="1" max="1" width="28" customWidth="1"/>
    <col min="15" max="15" width="24.7109375" customWidth="1"/>
  </cols>
  <sheetData>
    <row r="1" spans="1:15" ht="15" customHeight="1">
      <c r="A1" s="31" t="s">
        <v>30</v>
      </c>
      <c r="B1" s="31" t="s">
        <v>31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/>
    </row>
    <row r="2" spans="1:15" ht="15" customHeight="1">
      <c r="A2" s="32" t="s">
        <v>43</v>
      </c>
      <c r="B2" s="32" t="s">
        <v>44</v>
      </c>
      <c r="C2" s="33">
        <v>46037</v>
      </c>
      <c r="D2" s="32">
        <v>914163199</v>
      </c>
      <c r="E2" s="32">
        <v>467432229</v>
      </c>
      <c r="F2" s="32" t="s">
        <v>45</v>
      </c>
      <c r="G2" s="32" t="s">
        <v>46</v>
      </c>
      <c r="H2" s="32" t="s">
        <v>18</v>
      </c>
      <c r="I2" s="32">
        <v>739.10699999999997</v>
      </c>
      <c r="J2" s="32">
        <v>88.204999999999998</v>
      </c>
      <c r="K2" s="32" t="b">
        <v>1</v>
      </c>
      <c r="L2" s="32" t="s">
        <v>47</v>
      </c>
      <c r="M2" s="32" t="s">
        <v>48</v>
      </c>
      <c r="N2" s="34">
        <v>46062</v>
      </c>
      <c r="O2" s="35" t="str">
        <f t="shared" ref="O2:O256" si="0">LEFT(A2, LEN(A2) - 4)</f>
        <v>Trương Đình Lợi</v>
      </c>
    </row>
    <row r="3" spans="1:15" ht="15" customHeight="1">
      <c r="A3" s="32" t="s">
        <v>49</v>
      </c>
      <c r="B3" s="32" t="s">
        <v>44</v>
      </c>
      <c r="C3" s="33">
        <v>46037</v>
      </c>
      <c r="D3" s="32">
        <v>828926567</v>
      </c>
      <c r="E3" s="32">
        <v>493854272</v>
      </c>
      <c r="F3" s="32" t="s">
        <v>50</v>
      </c>
      <c r="G3" s="32" t="s">
        <v>46</v>
      </c>
      <c r="H3" s="32" t="s">
        <v>51</v>
      </c>
      <c r="I3" s="32">
        <v>812.70299999999997</v>
      </c>
      <c r="J3" s="32">
        <v>161.881</v>
      </c>
      <c r="K3" s="32" t="b">
        <v>0</v>
      </c>
      <c r="L3" s="32" t="s">
        <v>47</v>
      </c>
      <c r="M3" s="32" t="s">
        <v>48</v>
      </c>
      <c r="N3" s="34">
        <v>46156</v>
      </c>
      <c r="O3" s="35" t="str">
        <f t="shared" si="0"/>
        <v>Phạm Nguyễn Quang Huy</v>
      </c>
    </row>
    <row r="4" spans="1:15" ht="15" customHeight="1">
      <c r="A4" s="32" t="s">
        <v>49</v>
      </c>
      <c r="B4" s="32" t="s">
        <v>44</v>
      </c>
      <c r="C4" s="33">
        <v>46037</v>
      </c>
      <c r="D4" s="32">
        <v>947245878</v>
      </c>
      <c r="E4" s="32">
        <v>493854272</v>
      </c>
      <c r="F4" s="32" t="s">
        <v>50</v>
      </c>
      <c r="G4" s="32" t="s">
        <v>46</v>
      </c>
      <c r="H4" s="32" t="s">
        <v>51</v>
      </c>
      <c r="I4" s="32">
        <v>812.70299999999997</v>
      </c>
      <c r="J4" s="32">
        <v>161.881</v>
      </c>
      <c r="K4" s="32" t="b">
        <v>0</v>
      </c>
      <c r="L4" s="32" t="s">
        <v>47</v>
      </c>
      <c r="M4" s="32" t="s">
        <v>48</v>
      </c>
      <c r="N4" s="34">
        <v>46156</v>
      </c>
      <c r="O4" s="35" t="str">
        <f t="shared" si="0"/>
        <v>Phạm Nguyễn Quang Huy</v>
      </c>
    </row>
    <row r="5" spans="1:15" ht="15" customHeight="1">
      <c r="A5" s="32" t="s">
        <v>52</v>
      </c>
      <c r="B5" s="32" t="s">
        <v>44</v>
      </c>
      <c r="C5" s="33">
        <v>46037</v>
      </c>
      <c r="D5" s="32">
        <v>915282271</v>
      </c>
      <c r="E5" s="32">
        <v>437354149</v>
      </c>
      <c r="F5" s="32" t="s">
        <v>53</v>
      </c>
      <c r="G5" s="32" t="s">
        <v>46</v>
      </c>
      <c r="H5" s="32" t="s">
        <v>51</v>
      </c>
      <c r="I5" s="32">
        <v>90.274000000000001</v>
      </c>
      <c r="J5" s="32">
        <v>53.295999999999999</v>
      </c>
      <c r="K5" s="32" t="b">
        <v>1</v>
      </c>
      <c r="L5" s="32" t="s">
        <v>47</v>
      </c>
      <c r="M5" s="32" t="s">
        <v>48</v>
      </c>
      <c r="N5" s="34">
        <v>46145</v>
      </c>
      <c r="O5" s="35" t="str">
        <f t="shared" si="0"/>
        <v>Nguyễn Hoàng Tuấn</v>
      </c>
    </row>
    <row r="6" spans="1:15" ht="15" customHeight="1">
      <c r="A6" s="32" t="s">
        <v>52</v>
      </c>
      <c r="B6" s="32" t="s">
        <v>44</v>
      </c>
      <c r="C6" s="33">
        <v>46037</v>
      </c>
      <c r="D6" s="32">
        <v>915282271</v>
      </c>
      <c r="E6" s="32">
        <v>437354149</v>
      </c>
      <c r="F6" s="32" t="s">
        <v>53</v>
      </c>
      <c r="G6" s="32" t="s">
        <v>46</v>
      </c>
      <c r="H6" s="32" t="s">
        <v>51</v>
      </c>
      <c r="I6" s="32">
        <v>90.274000000000001</v>
      </c>
      <c r="J6" s="32">
        <v>53.295999999999999</v>
      </c>
      <c r="K6" s="32" t="b">
        <v>1</v>
      </c>
      <c r="L6" s="32" t="s">
        <v>47</v>
      </c>
      <c r="M6" s="32" t="s">
        <v>48</v>
      </c>
      <c r="N6" s="34">
        <v>46145</v>
      </c>
      <c r="O6" s="35" t="str">
        <f t="shared" si="0"/>
        <v>Nguyễn Hoàng Tuấn</v>
      </c>
    </row>
    <row r="7" spans="1:15" ht="15" customHeight="1">
      <c r="A7" s="32" t="s">
        <v>54</v>
      </c>
      <c r="B7" s="32" t="s">
        <v>44</v>
      </c>
      <c r="C7" s="33">
        <v>46037</v>
      </c>
      <c r="D7" s="32">
        <v>948557338</v>
      </c>
      <c r="E7" s="32">
        <v>515291346</v>
      </c>
      <c r="F7" s="32" t="s">
        <v>55</v>
      </c>
      <c r="G7" s="32" t="s">
        <v>46</v>
      </c>
      <c r="H7" s="32" t="s">
        <v>51</v>
      </c>
      <c r="I7" s="32">
        <v>881.22500000000002</v>
      </c>
      <c r="J7" s="32">
        <v>68.957999999999998</v>
      </c>
      <c r="K7" s="32" t="b">
        <v>1</v>
      </c>
      <c r="L7" s="32" t="s">
        <v>47</v>
      </c>
      <c r="M7" s="32" t="s">
        <v>48</v>
      </c>
      <c r="N7" s="34">
        <v>46192</v>
      </c>
      <c r="O7" s="35" t="str">
        <f t="shared" si="0"/>
        <v>Hồ Chí Linh</v>
      </c>
    </row>
    <row r="8" spans="1:15" ht="15" customHeight="1">
      <c r="A8" s="32" t="s">
        <v>56</v>
      </c>
      <c r="B8" s="32" t="s">
        <v>44</v>
      </c>
      <c r="C8" s="33">
        <v>46037</v>
      </c>
      <c r="D8" s="32">
        <v>918606989</v>
      </c>
      <c r="E8" s="32">
        <v>438163315</v>
      </c>
      <c r="F8" s="32" t="s">
        <v>57</v>
      </c>
      <c r="G8" s="32" t="s">
        <v>46</v>
      </c>
      <c r="H8" s="32" t="s">
        <v>58</v>
      </c>
      <c r="I8" s="32">
        <v>33.384999999999998</v>
      </c>
      <c r="J8" s="32">
        <v>21.106000000000002</v>
      </c>
      <c r="K8" s="32" t="b">
        <v>0</v>
      </c>
      <c r="L8" s="32" t="s">
        <v>47</v>
      </c>
      <c r="M8" s="32" t="s">
        <v>48</v>
      </c>
      <c r="N8" s="34">
        <v>46026</v>
      </c>
      <c r="O8" s="35" t="str">
        <f t="shared" si="0"/>
        <v>Đinh Phú Trung</v>
      </c>
    </row>
    <row r="9" spans="1:15" ht="15" customHeight="1">
      <c r="A9" s="32" t="s">
        <v>56</v>
      </c>
      <c r="B9" s="32" t="s">
        <v>44</v>
      </c>
      <c r="C9" s="33">
        <v>46037</v>
      </c>
      <c r="D9" s="32">
        <v>918606989</v>
      </c>
      <c r="E9" s="32">
        <v>438163315</v>
      </c>
      <c r="F9" s="32" t="s">
        <v>57</v>
      </c>
      <c r="G9" s="32" t="s">
        <v>46</v>
      </c>
      <c r="H9" s="32" t="s">
        <v>58</v>
      </c>
      <c r="I9" s="32">
        <v>33.384999999999998</v>
      </c>
      <c r="J9" s="32">
        <v>21.106000000000002</v>
      </c>
      <c r="K9" s="32" t="b">
        <v>0</v>
      </c>
      <c r="L9" s="32" t="s">
        <v>47</v>
      </c>
      <c r="M9" s="32" t="s">
        <v>48</v>
      </c>
      <c r="N9" s="34">
        <v>46026</v>
      </c>
      <c r="O9" s="35" t="str">
        <f t="shared" si="0"/>
        <v>Đinh Phú Trung</v>
      </c>
    </row>
    <row r="10" spans="1:15" ht="15" customHeight="1">
      <c r="A10" s="32" t="s">
        <v>59</v>
      </c>
      <c r="B10" s="32" t="s">
        <v>44</v>
      </c>
      <c r="C10" s="33">
        <v>46037</v>
      </c>
      <c r="D10" s="32">
        <v>918278345</v>
      </c>
      <c r="E10" s="32">
        <v>511526722</v>
      </c>
      <c r="F10" s="32" t="s">
        <v>60</v>
      </c>
      <c r="G10" s="32" t="s">
        <v>46</v>
      </c>
      <c r="H10" s="32" t="s">
        <v>58</v>
      </c>
      <c r="I10" s="32">
        <v>47.502000000000002</v>
      </c>
      <c r="J10" s="32">
        <v>5.6989999999999998</v>
      </c>
      <c r="K10" s="32" t="b">
        <v>1</v>
      </c>
      <c r="L10" s="32" t="s">
        <v>47</v>
      </c>
      <c r="M10" s="32" t="s">
        <v>48</v>
      </c>
      <c r="N10" s="34">
        <v>46027</v>
      </c>
      <c r="O10" s="35" t="str">
        <f t="shared" si="0"/>
        <v>Trịnh Minh Trí</v>
      </c>
    </row>
    <row r="11" spans="1:15" ht="15" customHeight="1">
      <c r="A11" s="32" t="s">
        <v>61</v>
      </c>
      <c r="B11" s="32" t="s">
        <v>44</v>
      </c>
      <c r="C11" s="33">
        <v>46037</v>
      </c>
      <c r="D11" s="32">
        <v>949786476</v>
      </c>
      <c r="E11" s="32">
        <v>514815800</v>
      </c>
      <c r="F11" s="32" t="s">
        <v>62</v>
      </c>
      <c r="G11" s="32" t="s">
        <v>46</v>
      </c>
      <c r="H11" s="32" t="s">
        <v>58</v>
      </c>
      <c r="I11" s="32">
        <v>89.406999999999996</v>
      </c>
      <c r="J11" s="32">
        <v>43.323999999999998</v>
      </c>
      <c r="K11" s="32" t="b">
        <v>1</v>
      </c>
      <c r="L11" s="32" t="s">
        <v>63</v>
      </c>
      <c r="M11" s="32" t="s">
        <v>48</v>
      </c>
      <c r="N11" s="34">
        <v>46246</v>
      </c>
      <c r="O11" s="35" t="str">
        <f t="shared" si="0"/>
        <v>Đặng Ngọc Sơn</v>
      </c>
    </row>
    <row r="12" spans="1:15" ht="15" customHeight="1">
      <c r="A12" s="32" t="s">
        <v>64</v>
      </c>
      <c r="B12" s="32" t="s">
        <v>44</v>
      </c>
      <c r="C12" s="33">
        <v>46037</v>
      </c>
      <c r="D12" s="32">
        <v>917769763</v>
      </c>
      <c r="E12" s="32">
        <v>297808089</v>
      </c>
      <c r="F12" s="32" t="s">
        <v>65</v>
      </c>
      <c r="G12" s="32" t="s">
        <v>46</v>
      </c>
      <c r="H12" s="32" t="s">
        <v>58</v>
      </c>
      <c r="I12" s="32">
        <v>63.557000000000002</v>
      </c>
      <c r="J12" s="32">
        <v>35.383000000000003</v>
      </c>
      <c r="K12" s="32" t="b">
        <v>1</v>
      </c>
      <c r="L12" s="32" t="s">
        <v>47</v>
      </c>
      <c r="M12" s="32" t="s">
        <v>63</v>
      </c>
      <c r="N12" s="34">
        <v>46085</v>
      </c>
      <c r="O12" s="35" t="str">
        <f t="shared" si="0"/>
        <v>Đỗ Tấn Phát</v>
      </c>
    </row>
    <row r="13" spans="1:15" ht="15" customHeight="1">
      <c r="A13" s="32" t="s">
        <v>66</v>
      </c>
      <c r="B13" s="32" t="s">
        <v>44</v>
      </c>
      <c r="C13" s="33">
        <v>46037</v>
      </c>
      <c r="D13" s="32">
        <v>944653959</v>
      </c>
      <c r="E13" s="32">
        <v>503405277</v>
      </c>
      <c r="F13" s="32"/>
      <c r="G13" s="32" t="s">
        <v>46</v>
      </c>
      <c r="H13" s="32" t="s">
        <v>51</v>
      </c>
      <c r="I13" s="32">
        <v>116.735</v>
      </c>
      <c r="J13" s="32">
        <v>23.001000000000001</v>
      </c>
      <c r="K13" s="32" t="b">
        <v>0</v>
      </c>
      <c r="L13" s="32" t="s">
        <v>63</v>
      </c>
      <c r="M13" s="32" t="s">
        <v>48</v>
      </c>
      <c r="N13" s="34">
        <v>46027</v>
      </c>
      <c r="O13" s="35" t="str">
        <f t="shared" si="0"/>
        <v>Nguyễn Quang Trực</v>
      </c>
    </row>
    <row r="14" spans="1:15" ht="15" customHeight="1">
      <c r="A14" s="32" t="s">
        <v>59</v>
      </c>
      <c r="B14" s="32" t="s">
        <v>44</v>
      </c>
      <c r="C14" s="33">
        <v>46037</v>
      </c>
      <c r="D14" s="32">
        <v>918278345</v>
      </c>
      <c r="E14" s="32">
        <v>511526722</v>
      </c>
      <c r="F14" s="32" t="s">
        <v>60</v>
      </c>
      <c r="G14" s="32" t="s">
        <v>46</v>
      </c>
      <c r="H14" s="32" t="s">
        <v>58</v>
      </c>
      <c r="I14" s="32">
        <v>71.233999999999995</v>
      </c>
      <c r="J14" s="32">
        <v>40.429000000000002</v>
      </c>
      <c r="K14" s="32" t="b">
        <v>1</v>
      </c>
      <c r="L14" s="32" t="s">
        <v>47</v>
      </c>
      <c r="M14" s="32" t="s">
        <v>48</v>
      </c>
      <c r="N14" s="34">
        <v>46085</v>
      </c>
      <c r="O14" s="35" t="str">
        <f t="shared" si="0"/>
        <v>Trịnh Minh Trí</v>
      </c>
    </row>
    <row r="15" spans="1:15" ht="15" customHeight="1">
      <c r="A15" s="32" t="s">
        <v>59</v>
      </c>
      <c r="B15" s="32" t="s">
        <v>44</v>
      </c>
      <c r="C15" s="33">
        <v>46037</v>
      </c>
      <c r="D15" s="32">
        <v>918278345</v>
      </c>
      <c r="E15" s="32">
        <v>511526722</v>
      </c>
      <c r="F15" s="32" t="s">
        <v>60</v>
      </c>
      <c r="G15" s="32" t="s">
        <v>46</v>
      </c>
      <c r="H15" s="32" t="s">
        <v>58</v>
      </c>
      <c r="I15" s="32">
        <v>75.284000000000006</v>
      </c>
      <c r="J15" s="32">
        <v>41.918999999999997</v>
      </c>
      <c r="K15" s="32" t="b">
        <v>1</v>
      </c>
      <c r="L15" s="32" t="s">
        <v>47</v>
      </c>
      <c r="M15" s="32" t="s">
        <v>48</v>
      </c>
      <c r="N15" s="32" t="s">
        <v>67</v>
      </c>
      <c r="O15" s="35" t="str">
        <f t="shared" si="0"/>
        <v>Trịnh Minh Trí</v>
      </c>
    </row>
    <row r="16" spans="1:15" ht="15" customHeight="1">
      <c r="A16" s="32" t="s">
        <v>68</v>
      </c>
      <c r="B16" s="32" t="s">
        <v>44</v>
      </c>
      <c r="C16" s="33">
        <v>46037</v>
      </c>
      <c r="D16" s="32">
        <v>918616787</v>
      </c>
      <c r="E16" s="32">
        <v>302371366</v>
      </c>
      <c r="F16" s="32" t="s">
        <v>65</v>
      </c>
      <c r="G16" s="32" t="s">
        <v>46</v>
      </c>
      <c r="H16" s="32" t="s">
        <v>58</v>
      </c>
      <c r="I16" s="32">
        <v>45.478999999999999</v>
      </c>
      <c r="J16" s="32">
        <v>8.9190000000000005</v>
      </c>
      <c r="K16" s="32" t="b">
        <v>1</v>
      </c>
      <c r="L16" s="32" t="s">
        <v>47</v>
      </c>
      <c r="M16" s="32" t="s">
        <v>63</v>
      </c>
      <c r="N16" s="34">
        <v>46060</v>
      </c>
      <c r="O16" s="35" t="str">
        <f t="shared" si="0"/>
        <v>Đặng Hoàng Vũ</v>
      </c>
    </row>
    <row r="17" spans="1:15" ht="15" customHeight="1">
      <c r="A17" s="32" t="s">
        <v>69</v>
      </c>
      <c r="B17" s="32" t="s">
        <v>44</v>
      </c>
      <c r="C17" s="33">
        <v>46037</v>
      </c>
      <c r="D17" s="32">
        <v>918616787</v>
      </c>
      <c r="E17" s="32">
        <v>302371366</v>
      </c>
      <c r="F17" s="32" t="s">
        <v>65</v>
      </c>
      <c r="G17" s="32" t="s">
        <v>46</v>
      </c>
      <c r="H17" s="32" t="s">
        <v>58</v>
      </c>
      <c r="I17" s="32">
        <v>45.478999999999999</v>
      </c>
      <c r="J17" s="32">
        <v>8.9190000000000005</v>
      </c>
      <c r="K17" s="32" t="b">
        <v>1</v>
      </c>
      <c r="L17" s="32" t="s">
        <v>47</v>
      </c>
      <c r="M17" s="32" t="s">
        <v>63</v>
      </c>
      <c r="N17" s="34">
        <v>46060</v>
      </c>
      <c r="O17" s="35" t="str">
        <f t="shared" si="0"/>
        <v>Đặng Hoàng Vũ</v>
      </c>
    </row>
    <row r="18" spans="1:15" ht="15" customHeight="1">
      <c r="A18" s="32" t="s">
        <v>59</v>
      </c>
      <c r="B18" s="32" t="s">
        <v>44</v>
      </c>
      <c r="C18" s="33">
        <v>46037</v>
      </c>
      <c r="D18" s="32">
        <v>918278345</v>
      </c>
      <c r="E18" s="32">
        <v>511526722</v>
      </c>
      <c r="F18" s="32" t="s">
        <v>60</v>
      </c>
      <c r="G18" s="32" t="s">
        <v>46</v>
      </c>
      <c r="H18" s="32" t="s">
        <v>58</v>
      </c>
      <c r="I18" s="32">
        <v>65.792000000000002</v>
      </c>
      <c r="J18" s="32">
        <v>38.042000000000002</v>
      </c>
      <c r="K18" s="32" t="b">
        <v>1</v>
      </c>
      <c r="L18" s="32" t="s">
        <v>47</v>
      </c>
      <c r="M18" s="32" t="s">
        <v>48</v>
      </c>
      <c r="N18" s="34">
        <v>46026</v>
      </c>
      <c r="O18" s="35" t="str">
        <f t="shared" si="0"/>
        <v>Trịnh Minh Trí</v>
      </c>
    </row>
    <row r="19" spans="1:15" ht="15" customHeight="1">
      <c r="A19" s="32" t="s">
        <v>59</v>
      </c>
      <c r="B19" s="32" t="s">
        <v>44</v>
      </c>
      <c r="C19" s="33">
        <v>46037</v>
      </c>
      <c r="D19" s="32">
        <v>918278345</v>
      </c>
      <c r="E19" s="32">
        <v>511526722</v>
      </c>
      <c r="F19" s="32" t="s">
        <v>60</v>
      </c>
      <c r="G19" s="32" t="s">
        <v>46</v>
      </c>
      <c r="H19" s="32" t="s">
        <v>58</v>
      </c>
      <c r="I19" s="32">
        <v>64.399000000000001</v>
      </c>
      <c r="J19" s="32">
        <v>42.454999999999998</v>
      </c>
      <c r="K19" s="32" t="b">
        <v>1</v>
      </c>
      <c r="L19" s="32" t="s">
        <v>47</v>
      </c>
      <c r="M19" s="32" t="s">
        <v>48</v>
      </c>
      <c r="N19" s="34">
        <v>46025</v>
      </c>
      <c r="O19" s="35" t="str">
        <f t="shared" si="0"/>
        <v>Trịnh Minh Trí</v>
      </c>
    </row>
    <row r="20" spans="1:15" ht="15" customHeight="1">
      <c r="A20" s="32" t="s">
        <v>70</v>
      </c>
      <c r="B20" s="32" t="s">
        <v>44</v>
      </c>
      <c r="C20" s="33">
        <v>46037</v>
      </c>
      <c r="D20" s="32">
        <v>913352939</v>
      </c>
      <c r="E20" s="32">
        <v>511935418</v>
      </c>
      <c r="F20" s="32" t="s">
        <v>71</v>
      </c>
      <c r="G20" s="32" t="s">
        <v>46</v>
      </c>
      <c r="H20" s="32" t="s">
        <v>51</v>
      </c>
      <c r="I20" s="32">
        <v>603.62400000000002</v>
      </c>
      <c r="J20" s="32">
        <v>43.749000000000002</v>
      </c>
      <c r="K20" s="32" t="b">
        <v>1</v>
      </c>
      <c r="L20" s="32" t="s">
        <v>47</v>
      </c>
      <c r="M20" s="32" t="s">
        <v>48</v>
      </c>
      <c r="N20" s="34">
        <v>46106</v>
      </c>
      <c r="O20" s="35" t="str">
        <f t="shared" si="0"/>
        <v>Dương Nhật Phương</v>
      </c>
    </row>
    <row r="21" spans="1:15" ht="15" customHeight="1">
      <c r="A21" s="32" t="s">
        <v>72</v>
      </c>
      <c r="B21" s="32" t="s">
        <v>44</v>
      </c>
      <c r="C21" s="33">
        <v>46037</v>
      </c>
      <c r="D21" s="32">
        <v>918955485</v>
      </c>
      <c r="E21" s="32">
        <v>463253403</v>
      </c>
      <c r="F21" s="32" t="s">
        <v>73</v>
      </c>
      <c r="G21" s="32" t="s">
        <v>46</v>
      </c>
      <c r="H21" s="32" t="s">
        <v>18</v>
      </c>
      <c r="I21" s="32">
        <v>67.186000000000007</v>
      </c>
      <c r="J21" s="32">
        <v>55.694000000000003</v>
      </c>
      <c r="K21" s="32" t="b">
        <v>1</v>
      </c>
      <c r="L21" s="32" t="s">
        <v>47</v>
      </c>
      <c r="M21" s="32" t="s">
        <v>48</v>
      </c>
      <c r="N21" s="34">
        <v>46209</v>
      </c>
      <c r="O21" s="35" t="str">
        <f t="shared" si="0"/>
        <v>Lê Thành Tài</v>
      </c>
    </row>
    <row r="22" spans="1:15" ht="15" customHeight="1">
      <c r="A22" s="32" t="s">
        <v>72</v>
      </c>
      <c r="B22" s="32" t="s">
        <v>44</v>
      </c>
      <c r="C22" s="33">
        <v>46037</v>
      </c>
      <c r="D22" s="32">
        <v>918955485</v>
      </c>
      <c r="E22" s="32">
        <v>463253403</v>
      </c>
      <c r="F22" s="32" t="s">
        <v>73</v>
      </c>
      <c r="G22" s="32" t="s">
        <v>46</v>
      </c>
      <c r="H22" s="32" t="s">
        <v>18</v>
      </c>
      <c r="I22" s="32">
        <v>102.52800000000001</v>
      </c>
      <c r="J22" s="32">
        <v>41.901000000000003</v>
      </c>
      <c r="K22" s="32" t="b">
        <v>1</v>
      </c>
      <c r="L22" s="32" t="s">
        <v>47</v>
      </c>
      <c r="M22" s="32" t="s">
        <v>48</v>
      </c>
      <c r="N22" s="34">
        <v>46067</v>
      </c>
      <c r="O22" s="35" t="str">
        <f t="shared" si="0"/>
        <v>Lê Thành Tài</v>
      </c>
    </row>
    <row r="23" spans="1:15" ht="15" customHeight="1">
      <c r="A23" s="32" t="s">
        <v>70</v>
      </c>
      <c r="B23" s="32" t="s">
        <v>44</v>
      </c>
      <c r="C23" s="33">
        <v>46037</v>
      </c>
      <c r="D23" s="32">
        <v>913352939</v>
      </c>
      <c r="E23" s="32">
        <v>511935418</v>
      </c>
      <c r="F23" s="32" t="s">
        <v>71</v>
      </c>
      <c r="G23" s="32" t="s">
        <v>46</v>
      </c>
      <c r="H23" s="32" t="s">
        <v>51</v>
      </c>
      <c r="I23" s="32">
        <v>873.88</v>
      </c>
      <c r="J23" s="32">
        <v>135.755</v>
      </c>
      <c r="K23" s="32" t="b">
        <v>1</v>
      </c>
      <c r="L23" s="32" t="s">
        <v>47</v>
      </c>
      <c r="M23" s="32" t="s">
        <v>48</v>
      </c>
      <c r="N23" s="34">
        <v>46235</v>
      </c>
      <c r="O23" s="35" t="str">
        <f t="shared" si="0"/>
        <v>Dương Nhật Phương</v>
      </c>
    </row>
    <row r="24" spans="1:15" ht="15" customHeight="1">
      <c r="A24" s="32" t="s">
        <v>74</v>
      </c>
      <c r="B24" s="32" t="s">
        <v>44</v>
      </c>
      <c r="C24" s="33">
        <v>46037</v>
      </c>
      <c r="D24" s="32">
        <v>945833826</v>
      </c>
      <c r="E24" s="32">
        <v>515016582</v>
      </c>
      <c r="F24" s="32" t="s">
        <v>75</v>
      </c>
      <c r="G24" s="32" t="s">
        <v>46</v>
      </c>
      <c r="H24" s="32" t="s">
        <v>51</v>
      </c>
      <c r="I24" s="32">
        <v>932.86599999999999</v>
      </c>
      <c r="J24" s="32">
        <v>130.38999999999999</v>
      </c>
      <c r="K24" s="32" t="b">
        <v>1</v>
      </c>
      <c r="L24" s="32" t="s">
        <v>47</v>
      </c>
      <c r="M24" s="32" t="s">
        <v>48</v>
      </c>
      <c r="N24" s="34">
        <v>46198</v>
      </c>
      <c r="O24" s="35" t="str">
        <f t="shared" si="0"/>
        <v>Võ Quang Duy</v>
      </c>
    </row>
    <row r="25" spans="1:15" ht="15" customHeight="1">
      <c r="A25" s="32" t="s">
        <v>70</v>
      </c>
      <c r="B25" s="32" t="s">
        <v>44</v>
      </c>
      <c r="C25" s="33">
        <v>46037</v>
      </c>
      <c r="D25" s="32">
        <v>913352939</v>
      </c>
      <c r="E25" s="32">
        <v>511935418</v>
      </c>
      <c r="F25" s="32" t="s">
        <v>71</v>
      </c>
      <c r="G25" s="32" t="s">
        <v>46</v>
      </c>
      <c r="H25" s="32" t="s">
        <v>51</v>
      </c>
      <c r="I25" s="32">
        <v>1054.134</v>
      </c>
      <c r="J25" s="32">
        <v>136.059</v>
      </c>
      <c r="K25" s="32" t="b">
        <v>1</v>
      </c>
      <c r="L25" s="32" t="s">
        <v>47</v>
      </c>
      <c r="M25" s="32" t="s">
        <v>48</v>
      </c>
      <c r="N25" s="32" t="s">
        <v>76</v>
      </c>
      <c r="O25" s="35" t="str">
        <f t="shared" si="0"/>
        <v>Dương Nhật Phương</v>
      </c>
    </row>
    <row r="26" spans="1:15" ht="15" customHeight="1">
      <c r="A26" s="32" t="s">
        <v>70</v>
      </c>
      <c r="B26" s="32" t="s">
        <v>44</v>
      </c>
      <c r="C26" s="33">
        <v>46037</v>
      </c>
      <c r="D26" s="32">
        <v>913352939</v>
      </c>
      <c r="E26" s="32">
        <v>511935418</v>
      </c>
      <c r="F26" s="32" t="s">
        <v>71</v>
      </c>
      <c r="G26" s="32" t="s">
        <v>46</v>
      </c>
      <c r="H26" s="32" t="s">
        <v>51</v>
      </c>
      <c r="I26" s="32">
        <v>1155.7360000000001</v>
      </c>
      <c r="J26" s="32">
        <v>53.503</v>
      </c>
      <c r="K26" s="32" t="b">
        <v>1</v>
      </c>
      <c r="L26" s="32" t="s">
        <v>47</v>
      </c>
      <c r="M26" s="32" t="s">
        <v>48</v>
      </c>
      <c r="N26" s="34">
        <v>46073</v>
      </c>
      <c r="O26" s="35" t="str">
        <f t="shared" si="0"/>
        <v>Dương Nhật Phương</v>
      </c>
    </row>
    <row r="27" spans="1:15" ht="15" customHeight="1">
      <c r="A27" s="32" t="s">
        <v>70</v>
      </c>
      <c r="B27" s="32" t="s">
        <v>44</v>
      </c>
      <c r="C27" s="33">
        <v>46037</v>
      </c>
      <c r="D27" s="32">
        <v>913352939</v>
      </c>
      <c r="E27" s="32">
        <v>511935418</v>
      </c>
      <c r="F27" s="32" t="s">
        <v>71</v>
      </c>
      <c r="G27" s="32" t="s">
        <v>46</v>
      </c>
      <c r="H27" s="32" t="s">
        <v>51</v>
      </c>
      <c r="I27" s="32">
        <v>801.99199999999996</v>
      </c>
      <c r="J27" s="32">
        <v>93.733999999999995</v>
      </c>
      <c r="K27" s="32" t="b">
        <v>1</v>
      </c>
      <c r="L27" s="32" t="s">
        <v>47</v>
      </c>
      <c r="M27" s="32" t="s">
        <v>48</v>
      </c>
      <c r="N27" s="34">
        <v>46223</v>
      </c>
      <c r="O27" s="35" t="str">
        <f t="shared" si="0"/>
        <v>Dương Nhật Phương</v>
      </c>
    </row>
    <row r="28" spans="1:15" ht="15" customHeight="1">
      <c r="A28" s="32" t="s">
        <v>77</v>
      </c>
      <c r="B28" s="32" t="s">
        <v>44</v>
      </c>
      <c r="C28" s="33">
        <v>46037</v>
      </c>
      <c r="D28" s="32">
        <v>945663773</v>
      </c>
      <c r="E28" s="32">
        <v>507335872</v>
      </c>
      <c r="F28" s="32" t="s">
        <v>78</v>
      </c>
      <c r="G28" s="32" t="s">
        <v>46</v>
      </c>
      <c r="H28" s="32" t="s">
        <v>51</v>
      </c>
      <c r="I28" s="32">
        <v>54.86</v>
      </c>
      <c r="J28" s="32">
        <v>18.837</v>
      </c>
      <c r="K28" s="32" t="b">
        <v>1</v>
      </c>
      <c r="L28" s="32" t="s">
        <v>79</v>
      </c>
      <c r="M28" s="32" t="s">
        <v>80</v>
      </c>
      <c r="N28" s="34">
        <v>46279</v>
      </c>
      <c r="O28" s="35" t="str">
        <f t="shared" si="0"/>
        <v>Nguyễn Hữu Tân</v>
      </c>
    </row>
    <row r="29" spans="1:15" ht="15" customHeight="1">
      <c r="A29" s="32" t="s">
        <v>81</v>
      </c>
      <c r="B29" s="32" t="s">
        <v>44</v>
      </c>
      <c r="C29" s="33">
        <v>46037</v>
      </c>
      <c r="D29" s="32">
        <v>832428439</v>
      </c>
      <c r="E29" s="32">
        <v>494036091</v>
      </c>
      <c r="F29" s="32" t="s">
        <v>82</v>
      </c>
      <c r="G29" s="32" t="s">
        <v>46</v>
      </c>
      <c r="H29" s="32" t="s">
        <v>51</v>
      </c>
      <c r="I29" s="32">
        <v>57.966999999999999</v>
      </c>
      <c r="J29" s="32">
        <v>43.113</v>
      </c>
      <c r="K29" s="32" t="b">
        <v>1</v>
      </c>
      <c r="L29" s="32" t="s">
        <v>79</v>
      </c>
      <c r="M29" s="32" t="s">
        <v>48</v>
      </c>
      <c r="N29" s="34">
        <v>46026</v>
      </c>
      <c r="O29" s="35" t="str">
        <f t="shared" si="0"/>
        <v>Phù Hoàng Thành</v>
      </c>
    </row>
    <row r="30" spans="1:15" ht="15" customHeight="1">
      <c r="A30" s="32" t="s">
        <v>81</v>
      </c>
      <c r="B30" s="32" t="s">
        <v>44</v>
      </c>
      <c r="C30" s="33">
        <v>46037</v>
      </c>
      <c r="D30" s="32">
        <v>852226484</v>
      </c>
      <c r="E30" s="32">
        <v>494036091</v>
      </c>
      <c r="F30" s="32" t="s">
        <v>82</v>
      </c>
      <c r="G30" s="32" t="s">
        <v>46</v>
      </c>
      <c r="H30" s="32" t="s">
        <v>51</v>
      </c>
      <c r="I30" s="32">
        <v>57.966999999999999</v>
      </c>
      <c r="J30" s="32">
        <v>43.113</v>
      </c>
      <c r="K30" s="32" t="b">
        <v>1</v>
      </c>
      <c r="L30" s="32" t="s">
        <v>79</v>
      </c>
      <c r="M30" s="32" t="s">
        <v>48</v>
      </c>
      <c r="N30" s="34">
        <v>46026</v>
      </c>
      <c r="O30" s="35" t="str">
        <f t="shared" si="0"/>
        <v>Phù Hoàng Thành</v>
      </c>
    </row>
    <row r="31" spans="1:15" ht="15" customHeight="1">
      <c r="A31" s="32" t="s">
        <v>83</v>
      </c>
      <c r="B31" s="32" t="s">
        <v>44</v>
      </c>
      <c r="C31" s="33">
        <v>46037</v>
      </c>
      <c r="D31" s="32">
        <v>886313796</v>
      </c>
      <c r="E31" s="32">
        <v>408233038</v>
      </c>
      <c r="F31" s="32" t="s">
        <v>84</v>
      </c>
      <c r="G31" s="32" t="s">
        <v>46</v>
      </c>
      <c r="H31" s="32" t="s">
        <v>51</v>
      </c>
      <c r="I31" s="32">
        <v>198.851</v>
      </c>
      <c r="J31" s="32">
        <v>49.917999999999999</v>
      </c>
      <c r="K31" s="32" t="b">
        <v>1</v>
      </c>
      <c r="L31" s="32" t="s">
        <v>47</v>
      </c>
      <c r="M31" s="32" t="s">
        <v>48</v>
      </c>
      <c r="N31" s="34">
        <v>46146</v>
      </c>
      <c r="O31" s="35" t="str">
        <f t="shared" si="0"/>
        <v>Lê Minh Kha</v>
      </c>
    </row>
    <row r="32" spans="1:15" ht="15" customHeight="1">
      <c r="A32" s="32" t="s">
        <v>83</v>
      </c>
      <c r="B32" s="32" t="s">
        <v>44</v>
      </c>
      <c r="C32" s="33">
        <v>46037</v>
      </c>
      <c r="D32" s="32">
        <v>829669739</v>
      </c>
      <c r="E32" s="32">
        <v>408233038</v>
      </c>
      <c r="F32" s="32" t="s">
        <v>84</v>
      </c>
      <c r="G32" s="32" t="s">
        <v>46</v>
      </c>
      <c r="H32" s="32" t="s">
        <v>51</v>
      </c>
      <c r="I32" s="32">
        <v>198.851</v>
      </c>
      <c r="J32" s="32">
        <v>49.917999999999999</v>
      </c>
      <c r="K32" s="32" t="b">
        <v>1</v>
      </c>
      <c r="L32" s="32" t="s">
        <v>47</v>
      </c>
      <c r="M32" s="32" t="s">
        <v>48</v>
      </c>
      <c r="N32" s="34">
        <v>46146</v>
      </c>
      <c r="O32" s="35" t="str">
        <f t="shared" si="0"/>
        <v>Lê Minh Kha</v>
      </c>
    </row>
    <row r="33" spans="1:15" ht="15" customHeight="1">
      <c r="A33" s="32" t="s">
        <v>85</v>
      </c>
      <c r="B33" s="32" t="s">
        <v>44</v>
      </c>
      <c r="C33" s="33">
        <v>46037</v>
      </c>
      <c r="D33" s="32">
        <v>918128333</v>
      </c>
      <c r="E33" s="32">
        <v>362213178</v>
      </c>
      <c r="F33" s="32" t="s">
        <v>86</v>
      </c>
      <c r="G33" s="32" t="s">
        <v>46</v>
      </c>
      <c r="H33" s="32" t="s">
        <v>87</v>
      </c>
      <c r="I33" s="32">
        <v>118.727</v>
      </c>
      <c r="J33" s="32">
        <v>55.155000000000001</v>
      </c>
      <c r="K33" s="32" t="b">
        <v>1</v>
      </c>
      <c r="L33" s="32" t="s">
        <v>47</v>
      </c>
      <c r="M33" s="32" t="s">
        <v>48</v>
      </c>
      <c r="N33" s="34">
        <v>46209</v>
      </c>
      <c r="O33" s="35" t="str">
        <f t="shared" si="0"/>
        <v>Trần Minh Tuấn1</v>
      </c>
    </row>
    <row r="34" spans="1:15" ht="15" customHeight="1">
      <c r="A34" s="32" t="s">
        <v>88</v>
      </c>
      <c r="B34" s="32" t="s">
        <v>44</v>
      </c>
      <c r="C34" s="33">
        <v>46037</v>
      </c>
      <c r="D34" s="32">
        <v>918611919</v>
      </c>
      <c r="E34" s="32">
        <v>321677895</v>
      </c>
      <c r="F34" s="32" t="s">
        <v>65</v>
      </c>
      <c r="G34" s="32" t="s">
        <v>46</v>
      </c>
      <c r="H34" s="32" t="s">
        <v>51</v>
      </c>
      <c r="I34" s="32">
        <v>778.101</v>
      </c>
      <c r="J34" s="32">
        <v>129.64599999999999</v>
      </c>
      <c r="K34" s="32" t="b">
        <v>1</v>
      </c>
      <c r="L34" s="32" t="s">
        <v>47</v>
      </c>
      <c r="M34" s="32" t="s">
        <v>63</v>
      </c>
      <c r="N34" s="34">
        <v>46229</v>
      </c>
      <c r="O34" s="35" t="str">
        <f t="shared" si="0"/>
        <v>Huỳnh Phước Yên</v>
      </c>
    </row>
    <row r="35" spans="1:15" ht="15" customHeight="1">
      <c r="A35" s="32" t="s">
        <v>89</v>
      </c>
      <c r="B35" s="32" t="s">
        <v>44</v>
      </c>
      <c r="C35" s="33">
        <v>46037</v>
      </c>
      <c r="D35" s="32">
        <v>837012768</v>
      </c>
      <c r="E35" s="32">
        <v>276156622</v>
      </c>
      <c r="F35" s="32" t="s">
        <v>90</v>
      </c>
      <c r="G35" s="32" t="s">
        <v>46</v>
      </c>
      <c r="H35" s="32" t="s">
        <v>51</v>
      </c>
      <c r="I35" s="32">
        <v>600.47299999999996</v>
      </c>
      <c r="J35" s="32">
        <v>2.948</v>
      </c>
      <c r="K35" s="32" t="b">
        <v>1</v>
      </c>
      <c r="L35" s="32" t="s">
        <v>47</v>
      </c>
      <c r="M35" s="32" t="s">
        <v>63</v>
      </c>
      <c r="N35" s="34">
        <v>46220</v>
      </c>
      <c r="O35" s="35" t="str">
        <f t="shared" si="0"/>
        <v>Nguyễn Thành Chí</v>
      </c>
    </row>
    <row r="36" spans="1:15" ht="15" customHeight="1">
      <c r="A36" s="32" t="s">
        <v>91</v>
      </c>
      <c r="B36" s="32" t="s">
        <v>44</v>
      </c>
      <c r="C36" s="33">
        <v>46037</v>
      </c>
      <c r="D36" s="32">
        <v>917714086</v>
      </c>
      <c r="E36" s="32">
        <v>514807788</v>
      </c>
      <c r="F36" s="32" t="s">
        <v>92</v>
      </c>
      <c r="G36" s="32" t="s">
        <v>46</v>
      </c>
      <c r="H36" s="32" t="s">
        <v>51</v>
      </c>
      <c r="I36" s="32">
        <v>915.38499999999999</v>
      </c>
      <c r="J36" s="32">
        <v>93.204999999999998</v>
      </c>
      <c r="K36" s="32" t="b">
        <v>1</v>
      </c>
      <c r="L36" s="32" t="s">
        <v>79</v>
      </c>
      <c r="M36" s="32" t="s">
        <v>48</v>
      </c>
      <c r="N36" s="34">
        <v>46283</v>
      </c>
      <c r="O36" s="35" t="str">
        <f t="shared" si="0"/>
        <v>Lê Hoàng Vinh</v>
      </c>
    </row>
    <row r="37" spans="1:15" ht="15" customHeight="1">
      <c r="A37" s="32" t="s">
        <v>91</v>
      </c>
      <c r="B37" s="32" t="s">
        <v>44</v>
      </c>
      <c r="C37" s="33">
        <v>46037</v>
      </c>
      <c r="D37" s="32">
        <v>917714086</v>
      </c>
      <c r="E37" s="32">
        <v>514807788</v>
      </c>
      <c r="F37" s="32" t="s">
        <v>92</v>
      </c>
      <c r="G37" s="32" t="s">
        <v>46</v>
      </c>
      <c r="H37" s="32" t="s">
        <v>51</v>
      </c>
      <c r="I37" s="32">
        <v>28.373000000000001</v>
      </c>
      <c r="J37" s="32">
        <v>80.144999999999996</v>
      </c>
      <c r="K37" s="32" t="b">
        <v>1</v>
      </c>
      <c r="L37" s="32" t="s">
        <v>79</v>
      </c>
      <c r="M37" s="32" t="s">
        <v>48</v>
      </c>
      <c r="N37" s="32" t="s">
        <v>93</v>
      </c>
      <c r="O37" s="35" t="str">
        <f t="shared" si="0"/>
        <v>Lê Hoàng Vinh</v>
      </c>
    </row>
    <row r="38" spans="1:15" ht="15" customHeight="1">
      <c r="A38" s="32" t="s">
        <v>94</v>
      </c>
      <c r="B38" s="32" t="s">
        <v>44</v>
      </c>
      <c r="C38" s="33">
        <v>46037</v>
      </c>
      <c r="D38" s="32">
        <v>943541776</v>
      </c>
      <c r="E38" s="32">
        <v>409462271</v>
      </c>
      <c r="F38" s="32" t="s">
        <v>95</v>
      </c>
      <c r="G38" s="32" t="s">
        <v>46</v>
      </c>
      <c r="H38" s="32" t="s">
        <v>87</v>
      </c>
      <c r="I38" s="32">
        <v>74.739999999999995</v>
      </c>
      <c r="J38" s="32">
        <v>26.975000000000001</v>
      </c>
      <c r="K38" s="32" t="b">
        <v>1</v>
      </c>
      <c r="L38" s="32" t="s">
        <v>47</v>
      </c>
      <c r="M38" s="32" t="s">
        <v>48</v>
      </c>
      <c r="N38" s="34">
        <v>46119</v>
      </c>
      <c r="O38" s="35" t="str">
        <f t="shared" si="0"/>
        <v>Đoàn Nguyễn Tuấn Anh</v>
      </c>
    </row>
    <row r="39" spans="1:15">
      <c r="A39" s="32" t="s">
        <v>94</v>
      </c>
      <c r="B39" s="32" t="s">
        <v>44</v>
      </c>
      <c r="C39" s="33">
        <v>46037</v>
      </c>
      <c r="D39" s="32">
        <v>943541776</v>
      </c>
      <c r="E39" s="32">
        <v>409462271</v>
      </c>
      <c r="F39" s="32" t="s">
        <v>95</v>
      </c>
      <c r="G39" s="32" t="s">
        <v>46</v>
      </c>
      <c r="H39" s="32" t="s">
        <v>87</v>
      </c>
      <c r="I39" s="32">
        <v>90.664000000000001</v>
      </c>
      <c r="J39" s="32">
        <v>28.975000000000001</v>
      </c>
      <c r="K39" s="32" t="b">
        <v>1</v>
      </c>
      <c r="L39" s="32" t="s">
        <v>47</v>
      </c>
      <c r="M39" s="32" t="s">
        <v>48</v>
      </c>
      <c r="N39" s="34">
        <v>46235</v>
      </c>
      <c r="O39" s="35" t="str">
        <f t="shared" si="0"/>
        <v>Đoàn Nguyễn Tuấn Anh</v>
      </c>
    </row>
    <row r="40" spans="1:15">
      <c r="A40" s="32" t="s">
        <v>94</v>
      </c>
      <c r="B40" s="32" t="s">
        <v>44</v>
      </c>
      <c r="C40" s="33">
        <v>46037</v>
      </c>
      <c r="D40" s="32">
        <v>943541776</v>
      </c>
      <c r="E40" s="32">
        <v>409462271</v>
      </c>
      <c r="F40" s="32" t="s">
        <v>95</v>
      </c>
      <c r="G40" s="32" t="s">
        <v>46</v>
      </c>
      <c r="H40" s="32" t="s">
        <v>87</v>
      </c>
      <c r="I40" s="32">
        <v>90.554000000000002</v>
      </c>
      <c r="J40" s="32">
        <v>30.042000000000002</v>
      </c>
      <c r="K40" s="32" t="b">
        <v>1</v>
      </c>
      <c r="L40" s="32" t="s">
        <v>47</v>
      </c>
      <c r="M40" s="32" t="s">
        <v>48</v>
      </c>
      <c r="N40" s="34">
        <v>46162</v>
      </c>
      <c r="O40" s="35" t="str">
        <f t="shared" si="0"/>
        <v>Đoàn Nguyễn Tuấn Anh</v>
      </c>
    </row>
    <row r="41" spans="1:15">
      <c r="A41" s="32" t="s">
        <v>96</v>
      </c>
      <c r="B41" s="32" t="s">
        <v>44</v>
      </c>
      <c r="C41" s="33">
        <v>46037</v>
      </c>
      <c r="D41" s="32">
        <v>914390007</v>
      </c>
      <c r="E41" s="32">
        <v>504830634</v>
      </c>
      <c r="F41" s="32" t="s">
        <v>60</v>
      </c>
      <c r="G41" s="32" t="s">
        <v>46</v>
      </c>
      <c r="H41" s="32" t="s">
        <v>51</v>
      </c>
      <c r="I41" s="32">
        <v>65.715999999999994</v>
      </c>
      <c r="J41" s="32">
        <v>28.385999999999999</v>
      </c>
      <c r="K41" s="32" t="b">
        <v>1</v>
      </c>
      <c r="L41" s="32" t="s">
        <v>47</v>
      </c>
      <c r="M41" s="32" t="s">
        <v>48</v>
      </c>
      <c r="N41" s="34">
        <v>46114</v>
      </c>
      <c r="O41" s="35" t="str">
        <f t="shared" si="0"/>
        <v>Võ Quốc Huy</v>
      </c>
    </row>
    <row r="42" spans="1:15">
      <c r="A42" s="32" t="s">
        <v>52</v>
      </c>
      <c r="B42" s="32" t="s">
        <v>44</v>
      </c>
      <c r="C42" s="33">
        <v>46036</v>
      </c>
      <c r="D42" s="32">
        <v>915282271</v>
      </c>
      <c r="E42" s="32">
        <v>437354149</v>
      </c>
      <c r="F42" s="32" t="s">
        <v>53</v>
      </c>
      <c r="G42" s="32" t="s">
        <v>46</v>
      </c>
      <c r="H42" s="32" t="s">
        <v>51</v>
      </c>
      <c r="I42" s="32">
        <v>79.233000000000004</v>
      </c>
      <c r="J42" s="32">
        <v>51.665999999999997</v>
      </c>
      <c r="K42" s="32" t="b">
        <v>1</v>
      </c>
      <c r="L42" s="32" t="s">
        <v>47</v>
      </c>
      <c r="M42" s="32" t="s">
        <v>48</v>
      </c>
      <c r="N42" s="34">
        <v>46083</v>
      </c>
      <c r="O42" s="35" t="str">
        <f t="shared" si="0"/>
        <v>Nguyễn Hoàng Tuấn</v>
      </c>
    </row>
    <row r="43" spans="1:15">
      <c r="A43" s="32" t="s">
        <v>52</v>
      </c>
      <c r="B43" s="32" t="s">
        <v>44</v>
      </c>
      <c r="C43" s="33">
        <v>46036</v>
      </c>
      <c r="D43" s="32">
        <v>915282271</v>
      </c>
      <c r="E43" s="32">
        <v>437354149</v>
      </c>
      <c r="F43" s="32" t="s">
        <v>53</v>
      </c>
      <c r="G43" s="32" t="s">
        <v>46</v>
      </c>
      <c r="H43" s="32" t="s">
        <v>51</v>
      </c>
      <c r="I43" s="32">
        <v>79.233000000000004</v>
      </c>
      <c r="J43" s="32">
        <v>51.665999999999997</v>
      </c>
      <c r="K43" s="32" t="b">
        <v>1</v>
      </c>
      <c r="L43" s="32" t="s">
        <v>47</v>
      </c>
      <c r="M43" s="32" t="s">
        <v>48</v>
      </c>
      <c r="N43" s="34">
        <v>46083</v>
      </c>
      <c r="O43" s="35" t="str">
        <f t="shared" si="0"/>
        <v>Nguyễn Hoàng Tuấn</v>
      </c>
    </row>
    <row r="44" spans="1:15">
      <c r="A44" s="32" t="s">
        <v>97</v>
      </c>
      <c r="B44" s="32" t="s">
        <v>44</v>
      </c>
      <c r="C44" s="33">
        <v>46036</v>
      </c>
      <c r="D44" s="32">
        <v>918825152</v>
      </c>
      <c r="E44" s="32">
        <v>498672022</v>
      </c>
      <c r="F44" s="32" t="s">
        <v>98</v>
      </c>
      <c r="G44" s="32" t="s">
        <v>46</v>
      </c>
      <c r="H44" s="32" t="s">
        <v>18</v>
      </c>
      <c r="I44" s="32">
        <v>95.807000000000002</v>
      </c>
      <c r="J44" s="32">
        <v>56.765000000000001</v>
      </c>
      <c r="K44" s="32" t="b">
        <v>1</v>
      </c>
      <c r="L44" s="32" t="s">
        <v>63</v>
      </c>
      <c r="M44" s="32" t="s">
        <v>48</v>
      </c>
      <c r="N44" s="34">
        <v>46270</v>
      </c>
      <c r="O44" s="35" t="str">
        <f t="shared" si="0"/>
        <v>Nguyễn Giê Nha</v>
      </c>
    </row>
    <row r="45" spans="1:15">
      <c r="A45" s="32" t="s">
        <v>97</v>
      </c>
      <c r="B45" s="32" t="s">
        <v>44</v>
      </c>
      <c r="C45" s="33">
        <v>46036</v>
      </c>
      <c r="D45" s="32">
        <v>918825152</v>
      </c>
      <c r="E45" s="32">
        <v>498672022</v>
      </c>
      <c r="F45" s="32" t="s">
        <v>98</v>
      </c>
      <c r="G45" s="32" t="s">
        <v>46</v>
      </c>
      <c r="H45" s="32" t="s">
        <v>18</v>
      </c>
      <c r="I45" s="32">
        <v>97.509</v>
      </c>
      <c r="J45" s="32">
        <v>55.701000000000001</v>
      </c>
      <c r="K45" s="32" t="b">
        <v>1</v>
      </c>
      <c r="L45" s="32" t="s">
        <v>63</v>
      </c>
      <c r="M45" s="32" t="s">
        <v>48</v>
      </c>
      <c r="N45" s="34">
        <v>46029</v>
      </c>
      <c r="O45" s="35" t="str">
        <f t="shared" si="0"/>
        <v>Nguyễn Giê Nha</v>
      </c>
    </row>
    <row r="46" spans="1:15">
      <c r="A46" s="32" t="s">
        <v>97</v>
      </c>
      <c r="B46" s="32" t="s">
        <v>44</v>
      </c>
      <c r="C46" s="33">
        <v>46036</v>
      </c>
      <c r="D46" s="32">
        <v>918825152</v>
      </c>
      <c r="E46" s="32">
        <v>498672022</v>
      </c>
      <c r="F46" s="32" t="s">
        <v>98</v>
      </c>
      <c r="G46" s="32" t="s">
        <v>46</v>
      </c>
      <c r="H46" s="32" t="s">
        <v>18</v>
      </c>
      <c r="I46" s="32">
        <v>87.046000000000006</v>
      </c>
      <c r="J46" s="32">
        <v>51.378</v>
      </c>
      <c r="K46" s="32" t="b">
        <v>1</v>
      </c>
      <c r="L46" s="32" t="s">
        <v>63</v>
      </c>
      <c r="M46" s="32" t="s">
        <v>48</v>
      </c>
      <c r="N46" s="34">
        <v>46209</v>
      </c>
      <c r="O46" s="35" t="str">
        <f t="shared" si="0"/>
        <v>Nguyễn Giê Nha</v>
      </c>
    </row>
    <row r="47" spans="1:15">
      <c r="A47" s="32" t="s">
        <v>97</v>
      </c>
      <c r="B47" s="32" t="s">
        <v>44</v>
      </c>
      <c r="C47" s="33">
        <v>46036</v>
      </c>
      <c r="D47" s="32">
        <v>918825152</v>
      </c>
      <c r="E47" s="32">
        <v>498672022</v>
      </c>
      <c r="F47" s="32" t="s">
        <v>98</v>
      </c>
      <c r="G47" s="32" t="s">
        <v>46</v>
      </c>
      <c r="H47" s="32" t="s">
        <v>18</v>
      </c>
      <c r="I47" s="32">
        <v>84.126000000000005</v>
      </c>
      <c r="J47" s="32">
        <v>57.006999999999998</v>
      </c>
      <c r="K47" s="32" t="b">
        <v>1</v>
      </c>
      <c r="L47" s="32" t="s">
        <v>63</v>
      </c>
      <c r="M47" s="32" t="s">
        <v>48</v>
      </c>
      <c r="N47" s="34">
        <v>46272</v>
      </c>
      <c r="O47" s="35" t="str">
        <f t="shared" si="0"/>
        <v>Nguyễn Giê Nha</v>
      </c>
    </row>
    <row r="48" spans="1:15">
      <c r="A48" s="32" t="s">
        <v>97</v>
      </c>
      <c r="B48" s="32" t="s">
        <v>44</v>
      </c>
      <c r="C48" s="33">
        <v>46036</v>
      </c>
      <c r="D48" s="32">
        <v>918825152</v>
      </c>
      <c r="E48" s="32">
        <v>498672022</v>
      </c>
      <c r="F48" s="32" t="s">
        <v>98</v>
      </c>
      <c r="G48" s="32" t="s">
        <v>46</v>
      </c>
      <c r="H48" s="32" t="s">
        <v>18</v>
      </c>
      <c r="I48" s="32">
        <v>92.248999999999995</v>
      </c>
      <c r="J48" s="32">
        <v>58.478000000000002</v>
      </c>
      <c r="K48" s="32" t="b">
        <v>1</v>
      </c>
      <c r="L48" s="32" t="s">
        <v>63</v>
      </c>
      <c r="M48" s="32" t="s">
        <v>48</v>
      </c>
      <c r="N48" s="34">
        <v>46063</v>
      </c>
      <c r="O48" s="35" t="str">
        <f t="shared" si="0"/>
        <v>Nguyễn Giê Nha</v>
      </c>
    </row>
    <row r="49" spans="1:15">
      <c r="A49" s="32" t="s">
        <v>97</v>
      </c>
      <c r="B49" s="32" t="s">
        <v>44</v>
      </c>
      <c r="C49" s="33">
        <v>46036</v>
      </c>
      <c r="D49" s="32">
        <v>918825152</v>
      </c>
      <c r="E49" s="32">
        <v>498672022</v>
      </c>
      <c r="F49" s="32" t="s">
        <v>98</v>
      </c>
      <c r="G49" s="32" t="s">
        <v>46</v>
      </c>
      <c r="H49" s="32" t="s">
        <v>18</v>
      </c>
      <c r="I49" s="32">
        <v>100.292</v>
      </c>
      <c r="J49" s="32">
        <v>50.290999999999997</v>
      </c>
      <c r="K49" s="32" t="b">
        <v>1</v>
      </c>
      <c r="L49" s="32" t="s">
        <v>63</v>
      </c>
      <c r="M49" s="32" t="s">
        <v>48</v>
      </c>
      <c r="N49" s="34">
        <v>46276</v>
      </c>
      <c r="O49" s="35" t="str">
        <f t="shared" si="0"/>
        <v>Nguyễn Giê Nha</v>
      </c>
    </row>
    <row r="50" spans="1:15">
      <c r="A50" s="32" t="s">
        <v>97</v>
      </c>
      <c r="B50" s="32" t="s">
        <v>44</v>
      </c>
      <c r="C50" s="33">
        <v>46036</v>
      </c>
      <c r="D50" s="32">
        <v>918825152</v>
      </c>
      <c r="E50" s="32">
        <v>498672022</v>
      </c>
      <c r="F50" s="32" t="s">
        <v>98</v>
      </c>
      <c r="G50" s="32" t="s">
        <v>46</v>
      </c>
      <c r="H50" s="32" t="s">
        <v>18</v>
      </c>
      <c r="I50" s="32">
        <v>103.72</v>
      </c>
      <c r="J50" s="32">
        <v>59.158999999999999</v>
      </c>
      <c r="K50" s="32" t="b">
        <v>1</v>
      </c>
      <c r="L50" s="32" t="s">
        <v>63</v>
      </c>
      <c r="M50" s="32" t="s">
        <v>48</v>
      </c>
      <c r="N50" s="32" t="s">
        <v>99</v>
      </c>
      <c r="O50" s="35" t="str">
        <f t="shared" si="0"/>
        <v>Nguyễn Giê Nha</v>
      </c>
    </row>
    <row r="51" spans="1:15">
      <c r="A51" s="32" t="s">
        <v>97</v>
      </c>
      <c r="B51" s="32" t="s">
        <v>44</v>
      </c>
      <c r="C51" s="33">
        <v>46036</v>
      </c>
      <c r="D51" s="32">
        <v>918825152</v>
      </c>
      <c r="E51" s="32">
        <v>498672022</v>
      </c>
      <c r="F51" s="32" t="s">
        <v>98</v>
      </c>
      <c r="G51" s="32" t="s">
        <v>46</v>
      </c>
      <c r="H51" s="32" t="s">
        <v>18</v>
      </c>
      <c r="I51" s="32">
        <v>101.133</v>
      </c>
      <c r="J51" s="32">
        <v>55.228000000000002</v>
      </c>
      <c r="K51" s="32" t="b">
        <v>1</v>
      </c>
      <c r="L51" s="32" t="s">
        <v>63</v>
      </c>
      <c r="M51" s="32" t="s">
        <v>48</v>
      </c>
      <c r="N51" s="34">
        <v>46063</v>
      </c>
      <c r="O51" s="35" t="str">
        <f t="shared" si="0"/>
        <v>Nguyễn Giê Nha</v>
      </c>
    </row>
    <row r="52" spans="1:15">
      <c r="A52" s="32" t="s">
        <v>97</v>
      </c>
      <c r="B52" s="32" t="s">
        <v>44</v>
      </c>
      <c r="C52" s="33">
        <v>46036</v>
      </c>
      <c r="D52" s="32">
        <v>918825152</v>
      </c>
      <c r="E52" s="32">
        <v>498672022</v>
      </c>
      <c r="F52" s="32" t="s">
        <v>98</v>
      </c>
      <c r="G52" s="32" t="s">
        <v>46</v>
      </c>
      <c r="H52" s="32" t="s">
        <v>18</v>
      </c>
      <c r="I52" s="32">
        <v>96.069000000000003</v>
      </c>
      <c r="J52" s="32">
        <v>59.957000000000001</v>
      </c>
      <c r="K52" s="32" t="b">
        <v>1</v>
      </c>
      <c r="L52" s="32" t="s">
        <v>63</v>
      </c>
      <c r="M52" s="32" t="s">
        <v>48</v>
      </c>
      <c r="N52" s="34">
        <v>46037</v>
      </c>
      <c r="O52" s="35" t="str">
        <f t="shared" si="0"/>
        <v>Nguyễn Giê Nha</v>
      </c>
    </row>
    <row r="53" spans="1:15">
      <c r="A53" s="32" t="s">
        <v>97</v>
      </c>
      <c r="B53" s="32" t="s">
        <v>44</v>
      </c>
      <c r="C53" s="33">
        <v>46036</v>
      </c>
      <c r="D53" s="32">
        <v>918825152</v>
      </c>
      <c r="E53" s="32">
        <v>498672022</v>
      </c>
      <c r="F53" s="32" t="s">
        <v>98</v>
      </c>
      <c r="G53" s="32" t="s">
        <v>46</v>
      </c>
      <c r="H53" s="32" t="s">
        <v>18</v>
      </c>
      <c r="I53" s="32">
        <v>87.927999999999997</v>
      </c>
      <c r="J53" s="32">
        <v>55.960999999999999</v>
      </c>
      <c r="K53" s="32" t="b">
        <v>1</v>
      </c>
      <c r="L53" s="32" t="s">
        <v>63</v>
      </c>
      <c r="M53" s="32" t="s">
        <v>48</v>
      </c>
      <c r="N53" s="34">
        <v>46212</v>
      </c>
      <c r="O53" s="35" t="str">
        <f t="shared" si="0"/>
        <v>Nguyễn Giê Nha</v>
      </c>
    </row>
    <row r="54" spans="1:15">
      <c r="A54" s="32" t="s">
        <v>97</v>
      </c>
      <c r="B54" s="32" t="s">
        <v>44</v>
      </c>
      <c r="C54" s="33">
        <v>46036</v>
      </c>
      <c r="D54" s="32">
        <v>918825152</v>
      </c>
      <c r="E54" s="32">
        <v>498672022</v>
      </c>
      <c r="F54" s="32" t="s">
        <v>98</v>
      </c>
      <c r="G54" s="32" t="s">
        <v>46</v>
      </c>
      <c r="H54" s="32" t="s">
        <v>18</v>
      </c>
      <c r="I54" s="32">
        <v>98.79</v>
      </c>
      <c r="J54" s="32">
        <v>56.87</v>
      </c>
      <c r="K54" s="32" t="b">
        <v>1</v>
      </c>
      <c r="L54" s="32" t="s">
        <v>63</v>
      </c>
      <c r="M54" s="32" t="s">
        <v>48</v>
      </c>
      <c r="N54" s="34">
        <v>46029</v>
      </c>
      <c r="O54" s="35" t="str">
        <f t="shared" si="0"/>
        <v>Nguyễn Giê Nha</v>
      </c>
    </row>
    <row r="55" spans="1:15">
      <c r="A55" s="32" t="s">
        <v>97</v>
      </c>
      <c r="B55" s="32" t="s">
        <v>44</v>
      </c>
      <c r="C55" s="33">
        <v>46036</v>
      </c>
      <c r="D55" s="32">
        <v>918825152</v>
      </c>
      <c r="E55" s="32">
        <v>498672022</v>
      </c>
      <c r="F55" s="32" t="s">
        <v>98</v>
      </c>
      <c r="G55" s="32" t="s">
        <v>46</v>
      </c>
      <c r="H55" s="32" t="s">
        <v>18</v>
      </c>
      <c r="I55" s="32">
        <v>99.465999999999994</v>
      </c>
      <c r="J55" s="32">
        <v>58.517000000000003</v>
      </c>
      <c r="K55" s="32" t="b">
        <v>1</v>
      </c>
      <c r="L55" s="32" t="s">
        <v>63</v>
      </c>
      <c r="M55" s="32" t="s">
        <v>48</v>
      </c>
      <c r="N55" s="34">
        <v>46185</v>
      </c>
      <c r="O55" s="35" t="str">
        <f t="shared" si="0"/>
        <v>Nguyễn Giê Nha</v>
      </c>
    </row>
    <row r="56" spans="1:15">
      <c r="A56" s="32" t="s">
        <v>97</v>
      </c>
      <c r="B56" s="32" t="s">
        <v>44</v>
      </c>
      <c r="C56" s="33">
        <v>46036</v>
      </c>
      <c r="D56" s="32">
        <v>918825152</v>
      </c>
      <c r="E56" s="32">
        <v>498672022</v>
      </c>
      <c r="F56" s="32" t="s">
        <v>98</v>
      </c>
      <c r="G56" s="32" t="s">
        <v>46</v>
      </c>
      <c r="H56" s="32" t="s">
        <v>18</v>
      </c>
      <c r="I56" s="32">
        <v>108.152</v>
      </c>
      <c r="J56" s="32">
        <v>54.75</v>
      </c>
      <c r="K56" s="32" t="b">
        <v>1</v>
      </c>
      <c r="L56" s="32" t="s">
        <v>63</v>
      </c>
      <c r="M56" s="32" t="s">
        <v>48</v>
      </c>
      <c r="N56" s="34">
        <v>46072</v>
      </c>
      <c r="O56" s="35" t="str">
        <f t="shared" si="0"/>
        <v>Nguyễn Giê Nha</v>
      </c>
    </row>
    <row r="57" spans="1:15">
      <c r="A57" s="32" t="s">
        <v>97</v>
      </c>
      <c r="B57" s="32" t="s">
        <v>44</v>
      </c>
      <c r="C57" s="33">
        <v>46036</v>
      </c>
      <c r="D57" s="32">
        <v>918825152</v>
      </c>
      <c r="E57" s="32">
        <v>498672022</v>
      </c>
      <c r="F57" s="32" t="s">
        <v>98</v>
      </c>
      <c r="G57" s="32" t="s">
        <v>46</v>
      </c>
      <c r="H57" s="32" t="s">
        <v>18</v>
      </c>
      <c r="I57" s="32">
        <v>101.175</v>
      </c>
      <c r="J57" s="32">
        <v>57.845999999999997</v>
      </c>
      <c r="K57" s="32" t="b">
        <v>1</v>
      </c>
      <c r="L57" s="32" t="s">
        <v>63</v>
      </c>
      <c r="M57" s="32" t="s">
        <v>48</v>
      </c>
      <c r="N57" s="34">
        <v>46259</v>
      </c>
      <c r="O57" s="35" t="str">
        <f t="shared" si="0"/>
        <v>Nguyễn Giê Nha</v>
      </c>
    </row>
    <row r="58" spans="1:15">
      <c r="A58" s="32" t="s">
        <v>97</v>
      </c>
      <c r="B58" s="32" t="s">
        <v>44</v>
      </c>
      <c r="C58" s="33">
        <v>46036</v>
      </c>
      <c r="D58" s="32">
        <v>918825152</v>
      </c>
      <c r="E58" s="32">
        <v>498672022</v>
      </c>
      <c r="F58" s="32" t="s">
        <v>98</v>
      </c>
      <c r="G58" s="32" t="s">
        <v>46</v>
      </c>
      <c r="H58" s="32" t="s">
        <v>18</v>
      </c>
      <c r="I58" s="32">
        <v>102.77</v>
      </c>
      <c r="J58" s="32">
        <v>56.847000000000001</v>
      </c>
      <c r="K58" s="32" t="b">
        <v>1</v>
      </c>
      <c r="L58" s="32" t="s">
        <v>63</v>
      </c>
      <c r="M58" s="32" t="s">
        <v>48</v>
      </c>
      <c r="N58" s="32" t="s">
        <v>100</v>
      </c>
      <c r="O58" s="35" t="str">
        <f t="shared" si="0"/>
        <v>Nguyễn Giê Nha</v>
      </c>
    </row>
    <row r="59" spans="1:15">
      <c r="A59" s="32" t="s">
        <v>97</v>
      </c>
      <c r="B59" s="32" t="s">
        <v>44</v>
      </c>
      <c r="C59" s="33">
        <v>46036</v>
      </c>
      <c r="D59" s="32">
        <v>918825152</v>
      </c>
      <c r="E59" s="32">
        <v>498672022</v>
      </c>
      <c r="F59" s="32" t="s">
        <v>98</v>
      </c>
      <c r="G59" s="32" t="s">
        <v>46</v>
      </c>
      <c r="H59" s="32" t="s">
        <v>18</v>
      </c>
      <c r="I59" s="32">
        <v>94.239000000000004</v>
      </c>
      <c r="J59" s="32">
        <v>21.385000000000002</v>
      </c>
      <c r="K59" s="32" t="b">
        <v>1</v>
      </c>
      <c r="L59" s="32" t="s">
        <v>63</v>
      </c>
      <c r="M59" s="32" t="s">
        <v>48</v>
      </c>
      <c r="N59" s="34">
        <v>46063</v>
      </c>
      <c r="O59" s="35" t="str">
        <f t="shared" si="0"/>
        <v>Nguyễn Giê Nha</v>
      </c>
    </row>
    <row r="60" spans="1:15">
      <c r="A60" s="32" t="s">
        <v>97</v>
      </c>
      <c r="B60" s="32" t="s">
        <v>44</v>
      </c>
      <c r="C60" s="33">
        <v>46036</v>
      </c>
      <c r="D60" s="32">
        <v>918825152</v>
      </c>
      <c r="E60" s="32">
        <v>498672022</v>
      </c>
      <c r="F60" s="32" t="s">
        <v>98</v>
      </c>
      <c r="G60" s="32" t="s">
        <v>46</v>
      </c>
      <c r="H60" s="32" t="s">
        <v>18</v>
      </c>
      <c r="I60" s="32">
        <v>102.76</v>
      </c>
      <c r="J60" s="32">
        <v>56.530999999999999</v>
      </c>
      <c r="K60" s="32" t="b">
        <v>1</v>
      </c>
      <c r="L60" s="32" t="s">
        <v>63</v>
      </c>
      <c r="M60" s="32" t="s">
        <v>48</v>
      </c>
      <c r="N60" s="34">
        <v>46148</v>
      </c>
      <c r="O60" s="35" t="str">
        <f t="shared" si="0"/>
        <v>Nguyễn Giê Nha</v>
      </c>
    </row>
    <row r="61" spans="1:15">
      <c r="A61" s="32" t="s">
        <v>97</v>
      </c>
      <c r="B61" s="32" t="s">
        <v>44</v>
      </c>
      <c r="C61" s="33">
        <v>46036</v>
      </c>
      <c r="D61" s="32">
        <v>918825152</v>
      </c>
      <c r="E61" s="32">
        <v>498672022</v>
      </c>
      <c r="F61" s="32" t="s">
        <v>98</v>
      </c>
      <c r="G61" s="32" t="s">
        <v>46</v>
      </c>
      <c r="H61" s="32" t="s">
        <v>18</v>
      </c>
      <c r="I61" s="32">
        <v>106.788</v>
      </c>
      <c r="J61" s="32">
        <v>57.905000000000001</v>
      </c>
      <c r="K61" s="32" t="b">
        <v>1</v>
      </c>
      <c r="L61" s="32" t="s">
        <v>63</v>
      </c>
      <c r="M61" s="32" t="s">
        <v>48</v>
      </c>
      <c r="N61" s="34">
        <v>46040</v>
      </c>
      <c r="O61" s="35" t="str">
        <f t="shared" si="0"/>
        <v>Nguyễn Giê Nha</v>
      </c>
    </row>
    <row r="62" spans="1:15">
      <c r="A62" s="32" t="s">
        <v>97</v>
      </c>
      <c r="B62" s="32" t="s">
        <v>44</v>
      </c>
      <c r="C62" s="33">
        <v>46036</v>
      </c>
      <c r="D62" s="32">
        <v>918825152</v>
      </c>
      <c r="E62" s="32">
        <v>498672022</v>
      </c>
      <c r="F62" s="32" t="s">
        <v>98</v>
      </c>
      <c r="G62" s="32" t="s">
        <v>46</v>
      </c>
      <c r="H62" s="32" t="s">
        <v>18</v>
      </c>
      <c r="I62" s="32">
        <v>86.454999999999998</v>
      </c>
      <c r="J62" s="32">
        <v>56.268000000000001</v>
      </c>
      <c r="K62" s="32" t="b">
        <v>1</v>
      </c>
      <c r="L62" s="32" t="s">
        <v>63</v>
      </c>
      <c r="M62" s="32" t="s">
        <v>48</v>
      </c>
      <c r="N62" s="34">
        <v>46213</v>
      </c>
      <c r="O62" s="35" t="str">
        <f t="shared" si="0"/>
        <v>Nguyễn Giê Nha</v>
      </c>
    </row>
    <row r="63" spans="1:15">
      <c r="A63" s="32" t="s">
        <v>97</v>
      </c>
      <c r="B63" s="32" t="s">
        <v>44</v>
      </c>
      <c r="C63" s="33">
        <v>46036</v>
      </c>
      <c r="D63" s="32">
        <v>918825152</v>
      </c>
      <c r="E63" s="32">
        <v>498672022</v>
      </c>
      <c r="F63" s="32" t="s">
        <v>98</v>
      </c>
      <c r="G63" s="32" t="s">
        <v>46</v>
      </c>
      <c r="H63" s="32" t="s">
        <v>18</v>
      </c>
      <c r="I63" s="32">
        <v>104.119</v>
      </c>
      <c r="J63" s="32">
        <v>58.707000000000001</v>
      </c>
      <c r="K63" s="32" t="b">
        <v>1</v>
      </c>
      <c r="L63" s="32" t="s">
        <v>63</v>
      </c>
      <c r="M63" s="32" t="s">
        <v>48</v>
      </c>
      <c r="N63" s="34">
        <v>46029</v>
      </c>
      <c r="O63" s="35" t="str">
        <f t="shared" si="0"/>
        <v>Nguyễn Giê Nha</v>
      </c>
    </row>
    <row r="64" spans="1:15">
      <c r="A64" s="32" t="s">
        <v>97</v>
      </c>
      <c r="B64" s="32" t="s">
        <v>44</v>
      </c>
      <c r="C64" s="33">
        <v>46036</v>
      </c>
      <c r="D64" s="32">
        <v>918825152</v>
      </c>
      <c r="E64" s="32">
        <v>498672022</v>
      </c>
      <c r="F64" s="32" t="s">
        <v>98</v>
      </c>
      <c r="G64" s="32" t="s">
        <v>46</v>
      </c>
      <c r="H64" s="32" t="s">
        <v>18</v>
      </c>
      <c r="I64" s="32">
        <v>78.02</v>
      </c>
      <c r="J64" s="32">
        <v>57.66</v>
      </c>
      <c r="K64" s="32" t="b">
        <v>1</v>
      </c>
      <c r="L64" s="32" t="s">
        <v>63</v>
      </c>
      <c r="M64" s="32" t="s">
        <v>48</v>
      </c>
      <c r="N64" s="34">
        <v>46115</v>
      </c>
      <c r="O64" s="35" t="str">
        <f t="shared" si="0"/>
        <v>Nguyễn Giê Nha</v>
      </c>
    </row>
    <row r="65" spans="1:15">
      <c r="A65" s="32" t="s">
        <v>97</v>
      </c>
      <c r="B65" s="32" t="s">
        <v>44</v>
      </c>
      <c r="C65" s="33">
        <v>46036</v>
      </c>
      <c r="D65" s="32">
        <v>918825152</v>
      </c>
      <c r="E65" s="32">
        <v>498672022</v>
      </c>
      <c r="F65" s="32" t="s">
        <v>98</v>
      </c>
      <c r="G65" s="32" t="s">
        <v>46</v>
      </c>
      <c r="H65" s="32" t="s">
        <v>18</v>
      </c>
      <c r="I65" s="32">
        <v>116.065</v>
      </c>
      <c r="J65" s="32">
        <v>57.701000000000001</v>
      </c>
      <c r="K65" s="32" t="b">
        <v>1</v>
      </c>
      <c r="L65" s="32" t="s">
        <v>63</v>
      </c>
      <c r="M65" s="32" t="s">
        <v>48</v>
      </c>
      <c r="N65" s="34">
        <v>46150</v>
      </c>
      <c r="O65" s="35" t="str">
        <f t="shared" si="0"/>
        <v>Nguyễn Giê Nha</v>
      </c>
    </row>
    <row r="66" spans="1:15">
      <c r="A66" s="32" t="s">
        <v>97</v>
      </c>
      <c r="B66" s="32" t="s">
        <v>44</v>
      </c>
      <c r="C66" s="33">
        <v>46036</v>
      </c>
      <c r="D66" s="32">
        <v>918825152</v>
      </c>
      <c r="E66" s="32">
        <v>498672022</v>
      </c>
      <c r="F66" s="32" t="s">
        <v>98</v>
      </c>
      <c r="G66" s="32" t="s">
        <v>46</v>
      </c>
      <c r="H66" s="32" t="s">
        <v>18</v>
      </c>
      <c r="I66" s="32">
        <v>81.061999999999998</v>
      </c>
      <c r="J66" s="32">
        <v>55.107999999999997</v>
      </c>
      <c r="K66" s="32" t="b">
        <v>1</v>
      </c>
      <c r="L66" s="32" t="s">
        <v>63</v>
      </c>
      <c r="M66" s="32" t="s">
        <v>48</v>
      </c>
      <c r="N66" s="32" t="s">
        <v>101</v>
      </c>
      <c r="O66" s="35" t="str">
        <f t="shared" si="0"/>
        <v>Nguyễn Giê Nha</v>
      </c>
    </row>
    <row r="67" spans="1:15">
      <c r="A67" s="32" t="s">
        <v>49</v>
      </c>
      <c r="B67" s="32" t="s">
        <v>44</v>
      </c>
      <c r="C67" s="33">
        <v>46036</v>
      </c>
      <c r="D67" s="32">
        <v>947245878</v>
      </c>
      <c r="E67" s="32">
        <v>493854272</v>
      </c>
      <c r="F67" s="32" t="s">
        <v>50</v>
      </c>
      <c r="G67" s="32" t="s">
        <v>46</v>
      </c>
      <c r="H67" s="32" t="s">
        <v>58</v>
      </c>
      <c r="I67" s="32">
        <v>962.53300000000002</v>
      </c>
      <c r="J67" s="32">
        <v>157.40899999999999</v>
      </c>
      <c r="K67" s="32" t="b">
        <v>0</v>
      </c>
      <c r="L67" s="32" t="s">
        <v>47</v>
      </c>
      <c r="M67" s="32" t="s">
        <v>48</v>
      </c>
      <c r="N67" s="34">
        <v>46057</v>
      </c>
      <c r="O67" s="35" t="str">
        <f t="shared" si="0"/>
        <v>Phạm Nguyễn Quang Huy</v>
      </c>
    </row>
    <row r="68" spans="1:15">
      <c r="A68" s="32" t="s">
        <v>49</v>
      </c>
      <c r="B68" s="32" t="s">
        <v>44</v>
      </c>
      <c r="C68" s="33">
        <v>46036</v>
      </c>
      <c r="D68" s="32">
        <v>828926567</v>
      </c>
      <c r="E68" s="32">
        <v>493854272</v>
      </c>
      <c r="F68" s="32" t="s">
        <v>50</v>
      </c>
      <c r="G68" s="32" t="s">
        <v>46</v>
      </c>
      <c r="H68" s="32" t="s">
        <v>58</v>
      </c>
      <c r="I68" s="32">
        <v>962.53300000000002</v>
      </c>
      <c r="J68" s="32">
        <v>157.40899999999999</v>
      </c>
      <c r="K68" s="32" t="b">
        <v>0</v>
      </c>
      <c r="L68" s="32" t="s">
        <v>47</v>
      </c>
      <c r="M68" s="32" t="s">
        <v>48</v>
      </c>
      <c r="N68" s="34">
        <v>46057</v>
      </c>
      <c r="O68" s="35" t="str">
        <f t="shared" si="0"/>
        <v>Phạm Nguyễn Quang Huy</v>
      </c>
    </row>
    <row r="69" spans="1:15">
      <c r="A69" s="32" t="s">
        <v>72</v>
      </c>
      <c r="B69" s="32" t="s">
        <v>44</v>
      </c>
      <c r="C69" s="33">
        <v>46036</v>
      </c>
      <c r="D69" s="32">
        <v>918955485</v>
      </c>
      <c r="E69" s="32">
        <v>463253403</v>
      </c>
      <c r="F69" s="32" t="s">
        <v>73</v>
      </c>
      <c r="G69" s="32" t="s">
        <v>46</v>
      </c>
      <c r="H69" s="32" t="s">
        <v>18</v>
      </c>
      <c r="I69" s="32">
        <v>451.803</v>
      </c>
      <c r="J69" s="32">
        <v>52.902000000000001</v>
      </c>
      <c r="K69" s="32" t="b">
        <v>1</v>
      </c>
      <c r="L69" s="32" t="s">
        <v>47</v>
      </c>
      <c r="M69" s="32" t="s">
        <v>48</v>
      </c>
      <c r="N69" s="34">
        <v>46119</v>
      </c>
      <c r="O69" s="35" t="str">
        <f t="shared" si="0"/>
        <v>Lê Thành Tài</v>
      </c>
    </row>
    <row r="70" spans="1:15">
      <c r="A70" s="32" t="s">
        <v>72</v>
      </c>
      <c r="B70" s="32" t="s">
        <v>44</v>
      </c>
      <c r="C70" s="33">
        <v>46036</v>
      </c>
      <c r="D70" s="32">
        <v>918955485</v>
      </c>
      <c r="E70" s="32">
        <v>463253403</v>
      </c>
      <c r="F70" s="32" t="s">
        <v>73</v>
      </c>
      <c r="G70" s="32" t="s">
        <v>46</v>
      </c>
      <c r="H70" s="32" t="s">
        <v>18</v>
      </c>
      <c r="I70" s="32">
        <v>490.88499999999999</v>
      </c>
      <c r="J70" s="32">
        <v>56.256999999999998</v>
      </c>
      <c r="K70" s="32" t="b">
        <v>1</v>
      </c>
      <c r="L70" s="32" t="s">
        <v>47</v>
      </c>
      <c r="M70" s="32" t="s">
        <v>48</v>
      </c>
      <c r="N70" s="34">
        <v>46114</v>
      </c>
      <c r="O70" s="35" t="str">
        <f t="shared" si="0"/>
        <v>Lê Thành Tài</v>
      </c>
    </row>
    <row r="71" spans="1:15">
      <c r="A71" s="32" t="s">
        <v>72</v>
      </c>
      <c r="B71" s="32" t="s">
        <v>44</v>
      </c>
      <c r="C71" s="33">
        <v>46036</v>
      </c>
      <c r="D71" s="32">
        <v>918955485</v>
      </c>
      <c r="E71" s="32">
        <v>463253403</v>
      </c>
      <c r="F71" s="32" t="s">
        <v>73</v>
      </c>
      <c r="G71" s="32" t="s">
        <v>46</v>
      </c>
      <c r="H71" s="32" t="s">
        <v>18</v>
      </c>
      <c r="I71" s="32">
        <v>555.46400000000006</v>
      </c>
      <c r="J71" s="32">
        <v>56.988999999999997</v>
      </c>
      <c r="K71" s="32" t="b">
        <v>1</v>
      </c>
      <c r="L71" s="32" t="s">
        <v>47</v>
      </c>
      <c r="M71" s="32" t="s">
        <v>48</v>
      </c>
      <c r="N71" s="32" t="s">
        <v>100</v>
      </c>
      <c r="O71" s="35" t="str">
        <f t="shared" si="0"/>
        <v>Lê Thành Tài</v>
      </c>
    </row>
    <row r="72" spans="1:15">
      <c r="A72" s="32" t="s">
        <v>72</v>
      </c>
      <c r="B72" s="32" t="s">
        <v>44</v>
      </c>
      <c r="C72" s="33">
        <v>46036</v>
      </c>
      <c r="D72" s="32">
        <v>918955485</v>
      </c>
      <c r="E72" s="32">
        <v>463253403</v>
      </c>
      <c r="F72" s="32" t="s">
        <v>73</v>
      </c>
      <c r="G72" s="32" t="s">
        <v>46</v>
      </c>
      <c r="H72" s="32" t="s">
        <v>18</v>
      </c>
      <c r="I72" s="32">
        <v>552.21100000000001</v>
      </c>
      <c r="J72" s="32">
        <v>54.515999999999998</v>
      </c>
      <c r="K72" s="32" t="b">
        <v>1</v>
      </c>
      <c r="L72" s="32" t="s">
        <v>47</v>
      </c>
      <c r="M72" s="32" t="s">
        <v>48</v>
      </c>
      <c r="N72" s="34">
        <v>46209</v>
      </c>
      <c r="O72" s="35" t="str">
        <f t="shared" si="0"/>
        <v>Lê Thành Tài</v>
      </c>
    </row>
    <row r="73" spans="1:15">
      <c r="A73" s="32" t="s">
        <v>102</v>
      </c>
      <c r="B73" s="32" t="s">
        <v>44</v>
      </c>
      <c r="C73" s="33">
        <v>46036</v>
      </c>
      <c r="D73" s="32">
        <v>919786039</v>
      </c>
      <c r="E73" s="32">
        <v>481505880</v>
      </c>
      <c r="F73" s="32" t="s">
        <v>103</v>
      </c>
      <c r="G73" s="32" t="s">
        <v>46</v>
      </c>
      <c r="H73" s="32" t="s">
        <v>51</v>
      </c>
      <c r="I73" s="32">
        <v>188.66</v>
      </c>
      <c r="J73" s="32">
        <v>18.271999999999998</v>
      </c>
      <c r="K73" s="32" t="b">
        <v>1</v>
      </c>
      <c r="L73" s="32" t="s">
        <v>79</v>
      </c>
      <c r="M73" s="32" t="s">
        <v>48</v>
      </c>
      <c r="N73" s="34">
        <v>46207</v>
      </c>
      <c r="O73" s="35" t="str">
        <f t="shared" si="0"/>
        <v>Nguyễn Minh Tùng</v>
      </c>
    </row>
    <row r="74" spans="1:15">
      <c r="A74" s="32" t="s">
        <v>104</v>
      </c>
      <c r="B74" s="32" t="s">
        <v>44</v>
      </c>
      <c r="C74" s="33">
        <v>46036</v>
      </c>
      <c r="D74" s="32">
        <v>948555492</v>
      </c>
      <c r="E74" s="32">
        <v>455973985</v>
      </c>
      <c r="F74" s="32" t="s">
        <v>45</v>
      </c>
      <c r="G74" s="32" t="s">
        <v>46</v>
      </c>
      <c r="H74" s="32" t="s">
        <v>51</v>
      </c>
      <c r="I74" s="32">
        <v>76.674999999999997</v>
      </c>
      <c r="J74" s="32">
        <v>19.603000000000002</v>
      </c>
      <c r="K74" s="32" t="b">
        <v>1</v>
      </c>
      <c r="L74" s="32" t="s">
        <v>47</v>
      </c>
      <c r="M74" s="32" t="s">
        <v>48</v>
      </c>
      <c r="N74" s="32" t="s">
        <v>105</v>
      </c>
      <c r="O74" s="35" t="str">
        <f t="shared" si="0"/>
        <v>Nguyễn Phước Thọ</v>
      </c>
    </row>
    <row r="75" spans="1:15">
      <c r="A75" s="32" t="s">
        <v>104</v>
      </c>
      <c r="B75" s="32" t="s">
        <v>44</v>
      </c>
      <c r="C75" s="33">
        <v>46036</v>
      </c>
      <c r="D75" s="32">
        <v>911825292</v>
      </c>
      <c r="E75" s="32">
        <v>455973985</v>
      </c>
      <c r="F75" s="32" t="s">
        <v>45</v>
      </c>
      <c r="G75" s="32" t="s">
        <v>46</v>
      </c>
      <c r="H75" s="32" t="s">
        <v>51</v>
      </c>
      <c r="I75" s="32">
        <v>76.674999999999997</v>
      </c>
      <c r="J75" s="32">
        <v>19.603000000000002</v>
      </c>
      <c r="K75" s="32" t="b">
        <v>1</v>
      </c>
      <c r="L75" s="32" t="s">
        <v>47</v>
      </c>
      <c r="M75" s="32" t="s">
        <v>48</v>
      </c>
      <c r="N75" s="32" t="s">
        <v>105</v>
      </c>
      <c r="O75" s="35" t="str">
        <f t="shared" si="0"/>
        <v>Nguyễn Phước Thọ</v>
      </c>
    </row>
    <row r="76" spans="1:15">
      <c r="A76" s="32" t="s">
        <v>104</v>
      </c>
      <c r="B76" s="32" t="s">
        <v>44</v>
      </c>
      <c r="C76" s="33">
        <v>46036</v>
      </c>
      <c r="D76" s="32">
        <v>911825292</v>
      </c>
      <c r="E76" s="32">
        <v>455973985</v>
      </c>
      <c r="F76" s="32" t="s">
        <v>45</v>
      </c>
      <c r="G76" s="32" t="s">
        <v>46</v>
      </c>
      <c r="H76" s="32" t="s">
        <v>51</v>
      </c>
      <c r="I76" s="32">
        <v>230.88399999999999</v>
      </c>
      <c r="J76" s="32">
        <v>47.347999999999999</v>
      </c>
      <c r="K76" s="32" t="b">
        <v>1</v>
      </c>
      <c r="L76" s="32" t="s">
        <v>47</v>
      </c>
      <c r="M76" s="32" t="s">
        <v>48</v>
      </c>
      <c r="N76" s="34">
        <v>46146</v>
      </c>
      <c r="O76" s="35" t="str">
        <f t="shared" si="0"/>
        <v>Nguyễn Phước Thọ</v>
      </c>
    </row>
    <row r="77" spans="1:15">
      <c r="A77" s="32" t="s">
        <v>104</v>
      </c>
      <c r="B77" s="32" t="s">
        <v>44</v>
      </c>
      <c r="C77" s="33">
        <v>46036</v>
      </c>
      <c r="D77" s="32">
        <v>948555492</v>
      </c>
      <c r="E77" s="32">
        <v>455973985</v>
      </c>
      <c r="F77" s="32" t="s">
        <v>45</v>
      </c>
      <c r="G77" s="32" t="s">
        <v>46</v>
      </c>
      <c r="H77" s="32" t="s">
        <v>51</v>
      </c>
      <c r="I77" s="32">
        <v>230.88399999999999</v>
      </c>
      <c r="J77" s="32">
        <v>47.347999999999999</v>
      </c>
      <c r="K77" s="32" t="b">
        <v>1</v>
      </c>
      <c r="L77" s="32" t="s">
        <v>47</v>
      </c>
      <c r="M77" s="32" t="s">
        <v>48</v>
      </c>
      <c r="N77" s="34">
        <v>46146</v>
      </c>
      <c r="O77" s="35" t="str">
        <f t="shared" si="0"/>
        <v>Nguyễn Phước Thọ</v>
      </c>
    </row>
    <row r="78" spans="1:15">
      <c r="A78" s="32" t="s">
        <v>104</v>
      </c>
      <c r="B78" s="32" t="s">
        <v>44</v>
      </c>
      <c r="C78" s="33">
        <v>46036</v>
      </c>
      <c r="D78" s="32">
        <v>911825292</v>
      </c>
      <c r="E78" s="32">
        <v>455973985</v>
      </c>
      <c r="F78" s="32" t="s">
        <v>45</v>
      </c>
      <c r="G78" s="32" t="s">
        <v>46</v>
      </c>
      <c r="H78" s="32" t="s">
        <v>51</v>
      </c>
      <c r="I78" s="32">
        <v>74.597999999999999</v>
      </c>
      <c r="J78" s="32">
        <v>40.454999999999998</v>
      </c>
      <c r="K78" s="32" t="b">
        <v>1</v>
      </c>
      <c r="L78" s="32" t="s">
        <v>47</v>
      </c>
      <c r="M78" s="32" t="s">
        <v>48</v>
      </c>
      <c r="N78" s="34">
        <v>46245</v>
      </c>
      <c r="O78" s="35" t="str">
        <f t="shared" si="0"/>
        <v>Nguyễn Phước Thọ</v>
      </c>
    </row>
    <row r="79" spans="1:15">
      <c r="A79" s="32" t="s">
        <v>104</v>
      </c>
      <c r="B79" s="32" t="s">
        <v>44</v>
      </c>
      <c r="C79" s="33">
        <v>46036</v>
      </c>
      <c r="D79" s="32">
        <v>948555492</v>
      </c>
      <c r="E79" s="32">
        <v>455973985</v>
      </c>
      <c r="F79" s="32" t="s">
        <v>45</v>
      </c>
      <c r="G79" s="32" t="s">
        <v>46</v>
      </c>
      <c r="H79" s="32" t="s">
        <v>51</v>
      </c>
      <c r="I79" s="32">
        <v>74.597999999999999</v>
      </c>
      <c r="J79" s="32">
        <v>40.454999999999998</v>
      </c>
      <c r="K79" s="32" t="b">
        <v>1</v>
      </c>
      <c r="L79" s="32" t="s">
        <v>47</v>
      </c>
      <c r="M79" s="32" t="s">
        <v>48</v>
      </c>
      <c r="N79" s="34">
        <v>46245</v>
      </c>
      <c r="O79" s="35" t="str">
        <f t="shared" si="0"/>
        <v>Nguyễn Phước Thọ</v>
      </c>
    </row>
    <row r="80" spans="1:15">
      <c r="A80" s="32" t="s">
        <v>106</v>
      </c>
      <c r="B80" s="32" t="s">
        <v>44</v>
      </c>
      <c r="C80" s="33">
        <v>46036</v>
      </c>
      <c r="D80" s="32">
        <v>911039328</v>
      </c>
      <c r="E80" s="32">
        <v>404632975</v>
      </c>
      <c r="F80" s="32" t="s">
        <v>107</v>
      </c>
      <c r="G80" s="32" t="s">
        <v>46</v>
      </c>
      <c r="H80" s="32" t="s">
        <v>18</v>
      </c>
      <c r="I80" s="32">
        <v>116.849</v>
      </c>
      <c r="J80" s="32">
        <v>57.241999999999997</v>
      </c>
      <c r="K80" s="32" t="b">
        <v>1</v>
      </c>
      <c r="L80" s="32" t="s">
        <v>47</v>
      </c>
      <c r="M80" s="32" t="s">
        <v>48</v>
      </c>
      <c r="N80" s="34">
        <v>46158</v>
      </c>
      <c r="O80" s="35" t="str">
        <f t="shared" si="0"/>
        <v>Trương Vũ Hải</v>
      </c>
    </row>
    <row r="81" spans="1:15">
      <c r="A81" s="32" t="s">
        <v>59</v>
      </c>
      <c r="B81" s="32" t="s">
        <v>44</v>
      </c>
      <c r="C81" s="33">
        <v>46036</v>
      </c>
      <c r="D81" s="32">
        <v>918278345</v>
      </c>
      <c r="E81" s="32">
        <v>511526722</v>
      </c>
      <c r="F81" s="32" t="s">
        <v>60</v>
      </c>
      <c r="G81" s="32" t="s">
        <v>46</v>
      </c>
      <c r="H81" s="32" t="s">
        <v>58</v>
      </c>
      <c r="I81" s="32">
        <v>67.218000000000004</v>
      </c>
      <c r="J81" s="32">
        <v>50.993000000000002</v>
      </c>
      <c r="K81" s="32" t="b">
        <v>1</v>
      </c>
      <c r="L81" s="32" t="s">
        <v>47</v>
      </c>
      <c r="M81" s="32" t="s">
        <v>48</v>
      </c>
      <c r="N81" s="34">
        <v>46026</v>
      </c>
      <c r="O81" s="35" t="str">
        <f t="shared" si="0"/>
        <v>Trịnh Minh Trí</v>
      </c>
    </row>
    <row r="82" spans="1:15">
      <c r="A82" s="32" t="s">
        <v>59</v>
      </c>
      <c r="B82" s="32" t="s">
        <v>44</v>
      </c>
      <c r="C82" s="33">
        <v>46036</v>
      </c>
      <c r="D82" s="32">
        <v>918278345</v>
      </c>
      <c r="E82" s="32">
        <v>511526722</v>
      </c>
      <c r="F82" s="32" t="s">
        <v>60</v>
      </c>
      <c r="G82" s="32" t="s">
        <v>46</v>
      </c>
      <c r="H82" s="32" t="s">
        <v>58</v>
      </c>
      <c r="I82" s="32">
        <v>80.864000000000004</v>
      </c>
      <c r="J82" s="32">
        <v>51.027999999999999</v>
      </c>
      <c r="K82" s="32" t="b">
        <v>1</v>
      </c>
      <c r="L82" s="32" t="s">
        <v>47</v>
      </c>
      <c r="M82" s="32" t="s">
        <v>48</v>
      </c>
      <c r="N82" s="34">
        <v>46146</v>
      </c>
      <c r="O82" s="35" t="str">
        <f t="shared" si="0"/>
        <v>Trịnh Minh Trí</v>
      </c>
    </row>
    <row r="83" spans="1:15">
      <c r="A83" s="32" t="s">
        <v>59</v>
      </c>
      <c r="B83" s="32" t="s">
        <v>44</v>
      </c>
      <c r="C83" s="33">
        <v>46036</v>
      </c>
      <c r="D83" s="32">
        <v>918278345</v>
      </c>
      <c r="E83" s="32">
        <v>511526722</v>
      </c>
      <c r="F83" s="32" t="s">
        <v>60</v>
      </c>
      <c r="G83" s="32" t="s">
        <v>46</v>
      </c>
      <c r="H83" s="32" t="s">
        <v>58</v>
      </c>
      <c r="I83" s="32">
        <v>61.136000000000003</v>
      </c>
      <c r="J83" s="32">
        <v>50.838999999999999</v>
      </c>
      <c r="K83" s="32" t="b">
        <v>1</v>
      </c>
      <c r="L83" s="32" t="s">
        <v>47</v>
      </c>
      <c r="M83" s="32" t="s">
        <v>48</v>
      </c>
      <c r="N83" s="34">
        <v>46131</v>
      </c>
      <c r="O83" s="35" t="str">
        <f t="shared" si="0"/>
        <v>Trịnh Minh Trí</v>
      </c>
    </row>
    <row r="84" spans="1:15">
      <c r="A84" s="32" t="s">
        <v>108</v>
      </c>
      <c r="B84" s="32" t="s">
        <v>44</v>
      </c>
      <c r="C84" s="33">
        <v>46036</v>
      </c>
      <c r="D84" s="32">
        <v>941202345</v>
      </c>
      <c r="E84" s="32">
        <v>487556689</v>
      </c>
      <c r="F84" s="32" t="s">
        <v>109</v>
      </c>
      <c r="G84" s="32" t="s">
        <v>46</v>
      </c>
      <c r="H84" s="32" t="s">
        <v>51</v>
      </c>
      <c r="I84" s="32">
        <v>117.685</v>
      </c>
      <c r="J84" s="32">
        <v>79.272000000000006</v>
      </c>
      <c r="K84" s="32" t="b">
        <v>0</v>
      </c>
      <c r="L84" s="32" t="s">
        <v>47</v>
      </c>
      <c r="M84" s="32" t="s">
        <v>48</v>
      </c>
      <c r="N84" s="34">
        <v>46267</v>
      </c>
      <c r="O84" s="35" t="str">
        <f t="shared" si="0"/>
        <v>Lê Ân Tình</v>
      </c>
    </row>
    <row r="85" spans="1:15">
      <c r="A85" s="32" t="s">
        <v>108</v>
      </c>
      <c r="B85" s="32" t="s">
        <v>44</v>
      </c>
      <c r="C85" s="33">
        <v>46036</v>
      </c>
      <c r="D85" s="32">
        <v>941202345</v>
      </c>
      <c r="E85" s="32">
        <v>487556689</v>
      </c>
      <c r="F85" s="32" t="s">
        <v>109</v>
      </c>
      <c r="G85" s="32" t="s">
        <v>46</v>
      </c>
      <c r="H85" s="32" t="s">
        <v>51</v>
      </c>
      <c r="I85" s="32">
        <v>117.685</v>
      </c>
      <c r="J85" s="32">
        <v>79.272000000000006</v>
      </c>
      <c r="K85" s="32" t="b">
        <v>0</v>
      </c>
      <c r="L85" s="32" t="s">
        <v>47</v>
      </c>
      <c r="M85" s="32" t="s">
        <v>48</v>
      </c>
      <c r="N85" s="34">
        <v>46267</v>
      </c>
      <c r="O85" s="35" t="str">
        <f t="shared" si="0"/>
        <v>Lê Ân Tình</v>
      </c>
    </row>
    <row r="86" spans="1:15">
      <c r="A86" s="32" t="s">
        <v>106</v>
      </c>
      <c r="B86" s="32" t="s">
        <v>44</v>
      </c>
      <c r="C86" s="33">
        <v>46036</v>
      </c>
      <c r="D86" s="32">
        <v>911039328</v>
      </c>
      <c r="E86" s="32">
        <v>404632975</v>
      </c>
      <c r="F86" s="32" t="s">
        <v>107</v>
      </c>
      <c r="G86" s="32" t="s">
        <v>46</v>
      </c>
      <c r="H86" s="32" t="s">
        <v>18</v>
      </c>
      <c r="I86" s="32">
        <v>773.09199999999998</v>
      </c>
      <c r="J86" s="32">
        <v>43.353000000000002</v>
      </c>
      <c r="K86" s="32" t="b">
        <v>1</v>
      </c>
      <c r="L86" s="32" t="s">
        <v>47</v>
      </c>
      <c r="M86" s="32" t="s">
        <v>48</v>
      </c>
      <c r="N86" s="34">
        <v>46116</v>
      </c>
      <c r="O86" s="35" t="str">
        <f t="shared" si="0"/>
        <v>Trương Vũ Hải</v>
      </c>
    </row>
    <row r="87" spans="1:15">
      <c r="A87" s="32" t="s">
        <v>106</v>
      </c>
      <c r="B87" s="32" t="s">
        <v>44</v>
      </c>
      <c r="C87" s="33">
        <v>46036</v>
      </c>
      <c r="D87" s="32">
        <v>911039328</v>
      </c>
      <c r="E87" s="32">
        <v>404632975</v>
      </c>
      <c r="F87" s="32" t="s">
        <v>107</v>
      </c>
      <c r="G87" s="32" t="s">
        <v>46</v>
      </c>
      <c r="H87" s="32" t="s">
        <v>18</v>
      </c>
      <c r="I87" s="32">
        <v>771.1</v>
      </c>
      <c r="J87" s="32">
        <v>39.134999999999998</v>
      </c>
      <c r="K87" s="32" t="b">
        <v>1</v>
      </c>
      <c r="L87" s="32" t="s">
        <v>47</v>
      </c>
      <c r="M87" s="32" t="s">
        <v>48</v>
      </c>
      <c r="N87" s="34">
        <v>46119</v>
      </c>
      <c r="O87" s="35" t="str">
        <f t="shared" si="0"/>
        <v>Trương Vũ Hải</v>
      </c>
    </row>
    <row r="88" spans="1:15">
      <c r="A88" s="32" t="s">
        <v>110</v>
      </c>
      <c r="B88" s="32" t="s">
        <v>44</v>
      </c>
      <c r="C88" s="33">
        <v>46036</v>
      </c>
      <c r="D88" s="32">
        <v>853837837</v>
      </c>
      <c r="E88" s="32">
        <v>397762371</v>
      </c>
      <c r="F88" s="32" t="s">
        <v>95</v>
      </c>
      <c r="G88" s="32" t="s">
        <v>46</v>
      </c>
      <c r="H88" s="32" t="s">
        <v>51</v>
      </c>
      <c r="I88" s="32">
        <v>72.727999999999994</v>
      </c>
      <c r="J88" s="32">
        <v>37.883000000000003</v>
      </c>
      <c r="K88" s="32" t="b">
        <v>0</v>
      </c>
      <c r="L88" s="32" t="s">
        <v>47</v>
      </c>
      <c r="M88" s="32" t="s">
        <v>48</v>
      </c>
      <c r="N88" s="34">
        <v>46147</v>
      </c>
      <c r="O88" s="35" t="str">
        <f t="shared" si="0"/>
        <v>Trần Thanh Giàu</v>
      </c>
    </row>
    <row r="89" spans="1:15">
      <c r="A89" s="32" t="s">
        <v>110</v>
      </c>
      <c r="B89" s="32" t="s">
        <v>44</v>
      </c>
      <c r="C89" s="33">
        <v>46036</v>
      </c>
      <c r="D89" s="32">
        <v>853837837</v>
      </c>
      <c r="E89" s="32">
        <v>397762371</v>
      </c>
      <c r="F89" s="32" t="s">
        <v>95</v>
      </c>
      <c r="G89" s="32" t="s">
        <v>46</v>
      </c>
      <c r="H89" s="32" t="s">
        <v>51</v>
      </c>
      <c r="I89" s="32">
        <v>72.727999999999994</v>
      </c>
      <c r="J89" s="32">
        <v>37.883000000000003</v>
      </c>
      <c r="K89" s="32" t="b">
        <v>0</v>
      </c>
      <c r="L89" s="32" t="s">
        <v>47</v>
      </c>
      <c r="M89" s="32" t="s">
        <v>48</v>
      </c>
      <c r="N89" s="34">
        <v>46147</v>
      </c>
      <c r="O89" s="35" t="str">
        <f t="shared" si="0"/>
        <v>Trần Thanh Giàu</v>
      </c>
    </row>
    <row r="90" spans="1:15">
      <c r="A90" s="32" t="s">
        <v>59</v>
      </c>
      <c r="B90" s="32" t="s">
        <v>44</v>
      </c>
      <c r="C90" s="33">
        <v>46036</v>
      </c>
      <c r="D90" s="32">
        <v>918278345</v>
      </c>
      <c r="E90" s="32">
        <v>511526722</v>
      </c>
      <c r="F90" s="32" t="s">
        <v>60</v>
      </c>
      <c r="G90" s="32" t="s">
        <v>46</v>
      </c>
      <c r="H90" s="32" t="s">
        <v>58</v>
      </c>
      <c r="I90" s="32">
        <v>70.069000000000003</v>
      </c>
      <c r="J90" s="32">
        <v>49.792999999999999</v>
      </c>
      <c r="K90" s="32" t="b">
        <v>1</v>
      </c>
      <c r="L90" s="32" t="s">
        <v>47</v>
      </c>
      <c r="M90" s="32" t="s">
        <v>48</v>
      </c>
      <c r="N90" s="34">
        <v>46266</v>
      </c>
      <c r="O90" s="35" t="str">
        <f t="shared" si="0"/>
        <v>Trịnh Minh Trí</v>
      </c>
    </row>
    <row r="91" spans="1:15">
      <c r="A91" s="32" t="s">
        <v>59</v>
      </c>
      <c r="B91" s="32" t="s">
        <v>44</v>
      </c>
      <c r="C91" s="33">
        <v>46036</v>
      </c>
      <c r="D91" s="32">
        <v>918278345</v>
      </c>
      <c r="E91" s="32">
        <v>511526722</v>
      </c>
      <c r="F91" s="32" t="s">
        <v>60</v>
      </c>
      <c r="G91" s="32" t="s">
        <v>46</v>
      </c>
      <c r="H91" s="32" t="s">
        <v>58</v>
      </c>
      <c r="I91" s="32">
        <v>55.83</v>
      </c>
      <c r="J91" s="32">
        <v>47.92</v>
      </c>
      <c r="K91" s="32" t="b">
        <v>1</v>
      </c>
      <c r="L91" s="32" t="s">
        <v>47</v>
      </c>
      <c r="M91" s="32" t="s">
        <v>48</v>
      </c>
      <c r="N91" s="34">
        <v>46178</v>
      </c>
      <c r="O91" s="35" t="str">
        <f t="shared" si="0"/>
        <v>Trịnh Minh Trí</v>
      </c>
    </row>
    <row r="92" spans="1:15">
      <c r="A92" s="32" t="s">
        <v>59</v>
      </c>
      <c r="B92" s="32" t="s">
        <v>44</v>
      </c>
      <c r="C92" s="33">
        <v>46036</v>
      </c>
      <c r="D92" s="32">
        <v>918278345</v>
      </c>
      <c r="E92" s="32">
        <v>511526722</v>
      </c>
      <c r="F92" s="32" t="s">
        <v>60</v>
      </c>
      <c r="G92" s="32" t="s">
        <v>46</v>
      </c>
      <c r="H92" s="32" t="s">
        <v>58</v>
      </c>
      <c r="I92" s="32">
        <v>77.576999999999998</v>
      </c>
      <c r="J92" s="32">
        <v>44.966999999999999</v>
      </c>
      <c r="K92" s="32" t="b">
        <v>1</v>
      </c>
      <c r="L92" s="32" t="s">
        <v>47</v>
      </c>
      <c r="M92" s="32" t="s">
        <v>48</v>
      </c>
      <c r="N92" s="34">
        <v>46269</v>
      </c>
      <c r="O92" s="35" t="str">
        <f t="shared" si="0"/>
        <v>Trịnh Minh Trí</v>
      </c>
    </row>
    <row r="93" spans="1:15">
      <c r="A93" s="32" t="s">
        <v>59</v>
      </c>
      <c r="B93" s="32" t="s">
        <v>44</v>
      </c>
      <c r="C93" s="33">
        <v>46036</v>
      </c>
      <c r="D93" s="32">
        <v>918278345</v>
      </c>
      <c r="E93" s="32">
        <v>511526722</v>
      </c>
      <c r="F93" s="32" t="s">
        <v>60</v>
      </c>
      <c r="G93" s="32" t="s">
        <v>46</v>
      </c>
      <c r="H93" s="32" t="s">
        <v>58</v>
      </c>
      <c r="I93" s="32">
        <v>89.944000000000003</v>
      </c>
      <c r="J93" s="32">
        <v>29.488</v>
      </c>
      <c r="K93" s="32" t="b">
        <v>1</v>
      </c>
      <c r="L93" s="32" t="s">
        <v>47</v>
      </c>
      <c r="M93" s="32" t="s">
        <v>48</v>
      </c>
      <c r="N93" s="34">
        <v>46176</v>
      </c>
      <c r="O93" s="35" t="str">
        <f t="shared" si="0"/>
        <v>Trịnh Minh Trí</v>
      </c>
    </row>
    <row r="94" spans="1:15">
      <c r="A94" s="32" t="s">
        <v>111</v>
      </c>
      <c r="B94" s="32" t="s">
        <v>44</v>
      </c>
      <c r="C94" s="33">
        <v>46036</v>
      </c>
      <c r="D94" s="32">
        <v>945796839</v>
      </c>
      <c r="E94" s="32">
        <v>514818795</v>
      </c>
      <c r="F94" s="32" t="s">
        <v>112</v>
      </c>
      <c r="G94" s="32" t="s">
        <v>46</v>
      </c>
      <c r="H94" s="32" t="s">
        <v>51</v>
      </c>
      <c r="I94" s="32">
        <v>88.203000000000003</v>
      </c>
      <c r="J94" s="32">
        <v>89.679000000000002</v>
      </c>
      <c r="K94" s="32" t="b">
        <v>1</v>
      </c>
      <c r="L94" s="32" t="s">
        <v>79</v>
      </c>
      <c r="M94" s="32" t="s">
        <v>48</v>
      </c>
      <c r="N94" s="34">
        <v>46057</v>
      </c>
      <c r="O94" s="35" t="str">
        <f t="shared" si="0"/>
        <v>Nguyễn Hải Đăng</v>
      </c>
    </row>
    <row r="95" spans="1:15">
      <c r="A95" s="32" t="s">
        <v>102</v>
      </c>
      <c r="B95" s="32" t="s">
        <v>44</v>
      </c>
      <c r="C95" s="33">
        <v>46036</v>
      </c>
      <c r="D95" s="32">
        <v>919786039</v>
      </c>
      <c r="E95" s="32">
        <v>481505880</v>
      </c>
      <c r="F95" s="32" t="s">
        <v>103</v>
      </c>
      <c r="G95" s="32" t="s">
        <v>46</v>
      </c>
      <c r="H95" s="32" t="s">
        <v>58</v>
      </c>
      <c r="I95" s="32">
        <v>193.809</v>
      </c>
      <c r="J95" s="32">
        <v>21.678999999999998</v>
      </c>
      <c r="K95" s="32" t="b">
        <v>1</v>
      </c>
      <c r="L95" s="32" t="s">
        <v>79</v>
      </c>
      <c r="M95" s="32" t="s">
        <v>48</v>
      </c>
      <c r="N95" s="32" t="s">
        <v>113</v>
      </c>
      <c r="O95" s="35" t="str">
        <f t="shared" si="0"/>
        <v>Nguyễn Minh Tùng</v>
      </c>
    </row>
    <row r="96" spans="1:15">
      <c r="A96" s="32" t="s">
        <v>114</v>
      </c>
      <c r="B96" s="32" t="s">
        <v>44</v>
      </c>
      <c r="C96" s="33">
        <v>46036</v>
      </c>
      <c r="D96" s="32">
        <v>858919939</v>
      </c>
      <c r="E96" s="32">
        <v>448167466</v>
      </c>
      <c r="F96" s="32" t="s">
        <v>115</v>
      </c>
      <c r="G96" s="32" t="s">
        <v>46</v>
      </c>
      <c r="H96" s="32" t="s">
        <v>51</v>
      </c>
      <c r="I96" s="32">
        <v>92.486999999999995</v>
      </c>
      <c r="J96" s="32">
        <v>28.875</v>
      </c>
      <c r="K96" s="32" t="b">
        <v>1</v>
      </c>
      <c r="L96" s="32" t="s">
        <v>47</v>
      </c>
      <c r="M96" s="32" t="s">
        <v>48</v>
      </c>
      <c r="N96" s="34">
        <v>46177</v>
      </c>
      <c r="O96" s="35" t="str">
        <f t="shared" si="0"/>
        <v>Huỳnh Trọng Nam</v>
      </c>
    </row>
    <row r="97" spans="1:15">
      <c r="A97" s="32" t="s">
        <v>102</v>
      </c>
      <c r="B97" s="32" t="s">
        <v>44</v>
      </c>
      <c r="C97" s="33">
        <v>46036</v>
      </c>
      <c r="D97" s="32">
        <v>919786039</v>
      </c>
      <c r="E97" s="32">
        <v>481505880</v>
      </c>
      <c r="F97" s="32" t="s">
        <v>103</v>
      </c>
      <c r="G97" s="32" t="s">
        <v>46</v>
      </c>
      <c r="H97" s="32" t="s">
        <v>58</v>
      </c>
      <c r="I97" s="32">
        <v>181.405</v>
      </c>
      <c r="J97" s="32">
        <v>51.884</v>
      </c>
      <c r="K97" s="32" t="b">
        <v>1</v>
      </c>
      <c r="L97" s="32" t="s">
        <v>79</v>
      </c>
      <c r="M97" s="32" t="s">
        <v>48</v>
      </c>
      <c r="N97" s="34">
        <v>46115</v>
      </c>
      <c r="O97" s="35" t="str">
        <f t="shared" si="0"/>
        <v>Nguyễn Minh Tùng</v>
      </c>
    </row>
    <row r="98" spans="1:15">
      <c r="A98" s="32" t="s">
        <v>102</v>
      </c>
      <c r="B98" s="32" t="s">
        <v>44</v>
      </c>
      <c r="C98" s="33">
        <v>46036</v>
      </c>
      <c r="D98" s="32">
        <v>919786039</v>
      </c>
      <c r="E98" s="32">
        <v>481505880</v>
      </c>
      <c r="F98" s="32" t="s">
        <v>103</v>
      </c>
      <c r="G98" s="32" t="s">
        <v>46</v>
      </c>
      <c r="H98" s="32" t="s">
        <v>58</v>
      </c>
      <c r="I98" s="32">
        <v>85.155000000000001</v>
      </c>
      <c r="J98" s="32">
        <v>2.952</v>
      </c>
      <c r="K98" s="32" t="b">
        <v>1</v>
      </c>
      <c r="L98" s="32" t="s">
        <v>79</v>
      </c>
      <c r="M98" s="32" t="s">
        <v>48</v>
      </c>
      <c r="N98" s="32" t="s">
        <v>116</v>
      </c>
      <c r="O98" s="35" t="str">
        <f t="shared" si="0"/>
        <v>Nguyễn Minh Tùng</v>
      </c>
    </row>
    <row r="99" spans="1:15">
      <c r="A99" s="32" t="s">
        <v>102</v>
      </c>
      <c r="B99" s="32" t="s">
        <v>44</v>
      </c>
      <c r="C99" s="33">
        <v>46036</v>
      </c>
      <c r="D99" s="32">
        <v>919786039</v>
      </c>
      <c r="E99" s="32">
        <v>481505880</v>
      </c>
      <c r="F99" s="32" t="s">
        <v>103</v>
      </c>
      <c r="G99" s="32" t="s">
        <v>46</v>
      </c>
      <c r="H99" s="32" t="s">
        <v>58</v>
      </c>
      <c r="I99" s="32">
        <v>199.8</v>
      </c>
      <c r="J99" s="32">
        <v>18.378</v>
      </c>
      <c r="K99" s="32" t="b">
        <v>1</v>
      </c>
      <c r="L99" s="32" t="s">
        <v>79</v>
      </c>
      <c r="M99" s="32" t="s">
        <v>48</v>
      </c>
      <c r="N99" s="34">
        <v>46238</v>
      </c>
      <c r="O99" s="35" t="str">
        <f t="shared" si="0"/>
        <v>Nguyễn Minh Tùng</v>
      </c>
    </row>
    <row r="100" spans="1:15">
      <c r="A100" s="32" t="s">
        <v>117</v>
      </c>
      <c r="B100" s="32" t="s">
        <v>44</v>
      </c>
      <c r="C100" s="33">
        <v>46036</v>
      </c>
      <c r="D100" s="32">
        <v>919669378</v>
      </c>
      <c r="E100" s="32">
        <v>468081965</v>
      </c>
      <c r="F100" s="32" t="s">
        <v>98</v>
      </c>
      <c r="G100" s="32" t="s">
        <v>46</v>
      </c>
      <c r="H100" s="32" t="s">
        <v>18</v>
      </c>
      <c r="I100" s="32">
        <v>73.281000000000006</v>
      </c>
      <c r="J100" s="32">
        <v>59.941000000000003</v>
      </c>
      <c r="K100" s="32" t="b">
        <v>1</v>
      </c>
      <c r="L100" s="32" t="s">
        <v>63</v>
      </c>
      <c r="M100" s="32" t="s">
        <v>48</v>
      </c>
      <c r="N100" s="34">
        <v>46121</v>
      </c>
      <c r="O100" s="35" t="str">
        <f t="shared" si="0"/>
        <v>Nguyễn Văn Long</v>
      </c>
    </row>
    <row r="101" spans="1:15">
      <c r="A101" s="32" t="s">
        <v>117</v>
      </c>
      <c r="B101" s="32" t="s">
        <v>44</v>
      </c>
      <c r="C101" s="33">
        <v>46036</v>
      </c>
      <c r="D101" s="32">
        <v>919669378</v>
      </c>
      <c r="E101" s="32">
        <v>468081965</v>
      </c>
      <c r="F101" s="32" t="s">
        <v>98</v>
      </c>
      <c r="G101" s="32" t="s">
        <v>46</v>
      </c>
      <c r="H101" s="32" t="s">
        <v>18</v>
      </c>
      <c r="I101" s="32">
        <v>71.674000000000007</v>
      </c>
      <c r="J101" s="32">
        <v>56.548999999999999</v>
      </c>
      <c r="K101" s="32" t="b">
        <v>1</v>
      </c>
      <c r="L101" s="32" t="s">
        <v>63</v>
      </c>
      <c r="M101" s="32" t="s">
        <v>48</v>
      </c>
      <c r="N101" s="32" t="s">
        <v>118</v>
      </c>
      <c r="O101" s="35" t="str">
        <f t="shared" si="0"/>
        <v>Nguyễn Văn Long</v>
      </c>
    </row>
    <row r="102" spans="1:15">
      <c r="A102" s="32" t="s">
        <v>117</v>
      </c>
      <c r="B102" s="32" t="s">
        <v>44</v>
      </c>
      <c r="C102" s="33">
        <v>46036</v>
      </c>
      <c r="D102" s="32">
        <v>919669378</v>
      </c>
      <c r="E102" s="32">
        <v>468081965</v>
      </c>
      <c r="F102" s="32" t="s">
        <v>98</v>
      </c>
      <c r="G102" s="32" t="s">
        <v>46</v>
      </c>
      <c r="H102" s="32" t="s">
        <v>18</v>
      </c>
      <c r="I102" s="32">
        <v>83.39</v>
      </c>
      <c r="J102" s="32">
        <v>63.024999999999999</v>
      </c>
      <c r="K102" s="32" t="b">
        <v>1</v>
      </c>
      <c r="L102" s="32" t="s">
        <v>63</v>
      </c>
      <c r="M102" s="32" t="s">
        <v>48</v>
      </c>
      <c r="N102" s="34">
        <v>46068</v>
      </c>
      <c r="O102" s="35" t="str">
        <f t="shared" si="0"/>
        <v>Nguyễn Văn Long</v>
      </c>
    </row>
    <row r="103" spans="1:15">
      <c r="A103" s="32" t="s">
        <v>117</v>
      </c>
      <c r="B103" s="32" t="s">
        <v>44</v>
      </c>
      <c r="C103" s="33">
        <v>46036</v>
      </c>
      <c r="D103" s="32">
        <v>919669378</v>
      </c>
      <c r="E103" s="32">
        <v>468081965</v>
      </c>
      <c r="F103" s="32" t="s">
        <v>98</v>
      </c>
      <c r="G103" s="32" t="s">
        <v>46</v>
      </c>
      <c r="H103" s="32" t="s">
        <v>18</v>
      </c>
      <c r="I103" s="32">
        <v>90.043999999999997</v>
      </c>
      <c r="J103" s="32">
        <v>63.459000000000003</v>
      </c>
      <c r="K103" s="32" t="b">
        <v>1</v>
      </c>
      <c r="L103" s="32" t="s">
        <v>63</v>
      </c>
      <c r="M103" s="32" t="s">
        <v>48</v>
      </c>
      <c r="N103" s="34">
        <v>46211</v>
      </c>
      <c r="O103" s="35" t="str">
        <f t="shared" si="0"/>
        <v>Nguyễn Văn Long</v>
      </c>
    </row>
    <row r="104" spans="1:15">
      <c r="A104" s="32" t="s">
        <v>117</v>
      </c>
      <c r="B104" s="32" t="s">
        <v>44</v>
      </c>
      <c r="C104" s="33">
        <v>46036</v>
      </c>
      <c r="D104" s="32">
        <v>919669378</v>
      </c>
      <c r="E104" s="32">
        <v>468081965</v>
      </c>
      <c r="F104" s="32" t="s">
        <v>98</v>
      </c>
      <c r="G104" s="32" t="s">
        <v>46</v>
      </c>
      <c r="H104" s="32" t="s">
        <v>18</v>
      </c>
      <c r="I104" s="32">
        <v>99.018000000000001</v>
      </c>
      <c r="J104" s="32">
        <v>63.183</v>
      </c>
      <c r="K104" s="32" t="b">
        <v>1</v>
      </c>
      <c r="L104" s="32" t="s">
        <v>63</v>
      </c>
      <c r="M104" s="32" t="s">
        <v>48</v>
      </c>
      <c r="N104" s="34">
        <v>46091</v>
      </c>
      <c r="O104" s="35" t="str">
        <f t="shared" si="0"/>
        <v>Nguyễn Văn Long</v>
      </c>
    </row>
    <row r="105" spans="1:15">
      <c r="A105" s="32" t="s">
        <v>102</v>
      </c>
      <c r="B105" s="32" t="s">
        <v>44</v>
      </c>
      <c r="C105" s="33">
        <v>46036</v>
      </c>
      <c r="D105" s="32">
        <v>919786039</v>
      </c>
      <c r="E105" s="32">
        <v>481505880</v>
      </c>
      <c r="F105" s="32" t="s">
        <v>103</v>
      </c>
      <c r="G105" s="32" t="s">
        <v>46</v>
      </c>
      <c r="H105" s="32" t="s">
        <v>51</v>
      </c>
      <c r="I105" s="32">
        <v>67.418999999999997</v>
      </c>
      <c r="J105" s="32">
        <v>12.387</v>
      </c>
      <c r="K105" s="32" t="b">
        <v>1</v>
      </c>
      <c r="L105" s="32" t="s">
        <v>79</v>
      </c>
      <c r="M105" s="32" t="s">
        <v>48</v>
      </c>
      <c r="N105" s="34">
        <v>46083</v>
      </c>
      <c r="O105" s="35" t="str">
        <f t="shared" si="0"/>
        <v>Nguyễn Minh Tùng</v>
      </c>
    </row>
    <row r="106" spans="1:15">
      <c r="A106" s="32" t="s">
        <v>119</v>
      </c>
      <c r="B106" s="32" t="s">
        <v>44</v>
      </c>
      <c r="C106" s="33">
        <v>46036</v>
      </c>
      <c r="D106" s="32">
        <v>945562692</v>
      </c>
      <c r="E106" s="32">
        <v>489225750</v>
      </c>
      <c r="F106" s="32" t="s">
        <v>71</v>
      </c>
      <c r="G106" s="32" t="s">
        <v>46</v>
      </c>
      <c r="H106" s="32" t="s">
        <v>51</v>
      </c>
      <c r="I106" s="32">
        <v>154.73500000000001</v>
      </c>
      <c r="J106" s="32">
        <v>67.48</v>
      </c>
      <c r="K106" s="32" t="b">
        <v>1</v>
      </c>
      <c r="L106" s="32" t="s">
        <v>47</v>
      </c>
      <c r="M106" s="32" t="s">
        <v>48</v>
      </c>
      <c r="N106" s="34">
        <v>46180</v>
      </c>
      <c r="O106" s="35" t="str">
        <f t="shared" si="0"/>
        <v>Nguyễn Thanh Hùng</v>
      </c>
    </row>
    <row r="107" spans="1:15">
      <c r="A107" s="32" t="s">
        <v>119</v>
      </c>
      <c r="B107" s="32" t="s">
        <v>44</v>
      </c>
      <c r="C107" s="33">
        <v>46036</v>
      </c>
      <c r="D107" s="32">
        <v>945562692</v>
      </c>
      <c r="E107" s="32">
        <v>489225750</v>
      </c>
      <c r="F107" s="32" t="s">
        <v>71</v>
      </c>
      <c r="G107" s="32" t="s">
        <v>46</v>
      </c>
      <c r="H107" s="32" t="s">
        <v>51</v>
      </c>
      <c r="I107" s="32">
        <v>170.18899999999999</v>
      </c>
      <c r="J107" s="32">
        <v>71.73</v>
      </c>
      <c r="K107" s="32" t="b">
        <v>1</v>
      </c>
      <c r="L107" s="32" t="s">
        <v>47</v>
      </c>
      <c r="M107" s="32" t="s">
        <v>48</v>
      </c>
      <c r="N107" s="34">
        <v>46146</v>
      </c>
      <c r="O107" s="35" t="str">
        <f t="shared" si="0"/>
        <v>Nguyễn Thanh Hùng</v>
      </c>
    </row>
    <row r="108" spans="1:15">
      <c r="A108" s="32" t="s">
        <v>119</v>
      </c>
      <c r="B108" s="32" t="s">
        <v>44</v>
      </c>
      <c r="C108" s="33">
        <v>46036</v>
      </c>
      <c r="D108" s="32">
        <v>945562692</v>
      </c>
      <c r="E108" s="32">
        <v>489225750</v>
      </c>
      <c r="F108" s="32" t="s">
        <v>71</v>
      </c>
      <c r="G108" s="32" t="s">
        <v>46</v>
      </c>
      <c r="H108" s="32" t="s">
        <v>51</v>
      </c>
      <c r="I108" s="32">
        <v>157.416</v>
      </c>
      <c r="J108" s="32">
        <v>80.926000000000002</v>
      </c>
      <c r="K108" s="32" t="b">
        <v>1</v>
      </c>
      <c r="L108" s="32" t="s">
        <v>47</v>
      </c>
      <c r="M108" s="32" t="s">
        <v>48</v>
      </c>
      <c r="N108" s="34">
        <v>46088</v>
      </c>
      <c r="O108" s="35" t="str">
        <f t="shared" si="0"/>
        <v>Nguyễn Thanh Hùng</v>
      </c>
    </row>
    <row r="109" spans="1:15">
      <c r="A109" s="32" t="s">
        <v>102</v>
      </c>
      <c r="B109" s="32" t="s">
        <v>44</v>
      </c>
      <c r="C109" s="33">
        <v>46036</v>
      </c>
      <c r="D109" s="32">
        <v>919786039</v>
      </c>
      <c r="E109" s="32">
        <v>481505880</v>
      </c>
      <c r="F109" s="32" t="s">
        <v>103</v>
      </c>
      <c r="G109" s="32" t="s">
        <v>46</v>
      </c>
      <c r="H109" s="32" t="s">
        <v>51</v>
      </c>
      <c r="I109" s="32">
        <v>53.478000000000002</v>
      </c>
      <c r="J109" s="32">
        <v>39.594999999999999</v>
      </c>
      <c r="K109" s="32" t="b">
        <v>1</v>
      </c>
      <c r="L109" s="32" t="s">
        <v>79</v>
      </c>
      <c r="M109" s="32" t="s">
        <v>48</v>
      </c>
      <c r="N109" s="34">
        <v>46209</v>
      </c>
      <c r="O109" s="35" t="str">
        <f t="shared" si="0"/>
        <v>Nguyễn Minh Tùng</v>
      </c>
    </row>
    <row r="110" spans="1:15">
      <c r="A110" s="32" t="s">
        <v>102</v>
      </c>
      <c r="B110" s="32" t="s">
        <v>44</v>
      </c>
      <c r="C110" s="33">
        <v>46036</v>
      </c>
      <c r="D110" s="32">
        <v>919786039</v>
      </c>
      <c r="E110" s="32">
        <v>409009626</v>
      </c>
      <c r="F110" s="32" t="s">
        <v>120</v>
      </c>
      <c r="G110" s="32" t="s">
        <v>46</v>
      </c>
      <c r="H110" s="32" t="s">
        <v>51</v>
      </c>
      <c r="I110" s="32">
        <v>127.04900000000001</v>
      </c>
      <c r="J110" s="32">
        <v>36.972999999999999</v>
      </c>
      <c r="K110" s="32" t="b">
        <v>0</v>
      </c>
      <c r="L110" s="32" t="s">
        <v>79</v>
      </c>
      <c r="M110" s="32" t="s">
        <v>48</v>
      </c>
      <c r="N110" s="34">
        <v>46236</v>
      </c>
      <c r="O110" s="35" t="str">
        <f t="shared" si="0"/>
        <v>Nguyễn Minh Tùng</v>
      </c>
    </row>
    <row r="111" spans="1:15">
      <c r="A111" s="32" t="s">
        <v>102</v>
      </c>
      <c r="B111" s="32" t="s">
        <v>44</v>
      </c>
      <c r="C111" s="33">
        <v>46036</v>
      </c>
      <c r="D111" s="32">
        <v>919786039</v>
      </c>
      <c r="E111" s="32">
        <v>481505880</v>
      </c>
      <c r="F111" s="32" t="s">
        <v>103</v>
      </c>
      <c r="G111" s="32" t="s">
        <v>46</v>
      </c>
      <c r="H111" s="32" t="s">
        <v>51</v>
      </c>
      <c r="I111" s="32">
        <v>201.14099999999999</v>
      </c>
      <c r="J111" s="32">
        <v>46.594999999999999</v>
      </c>
      <c r="K111" s="32" t="b">
        <v>1</v>
      </c>
      <c r="L111" s="32" t="s">
        <v>79</v>
      </c>
      <c r="M111" s="32" t="s">
        <v>48</v>
      </c>
      <c r="N111" s="34">
        <v>46136</v>
      </c>
      <c r="O111" s="35" t="str">
        <f t="shared" si="0"/>
        <v>Nguyễn Minh Tùng</v>
      </c>
    </row>
    <row r="112" spans="1:15">
      <c r="A112" s="32" t="s">
        <v>102</v>
      </c>
      <c r="B112" s="32" t="s">
        <v>44</v>
      </c>
      <c r="C112" s="33">
        <v>46036</v>
      </c>
      <c r="D112" s="32">
        <v>919786039</v>
      </c>
      <c r="E112" s="32">
        <v>481505880</v>
      </c>
      <c r="F112" s="32" t="s">
        <v>103</v>
      </c>
      <c r="G112" s="32" t="s">
        <v>46</v>
      </c>
      <c r="H112" s="32" t="s">
        <v>51</v>
      </c>
      <c r="I112" s="32">
        <v>238.67500000000001</v>
      </c>
      <c r="J112" s="32">
        <v>36.841000000000001</v>
      </c>
      <c r="K112" s="32" t="b">
        <v>1</v>
      </c>
      <c r="L112" s="32" t="s">
        <v>79</v>
      </c>
      <c r="M112" s="32" t="s">
        <v>48</v>
      </c>
      <c r="N112" s="34">
        <v>46056</v>
      </c>
      <c r="O112" s="35" t="str">
        <f t="shared" si="0"/>
        <v>Nguyễn Minh Tùng</v>
      </c>
    </row>
    <row r="113" spans="1:15">
      <c r="A113" s="32" t="s">
        <v>102</v>
      </c>
      <c r="B113" s="32" t="s">
        <v>44</v>
      </c>
      <c r="C113" s="33">
        <v>46036</v>
      </c>
      <c r="D113" s="32">
        <v>919786039</v>
      </c>
      <c r="E113" s="32">
        <v>481505880</v>
      </c>
      <c r="F113" s="32" t="s">
        <v>103</v>
      </c>
      <c r="G113" s="32" t="s">
        <v>46</v>
      </c>
      <c r="H113" s="32" t="s">
        <v>58</v>
      </c>
      <c r="I113" s="32">
        <v>91.304000000000002</v>
      </c>
      <c r="J113" s="32">
        <v>42.189</v>
      </c>
      <c r="K113" s="32" t="b">
        <v>1</v>
      </c>
      <c r="L113" s="32" t="s">
        <v>79</v>
      </c>
      <c r="M113" s="32" t="s">
        <v>48</v>
      </c>
      <c r="N113" s="34">
        <v>46027</v>
      </c>
      <c r="O113" s="35" t="str">
        <f t="shared" si="0"/>
        <v>Nguyễn Minh Tùng</v>
      </c>
    </row>
    <row r="114" spans="1:15">
      <c r="A114" s="32" t="s">
        <v>102</v>
      </c>
      <c r="B114" s="32" t="s">
        <v>44</v>
      </c>
      <c r="C114" s="33">
        <v>46036</v>
      </c>
      <c r="D114" s="32">
        <v>919786039</v>
      </c>
      <c r="E114" s="32">
        <v>481505880</v>
      </c>
      <c r="F114" s="32" t="s">
        <v>103</v>
      </c>
      <c r="G114" s="32" t="s">
        <v>46</v>
      </c>
      <c r="H114" s="32" t="s">
        <v>58</v>
      </c>
      <c r="I114" s="32">
        <v>58.404000000000003</v>
      </c>
      <c r="J114" s="32">
        <v>35.176000000000002</v>
      </c>
      <c r="K114" s="32" t="b">
        <v>1</v>
      </c>
      <c r="L114" s="32" t="s">
        <v>79</v>
      </c>
      <c r="M114" s="32" t="s">
        <v>48</v>
      </c>
      <c r="N114" s="34">
        <v>46093</v>
      </c>
      <c r="O114" s="35" t="str">
        <f t="shared" si="0"/>
        <v>Nguyễn Minh Tùng</v>
      </c>
    </row>
    <row r="115" spans="1:15">
      <c r="A115" s="32" t="s">
        <v>102</v>
      </c>
      <c r="B115" s="32" t="s">
        <v>44</v>
      </c>
      <c r="C115" s="33">
        <v>46036</v>
      </c>
      <c r="D115" s="32">
        <v>919786039</v>
      </c>
      <c r="E115" s="32">
        <v>481505880</v>
      </c>
      <c r="F115" s="32" t="s">
        <v>103</v>
      </c>
      <c r="G115" s="32" t="s">
        <v>46</v>
      </c>
      <c r="H115" s="32" t="s">
        <v>58</v>
      </c>
      <c r="I115" s="32">
        <v>24.465</v>
      </c>
      <c r="J115" s="32">
        <v>25.474</v>
      </c>
      <c r="K115" s="32" t="b">
        <v>1</v>
      </c>
      <c r="L115" s="32" t="s">
        <v>79</v>
      </c>
      <c r="M115" s="32" t="s">
        <v>48</v>
      </c>
      <c r="N115" s="34">
        <v>46244</v>
      </c>
      <c r="O115" s="35" t="str">
        <f t="shared" si="0"/>
        <v>Nguyễn Minh Tùng</v>
      </c>
    </row>
    <row r="116" spans="1:15">
      <c r="A116" s="32" t="s">
        <v>102</v>
      </c>
      <c r="B116" s="32" t="s">
        <v>44</v>
      </c>
      <c r="C116" s="33">
        <v>46036</v>
      </c>
      <c r="D116" s="32">
        <v>919786039</v>
      </c>
      <c r="E116" s="32">
        <v>481505880</v>
      </c>
      <c r="F116" s="32" t="s">
        <v>103</v>
      </c>
      <c r="G116" s="32" t="s">
        <v>46</v>
      </c>
      <c r="H116" s="32" t="s">
        <v>51</v>
      </c>
      <c r="I116" s="32">
        <v>94.524000000000001</v>
      </c>
      <c r="J116" s="32">
        <v>13.273</v>
      </c>
      <c r="K116" s="32" t="b">
        <v>1</v>
      </c>
      <c r="L116" s="32" t="s">
        <v>79</v>
      </c>
      <c r="M116" s="32" t="s">
        <v>48</v>
      </c>
      <c r="N116" s="34">
        <v>46270</v>
      </c>
      <c r="O116" s="35" t="str">
        <f t="shared" si="0"/>
        <v>Nguyễn Minh Tùng</v>
      </c>
    </row>
    <row r="117" spans="1:15">
      <c r="A117" s="32" t="s">
        <v>102</v>
      </c>
      <c r="B117" s="32" t="s">
        <v>44</v>
      </c>
      <c r="C117" s="33">
        <v>46036</v>
      </c>
      <c r="D117" s="32">
        <v>919786039</v>
      </c>
      <c r="E117" s="32">
        <v>481505880</v>
      </c>
      <c r="F117" s="32" t="s">
        <v>103</v>
      </c>
      <c r="G117" s="32" t="s">
        <v>46</v>
      </c>
      <c r="H117" s="32" t="s">
        <v>51</v>
      </c>
      <c r="I117" s="32">
        <v>88.837000000000003</v>
      </c>
      <c r="J117" s="32">
        <v>34.536000000000001</v>
      </c>
      <c r="K117" s="32" t="b">
        <v>1</v>
      </c>
      <c r="L117" s="32" t="s">
        <v>79</v>
      </c>
      <c r="M117" s="32" t="s">
        <v>48</v>
      </c>
      <c r="N117" s="34">
        <v>46174</v>
      </c>
      <c r="O117" s="35" t="str">
        <f t="shared" si="0"/>
        <v>Nguyễn Minh Tùng</v>
      </c>
    </row>
    <row r="118" spans="1:15">
      <c r="A118" s="32" t="s">
        <v>102</v>
      </c>
      <c r="B118" s="32" t="s">
        <v>44</v>
      </c>
      <c r="C118" s="33">
        <v>46036</v>
      </c>
      <c r="D118" s="32">
        <v>919786039</v>
      </c>
      <c r="E118" s="32">
        <v>481505880</v>
      </c>
      <c r="F118" s="32" t="s">
        <v>103</v>
      </c>
      <c r="G118" s="32" t="s">
        <v>46</v>
      </c>
      <c r="H118" s="32" t="s">
        <v>51</v>
      </c>
      <c r="I118" s="32">
        <v>51.957999999999998</v>
      </c>
      <c r="J118" s="32">
        <v>12.411</v>
      </c>
      <c r="K118" s="32" t="b">
        <v>1</v>
      </c>
      <c r="L118" s="32" t="s">
        <v>79</v>
      </c>
      <c r="M118" s="32" t="s">
        <v>48</v>
      </c>
      <c r="N118" s="34">
        <v>46148</v>
      </c>
      <c r="O118" s="35" t="str">
        <f t="shared" si="0"/>
        <v>Nguyễn Minh Tùng</v>
      </c>
    </row>
    <row r="119" spans="1:15">
      <c r="A119" s="32" t="s">
        <v>102</v>
      </c>
      <c r="B119" s="32" t="s">
        <v>44</v>
      </c>
      <c r="C119" s="33">
        <v>46036</v>
      </c>
      <c r="D119" s="32">
        <v>919786039</v>
      </c>
      <c r="E119" s="32">
        <v>481505880</v>
      </c>
      <c r="F119" s="32" t="s">
        <v>103</v>
      </c>
      <c r="G119" s="32" t="s">
        <v>46</v>
      </c>
      <c r="H119" s="32" t="s">
        <v>51</v>
      </c>
      <c r="I119" s="32">
        <v>20.556000000000001</v>
      </c>
      <c r="J119" s="32">
        <v>28.347000000000001</v>
      </c>
      <c r="K119" s="32" t="b">
        <v>1</v>
      </c>
      <c r="L119" s="32" t="s">
        <v>79</v>
      </c>
      <c r="M119" s="32" t="s">
        <v>48</v>
      </c>
      <c r="N119" s="34">
        <v>46178</v>
      </c>
      <c r="O119" s="35" t="str">
        <f t="shared" si="0"/>
        <v>Nguyễn Minh Tùng</v>
      </c>
    </row>
    <row r="120" spans="1:15">
      <c r="A120" s="32" t="s">
        <v>59</v>
      </c>
      <c r="B120" s="32" t="s">
        <v>44</v>
      </c>
      <c r="C120" s="33">
        <v>46036</v>
      </c>
      <c r="D120" s="32">
        <v>918278345</v>
      </c>
      <c r="E120" s="32">
        <v>511526722</v>
      </c>
      <c r="F120" s="32" t="s">
        <v>60</v>
      </c>
      <c r="G120" s="32" t="s">
        <v>46</v>
      </c>
      <c r="H120" s="32" t="s">
        <v>58</v>
      </c>
      <c r="I120" s="32">
        <v>177.566</v>
      </c>
      <c r="J120" s="32">
        <v>23.672999999999998</v>
      </c>
      <c r="K120" s="32" t="b">
        <v>1</v>
      </c>
      <c r="L120" s="32" t="s">
        <v>47</v>
      </c>
      <c r="M120" s="32" t="s">
        <v>48</v>
      </c>
      <c r="N120" s="34">
        <v>46205</v>
      </c>
      <c r="O120" s="35" t="str">
        <f t="shared" si="0"/>
        <v>Trịnh Minh Trí</v>
      </c>
    </row>
    <row r="121" spans="1:15">
      <c r="A121" s="32" t="s">
        <v>59</v>
      </c>
      <c r="B121" s="32" t="s">
        <v>44</v>
      </c>
      <c r="C121" s="33">
        <v>46036</v>
      </c>
      <c r="D121" s="32">
        <v>918278345</v>
      </c>
      <c r="E121" s="32">
        <v>511526722</v>
      </c>
      <c r="F121" s="32" t="s">
        <v>60</v>
      </c>
      <c r="G121" s="32" t="s">
        <v>46</v>
      </c>
      <c r="H121" s="32" t="s">
        <v>58</v>
      </c>
      <c r="I121" s="32">
        <v>166.34200000000001</v>
      </c>
      <c r="J121" s="32">
        <v>25.167000000000002</v>
      </c>
      <c r="K121" s="32" t="b">
        <v>1</v>
      </c>
      <c r="L121" s="32" t="s">
        <v>47</v>
      </c>
      <c r="M121" s="32" t="s">
        <v>48</v>
      </c>
      <c r="N121" s="34">
        <v>46269</v>
      </c>
      <c r="O121" s="35" t="str">
        <f t="shared" si="0"/>
        <v>Trịnh Minh Trí</v>
      </c>
    </row>
    <row r="122" spans="1:15">
      <c r="A122" s="32" t="s">
        <v>59</v>
      </c>
      <c r="B122" s="32" t="s">
        <v>44</v>
      </c>
      <c r="C122" s="33">
        <v>46036</v>
      </c>
      <c r="D122" s="32">
        <v>918278345</v>
      </c>
      <c r="E122" s="32">
        <v>511526722</v>
      </c>
      <c r="F122" s="32" t="s">
        <v>60</v>
      </c>
      <c r="G122" s="32" t="s">
        <v>46</v>
      </c>
      <c r="H122" s="32" t="s">
        <v>58</v>
      </c>
      <c r="I122" s="32">
        <v>168.089</v>
      </c>
      <c r="J122" s="32">
        <v>29.077999999999999</v>
      </c>
      <c r="K122" s="32" t="b">
        <v>1</v>
      </c>
      <c r="L122" s="32" t="s">
        <v>47</v>
      </c>
      <c r="M122" s="32" t="s">
        <v>48</v>
      </c>
      <c r="N122" s="34">
        <v>46059</v>
      </c>
      <c r="O122" s="35" t="str">
        <f t="shared" si="0"/>
        <v>Trịnh Minh Trí</v>
      </c>
    </row>
    <row r="123" spans="1:15">
      <c r="A123" s="32" t="s">
        <v>121</v>
      </c>
      <c r="B123" s="32" t="s">
        <v>44</v>
      </c>
      <c r="C123" s="33">
        <v>46036</v>
      </c>
      <c r="D123" s="32">
        <v>919619755</v>
      </c>
      <c r="E123" s="32">
        <v>513794281</v>
      </c>
      <c r="F123" s="32" t="s">
        <v>122</v>
      </c>
      <c r="G123" s="32" t="s">
        <v>46</v>
      </c>
      <c r="H123" s="32" t="s">
        <v>18</v>
      </c>
      <c r="I123" s="32">
        <v>85.552000000000007</v>
      </c>
      <c r="J123" s="32">
        <v>56.41</v>
      </c>
      <c r="K123" s="32" t="b">
        <v>1</v>
      </c>
      <c r="L123" s="32" t="s">
        <v>47</v>
      </c>
      <c r="M123" s="32" t="s">
        <v>48</v>
      </c>
      <c r="N123" s="34">
        <v>46213</v>
      </c>
      <c r="O123" s="35" t="str">
        <f t="shared" si="0"/>
        <v>Nguyễn Ngọc Thơ</v>
      </c>
    </row>
    <row r="124" spans="1:15">
      <c r="A124" s="32" t="s">
        <v>54</v>
      </c>
      <c r="B124" s="32" t="s">
        <v>44</v>
      </c>
      <c r="C124" s="33">
        <v>46036</v>
      </c>
      <c r="D124" s="32">
        <v>948557338</v>
      </c>
      <c r="E124" s="32">
        <v>515291346</v>
      </c>
      <c r="F124" s="32" t="s">
        <v>55</v>
      </c>
      <c r="G124" s="32" t="s">
        <v>46</v>
      </c>
      <c r="H124" s="32" t="s">
        <v>51</v>
      </c>
      <c r="I124" s="32">
        <v>166.41499999999999</v>
      </c>
      <c r="J124" s="32">
        <v>62.664999999999999</v>
      </c>
      <c r="K124" s="32" t="b">
        <v>1</v>
      </c>
      <c r="L124" s="32" t="s">
        <v>47</v>
      </c>
      <c r="M124" s="32" t="s">
        <v>48</v>
      </c>
      <c r="N124" s="34">
        <v>46083</v>
      </c>
      <c r="O124" s="35" t="str">
        <f t="shared" si="0"/>
        <v>Hồ Chí Linh</v>
      </c>
    </row>
    <row r="125" spans="1:15">
      <c r="A125" s="32" t="s">
        <v>104</v>
      </c>
      <c r="B125" s="32" t="s">
        <v>44</v>
      </c>
      <c r="C125" s="33">
        <v>46036</v>
      </c>
      <c r="D125" s="32">
        <v>948555492</v>
      </c>
      <c r="E125" s="32">
        <v>455973985</v>
      </c>
      <c r="F125" s="32" t="s">
        <v>45</v>
      </c>
      <c r="G125" s="32" t="s">
        <v>46</v>
      </c>
      <c r="H125" s="32" t="s">
        <v>51</v>
      </c>
      <c r="I125" s="32">
        <v>163.392</v>
      </c>
      <c r="J125" s="32">
        <v>56.823999999999998</v>
      </c>
      <c r="K125" s="32" t="b">
        <v>1</v>
      </c>
      <c r="L125" s="32" t="s">
        <v>47</v>
      </c>
      <c r="M125" s="32" t="s">
        <v>48</v>
      </c>
      <c r="N125" s="34">
        <v>46027</v>
      </c>
      <c r="O125" s="35" t="str">
        <f t="shared" si="0"/>
        <v>Nguyễn Phước Thọ</v>
      </c>
    </row>
    <row r="126" spans="1:15">
      <c r="A126" s="32" t="s">
        <v>104</v>
      </c>
      <c r="B126" s="32" t="s">
        <v>44</v>
      </c>
      <c r="C126" s="33">
        <v>46036</v>
      </c>
      <c r="D126" s="32">
        <v>911825292</v>
      </c>
      <c r="E126" s="32">
        <v>455973985</v>
      </c>
      <c r="F126" s="32" t="s">
        <v>45</v>
      </c>
      <c r="G126" s="32" t="s">
        <v>46</v>
      </c>
      <c r="H126" s="32" t="s">
        <v>51</v>
      </c>
      <c r="I126" s="32">
        <v>163.392</v>
      </c>
      <c r="J126" s="32">
        <v>56.823999999999998</v>
      </c>
      <c r="K126" s="32" t="b">
        <v>1</v>
      </c>
      <c r="L126" s="32" t="s">
        <v>47</v>
      </c>
      <c r="M126" s="32" t="s">
        <v>48</v>
      </c>
      <c r="N126" s="34">
        <v>46027</v>
      </c>
      <c r="O126" s="35" t="str">
        <f t="shared" si="0"/>
        <v>Nguyễn Phước Thọ</v>
      </c>
    </row>
    <row r="127" spans="1:15">
      <c r="A127" s="32" t="s">
        <v>104</v>
      </c>
      <c r="B127" s="32" t="s">
        <v>44</v>
      </c>
      <c r="C127" s="33">
        <v>46036</v>
      </c>
      <c r="D127" s="32">
        <v>948555492</v>
      </c>
      <c r="E127" s="32">
        <v>455973985</v>
      </c>
      <c r="F127" s="32" t="s">
        <v>45</v>
      </c>
      <c r="G127" s="32" t="s">
        <v>46</v>
      </c>
      <c r="H127" s="32" t="s">
        <v>51</v>
      </c>
      <c r="I127" s="32">
        <v>85.777000000000001</v>
      </c>
      <c r="J127" s="32">
        <v>46.680999999999997</v>
      </c>
      <c r="K127" s="32" t="b">
        <v>1</v>
      </c>
      <c r="L127" s="32" t="s">
        <v>47</v>
      </c>
      <c r="M127" s="32" t="s">
        <v>48</v>
      </c>
      <c r="N127" s="32" t="s">
        <v>123</v>
      </c>
      <c r="O127" s="35" t="str">
        <f t="shared" si="0"/>
        <v>Nguyễn Phước Thọ</v>
      </c>
    </row>
    <row r="128" spans="1:15">
      <c r="A128" s="32" t="s">
        <v>104</v>
      </c>
      <c r="B128" s="32" t="s">
        <v>44</v>
      </c>
      <c r="C128" s="33">
        <v>46036</v>
      </c>
      <c r="D128" s="32">
        <v>911825292</v>
      </c>
      <c r="E128" s="32">
        <v>455973985</v>
      </c>
      <c r="F128" s="32" t="s">
        <v>45</v>
      </c>
      <c r="G128" s="32" t="s">
        <v>46</v>
      </c>
      <c r="H128" s="32" t="s">
        <v>51</v>
      </c>
      <c r="I128" s="32">
        <v>85.777000000000001</v>
      </c>
      <c r="J128" s="32">
        <v>46.680999999999997</v>
      </c>
      <c r="K128" s="32" t="b">
        <v>1</v>
      </c>
      <c r="L128" s="32" t="s">
        <v>47</v>
      </c>
      <c r="M128" s="32" t="s">
        <v>48</v>
      </c>
      <c r="N128" s="32" t="s">
        <v>123</v>
      </c>
      <c r="O128" s="35" t="str">
        <f t="shared" si="0"/>
        <v>Nguyễn Phước Thọ</v>
      </c>
    </row>
    <row r="129" spans="1:15">
      <c r="A129" s="32" t="s">
        <v>104</v>
      </c>
      <c r="B129" s="32" t="s">
        <v>44</v>
      </c>
      <c r="C129" s="33">
        <v>46036</v>
      </c>
      <c r="D129" s="32">
        <v>911825292</v>
      </c>
      <c r="E129" s="32">
        <v>455973985</v>
      </c>
      <c r="F129" s="32" t="s">
        <v>45</v>
      </c>
      <c r="G129" s="32" t="s">
        <v>46</v>
      </c>
      <c r="H129" s="32" t="s">
        <v>51</v>
      </c>
      <c r="I129" s="32">
        <v>57.942999999999998</v>
      </c>
      <c r="J129" s="32">
        <v>6.6449999999999996</v>
      </c>
      <c r="K129" s="32" t="b">
        <v>1</v>
      </c>
      <c r="L129" s="32" t="s">
        <v>47</v>
      </c>
      <c r="M129" s="32" t="s">
        <v>48</v>
      </c>
      <c r="N129" s="34">
        <v>46240</v>
      </c>
      <c r="O129" s="35" t="str">
        <f t="shared" si="0"/>
        <v>Nguyễn Phước Thọ</v>
      </c>
    </row>
    <row r="130" spans="1:15">
      <c r="A130" s="32" t="s">
        <v>104</v>
      </c>
      <c r="B130" s="32" t="s">
        <v>44</v>
      </c>
      <c r="C130" s="33">
        <v>46036</v>
      </c>
      <c r="D130" s="32">
        <v>948555492</v>
      </c>
      <c r="E130" s="32">
        <v>455973985</v>
      </c>
      <c r="F130" s="32" t="s">
        <v>45</v>
      </c>
      <c r="G130" s="32" t="s">
        <v>46</v>
      </c>
      <c r="H130" s="32" t="s">
        <v>51</v>
      </c>
      <c r="I130" s="32">
        <v>57.942999999999998</v>
      </c>
      <c r="J130" s="32">
        <v>6.6449999999999996</v>
      </c>
      <c r="K130" s="32" t="b">
        <v>1</v>
      </c>
      <c r="L130" s="32" t="s">
        <v>47</v>
      </c>
      <c r="M130" s="32" t="s">
        <v>48</v>
      </c>
      <c r="N130" s="34">
        <v>46240</v>
      </c>
      <c r="O130" s="35" t="str">
        <f t="shared" si="0"/>
        <v>Nguyễn Phước Thọ</v>
      </c>
    </row>
    <row r="131" spans="1:15">
      <c r="A131" s="32" t="s">
        <v>104</v>
      </c>
      <c r="B131" s="32" t="s">
        <v>44</v>
      </c>
      <c r="C131" s="33">
        <v>46036</v>
      </c>
      <c r="D131" s="32">
        <v>911825292</v>
      </c>
      <c r="E131" s="32">
        <v>455973985</v>
      </c>
      <c r="F131" s="32" t="s">
        <v>45</v>
      </c>
      <c r="G131" s="32" t="s">
        <v>46</v>
      </c>
      <c r="H131" s="32" t="s">
        <v>51</v>
      </c>
      <c r="I131" s="32">
        <v>100.724</v>
      </c>
      <c r="J131" s="32">
        <v>8.3650000000000002</v>
      </c>
      <c r="K131" s="32" t="b">
        <v>1</v>
      </c>
      <c r="L131" s="32" t="s">
        <v>47</v>
      </c>
      <c r="M131" s="32" t="s">
        <v>48</v>
      </c>
      <c r="N131" s="34">
        <v>46056</v>
      </c>
      <c r="O131" s="35" t="str">
        <f t="shared" si="0"/>
        <v>Nguyễn Phước Thọ</v>
      </c>
    </row>
    <row r="132" spans="1:15">
      <c r="A132" s="32" t="s">
        <v>104</v>
      </c>
      <c r="B132" s="32" t="s">
        <v>44</v>
      </c>
      <c r="C132" s="33">
        <v>46036</v>
      </c>
      <c r="D132" s="32">
        <v>948555492</v>
      </c>
      <c r="E132" s="32">
        <v>455973985</v>
      </c>
      <c r="F132" s="32" t="s">
        <v>45</v>
      </c>
      <c r="G132" s="32" t="s">
        <v>46</v>
      </c>
      <c r="H132" s="32" t="s">
        <v>51</v>
      </c>
      <c r="I132" s="32">
        <v>100.724</v>
      </c>
      <c r="J132" s="32">
        <v>8.3650000000000002</v>
      </c>
      <c r="K132" s="32" t="b">
        <v>1</v>
      </c>
      <c r="L132" s="32" t="s">
        <v>47</v>
      </c>
      <c r="M132" s="32" t="s">
        <v>48</v>
      </c>
      <c r="N132" s="34">
        <v>46056</v>
      </c>
      <c r="O132" s="35" t="str">
        <f t="shared" si="0"/>
        <v>Nguyễn Phước Thọ</v>
      </c>
    </row>
    <row r="133" spans="1:15">
      <c r="A133" s="32" t="s">
        <v>104</v>
      </c>
      <c r="B133" s="32" t="s">
        <v>44</v>
      </c>
      <c r="C133" s="33">
        <v>46036</v>
      </c>
      <c r="D133" s="32">
        <v>911825292</v>
      </c>
      <c r="E133" s="32">
        <v>455973985</v>
      </c>
      <c r="F133" s="32" t="s">
        <v>45</v>
      </c>
      <c r="G133" s="32" t="s">
        <v>46</v>
      </c>
      <c r="H133" s="32" t="s">
        <v>51</v>
      </c>
      <c r="I133" s="32">
        <v>190.68199999999999</v>
      </c>
      <c r="J133" s="32">
        <v>14.849</v>
      </c>
      <c r="K133" s="32" t="b">
        <v>1</v>
      </c>
      <c r="L133" s="32" t="s">
        <v>47</v>
      </c>
      <c r="M133" s="32" t="s">
        <v>48</v>
      </c>
      <c r="N133" s="34">
        <v>46146</v>
      </c>
      <c r="O133" s="35" t="str">
        <f t="shared" si="0"/>
        <v>Nguyễn Phước Thọ</v>
      </c>
    </row>
    <row r="134" spans="1:15">
      <c r="A134" s="32" t="s">
        <v>104</v>
      </c>
      <c r="B134" s="32" t="s">
        <v>44</v>
      </c>
      <c r="C134" s="33">
        <v>46036</v>
      </c>
      <c r="D134" s="32">
        <v>948555492</v>
      </c>
      <c r="E134" s="32">
        <v>455973985</v>
      </c>
      <c r="F134" s="32" t="s">
        <v>45</v>
      </c>
      <c r="G134" s="32" t="s">
        <v>46</v>
      </c>
      <c r="H134" s="32" t="s">
        <v>51</v>
      </c>
      <c r="I134" s="32">
        <v>190.68199999999999</v>
      </c>
      <c r="J134" s="32">
        <v>14.849</v>
      </c>
      <c r="K134" s="32" t="b">
        <v>1</v>
      </c>
      <c r="L134" s="32" t="s">
        <v>47</v>
      </c>
      <c r="M134" s="32" t="s">
        <v>48</v>
      </c>
      <c r="N134" s="34">
        <v>46146</v>
      </c>
      <c r="O134" s="35" t="str">
        <f t="shared" si="0"/>
        <v>Nguyễn Phước Thọ</v>
      </c>
    </row>
    <row r="135" spans="1:15">
      <c r="A135" s="32" t="s">
        <v>104</v>
      </c>
      <c r="B135" s="32" t="s">
        <v>44</v>
      </c>
      <c r="C135" s="33">
        <v>46036</v>
      </c>
      <c r="D135" s="32">
        <v>948555492</v>
      </c>
      <c r="E135" s="32">
        <v>455973985</v>
      </c>
      <c r="F135" s="32" t="s">
        <v>45</v>
      </c>
      <c r="G135" s="32" t="s">
        <v>46</v>
      </c>
      <c r="H135" s="32" t="s">
        <v>51</v>
      </c>
      <c r="I135" s="32">
        <v>225.708</v>
      </c>
      <c r="J135" s="32">
        <v>49.99</v>
      </c>
      <c r="K135" s="32" t="b">
        <v>1</v>
      </c>
      <c r="L135" s="32" t="s">
        <v>47</v>
      </c>
      <c r="M135" s="32" t="s">
        <v>48</v>
      </c>
      <c r="N135" s="34">
        <v>46176</v>
      </c>
      <c r="O135" s="35" t="str">
        <f t="shared" si="0"/>
        <v>Nguyễn Phước Thọ</v>
      </c>
    </row>
    <row r="136" spans="1:15">
      <c r="A136" s="32" t="s">
        <v>104</v>
      </c>
      <c r="B136" s="32" t="s">
        <v>44</v>
      </c>
      <c r="C136" s="33">
        <v>46036</v>
      </c>
      <c r="D136" s="32">
        <v>911825292</v>
      </c>
      <c r="E136" s="32">
        <v>455973985</v>
      </c>
      <c r="F136" s="32" t="s">
        <v>45</v>
      </c>
      <c r="G136" s="32" t="s">
        <v>46</v>
      </c>
      <c r="H136" s="32" t="s">
        <v>51</v>
      </c>
      <c r="I136" s="32">
        <v>225.708</v>
      </c>
      <c r="J136" s="32">
        <v>49.99</v>
      </c>
      <c r="K136" s="32" t="b">
        <v>1</v>
      </c>
      <c r="L136" s="32" t="s">
        <v>47</v>
      </c>
      <c r="M136" s="32" t="s">
        <v>48</v>
      </c>
      <c r="N136" s="34">
        <v>46176</v>
      </c>
      <c r="O136" s="35" t="str">
        <f t="shared" si="0"/>
        <v>Nguyễn Phước Thọ</v>
      </c>
    </row>
    <row r="137" spans="1:15">
      <c r="A137" s="32" t="s">
        <v>104</v>
      </c>
      <c r="B137" s="32" t="s">
        <v>44</v>
      </c>
      <c r="C137" s="33">
        <v>46036</v>
      </c>
      <c r="D137" s="32">
        <v>911825292</v>
      </c>
      <c r="E137" s="32">
        <v>455973985</v>
      </c>
      <c r="F137" s="32" t="s">
        <v>45</v>
      </c>
      <c r="G137" s="32" t="s">
        <v>46</v>
      </c>
      <c r="H137" s="32" t="s">
        <v>51</v>
      </c>
      <c r="I137" s="32">
        <v>182.988</v>
      </c>
      <c r="J137" s="32">
        <v>43.189</v>
      </c>
      <c r="K137" s="32" t="b">
        <v>1</v>
      </c>
      <c r="L137" s="32" t="s">
        <v>47</v>
      </c>
      <c r="M137" s="32" t="s">
        <v>48</v>
      </c>
      <c r="N137" s="34">
        <v>46236</v>
      </c>
      <c r="O137" s="35" t="str">
        <f t="shared" si="0"/>
        <v>Nguyễn Phước Thọ</v>
      </c>
    </row>
    <row r="138" spans="1:15">
      <c r="A138" s="32" t="s">
        <v>104</v>
      </c>
      <c r="B138" s="32" t="s">
        <v>44</v>
      </c>
      <c r="C138" s="33">
        <v>46036</v>
      </c>
      <c r="D138" s="32">
        <v>948555492</v>
      </c>
      <c r="E138" s="32">
        <v>455973985</v>
      </c>
      <c r="F138" s="32" t="s">
        <v>45</v>
      </c>
      <c r="G138" s="32" t="s">
        <v>46</v>
      </c>
      <c r="H138" s="32" t="s">
        <v>51</v>
      </c>
      <c r="I138" s="32">
        <v>182.988</v>
      </c>
      <c r="J138" s="32">
        <v>43.189</v>
      </c>
      <c r="K138" s="32" t="b">
        <v>1</v>
      </c>
      <c r="L138" s="32" t="s">
        <v>47</v>
      </c>
      <c r="M138" s="32" t="s">
        <v>48</v>
      </c>
      <c r="N138" s="34">
        <v>46236</v>
      </c>
      <c r="O138" s="35" t="str">
        <f t="shared" si="0"/>
        <v>Nguyễn Phước Thọ</v>
      </c>
    </row>
    <row r="139" spans="1:15">
      <c r="A139" s="32" t="s">
        <v>104</v>
      </c>
      <c r="B139" s="32" t="s">
        <v>44</v>
      </c>
      <c r="C139" s="33">
        <v>46036</v>
      </c>
      <c r="D139" s="32">
        <v>911825292</v>
      </c>
      <c r="E139" s="32">
        <v>455973985</v>
      </c>
      <c r="F139" s="32" t="s">
        <v>45</v>
      </c>
      <c r="G139" s="32" t="s">
        <v>46</v>
      </c>
      <c r="H139" s="32" t="s">
        <v>51</v>
      </c>
      <c r="I139" s="32">
        <v>176.00200000000001</v>
      </c>
      <c r="J139" s="32">
        <v>53.512</v>
      </c>
      <c r="K139" s="32" t="b">
        <v>1</v>
      </c>
      <c r="L139" s="32" t="s">
        <v>47</v>
      </c>
      <c r="M139" s="32" t="s">
        <v>48</v>
      </c>
      <c r="N139" s="34">
        <v>46176</v>
      </c>
      <c r="O139" s="35" t="str">
        <f t="shared" si="0"/>
        <v>Nguyễn Phước Thọ</v>
      </c>
    </row>
    <row r="140" spans="1:15">
      <c r="A140" s="32" t="s">
        <v>104</v>
      </c>
      <c r="B140" s="32" t="s">
        <v>44</v>
      </c>
      <c r="C140" s="33">
        <v>46036</v>
      </c>
      <c r="D140" s="32">
        <v>948555492</v>
      </c>
      <c r="E140" s="32">
        <v>455973985</v>
      </c>
      <c r="F140" s="32" t="s">
        <v>45</v>
      </c>
      <c r="G140" s="32" t="s">
        <v>46</v>
      </c>
      <c r="H140" s="32" t="s">
        <v>51</v>
      </c>
      <c r="I140" s="32">
        <v>176.00200000000001</v>
      </c>
      <c r="J140" s="32">
        <v>53.512</v>
      </c>
      <c r="K140" s="32" t="b">
        <v>1</v>
      </c>
      <c r="L140" s="32" t="s">
        <v>47</v>
      </c>
      <c r="M140" s="32" t="s">
        <v>48</v>
      </c>
      <c r="N140" s="34">
        <v>46176</v>
      </c>
      <c r="O140" s="35" t="str">
        <f t="shared" si="0"/>
        <v>Nguyễn Phước Thọ</v>
      </c>
    </row>
    <row r="141" spans="1:15">
      <c r="A141" s="32" t="s">
        <v>104</v>
      </c>
      <c r="B141" s="32" t="s">
        <v>44</v>
      </c>
      <c r="C141" s="33">
        <v>46036</v>
      </c>
      <c r="D141" s="32">
        <v>948555492</v>
      </c>
      <c r="E141" s="32">
        <v>455973985</v>
      </c>
      <c r="F141" s="32" t="s">
        <v>45</v>
      </c>
      <c r="G141" s="32" t="s">
        <v>46</v>
      </c>
      <c r="H141" s="32" t="s">
        <v>51</v>
      </c>
      <c r="I141" s="32">
        <v>165.04400000000001</v>
      </c>
      <c r="J141" s="32">
        <v>37.218000000000004</v>
      </c>
      <c r="K141" s="32" t="b">
        <v>1</v>
      </c>
      <c r="L141" s="32" t="s">
        <v>47</v>
      </c>
      <c r="M141" s="32" t="s">
        <v>48</v>
      </c>
      <c r="N141" s="34">
        <v>46025</v>
      </c>
      <c r="O141" s="35" t="str">
        <f t="shared" si="0"/>
        <v>Nguyễn Phước Thọ</v>
      </c>
    </row>
    <row r="142" spans="1:15">
      <c r="A142" s="32" t="s">
        <v>104</v>
      </c>
      <c r="B142" s="32" t="s">
        <v>44</v>
      </c>
      <c r="C142" s="33">
        <v>46036</v>
      </c>
      <c r="D142" s="32">
        <v>911825292</v>
      </c>
      <c r="E142" s="32">
        <v>455973985</v>
      </c>
      <c r="F142" s="32" t="s">
        <v>45</v>
      </c>
      <c r="G142" s="32" t="s">
        <v>46</v>
      </c>
      <c r="H142" s="32" t="s">
        <v>51</v>
      </c>
      <c r="I142" s="32">
        <v>165.04400000000001</v>
      </c>
      <c r="J142" s="32">
        <v>37.218000000000004</v>
      </c>
      <c r="K142" s="32" t="b">
        <v>1</v>
      </c>
      <c r="L142" s="32" t="s">
        <v>47</v>
      </c>
      <c r="M142" s="32" t="s">
        <v>48</v>
      </c>
      <c r="N142" s="34">
        <v>46025</v>
      </c>
      <c r="O142" s="35" t="str">
        <f t="shared" si="0"/>
        <v>Nguyễn Phước Thọ</v>
      </c>
    </row>
    <row r="143" spans="1:15">
      <c r="A143" s="32" t="s">
        <v>104</v>
      </c>
      <c r="B143" s="32" t="s">
        <v>44</v>
      </c>
      <c r="C143" s="33">
        <v>46036</v>
      </c>
      <c r="D143" s="32">
        <v>911825292</v>
      </c>
      <c r="E143" s="32">
        <v>455973985</v>
      </c>
      <c r="F143" s="32" t="s">
        <v>45</v>
      </c>
      <c r="G143" s="32" t="s">
        <v>46</v>
      </c>
      <c r="H143" s="32" t="s">
        <v>51</v>
      </c>
      <c r="I143" s="32">
        <v>120.11199999999999</v>
      </c>
      <c r="J143" s="32">
        <v>10.871</v>
      </c>
      <c r="K143" s="32" t="b">
        <v>1</v>
      </c>
      <c r="L143" s="32" t="s">
        <v>47</v>
      </c>
      <c r="M143" s="32" t="s">
        <v>48</v>
      </c>
      <c r="N143" s="34">
        <v>46115</v>
      </c>
      <c r="O143" s="35" t="str">
        <f t="shared" si="0"/>
        <v>Nguyễn Phước Thọ</v>
      </c>
    </row>
    <row r="144" spans="1:15">
      <c r="A144" s="32" t="s">
        <v>104</v>
      </c>
      <c r="B144" s="32" t="s">
        <v>44</v>
      </c>
      <c r="C144" s="33">
        <v>46036</v>
      </c>
      <c r="D144" s="32">
        <v>948555492</v>
      </c>
      <c r="E144" s="32">
        <v>455973985</v>
      </c>
      <c r="F144" s="32" t="s">
        <v>45</v>
      </c>
      <c r="G144" s="32" t="s">
        <v>46</v>
      </c>
      <c r="H144" s="32" t="s">
        <v>51</v>
      </c>
      <c r="I144" s="32">
        <v>120.11199999999999</v>
      </c>
      <c r="J144" s="32">
        <v>10.871</v>
      </c>
      <c r="K144" s="32" t="b">
        <v>1</v>
      </c>
      <c r="L144" s="32" t="s">
        <v>47</v>
      </c>
      <c r="M144" s="32" t="s">
        <v>48</v>
      </c>
      <c r="N144" s="34">
        <v>46115</v>
      </c>
      <c r="O144" s="35" t="str">
        <f t="shared" si="0"/>
        <v>Nguyễn Phước Thọ</v>
      </c>
    </row>
    <row r="145" spans="1:15">
      <c r="A145" s="32" t="s">
        <v>124</v>
      </c>
      <c r="B145" s="32" t="s">
        <v>44</v>
      </c>
      <c r="C145" s="33">
        <v>46036</v>
      </c>
      <c r="D145" s="32">
        <v>915986775</v>
      </c>
      <c r="E145" s="32">
        <v>284217715</v>
      </c>
      <c r="F145" s="32" t="s">
        <v>125</v>
      </c>
      <c r="G145" s="32" t="s">
        <v>46</v>
      </c>
      <c r="H145" s="32" t="s">
        <v>18</v>
      </c>
      <c r="I145" s="32">
        <v>482.20100000000002</v>
      </c>
      <c r="J145" s="32">
        <v>21.283999999999999</v>
      </c>
      <c r="K145" s="32" t="b">
        <v>1</v>
      </c>
      <c r="L145" s="32" t="s">
        <v>47</v>
      </c>
      <c r="M145" s="32" t="s">
        <v>63</v>
      </c>
      <c r="N145" s="34">
        <v>46159</v>
      </c>
      <c r="O145" s="35" t="str">
        <f t="shared" si="0"/>
        <v>Trần Lê Duy Tân</v>
      </c>
    </row>
    <row r="146" spans="1:15">
      <c r="A146" s="32" t="s">
        <v>124</v>
      </c>
      <c r="B146" s="32" t="s">
        <v>44</v>
      </c>
      <c r="C146" s="33">
        <v>46036</v>
      </c>
      <c r="D146" s="32">
        <v>915986775</v>
      </c>
      <c r="E146" s="32">
        <v>284217715</v>
      </c>
      <c r="F146" s="32" t="s">
        <v>125</v>
      </c>
      <c r="G146" s="32" t="s">
        <v>46</v>
      </c>
      <c r="H146" s="32" t="s">
        <v>18</v>
      </c>
      <c r="I146" s="32">
        <v>470.58</v>
      </c>
      <c r="J146" s="32">
        <v>36.92</v>
      </c>
      <c r="K146" s="32" t="b">
        <v>1</v>
      </c>
      <c r="L146" s="32" t="s">
        <v>47</v>
      </c>
      <c r="M146" s="32" t="s">
        <v>63</v>
      </c>
      <c r="N146" s="34">
        <v>46090</v>
      </c>
      <c r="O146" s="35" t="str">
        <f t="shared" si="0"/>
        <v>Trần Lê Duy Tân</v>
      </c>
    </row>
    <row r="147" spans="1:15">
      <c r="A147" s="32" t="s">
        <v>124</v>
      </c>
      <c r="B147" s="32" t="s">
        <v>44</v>
      </c>
      <c r="C147" s="33">
        <v>46036</v>
      </c>
      <c r="D147" s="32">
        <v>915986775</v>
      </c>
      <c r="E147" s="32">
        <v>284217715</v>
      </c>
      <c r="F147" s="32" t="s">
        <v>125</v>
      </c>
      <c r="G147" s="32" t="s">
        <v>46</v>
      </c>
      <c r="H147" s="32" t="s">
        <v>18</v>
      </c>
      <c r="I147" s="32">
        <v>346.18799999999999</v>
      </c>
      <c r="J147" s="32">
        <v>16.399000000000001</v>
      </c>
      <c r="K147" s="32" t="b">
        <v>1</v>
      </c>
      <c r="L147" s="32" t="s">
        <v>47</v>
      </c>
      <c r="M147" s="32" t="s">
        <v>63</v>
      </c>
      <c r="N147" s="34">
        <v>46175</v>
      </c>
      <c r="O147" s="35" t="str">
        <f t="shared" si="0"/>
        <v>Trần Lê Duy Tân</v>
      </c>
    </row>
    <row r="148" spans="1:15">
      <c r="A148" s="32" t="s">
        <v>124</v>
      </c>
      <c r="B148" s="32" t="s">
        <v>44</v>
      </c>
      <c r="C148" s="33">
        <v>46036</v>
      </c>
      <c r="D148" s="32">
        <v>915986775</v>
      </c>
      <c r="E148" s="32">
        <v>284217715</v>
      </c>
      <c r="F148" s="32" t="s">
        <v>125</v>
      </c>
      <c r="G148" s="32" t="s">
        <v>46</v>
      </c>
      <c r="H148" s="32" t="s">
        <v>18</v>
      </c>
      <c r="I148" s="32">
        <v>420.14499999999998</v>
      </c>
      <c r="J148" s="32">
        <v>14.513999999999999</v>
      </c>
      <c r="K148" s="32" t="b">
        <v>1</v>
      </c>
      <c r="L148" s="32" t="s">
        <v>47</v>
      </c>
      <c r="M148" s="32" t="s">
        <v>63</v>
      </c>
      <c r="N148" s="34">
        <v>46276</v>
      </c>
      <c r="O148" s="35" t="str">
        <f t="shared" si="0"/>
        <v>Trần Lê Duy Tân</v>
      </c>
    </row>
    <row r="149" spans="1:15">
      <c r="A149" s="32" t="s">
        <v>68</v>
      </c>
      <c r="B149" s="32" t="s">
        <v>44</v>
      </c>
      <c r="C149" s="33">
        <v>46036</v>
      </c>
      <c r="D149" s="32">
        <v>918616787</v>
      </c>
      <c r="E149" s="32">
        <v>302371366</v>
      </c>
      <c r="F149" s="32" t="s">
        <v>65</v>
      </c>
      <c r="G149" s="32" t="s">
        <v>46</v>
      </c>
      <c r="H149" s="32" t="s">
        <v>58</v>
      </c>
      <c r="I149" s="32">
        <v>127.08799999999999</v>
      </c>
      <c r="J149" s="32">
        <v>48.62</v>
      </c>
      <c r="K149" s="32" t="b">
        <v>1</v>
      </c>
      <c r="L149" s="32" t="s">
        <v>47</v>
      </c>
      <c r="M149" s="32" t="s">
        <v>63</v>
      </c>
      <c r="N149" s="34">
        <v>46207</v>
      </c>
      <c r="O149" s="35" t="str">
        <f t="shared" si="0"/>
        <v>Đặng Hoàng Vũ</v>
      </c>
    </row>
    <row r="150" spans="1:15">
      <c r="A150" s="32" t="s">
        <v>69</v>
      </c>
      <c r="B150" s="32" t="s">
        <v>44</v>
      </c>
      <c r="C150" s="33">
        <v>46036</v>
      </c>
      <c r="D150" s="32">
        <v>918616787</v>
      </c>
      <c r="E150" s="32">
        <v>302371366</v>
      </c>
      <c r="F150" s="32" t="s">
        <v>65</v>
      </c>
      <c r="G150" s="32" t="s">
        <v>46</v>
      </c>
      <c r="H150" s="32" t="s">
        <v>58</v>
      </c>
      <c r="I150" s="32">
        <v>127.08799999999999</v>
      </c>
      <c r="J150" s="32">
        <v>48.62</v>
      </c>
      <c r="K150" s="32" t="b">
        <v>1</v>
      </c>
      <c r="L150" s="32" t="s">
        <v>47</v>
      </c>
      <c r="M150" s="32" t="s">
        <v>63</v>
      </c>
      <c r="N150" s="34">
        <v>46207</v>
      </c>
      <c r="O150" s="35" t="str">
        <f t="shared" si="0"/>
        <v>Đặng Hoàng Vũ</v>
      </c>
    </row>
    <row r="151" spans="1:15">
      <c r="A151" s="32" t="s">
        <v>124</v>
      </c>
      <c r="B151" s="32" t="s">
        <v>44</v>
      </c>
      <c r="C151" s="33">
        <v>46036</v>
      </c>
      <c r="D151" s="32">
        <v>915986775</v>
      </c>
      <c r="E151" s="32">
        <v>284217715</v>
      </c>
      <c r="F151" s="32" t="s">
        <v>125</v>
      </c>
      <c r="G151" s="32" t="s">
        <v>46</v>
      </c>
      <c r="H151" s="32" t="s">
        <v>18</v>
      </c>
      <c r="I151" s="32">
        <v>373.59300000000002</v>
      </c>
      <c r="J151" s="32">
        <v>14.143000000000001</v>
      </c>
      <c r="K151" s="32" t="b">
        <v>1</v>
      </c>
      <c r="L151" s="32" t="s">
        <v>47</v>
      </c>
      <c r="M151" s="32" t="s">
        <v>63</v>
      </c>
      <c r="N151" s="34">
        <v>46208</v>
      </c>
      <c r="O151" s="35" t="str">
        <f t="shared" si="0"/>
        <v>Trần Lê Duy Tân</v>
      </c>
    </row>
    <row r="152" spans="1:15">
      <c r="A152" s="32" t="s">
        <v>124</v>
      </c>
      <c r="B152" s="32" t="s">
        <v>44</v>
      </c>
      <c r="C152" s="33">
        <v>46036</v>
      </c>
      <c r="D152" s="32">
        <v>915986775</v>
      </c>
      <c r="E152" s="32">
        <v>284217715</v>
      </c>
      <c r="F152" s="32" t="s">
        <v>125</v>
      </c>
      <c r="G152" s="32" t="s">
        <v>46</v>
      </c>
      <c r="H152" s="32" t="s">
        <v>18</v>
      </c>
      <c r="I152" s="32">
        <v>409.58499999999998</v>
      </c>
      <c r="J152" s="32">
        <v>15.186999999999999</v>
      </c>
      <c r="K152" s="32" t="b">
        <v>1</v>
      </c>
      <c r="L152" s="32" t="s">
        <v>47</v>
      </c>
      <c r="M152" s="32" t="s">
        <v>63</v>
      </c>
      <c r="N152" s="34">
        <v>46147</v>
      </c>
      <c r="O152" s="35" t="str">
        <f t="shared" si="0"/>
        <v>Trần Lê Duy Tân</v>
      </c>
    </row>
    <row r="153" spans="1:15">
      <c r="A153" s="32" t="s">
        <v>124</v>
      </c>
      <c r="B153" s="32" t="s">
        <v>44</v>
      </c>
      <c r="C153" s="33">
        <v>46036</v>
      </c>
      <c r="D153" s="32">
        <v>915986775</v>
      </c>
      <c r="E153" s="32">
        <v>284217715</v>
      </c>
      <c r="F153" s="32" t="s">
        <v>125</v>
      </c>
      <c r="G153" s="32" t="s">
        <v>46</v>
      </c>
      <c r="H153" s="32" t="s">
        <v>18</v>
      </c>
      <c r="I153" s="32">
        <v>409.85</v>
      </c>
      <c r="J153" s="32">
        <v>8.7230000000000008</v>
      </c>
      <c r="K153" s="32" t="b">
        <v>1</v>
      </c>
      <c r="L153" s="32" t="s">
        <v>47</v>
      </c>
      <c r="M153" s="32" t="s">
        <v>63</v>
      </c>
      <c r="N153" s="34">
        <v>46182</v>
      </c>
      <c r="O153" s="35" t="str">
        <f t="shared" si="0"/>
        <v>Trần Lê Duy Tân</v>
      </c>
    </row>
    <row r="154" spans="1:15">
      <c r="A154" s="32" t="s">
        <v>126</v>
      </c>
      <c r="B154" s="32" t="s">
        <v>44</v>
      </c>
      <c r="C154" s="33">
        <v>46036</v>
      </c>
      <c r="D154" s="32">
        <v>941328668</v>
      </c>
      <c r="E154" s="32">
        <v>474364867</v>
      </c>
      <c r="F154" s="32" t="s">
        <v>127</v>
      </c>
      <c r="G154" s="32" t="s">
        <v>46</v>
      </c>
      <c r="H154" s="32" t="s">
        <v>51</v>
      </c>
      <c r="I154" s="32">
        <v>91.992999999999995</v>
      </c>
      <c r="J154" s="32">
        <v>43.328000000000003</v>
      </c>
      <c r="K154" s="32" t="b">
        <v>1</v>
      </c>
      <c r="L154" s="32" t="s">
        <v>63</v>
      </c>
      <c r="M154" s="32" t="s">
        <v>48</v>
      </c>
      <c r="N154" s="34">
        <v>46205</v>
      </c>
      <c r="O154" s="35" t="str">
        <f t="shared" si="0"/>
        <v>Nguyễn Thành Phạm Trung</v>
      </c>
    </row>
    <row r="155" spans="1:15">
      <c r="A155" s="32" t="s">
        <v>77</v>
      </c>
      <c r="B155" s="32" t="s">
        <v>44</v>
      </c>
      <c r="C155" s="33">
        <v>46036</v>
      </c>
      <c r="D155" s="32">
        <v>945663773</v>
      </c>
      <c r="E155" s="32">
        <v>507335872</v>
      </c>
      <c r="F155" s="32" t="s">
        <v>78</v>
      </c>
      <c r="G155" s="32" t="s">
        <v>46</v>
      </c>
      <c r="H155" s="32" t="s">
        <v>58</v>
      </c>
      <c r="I155" s="32">
        <v>94.813999999999993</v>
      </c>
      <c r="J155" s="32">
        <v>14.002000000000001</v>
      </c>
      <c r="K155" s="32" t="b">
        <v>1</v>
      </c>
      <c r="L155" s="32" t="s">
        <v>79</v>
      </c>
      <c r="M155" s="32" t="s">
        <v>80</v>
      </c>
      <c r="N155" s="34">
        <v>46060</v>
      </c>
      <c r="O155" s="35" t="str">
        <f t="shared" si="0"/>
        <v>Nguyễn Hữu Tân</v>
      </c>
    </row>
    <row r="156" spans="1:15">
      <c r="A156" s="32" t="s">
        <v>64</v>
      </c>
      <c r="B156" s="32" t="s">
        <v>44</v>
      </c>
      <c r="C156" s="33">
        <v>46036</v>
      </c>
      <c r="D156" s="32">
        <v>917769763</v>
      </c>
      <c r="E156" s="32">
        <v>297808089</v>
      </c>
      <c r="F156" s="32" t="s">
        <v>65</v>
      </c>
      <c r="G156" s="32" t="s">
        <v>46</v>
      </c>
      <c r="H156" s="32" t="s">
        <v>51</v>
      </c>
      <c r="I156" s="32">
        <v>1083.7439999999999</v>
      </c>
      <c r="J156" s="32">
        <v>170.15700000000001</v>
      </c>
      <c r="K156" s="32" t="b">
        <v>1</v>
      </c>
      <c r="L156" s="32" t="s">
        <v>47</v>
      </c>
      <c r="M156" s="32" t="s">
        <v>63</v>
      </c>
      <c r="N156" s="32" t="s">
        <v>128</v>
      </c>
      <c r="O156" s="35" t="str">
        <f t="shared" si="0"/>
        <v>Đỗ Tấn Phát</v>
      </c>
    </row>
    <row r="157" spans="1:15">
      <c r="A157" s="32" t="s">
        <v>89</v>
      </c>
      <c r="B157" s="32" t="s">
        <v>44</v>
      </c>
      <c r="C157" s="33">
        <v>46036</v>
      </c>
      <c r="D157" s="32">
        <v>837012768</v>
      </c>
      <c r="E157" s="32">
        <v>276156622</v>
      </c>
      <c r="F157" s="32" t="s">
        <v>90</v>
      </c>
      <c r="G157" s="32" t="s">
        <v>46</v>
      </c>
      <c r="H157" s="32" t="s">
        <v>51</v>
      </c>
      <c r="I157" s="32">
        <v>931.327</v>
      </c>
      <c r="J157" s="32">
        <v>104.703</v>
      </c>
      <c r="K157" s="32" t="b">
        <v>1</v>
      </c>
      <c r="L157" s="32" t="s">
        <v>47</v>
      </c>
      <c r="M157" s="32" t="s">
        <v>63</v>
      </c>
      <c r="N157" s="34">
        <v>46243</v>
      </c>
      <c r="O157" s="35" t="str">
        <f t="shared" si="0"/>
        <v>Nguyễn Thành Chí</v>
      </c>
    </row>
    <row r="158" spans="1:15">
      <c r="A158" s="32" t="s">
        <v>83</v>
      </c>
      <c r="B158" s="32" t="s">
        <v>44</v>
      </c>
      <c r="C158" s="33">
        <v>46036</v>
      </c>
      <c r="D158" s="32">
        <v>829669739</v>
      </c>
      <c r="E158" s="32">
        <v>408233038</v>
      </c>
      <c r="F158" s="32" t="s">
        <v>84</v>
      </c>
      <c r="G158" s="32" t="s">
        <v>46</v>
      </c>
      <c r="H158" s="32" t="s">
        <v>58</v>
      </c>
      <c r="I158" s="32">
        <v>202.125</v>
      </c>
      <c r="J158" s="32">
        <v>43.573999999999998</v>
      </c>
      <c r="K158" s="32" t="b">
        <v>0</v>
      </c>
      <c r="L158" s="32" t="s">
        <v>47</v>
      </c>
      <c r="M158" s="32" t="s">
        <v>48</v>
      </c>
      <c r="N158" s="34">
        <v>46209</v>
      </c>
      <c r="O158" s="35" t="str">
        <f t="shared" si="0"/>
        <v>Lê Minh Kha</v>
      </c>
    </row>
    <row r="159" spans="1:15">
      <c r="A159" s="32" t="s">
        <v>83</v>
      </c>
      <c r="B159" s="32" t="s">
        <v>44</v>
      </c>
      <c r="C159" s="33">
        <v>46036</v>
      </c>
      <c r="D159" s="32">
        <v>886313796</v>
      </c>
      <c r="E159" s="32">
        <v>408233038</v>
      </c>
      <c r="F159" s="32" t="s">
        <v>84</v>
      </c>
      <c r="G159" s="32" t="s">
        <v>46</v>
      </c>
      <c r="H159" s="32" t="s">
        <v>58</v>
      </c>
      <c r="I159" s="32">
        <v>202.125</v>
      </c>
      <c r="J159" s="32">
        <v>43.573999999999998</v>
      </c>
      <c r="K159" s="32" t="b">
        <v>0</v>
      </c>
      <c r="L159" s="32" t="s">
        <v>47</v>
      </c>
      <c r="M159" s="32" t="s">
        <v>48</v>
      </c>
      <c r="N159" s="34">
        <v>46209</v>
      </c>
      <c r="O159" s="35" t="str">
        <f t="shared" si="0"/>
        <v>Lê Minh Kha</v>
      </c>
    </row>
    <row r="160" spans="1:15">
      <c r="A160" s="32" t="s">
        <v>85</v>
      </c>
      <c r="B160" s="32" t="s">
        <v>44</v>
      </c>
      <c r="C160" s="33">
        <v>46036</v>
      </c>
      <c r="D160" s="32">
        <v>918128333</v>
      </c>
      <c r="E160" s="32">
        <v>362213178</v>
      </c>
      <c r="F160" s="32" t="s">
        <v>86</v>
      </c>
      <c r="G160" s="32" t="s">
        <v>46</v>
      </c>
      <c r="H160" s="32" t="s">
        <v>51</v>
      </c>
      <c r="I160" s="32">
        <v>133.274</v>
      </c>
      <c r="J160" s="32">
        <v>22.577000000000002</v>
      </c>
      <c r="K160" s="32" t="b">
        <v>1</v>
      </c>
      <c r="L160" s="32" t="s">
        <v>47</v>
      </c>
      <c r="M160" s="32" t="s">
        <v>48</v>
      </c>
      <c r="N160" s="34">
        <v>46179</v>
      </c>
      <c r="O160" s="35" t="str">
        <f t="shared" si="0"/>
        <v>Trần Minh Tuấn1</v>
      </c>
    </row>
    <row r="161" spans="1:15">
      <c r="A161" s="32" t="s">
        <v>74</v>
      </c>
      <c r="B161" s="32" t="s">
        <v>44</v>
      </c>
      <c r="C161" s="33">
        <v>46036</v>
      </c>
      <c r="D161" s="32">
        <v>945833826</v>
      </c>
      <c r="E161" s="32">
        <v>515016582</v>
      </c>
      <c r="F161" s="32" t="s">
        <v>75</v>
      </c>
      <c r="G161" s="32" t="s">
        <v>46</v>
      </c>
      <c r="H161" s="32" t="s">
        <v>51</v>
      </c>
      <c r="I161" s="32">
        <v>956.255</v>
      </c>
      <c r="J161" s="32">
        <v>98.415999999999997</v>
      </c>
      <c r="K161" s="32" t="b">
        <v>1</v>
      </c>
      <c r="L161" s="32" t="s">
        <v>47</v>
      </c>
      <c r="M161" s="32" t="s">
        <v>48</v>
      </c>
      <c r="N161" s="34">
        <v>46205</v>
      </c>
      <c r="O161" s="35" t="str">
        <f t="shared" si="0"/>
        <v>Võ Quang Duy</v>
      </c>
    </row>
    <row r="162" spans="1:15">
      <c r="A162" s="32" t="s">
        <v>74</v>
      </c>
      <c r="B162" s="32" t="s">
        <v>44</v>
      </c>
      <c r="C162" s="33">
        <v>46036</v>
      </c>
      <c r="D162" s="32">
        <v>945833826</v>
      </c>
      <c r="E162" s="32">
        <v>515016582</v>
      </c>
      <c r="F162" s="32" t="s">
        <v>75</v>
      </c>
      <c r="G162" s="32" t="s">
        <v>46</v>
      </c>
      <c r="H162" s="32" t="s">
        <v>51</v>
      </c>
      <c r="I162" s="32">
        <v>1110.1300000000001</v>
      </c>
      <c r="J162" s="32">
        <v>99.373999999999995</v>
      </c>
      <c r="K162" s="32" t="b">
        <v>1</v>
      </c>
      <c r="L162" s="32" t="s">
        <v>47</v>
      </c>
      <c r="M162" s="32" t="s">
        <v>48</v>
      </c>
      <c r="N162" s="34">
        <v>46131</v>
      </c>
      <c r="O162" s="35" t="str">
        <f t="shared" si="0"/>
        <v>Võ Quang Duy</v>
      </c>
    </row>
    <row r="163" spans="1:15">
      <c r="A163" s="32" t="s">
        <v>81</v>
      </c>
      <c r="B163" s="32" t="s">
        <v>44</v>
      </c>
      <c r="C163" s="33">
        <v>46036</v>
      </c>
      <c r="D163" s="32">
        <v>832428439</v>
      </c>
      <c r="E163" s="32">
        <v>494036091</v>
      </c>
      <c r="F163" s="32" t="s">
        <v>82</v>
      </c>
      <c r="G163" s="32" t="s">
        <v>46</v>
      </c>
      <c r="H163" s="32" t="s">
        <v>87</v>
      </c>
      <c r="I163" s="32">
        <v>69.742000000000004</v>
      </c>
      <c r="J163" s="32">
        <v>55.656999999999996</v>
      </c>
      <c r="K163" s="32" t="b">
        <v>1</v>
      </c>
      <c r="L163" s="32" t="s">
        <v>79</v>
      </c>
      <c r="M163" s="32" t="s">
        <v>48</v>
      </c>
      <c r="N163" s="34">
        <v>46026</v>
      </c>
      <c r="O163" s="35" t="str">
        <f t="shared" si="0"/>
        <v>Phù Hoàng Thành</v>
      </c>
    </row>
    <row r="164" spans="1:15">
      <c r="A164" s="32" t="s">
        <v>81</v>
      </c>
      <c r="B164" s="32" t="s">
        <v>44</v>
      </c>
      <c r="C164" s="33">
        <v>46036</v>
      </c>
      <c r="D164" s="32">
        <v>852226484</v>
      </c>
      <c r="E164" s="32">
        <v>494036091</v>
      </c>
      <c r="F164" s="32" t="s">
        <v>82</v>
      </c>
      <c r="G164" s="32" t="s">
        <v>46</v>
      </c>
      <c r="H164" s="32" t="s">
        <v>87</v>
      </c>
      <c r="I164" s="32">
        <v>69.742000000000004</v>
      </c>
      <c r="J164" s="32">
        <v>55.656999999999996</v>
      </c>
      <c r="K164" s="32" t="b">
        <v>1</v>
      </c>
      <c r="L164" s="32" t="s">
        <v>79</v>
      </c>
      <c r="M164" s="32" t="s">
        <v>48</v>
      </c>
      <c r="N164" s="34">
        <v>46026</v>
      </c>
      <c r="O164" s="35" t="str">
        <f t="shared" si="0"/>
        <v>Phù Hoàng Thành</v>
      </c>
    </row>
    <row r="165" spans="1:15">
      <c r="A165" s="32" t="s">
        <v>88</v>
      </c>
      <c r="B165" s="32" t="s">
        <v>44</v>
      </c>
      <c r="C165" s="33">
        <v>46036</v>
      </c>
      <c r="D165" s="32">
        <v>918611919</v>
      </c>
      <c r="E165" s="32">
        <v>321677895</v>
      </c>
      <c r="F165" s="32" t="s">
        <v>65</v>
      </c>
      <c r="G165" s="32" t="s">
        <v>46</v>
      </c>
      <c r="H165" s="32" t="s">
        <v>51</v>
      </c>
      <c r="I165" s="32">
        <v>912.59</v>
      </c>
      <c r="J165" s="32">
        <v>164.10900000000001</v>
      </c>
      <c r="K165" s="32" t="b">
        <v>1</v>
      </c>
      <c r="L165" s="32" t="s">
        <v>47</v>
      </c>
      <c r="M165" s="32" t="s">
        <v>63</v>
      </c>
      <c r="N165" s="34">
        <v>46173</v>
      </c>
      <c r="O165" s="35" t="str">
        <f t="shared" si="0"/>
        <v>Huỳnh Phước Yên</v>
      </c>
    </row>
    <row r="166" spans="1:15">
      <c r="A166" s="32" t="s">
        <v>129</v>
      </c>
      <c r="B166" s="32" t="s">
        <v>44</v>
      </c>
      <c r="C166" s="33">
        <v>46036</v>
      </c>
      <c r="D166" s="32">
        <v>919269115</v>
      </c>
      <c r="E166" s="32">
        <v>410479102</v>
      </c>
      <c r="F166" s="32" t="s">
        <v>130</v>
      </c>
      <c r="G166" s="32" t="s">
        <v>46</v>
      </c>
      <c r="H166" s="32" t="s">
        <v>18</v>
      </c>
      <c r="I166" s="32">
        <v>88.299000000000007</v>
      </c>
      <c r="J166" s="32">
        <v>45.415999999999997</v>
      </c>
      <c r="K166" s="32" t="b">
        <v>1</v>
      </c>
      <c r="L166" s="32" t="s">
        <v>63</v>
      </c>
      <c r="M166" s="32" t="s">
        <v>48</v>
      </c>
      <c r="N166" s="34">
        <v>46207</v>
      </c>
      <c r="O166" s="35" t="str">
        <f t="shared" si="0"/>
        <v>Thái Minh Phúc</v>
      </c>
    </row>
    <row r="167" spans="1:15">
      <c r="A167" s="32" t="s">
        <v>129</v>
      </c>
      <c r="B167" s="32" t="s">
        <v>44</v>
      </c>
      <c r="C167" s="33">
        <v>46036</v>
      </c>
      <c r="D167" s="32">
        <v>919269115</v>
      </c>
      <c r="E167" s="32">
        <v>410479102</v>
      </c>
      <c r="F167" s="32" t="s">
        <v>130</v>
      </c>
      <c r="G167" s="32" t="s">
        <v>46</v>
      </c>
      <c r="H167" s="32" t="s">
        <v>18</v>
      </c>
      <c r="I167" s="32">
        <v>95.965000000000003</v>
      </c>
      <c r="J167" s="32">
        <v>45.823</v>
      </c>
      <c r="K167" s="32" t="b">
        <v>1</v>
      </c>
      <c r="L167" s="32" t="s">
        <v>63</v>
      </c>
      <c r="M167" s="32" t="s">
        <v>48</v>
      </c>
      <c r="N167" s="32" t="s">
        <v>123</v>
      </c>
      <c r="O167" s="35" t="str">
        <f t="shared" si="0"/>
        <v>Thái Minh Phúc</v>
      </c>
    </row>
    <row r="168" spans="1:15">
      <c r="A168" s="32" t="s">
        <v>131</v>
      </c>
      <c r="B168" s="32" t="s">
        <v>44</v>
      </c>
      <c r="C168" s="33">
        <v>46036</v>
      </c>
      <c r="D168" s="32">
        <v>918371799</v>
      </c>
      <c r="E168" s="32">
        <v>475270593</v>
      </c>
      <c r="F168" s="32" t="s">
        <v>132</v>
      </c>
      <c r="G168" s="32" t="s">
        <v>46</v>
      </c>
      <c r="H168" s="32" t="s">
        <v>51</v>
      </c>
      <c r="I168" s="32">
        <v>62.600999999999999</v>
      </c>
      <c r="J168" s="32">
        <v>50.710999999999999</v>
      </c>
      <c r="K168" s="32" t="b">
        <v>1</v>
      </c>
      <c r="L168" s="32" t="s">
        <v>63</v>
      </c>
      <c r="M168" s="32" t="s">
        <v>48</v>
      </c>
      <c r="N168" s="34">
        <v>46025</v>
      </c>
      <c r="O168" s="35" t="str">
        <f t="shared" si="0"/>
        <v>Lê Xuân Tình</v>
      </c>
    </row>
    <row r="169" spans="1:15">
      <c r="A169" s="32" t="s">
        <v>131</v>
      </c>
      <c r="B169" s="32" t="s">
        <v>44</v>
      </c>
      <c r="C169" s="33">
        <v>46036</v>
      </c>
      <c r="D169" s="32">
        <v>918371799</v>
      </c>
      <c r="E169" s="32">
        <v>475270593</v>
      </c>
      <c r="F169" s="32" t="s">
        <v>132</v>
      </c>
      <c r="G169" s="32" t="s">
        <v>46</v>
      </c>
      <c r="H169" s="32" t="s">
        <v>51</v>
      </c>
      <c r="I169" s="32">
        <v>66.921999999999997</v>
      </c>
      <c r="J169" s="32">
        <v>47.82</v>
      </c>
      <c r="K169" s="32" t="b">
        <v>1</v>
      </c>
      <c r="L169" s="32" t="s">
        <v>63</v>
      </c>
      <c r="M169" s="32" t="s">
        <v>48</v>
      </c>
      <c r="N169" s="34">
        <v>46057</v>
      </c>
      <c r="O169" s="35" t="str">
        <f t="shared" si="0"/>
        <v>Lê Xuân Tình</v>
      </c>
    </row>
    <row r="170" spans="1:15">
      <c r="A170" s="32" t="s">
        <v>131</v>
      </c>
      <c r="B170" s="32" t="s">
        <v>44</v>
      </c>
      <c r="C170" s="33">
        <v>46036</v>
      </c>
      <c r="D170" s="32">
        <v>918371799</v>
      </c>
      <c r="E170" s="32">
        <v>475270593</v>
      </c>
      <c r="F170" s="32" t="s">
        <v>132</v>
      </c>
      <c r="G170" s="32" t="s">
        <v>46</v>
      </c>
      <c r="H170" s="32" t="s">
        <v>51</v>
      </c>
      <c r="I170" s="32">
        <v>40.381</v>
      </c>
      <c r="J170" s="32">
        <v>43.127000000000002</v>
      </c>
      <c r="K170" s="32" t="b">
        <v>1</v>
      </c>
      <c r="L170" s="32" t="s">
        <v>63</v>
      </c>
      <c r="M170" s="32" t="s">
        <v>48</v>
      </c>
      <c r="N170" s="34">
        <v>46269</v>
      </c>
      <c r="O170" s="35" t="str">
        <f t="shared" si="0"/>
        <v>Lê Xuân Tình</v>
      </c>
    </row>
    <row r="171" spans="1:15">
      <c r="A171" s="32" t="s">
        <v>131</v>
      </c>
      <c r="B171" s="32" t="s">
        <v>44</v>
      </c>
      <c r="C171" s="33">
        <v>46036</v>
      </c>
      <c r="D171" s="32">
        <v>918371799</v>
      </c>
      <c r="E171" s="32">
        <v>475270593</v>
      </c>
      <c r="F171" s="32" t="s">
        <v>132</v>
      </c>
      <c r="G171" s="32" t="s">
        <v>46</v>
      </c>
      <c r="H171" s="32" t="s">
        <v>51</v>
      </c>
      <c r="I171" s="32">
        <v>69.415999999999997</v>
      </c>
      <c r="J171" s="32">
        <v>50.344000000000001</v>
      </c>
      <c r="K171" s="32" t="b">
        <v>1</v>
      </c>
      <c r="L171" s="32" t="s">
        <v>63</v>
      </c>
      <c r="M171" s="32" t="s">
        <v>48</v>
      </c>
      <c r="N171" s="34">
        <v>46026</v>
      </c>
      <c r="O171" s="35" t="str">
        <f t="shared" si="0"/>
        <v>Lê Xuân Tình</v>
      </c>
    </row>
    <row r="172" spans="1:15">
      <c r="A172" s="32" t="s">
        <v>133</v>
      </c>
      <c r="B172" s="32" t="s">
        <v>44</v>
      </c>
      <c r="C172" s="33">
        <v>46035</v>
      </c>
      <c r="D172" s="32">
        <v>913632800</v>
      </c>
      <c r="E172" s="32">
        <v>487761475</v>
      </c>
      <c r="F172" s="32" t="s">
        <v>71</v>
      </c>
      <c r="G172" s="32" t="s">
        <v>46</v>
      </c>
      <c r="H172" s="32" t="s">
        <v>51</v>
      </c>
      <c r="I172" s="32">
        <v>987.11099999999999</v>
      </c>
      <c r="J172" s="32">
        <v>89.858999999999995</v>
      </c>
      <c r="K172" s="32" t="b">
        <v>1</v>
      </c>
      <c r="L172" s="32" t="s">
        <v>47</v>
      </c>
      <c r="M172" s="32" t="s">
        <v>48</v>
      </c>
      <c r="N172" s="34">
        <v>46028</v>
      </c>
      <c r="O172" s="35" t="str">
        <f t="shared" si="0"/>
        <v>Võ Quang Thìn</v>
      </c>
    </row>
    <row r="173" spans="1:15">
      <c r="A173" s="32" t="s">
        <v>134</v>
      </c>
      <c r="B173" s="32" t="s">
        <v>44</v>
      </c>
      <c r="C173" s="33">
        <v>46035</v>
      </c>
      <c r="D173" s="32">
        <v>914433557</v>
      </c>
      <c r="E173" s="32">
        <v>458766125</v>
      </c>
      <c r="F173" s="32" t="s">
        <v>53</v>
      </c>
      <c r="G173" s="32" t="s">
        <v>46</v>
      </c>
      <c r="H173" s="32" t="s">
        <v>18</v>
      </c>
      <c r="I173" s="32">
        <v>97.49</v>
      </c>
      <c r="J173" s="32">
        <v>27.824999999999999</v>
      </c>
      <c r="K173" s="32" t="b">
        <v>0</v>
      </c>
      <c r="L173" s="32" t="s">
        <v>47</v>
      </c>
      <c r="M173" s="32" t="s">
        <v>48</v>
      </c>
      <c r="N173" s="34">
        <v>46146</v>
      </c>
      <c r="O173" s="35" t="str">
        <f t="shared" si="0"/>
        <v>Nguyễn Đông Triều</v>
      </c>
    </row>
    <row r="174" spans="1:15">
      <c r="A174" s="32" t="s">
        <v>134</v>
      </c>
      <c r="B174" s="32" t="s">
        <v>44</v>
      </c>
      <c r="C174" s="33">
        <v>46035</v>
      </c>
      <c r="D174" s="32">
        <v>914433557</v>
      </c>
      <c r="E174" s="32">
        <v>458766125</v>
      </c>
      <c r="F174" s="32" t="s">
        <v>53</v>
      </c>
      <c r="G174" s="32" t="s">
        <v>46</v>
      </c>
      <c r="H174" s="32" t="s">
        <v>18</v>
      </c>
      <c r="I174" s="32">
        <v>109.459</v>
      </c>
      <c r="J174" s="32">
        <v>43.710999999999999</v>
      </c>
      <c r="K174" s="32" t="b">
        <v>0</v>
      </c>
      <c r="L174" s="32" t="s">
        <v>47</v>
      </c>
      <c r="M174" s="32" t="s">
        <v>48</v>
      </c>
      <c r="N174" s="34">
        <v>46082</v>
      </c>
      <c r="O174" s="35" t="str">
        <f t="shared" si="0"/>
        <v>Nguyễn Đông Triều</v>
      </c>
    </row>
    <row r="175" spans="1:15">
      <c r="A175" s="32" t="s">
        <v>134</v>
      </c>
      <c r="B175" s="32" t="s">
        <v>44</v>
      </c>
      <c r="C175" s="33">
        <v>46035</v>
      </c>
      <c r="D175" s="32">
        <v>914433557</v>
      </c>
      <c r="E175" s="32">
        <v>458766125</v>
      </c>
      <c r="F175" s="32" t="s">
        <v>53</v>
      </c>
      <c r="G175" s="32" t="s">
        <v>46</v>
      </c>
      <c r="H175" s="32" t="s">
        <v>18</v>
      </c>
      <c r="I175" s="32">
        <v>117.78</v>
      </c>
      <c r="J175" s="32">
        <v>36.152999999999999</v>
      </c>
      <c r="K175" s="32" t="b">
        <v>0</v>
      </c>
      <c r="L175" s="32" t="s">
        <v>47</v>
      </c>
      <c r="M175" s="32" t="s">
        <v>48</v>
      </c>
      <c r="N175" s="34">
        <v>46206</v>
      </c>
      <c r="O175" s="35" t="str">
        <f t="shared" si="0"/>
        <v>Nguyễn Đông Triều</v>
      </c>
    </row>
    <row r="176" spans="1:15">
      <c r="A176" s="32" t="s">
        <v>134</v>
      </c>
      <c r="B176" s="32" t="s">
        <v>44</v>
      </c>
      <c r="C176" s="33">
        <v>46035</v>
      </c>
      <c r="D176" s="32">
        <v>914433557</v>
      </c>
      <c r="E176" s="32">
        <v>458766125</v>
      </c>
      <c r="F176" s="32" t="s">
        <v>53</v>
      </c>
      <c r="G176" s="32" t="s">
        <v>46</v>
      </c>
      <c r="H176" s="32" t="s">
        <v>18</v>
      </c>
      <c r="I176" s="32">
        <v>104.583</v>
      </c>
      <c r="J176" s="32">
        <v>38.387</v>
      </c>
      <c r="K176" s="32" t="b">
        <v>0</v>
      </c>
      <c r="L176" s="32" t="s">
        <v>47</v>
      </c>
      <c r="M176" s="32" t="s">
        <v>48</v>
      </c>
      <c r="N176" s="34">
        <v>46084</v>
      </c>
      <c r="O176" s="35" t="str">
        <f t="shared" si="0"/>
        <v>Nguyễn Đông Triều</v>
      </c>
    </row>
    <row r="177" spans="1:15">
      <c r="A177" s="32" t="s">
        <v>134</v>
      </c>
      <c r="B177" s="32" t="s">
        <v>44</v>
      </c>
      <c r="C177" s="33">
        <v>46035</v>
      </c>
      <c r="D177" s="32">
        <v>914433557</v>
      </c>
      <c r="E177" s="32">
        <v>458766125</v>
      </c>
      <c r="F177" s="32" t="s">
        <v>53</v>
      </c>
      <c r="G177" s="32" t="s">
        <v>46</v>
      </c>
      <c r="H177" s="32" t="s">
        <v>18</v>
      </c>
      <c r="I177" s="32">
        <v>98.525999999999996</v>
      </c>
      <c r="J177" s="32">
        <v>29.516999999999999</v>
      </c>
      <c r="K177" s="32" t="b">
        <v>0</v>
      </c>
      <c r="L177" s="32" t="s">
        <v>47</v>
      </c>
      <c r="M177" s="32" t="s">
        <v>48</v>
      </c>
      <c r="N177" s="32" t="s">
        <v>105</v>
      </c>
      <c r="O177" s="35" t="str">
        <f t="shared" si="0"/>
        <v>Nguyễn Đông Triều</v>
      </c>
    </row>
    <row r="178" spans="1:15">
      <c r="A178" s="32" t="s">
        <v>134</v>
      </c>
      <c r="B178" s="32" t="s">
        <v>44</v>
      </c>
      <c r="C178" s="33">
        <v>46035</v>
      </c>
      <c r="D178" s="32">
        <v>914433557</v>
      </c>
      <c r="E178" s="32">
        <v>458766125</v>
      </c>
      <c r="F178" s="32" t="s">
        <v>53</v>
      </c>
      <c r="G178" s="32" t="s">
        <v>46</v>
      </c>
      <c r="H178" s="32" t="s">
        <v>18</v>
      </c>
      <c r="I178" s="32">
        <v>100.646</v>
      </c>
      <c r="J178" s="32">
        <v>57.997</v>
      </c>
      <c r="K178" s="32" t="b">
        <v>1</v>
      </c>
      <c r="L178" s="32" t="s">
        <v>47</v>
      </c>
      <c r="M178" s="32" t="s">
        <v>48</v>
      </c>
      <c r="N178" s="34">
        <v>46145</v>
      </c>
      <c r="O178" s="35" t="str">
        <f t="shared" si="0"/>
        <v>Nguyễn Đông Triều</v>
      </c>
    </row>
    <row r="179" spans="1:15">
      <c r="A179" s="32" t="s">
        <v>134</v>
      </c>
      <c r="B179" s="32" t="s">
        <v>44</v>
      </c>
      <c r="C179" s="33">
        <v>46035</v>
      </c>
      <c r="D179" s="32">
        <v>914433557</v>
      </c>
      <c r="E179" s="32">
        <v>458766125</v>
      </c>
      <c r="F179" s="32" t="s">
        <v>53</v>
      </c>
      <c r="G179" s="32" t="s">
        <v>46</v>
      </c>
      <c r="H179" s="32" t="s">
        <v>18</v>
      </c>
      <c r="I179" s="32">
        <v>115.256</v>
      </c>
      <c r="J179" s="32">
        <v>58.024999999999999</v>
      </c>
      <c r="K179" s="32" t="b">
        <v>1</v>
      </c>
      <c r="L179" s="32" t="s">
        <v>47</v>
      </c>
      <c r="M179" s="32" t="s">
        <v>48</v>
      </c>
      <c r="N179" s="32" t="s">
        <v>135</v>
      </c>
      <c r="O179" s="35" t="str">
        <f t="shared" si="0"/>
        <v>Nguyễn Đông Triều</v>
      </c>
    </row>
    <row r="180" spans="1:15">
      <c r="A180" s="32" t="s">
        <v>134</v>
      </c>
      <c r="B180" s="32" t="s">
        <v>44</v>
      </c>
      <c r="C180" s="33">
        <v>46035</v>
      </c>
      <c r="D180" s="32">
        <v>914433557</v>
      </c>
      <c r="E180" s="32">
        <v>458766125</v>
      </c>
      <c r="F180" s="32" t="s">
        <v>53</v>
      </c>
      <c r="G180" s="32" t="s">
        <v>46</v>
      </c>
      <c r="H180" s="32" t="s">
        <v>18</v>
      </c>
      <c r="I180" s="32">
        <v>113.67</v>
      </c>
      <c r="J180" s="32">
        <v>51.994999999999997</v>
      </c>
      <c r="K180" s="32" t="b">
        <v>1</v>
      </c>
      <c r="L180" s="32" t="s">
        <v>47</v>
      </c>
      <c r="M180" s="32" t="s">
        <v>48</v>
      </c>
      <c r="N180" s="34">
        <v>46086</v>
      </c>
      <c r="O180" s="35" t="str">
        <f t="shared" si="0"/>
        <v>Nguyễn Đông Triều</v>
      </c>
    </row>
    <row r="181" spans="1:15">
      <c r="A181" s="32" t="s">
        <v>134</v>
      </c>
      <c r="B181" s="32" t="s">
        <v>44</v>
      </c>
      <c r="C181" s="33">
        <v>46035</v>
      </c>
      <c r="D181" s="32">
        <v>914433557</v>
      </c>
      <c r="E181" s="32">
        <v>458766125</v>
      </c>
      <c r="F181" s="32" t="s">
        <v>53</v>
      </c>
      <c r="G181" s="32" t="s">
        <v>46</v>
      </c>
      <c r="H181" s="32" t="s">
        <v>18</v>
      </c>
      <c r="I181" s="32">
        <v>95.459000000000003</v>
      </c>
      <c r="J181" s="32">
        <v>58.56</v>
      </c>
      <c r="K181" s="32" t="b">
        <v>1</v>
      </c>
      <c r="L181" s="32" t="s">
        <v>47</v>
      </c>
      <c r="M181" s="32" t="s">
        <v>48</v>
      </c>
      <c r="N181" s="34">
        <v>46028</v>
      </c>
      <c r="O181" s="35" t="str">
        <f t="shared" si="0"/>
        <v>Nguyễn Đông Triều</v>
      </c>
    </row>
    <row r="182" spans="1:15">
      <c r="A182" s="32" t="s">
        <v>134</v>
      </c>
      <c r="B182" s="32" t="s">
        <v>44</v>
      </c>
      <c r="C182" s="33">
        <v>46035</v>
      </c>
      <c r="D182" s="32">
        <v>914433557</v>
      </c>
      <c r="E182" s="32">
        <v>458766125</v>
      </c>
      <c r="F182" s="32" t="s">
        <v>53</v>
      </c>
      <c r="G182" s="32" t="s">
        <v>46</v>
      </c>
      <c r="H182" s="32" t="s">
        <v>18</v>
      </c>
      <c r="I182" s="32">
        <v>103.44799999999999</v>
      </c>
      <c r="J182" s="32">
        <v>64.388999999999996</v>
      </c>
      <c r="K182" s="32" t="b">
        <v>1</v>
      </c>
      <c r="L182" s="32" t="s">
        <v>47</v>
      </c>
      <c r="M182" s="32" t="s">
        <v>48</v>
      </c>
      <c r="N182" s="34">
        <v>46060</v>
      </c>
      <c r="O182" s="35" t="str">
        <f t="shared" si="0"/>
        <v>Nguyễn Đông Triều</v>
      </c>
    </row>
    <row r="183" spans="1:15">
      <c r="A183" s="32" t="s">
        <v>52</v>
      </c>
      <c r="B183" s="32" t="s">
        <v>44</v>
      </c>
      <c r="C183" s="33">
        <v>46035</v>
      </c>
      <c r="D183" s="32">
        <v>915282271</v>
      </c>
      <c r="E183" s="32">
        <v>437354149</v>
      </c>
      <c r="F183" s="32" t="s">
        <v>53</v>
      </c>
      <c r="G183" s="32" t="s">
        <v>46</v>
      </c>
      <c r="H183" s="32" t="s">
        <v>58</v>
      </c>
      <c r="I183" s="32">
        <v>145.352</v>
      </c>
      <c r="J183" s="32">
        <v>47.378999999999998</v>
      </c>
      <c r="K183" s="32" t="b">
        <v>1</v>
      </c>
      <c r="L183" s="32" t="s">
        <v>47</v>
      </c>
      <c r="M183" s="32" t="s">
        <v>48</v>
      </c>
      <c r="N183" s="34">
        <v>46176</v>
      </c>
      <c r="O183" s="35" t="str">
        <f t="shared" si="0"/>
        <v>Nguyễn Hoàng Tuấn</v>
      </c>
    </row>
    <row r="184" spans="1:15">
      <c r="A184" s="32" t="s">
        <v>52</v>
      </c>
      <c r="B184" s="32" t="s">
        <v>44</v>
      </c>
      <c r="C184" s="33">
        <v>46035</v>
      </c>
      <c r="D184" s="32">
        <v>915282271</v>
      </c>
      <c r="E184" s="32">
        <v>437354149</v>
      </c>
      <c r="F184" s="32" t="s">
        <v>53</v>
      </c>
      <c r="G184" s="32" t="s">
        <v>46</v>
      </c>
      <c r="H184" s="32" t="s">
        <v>58</v>
      </c>
      <c r="I184" s="32">
        <v>145.352</v>
      </c>
      <c r="J184" s="32">
        <v>47.378999999999998</v>
      </c>
      <c r="K184" s="32" t="b">
        <v>1</v>
      </c>
      <c r="L184" s="32" t="s">
        <v>47</v>
      </c>
      <c r="M184" s="32" t="s">
        <v>48</v>
      </c>
      <c r="N184" s="34">
        <v>46176</v>
      </c>
      <c r="O184" s="35" t="str">
        <f t="shared" si="0"/>
        <v>Nguyễn Hoàng Tuấn</v>
      </c>
    </row>
    <row r="185" spans="1:15">
      <c r="A185" s="32" t="s">
        <v>136</v>
      </c>
      <c r="B185" s="32" t="s">
        <v>44</v>
      </c>
      <c r="C185" s="33">
        <v>46035</v>
      </c>
      <c r="D185" s="32">
        <v>917773898</v>
      </c>
      <c r="E185" s="32">
        <v>505313750</v>
      </c>
      <c r="F185" s="32" t="s">
        <v>122</v>
      </c>
      <c r="G185" s="32" t="s">
        <v>46</v>
      </c>
      <c r="H185" s="32" t="s">
        <v>51</v>
      </c>
      <c r="I185" s="32">
        <v>56.243000000000002</v>
      </c>
      <c r="J185" s="32">
        <v>53.673999999999999</v>
      </c>
      <c r="K185" s="32" t="b">
        <v>1</v>
      </c>
      <c r="L185" s="32" t="s">
        <v>47</v>
      </c>
      <c r="M185" s="32" t="s">
        <v>48</v>
      </c>
      <c r="N185" s="34">
        <v>46272</v>
      </c>
      <c r="O185" s="35" t="str">
        <f t="shared" si="0"/>
        <v>Lê Xuân Trình</v>
      </c>
    </row>
    <row r="186" spans="1:15">
      <c r="A186" s="32" t="s">
        <v>121</v>
      </c>
      <c r="B186" s="32" t="s">
        <v>44</v>
      </c>
      <c r="C186" s="33">
        <v>46035</v>
      </c>
      <c r="D186" s="32">
        <v>919619755</v>
      </c>
      <c r="E186" s="32">
        <v>513794281</v>
      </c>
      <c r="F186" s="32" t="s">
        <v>122</v>
      </c>
      <c r="G186" s="32" t="s">
        <v>46</v>
      </c>
      <c r="H186" s="32" t="s">
        <v>18</v>
      </c>
      <c r="I186" s="32">
        <v>116.955</v>
      </c>
      <c r="J186" s="32">
        <v>58.554000000000002</v>
      </c>
      <c r="K186" s="32" t="b">
        <v>1</v>
      </c>
      <c r="L186" s="32" t="s">
        <v>47</v>
      </c>
      <c r="M186" s="32" t="s">
        <v>48</v>
      </c>
      <c r="N186" s="32" t="s">
        <v>137</v>
      </c>
      <c r="O186" s="35" t="str">
        <f t="shared" si="0"/>
        <v>Nguyễn Ngọc Thơ</v>
      </c>
    </row>
    <row r="187" spans="1:15">
      <c r="A187" s="32" t="s">
        <v>121</v>
      </c>
      <c r="B187" s="32" t="s">
        <v>44</v>
      </c>
      <c r="C187" s="33">
        <v>46035</v>
      </c>
      <c r="D187" s="32">
        <v>919619755</v>
      </c>
      <c r="E187" s="32">
        <v>513794281</v>
      </c>
      <c r="F187" s="32" t="s">
        <v>122</v>
      </c>
      <c r="G187" s="32" t="s">
        <v>46</v>
      </c>
      <c r="H187" s="32" t="s">
        <v>18</v>
      </c>
      <c r="I187" s="32">
        <v>108.952</v>
      </c>
      <c r="J187" s="32">
        <v>58.564999999999998</v>
      </c>
      <c r="K187" s="32" t="b">
        <v>1</v>
      </c>
      <c r="L187" s="32" t="s">
        <v>47</v>
      </c>
      <c r="M187" s="32" t="s">
        <v>48</v>
      </c>
      <c r="N187" s="34">
        <v>46086</v>
      </c>
      <c r="O187" s="35" t="str">
        <f t="shared" si="0"/>
        <v>Nguyễn Ngọc Thơ</v>
      </c>
    </row>
    <row r="188" spans="1:15">
      <c r="A188" s="32" t="s">
        <v>129</v>
      </c>
      <c r="B188" s="32" t="s">
        <v>44</v>
      </c>
      <c r="C188" s="33">
        <v>46035</v>
      </c>
      <c r="D188" s="32">
        <v>919269115</v>
      </c>
      <c r="E188" s="32">
        <v>410479102</v>
      </c>
      <c r="F188" s="32" t="s">
        <v>130</v>
      </c>
      <c r="G188" s="32" t="s">
        <v>46</v>
      </c>
      <c r="H188" s="32" t="s">
        <v>18</v>
      </c>
      <c r="I188" s="32">
        <v>115.35899999999999</v>
      </c>
      <c r="J188" s="32">
        <v>45.904000000000003</v>
      </c>
      <c r="K188" s="32" t="b">
        <v>1</v>
      </c>
      <c r="L188" s="32" t="s">
        <v>63</v>
      </c>
      <c r="M188" s="32" t="s">
        <v>48</v>
      </c>
      <c r="N188" s="34">
        <v>46175</v>
      </c>
      <c r="O188" s="35" t="str">
        <f t="shared" si="0"/>
        <v>Thái Minh Phúc</v>
      </c>
    </row>
    <row r="189" spans="1:15">
      <c r="A189" s="32" t="s">
        <v>129</v>
      </c>
      <c r="B189" s="32" t="s">
        <v>44</v>
      </c>
      <c r="C189" s="33">
        <v>46035</v>
      </c>
      <c r="D189" s="32">
        <v>919269115</v>
      </c>
      <c r="E189" s="32">
        <v>410479102</v>
      </c>
      <c r="F189" s="32" t="s">
        <v>130</v>
      </c>
      <c r="G189" s="32" t="s">
        <v>46</v>
      </c>
      <c r="H189" s="32" t="s">
        <v>18</v>
      </c>
      <c r="I189" s="32">
        <v>121.654</v>
      </c>
      <c r="J189" s="32">
        <v>45.37</v>
      </c>
      <c r="K189" s="32" t="b">
        <v>1</v>
      </c>
      <c r="L189" s="32" t="s">
        <v>63</v>
      </c>
      <c r="M189" s="32" t="s">
        <v>48</v>
      </c>
      <c r="N189" s="34">
        <v>46026</v>
      </c>
      <c r="O189" s="35" t="str">
        <f t="shared" si="0"/>
        <v>Thái Minh Phúc</v>
      </c>
    </row>
    <row r="190" spans="1:15">
      <c r="A190" s="32" t="s">
        <v>129</v>
      </c>
      <c r="B190" s="32" t="s">
        <v>44</v>
      </c>
      <c r="C190" s="33">
        <v>46035</v>
      </c>
      <c r="D190" s="32">
        <v>919269115</v>
      </c>
      <c r="E190" s="32">
        <v>410479102</v>
      </c>
      <c r="F190" s="32" t="s">
        <v>130</v>
      </c>
      <c r="G190" s="32" t="s">
        <v>46</v>
      </c>
      <c r="H190" s="32" t="s">
        <v>18</v>
      </c>
      <c r="I190" s="32">
        <v>75.724999999999994</v>
      </c>
      <c r="J190" s="32">
        <v>45.212000000000003</v>
      </c>
      <c r="K190" s="32" t="b">
        <v>1</v>
      </c>
      <c r="L190" s="32" t="s">
        <v>63</v>
      </c>
      <c r="M190" s="32" t="s">
        <v>48</v>
      </c>
      <c r="N190" s="34">
        <v>46057</v>
      </c>
      <c r="O190" s="35" t="str">
        <f t="shared" si="0"/>
        <v>Thái Minh Phúc</v>
      </c>
    </row>
    <row r="191" spans="1:15">
      <c r="A191" s="32" t="s">
        <v>129</v>
      </c>
      <c r="B191" s="32" t="s">
        <v>44</v>
      </c>
      <c r="C191" s="33">
        <v>46035</v>
      </c>
      <c r="D191" s="32">
        <v>919269115</v>
      </c>
      <c r="E191" s="32">
        <v>410479102</v>
      </c>
      <c r="F191" s="32" t="s">
        <v>130</v>
      </c>
      <c r="G191" s="32" t="s">
        <v>46</v>
      </c>
      <c r="H191" s="32" t="s">
        <v>18</v>
      </c>
      <c r="I191" s="32">
        <v>73.308999999999997</v>
      </c>
      <c r="J191" s="32">
        <v>46.015999999999998</v>
      </c>
      <c r="K191" s="32" t="b">
        <v>1</v>
      </c>
      <c r="L191" s="32" t="s">
        <v>63</v>
      </c>
      <c r="M191" s="32" t="s">
        <v>48</v>
      </c>
      <c r="N191" s="34">
        <v>46178</v>
      </c>
      <c r="O191" s="35" t="str">
        <f t="shared" si="0"/>
        <v>Thái Minh Phúc</v>
      </c>
    </row>
    <row r="192" spans="1:15">
      <c r="A192" s="32" t="s">
        <v>129</v>
      </c>
      <c r="B192" s="32" t="s">
        <v>44</v>
      </c>
      <c r="C192" s="33">
        <v>46035</v>
      </c>
      <c r="D192" s="32">
        <v>919269115</v>
      </c>
      <c r="E192" s="32">
        <v>410479102</v>
      </c>
      <c r="F192" s="32" t="s">
        <v>130</v>
      </c>
      <c r="G192" s="32" t="s">
        <v>46</v>
      </c>
      <c r="H192" s="32" t="s">
        <v>18</v>
      </c>
      <c r="I192" s="32">
        <v>79.930999999999997</v>
      </c>
      <c r="J192" s="32">
        <v>41.926000000000002</v>
      </c>
      <c r="K192" s="32" t="b">
        <v>1</v>
      </c>
      <c r="L192" s="32" t="s">
        <v>63</v>
      </c>
      <c r="M192" s="32" t="s">
        <v>48</v>
      </c>
      <c r="N192" s="34">
        <v>46124</v>
      </c>
      <c r="O192" s="35" t="str">
        <f t="shared" si="0"/>
        <v>Thái Minh Phúc</v>
      </c>
    </row>
    <row r="193" spans="1:15">
      <c r="A193" s="32" t="s">
        <v>129</v>
      </c>
      <c r="B193" s="32" t="s">
        <v>44</v>
      </c>
      <c r="C193" s="33">
        <v>46035</v>
      </c>
      <c r="D193" s="32">
        <v>919269115</v>
      </c>
      <c r="E193" s="32">
        <v>410479102</v>
      </c>
      <c r="F193" s="32" t="s">
        <v>130</v>
      </c>
      <c r="G193" s="32" t="s">
        <v>46</v>
      </c>
      <c r="H193" s="32" t="s">
        <v>18</v>
      </c>
      <c r="I193" s="32">
        <v>72.569000000000003</v>
      </c>
      <c r="J193" s="32">
        <v>44.853999999999999</v>
      </c>
      <c r="K193" s="32" t="b">
        <v>1</v>
      </c>
      <c r="L193" s="32" t="s">
        <v>63</v>
      </c>
      <c r="M193" s="32" t="s">
        <v>48</v>
      </c>
      <c r="N193" s="34">
        <v>46084</v>
      </c>
      <c r="O193" s="35" t="str">
        <f t="shared" si="0"/>
        <v>Thái Minh Phúc</v>
      </c>
    </row>
    <row r="194" spans="1:15">
      <c r="A194" s="32" t="s">
        <v>138</v>
      </c>
      <c r="B194" s="32" t="s">
        <v>44</v>
      </c>
      <c r="C194" s="33">
        <v>46035</v>
      </c>
      <c r="D194" s="32">
        <v>914403881</v>
      </c>
      <c r="E194" s="32">
        <v>407766951</v>
      </c>
      <c r="F194" s="32" t="s">
        <v>139</v>
      </c>
      <c r="G194" s="32" t="s">
        <v>46</v>
      </c>
      <c r="H194" s="32" t="s">
        <v>51</v>
      </c>
      <c r="I194" s="32">
        <v>96.99</v>
      </c>
      <c r="J194" s="32">
        <v>54.16</v>
      </c>
      <c r="K194" s="32" t="b">
        <v>1</v>
      </c>
      <c r="L194" s="32" t="s">
        <v>63</v>
      </c>
      <c r="M194" s="32" t="s">
        <v>48</v>
      </c>
      <c r="N194" s="34">
        <v>46057</v>
      </c>
      <c r="O194" s="35" t="str">
        <f t="shared" si="0"/>
        <v>Trần Xuân Toại</v>
      </c>
    </row>
    <row r="195" spans="1:15">
      <c r="A195" s="32" t="s">
        <v>138</v>
      </c>
      <c r="B195" s="32" t="s">
        <v>44</v>
      </c>
      <c r="C195" s="33">
        <v>46035</v>
      </c>
      <c r="D195" s="32">
        <v>914403881</v>
      </c>
      <c r="E195" s="32">
        <v>407766951</v>
      </c>
      <c r="F195" s="32" t="s">
        <v>139</v>
      </c>
      <c r="G195" s="32" t="s">
        <v>46</v>
      </c>
      <c r="H195" s="32" t="s">
        <v>51</v>
      </c>
      <c r="I195" s="32">
        <v>96.99</v>
      </c>
      <c r="J195" s="32">
        <v>54.16</v>
      </c>
      <c r="K195" s="32" t="b">
        <v>1</v>
      </c>
      <c r="L195" s="32" t="s">
        <v>63</v>
      </c>
      <c r="M195" s="32" t="s">
        <v>48</v>
      </c>
      <c r="N195" s="34">
        <v>46057</v>
      </c>
      <c r="O195" s="35" t="str">
        <f t="shared" si="0"/>
        <v>Trần Xuân Toại</v>
      </c>
    </row>
    <row r="196" spans="1:15">
      <c r="A196" s="32" t="s">
        <v>110</v>
      </c>
      <c r="B196" s="32" t="s">
        <v>44</v>
      </c>
      <c r="C196" s="33">
        <v>46035</v>
      </c>
      <c r="D196" s="32">
        <v>853837837</v>
      </c>
      <c r="E196" s="32">
        <v>397762371</v>
      </c>
      <c r="F196" s="32" t="s">
        <v>95</v>
      </c>
      <c r="G196" s="32" t="s">
        <v>46</v>
      </c>
      <c r="H196" s="32" t="s">
        <v>87</v>
      </c>
      <c r="I196" s="32">
        <v>53.323999999999998</v>
      </c>
      <c r="J196" s="32">
        <v>20.466000000000001</v>
      </c>
      <c r="K196" s="32" t="b">
        <v>0</v>
      </c>
      <c r="L196" s="32" t="s">
        <v>47</v>
      </c>
      <c r="M196" s="32" t="s">
        <v>48</v>
      </c>
      <c r="N196" s="34">
        <v>46146</v>
      </c>
      <c r="O196" s="35" t="str">
        <f t="shared" si="0"/>
        <v>Trần Thanh Giàu</v>
      </c>
    </row>
    <row r="197" spans="1:15">
      <c r="A197" s="32" t="s">
        <v>110</v>
      </c>
      <c r="B197" s="32" t="s">
        <v>44</v>
      </c>
      <c r="C197" s="33">
        <v>46035</v>
      </c>
      <c r="D197" s="32">
        <v>853837837</v>
      </c>
      <c r="E197" s="32">
        <v>397762371</v>
      </c>
      <c r="F197" s="32" t="s">
        <v>95</v>
      </c>
      <c r="G197" s="32" t="s">
        <v>46</v>
      </c>
      <c r="H197" s="32" t="s">
        <v>87</v>
      </c>
      <c r="I197" s="32">
        <v>53.323999999999998</v>
      </c>
      <c r="J197" s="32">
        <v>20.466000000000001</v>
      </c>
      <c r="K197" s="32" t="b">
        <v>0</v>
      </c>
      <c r="L197" s="32" t="s">
        <v>47</v>
      </c>
      <c r="M197" s="32" t="s">
        <v>48</v>
      </c>
      <c r="N197" s="34">
        <v>46146</v>
      </c>
      <c r="O197" s="35" t="str">
        <f t="shared" si="0"/>
        <v>Trần Thanh Giàu</v>
      </c>
    </row>
    <row r="198" spans="1:15">
      <c r="A198" s="32" t="s">
        <v>121</v>
      </c>
      <c r="B198" s="32" t="s">
        <v>44</v>
      </c>
      <c r="C198" s="33">
        <v>46035</v>
      </c>
      <c r="D198" s="32">
        <v>919619755</v>
      </c>
      <c r="E198" s="32">
        <v>513794281</v>
      </c>
      <c r="F198" s="32" t="s">
        <v>122</v>
      </c>
      <c r="G198" s="32" t="s">
        <v>46</v>
      </c>
      <c r="H198" s="32" t="s">
        <v>18</v>
      </c>
      <c r="I198" s="32">
        <v>59.896999999999998</v>
      </c>
      <c r="J198" s="32">
        <v>35.365000000000002</v>
      </c>
      <c r="K198" s="32" t="b">
        <v>1</v>
      </c>
      <c r="L198" s="32" t="s">
        <v>47</v>
      </c>
      <c r="M198" s="32" t="s">
        <v>48</v>
      </c>
      <c r="N198" s="34">
        <v>46087</v>
      </c>
      <c r="O198" s="35" t="str">
        <f t="shared" si="0"/>
        <v>Nguyễn Ngọc Thơ</v>
      </c>
    </row>
    <row r="199" spans="1:15">
      <c r="A199" s="32" t="s">
        <v>121</v>
      </c>
      <c r="B199" s="32" t="s">
        <v>44</v>
      </c>
      <c r="C199" s="33">
        <v>46035</v>
      </c>
      <c r="D199" s="32">
        <v>919619755</v>
      </c>
      <c r="E199" s="32">
        <v>513794281</v>
      </c>
      <c r="F199" s="32" t="s">
        <v>122</v>
      </c>
      <c r="G199" s="32" t="s">
        <v>46</v>
      </c>
      <c r="H199" s="32" t="s">
        <v>18</v>
      </c>
      <c r="I199" s="32">
        <v>93.387</v>
      </c>
      <c r="J199" s="32">
        <v>59.69</v>
      </c>
      <c r="K199" s="32" t="b">
        <v>1</v>
      </c>
      <c r="L199" s="32" t="s">
        <v>47</v>
      </c>
      <c r="M199" s="32" t="s">
        <v>48</v>
      </c>
      <c r="N199" s="32" t="s">
        <v>123</v>
      </c>
      <c r="O199" s="35" t="str">
        <f t="shared" si="0"/>
        <v>Nguyễn Ngọc Thơ</v>
      </c>
    </row>
    <row r="200" spans="1:15">
      <c r="A200" s="32" t="s">
        <v>121</v>
      </c>
      <c r="B200" s="32" t="s">
        <v>44</v>
      </c>
      <c r="C200" s="33">
        <v>46035</v>
      </c>
      <c r="D200" s="32">
        <v>919619755</v>
      </c>
      <c r="E200" s="32">
        <v>513794281</v>
      </c>
      <c r="F200" s="32" t="s">
        <v>122</v>
      </c>
      <c r="G200" s="32" t="s">
        <v>46</v>
      </c>
      <c r="H200" s="32" t="s">
        <v>18</v>
      </c>
      <c r="I200" s="32">
        <v>75.709000000000003</v>
      </c>
      <c r="J200" s="32">
        <v>62.52</v>
      </c>
      <c r="K200" s="32" t="b">
        <v>1</v>
      </c>
      <c r="L200" s="32" t="s">
        <v>47</v>
      </c>
      <c r="M200" s="32" t="s">
        <v>48</v>
      </c>
      <c r="N200" s="34">
        <v>46180</v>
      </c>
      <c r="O200" s="35" t="str">
        <f t="shared" si="0"/>
        <v>Nguyễn Ngọc Thơ</v>
      </c>
    </row>
    <row r="201" spans="1:15">
      <c r="A201" s="32" t="s">
        <v>121</v>
      </c>
      <c r="B201" s="32" t="s">
        <v>44</v>
      </c>
      <c r="C201" s="33">
        <v>46035</v>
      </c>
      <c r="D201" s="32">
        <v>919619755</v>
      </c>
      <c r="E201" s="32">
        <v>513794281</v>
      </c>
      <c r="F201" s="32" t="s">
        <v>122</v>
      </c>
      <c r="G201" s="32" t="s">
        <v>46</v>
      </c>
      <c r="H201" s="32" t="s">
        <v>18</v>
      </c>
      <c r="I201" s="32">
        <v>95.602999999999994</v>
      </c>
      <c r="J201" s="32">
        <v>44.183</v>
      </c>
      <c r="K201" s="32" t="b">
        <v>1</v>
      </c>
      <c r="L201" s="32" t="s">
        <v>47</v>
      </c>
      <c r="M201" s="32" t="s">
        <v>48</v>
      </c>
      <c r="N201" s="34">
        <v>46240</v>
      </c>
      <c r="O201" s="35" t="str">
        <f t="shared" si="0"/>
        <v>Nguyễn Ngọc Thơ</v>
      </c>
    </row>
    <row r="202" spans="1:15">
      <c r="A202" s="32" t="s">
        <v>121</v>
      </c>
      <c r="B202" s="32" t="s">
        <v>44</v>
      </c>
      <c r="C202" s="33">
        <v>46035</v>
      </c>
      <c r="D202" s="32">
        <v>919619755</v>
      </c>
      <c r="E202" s="32">
        <v>513794281</v>
      </c>
      <c r="F202" s="32" t="s">
        <v>122</v>
      </c>
      <c r="G202" s="32" t="s">
        <v>46</v>
      </c>
      <c r="H202" s="32" t="s">
        <v>18</v>
      </c>
      <c r="I202" s="32">
        <v>87.512</v>
      </c>
      <c r="J202" s="32">
        <v>44.338999999999999</v>
      </c>
      <c r="K202" s="32" t="b">
        <v>1</v>
      </c>
      <c r="L202" s="32" t="s">
        <v>47</v>
      </c>
      <c r="M202" s="32" t="s">
        <v>48</v>
      </c>
      <c r="N202" s="32" t="s">
        <v>105</v>
      </c>
      <c r="O202" s="35" t="str">
        <f t="shared" si="0"/>
        <v>Nguyễn Ngọc Thơ</v>
      </c>
    </row>
    <row r="203" spans="1:15">
      <c r="A203" s="32" t="s">
        <v>121</v>
      </c>
      <c r="B203" s="32" t="s">
        <v>44</v>
      </c>
      <c r="C203" s="33">
        <v>46035</v>
      </c>
      <c r="D203" s="32">
        <v>919619755</v>
      </c>
      <c r="E203" s="32">
        <v>513794281</v>
      </c>
      <c r="F203" s="32" t="s">
        <v>122</v>
      </c>
      <c r="G203" s="32" t="s">
        <v>46</v>
      </c>
      <c r="H203" s="32" t="s">
        <v>18</v>
      </c>
      <c r="I203" s="32">
        <v>71.715999999999994</v>
      </c>
      <c r="J203" s="32">
        <v>45.463999999999999</v>
      </c>
      <c r="K203" s="32" t="b">
        <v>1</v>
      </c>
      <c r="L203" s="32" t="s">
        <v>47</v>
      </c>
      <c r="M203" s="32" t="s">
        <v>48</v>
      </c>
      <c r="N203" s="34">
        <v>46084</v>
      </c>
      <c r="O203" s="35" t="str">
        <f t="shared" si="0"/>
        <v>Nguyễn Ngọc Thơ</v>
      </c>
    </row>
    <row r="204" spans="1:15">
      <c r="A204" s="32" t="s">
        <v>121</v>
      </c>
      <c r="B204" s="32" t="s">
        <v>44</v>
      </c>
      <c r="C204" s="33">
        <v>46035</v>
      </c>
      <c r="D204" s="32">
        <v>919619755</v>
      </c>
      <c r="E204" s="32">
        <v>513794281</v>
      </c>
      <c r="F204" s="32" t="s">
        <v>122</v>
      </c>
      <c r="G204" s="32" t="s">
        <v>46</v>
      </c>
      <c r="H204" s="32" t="s">
        <v>18</v>
      </c>
      <c r="I204" s="32">
        <v>89.819000000000003</v>
      </c>
      <c r="J204" s="32">
        <v>41.552</v>
      </c>
      <c r="K204" s="32" t="b">
        <v>1</v>
      </c>
      <c r="L204" s="32" t="s">
        <v>47</v>
      </c>
      <c r="M204" s="32" t="s">
        <v>48</v>
      </c>
      <c r="N204" s="34">
        <v>46179</v>
      </c>
      <c r="O204" s="35" t="str">
        <f t="shared" si="0"/>
        <v>Nguyễn Ngọc Thơ</v>
      </c>
    </row>
    <row r="205" spans="1:15">
      <c r="A205" s="32" t="s">
        <v>121</v>
      </c>
      <c r="B205" s="32" t="s">
        <v>44</v>
      </c>
      <c r="C205" s="33">
        <v>46035</v>
      </c>
      <c r="D205" s="32">
        <v>919619755</v>
      </c>
      <c r="E205" s="32">
        <v>513794281</v>
      </c>
      <c r="F205" s="32" t="s">
        <v>122</v>
      </c>
      <c r="G205" s="32" t="s">
        <v>46</v>
      </c>
      <c r="H205" s="32" t="s">
        <v>18</v>
      </c>
      <c r="I205" s="32">
        <v>90.227000000000004</v>
      </c>
      <c r="J205" s="32">
        <v>40.817999999999998</v>
      </c>
      <c r="K205" s="32" t="b">
        <v>1</v>
      </c>
      <c r="L205" s="32" t="s">
        <v>47</v>
      </c>
      <c r="M205" s="32" t="s">
        <v>48</v>
      </c>
      <c r="N205" s="34">
        <v>46149</v>
      </c>
      <c r="O205" s="35" t="str">
        <f t="shared" si="0"/>
        <v>Nguyễn Ngọc Thơ</v>
      </c>
    </row>
    <row r="206" spans="1:15">
      <c r="A206" s="32" t="s">
        <v>121</v>
      </c>
      <c r="B206" s="32" t="s">
        <v>44</v>
      </c>
      <c r="C206" s="33">
        <v>46035</v>
      </c>
      <c r="D206" s="32">
        <v>919619755</v>
      </c>
      <c r="E206" s="32">
        <v>513794281</v>
      </c>
      <c r="F206" s="32" t="s">
        <v>122</v>
      </c>
      <c r="G206" s="32" t="s">
        <v>46</v>
      </c>
      <c r="H206" s="32" t="s">
        <v>18</v>
      </c>
      <c r="I206" s="32">
        <v>84.046000000000006</v>
      </c>
      <c r="J206" s="32">
        <v>49.843000000000004</v>
      </c>
      <c r="K206" s="32" t="b">
        <v>1</v>
      </c>
      <c r="L206" s="32" t="s">
        <v>47</v>
      </c>
      <c r="M206" s="32" t="s">
        <v>48</v>
      </c>
      <c r="N206" s="34">
        <v>46271</v>
      </c>
      <c r="O206" s="35" t="str">
        <f t="shared" si="0"/>
        <v>Nguyễn Ngọc Thơ</v>
      </c>
    </row>
    <row r="207" spans="1:15">
      <c r="A207" s="32" t="s">
        <v>121</v>
      </c>
      <c r="B207" s="32" t="s">
        <v>44</v>
      </c>
      <c r="C207" s="33">
        <v>46035</v>
      </c>
      <c r="D207" s="32">
        <v>919619755</v>
      </c>
      <c r="E207" s="32">
        <v>513794281</v>
      </c>
      <c r="F207" s="32" t="s">
        <v>122</v>
      </c>
      <c r="G207" s="32" t="s">
        <v>46</v>
      </c>
      <c r="H207" s="32" t="s">
        <v>18</v>
      </c>
      <c r="I207" s="32">
        <v>81.41</v>
      </c>
      <c r="J207" s="32">
        <v>57.655000000000001</v>
      </c>
      <c r="K207" s="32" t="b">
        <v>1</v>
      </c>
      <c r="L207" s="32" t="s">
        <v>47</v>
      </c>
      <c r="M207" s="32" t="s">
        <v>48</v>
      </c>
      <c r="N207" s="34">
        <v>46238</v>
      </c>
      <c r="O207" s="35" t="str">
        <f t="shared" si="0"/>
        <v>Nguyễn Ngọc Thơ</v>
      </c>
    </row>
    <row r="208" spans="1:15">
      <c r="A208" s="32" t="s">
        <v>121</v>
      </c>
      <c r="B208" s="32" t="s">
        <v>44</v>
      </c>
      <c r="C208" s="33">
        <v>46035</v>
      </c>
      <c r="D208" s="32">
        <v>919619755</v>
      </c>
      <c r="E208" s="32">
        <v>513794281</v>
      </c>
      <c r="F208" s="32" t="s">
        <v>122</v>
      </c>
      <c r="G208" s="32" t="s">
        <v>46</v>
      </c>
      <c r="H208" s="32" t="s">
        <v>18</v>
      </c>
      <c r="I208" s="32">
        <v>112.45399999999999</v>
      </c>
      <c r="J208" s="32">
        <v>31.472999999999999</v>
      </c>
      <c r="K208" s="32" t="b">
        <v>1</v>
      </c>
      <c r="L208" s="32" t="s">
        <v>47</v>
      </c>
      <c r="M208" s="32" t="s">
        <v>48</v>
      </c>
      <c r="N208" s="34">
        <v>46089</v>
      </c>
      <c r="O208" s="35" t="str">
        <f t="shared" si="0"/>
        <v>Nguyễn Ngọc Thơ</v>
      </c>
    </row>
    <row r="209" spans="1:15">
      <c r="A209" s="32" t="s">
        <v>121</v>
      </c>
      <c r="B209" s="32" t="s">
        <v>44</v>
      </c>
      <c r="C209" s="33">
        <v>46035</v>
      </c>
      <c r="D209" s="32">
        <v>919619755</v>
      </c>
      <c r="E209" s="32">
        <v>513794281</v>
      </c>
      <c r="F209" s="32" t="s">
        <v>122</v>
      </c>
      <c r="G209" s="32" t="s">
        <v>46</v>
      </c>
      <c r="H209" s="32" t="s">
        <v>18</v>
      </c>
      <c r="I209" s="32">
        <v>93.2</v>
      </c>
      <c r="J209" s="32">
        <v>31.736000000000001</v>
      </c>
      <c r="K209" s="32" t="b">
        <v>1</v>
      </c>
      <c r="L209" s="32" t="s">
        <v>47</v>
      </c>
      <c r="M209" s="32" t="s">
        <v>48</v>
      </c>
      <c r="N209" s="34">
        <v>46120</v>
      </c>
      <c r="O209" s="35" t="str">
        <f t="shared" si="0"/>
        <v>Nguyễn Ngọc Thơ</v>
      </c>
    </row>
    <row r="210" spans="1:15">
      <c r="A210" s="32" t="s">
        <v>121</v>
      </c>
      <c r="B210" s="32" t="s">
        <v>44</v>
      </c>
      <c r="C210" s="33">
        <v>46035</v>
      </c>
      <c r="D210" s="32">
        <v>919619755</v>
      </c>
      <c r="E210" s="32">
        <v>513794281</v>
      </c>
      <c r="F210" s="32" t="s">
        <v>122</v>
      </c>
      <c r="G210" s="32" t="s">
        <v>46</v>
      </c>
      <c r="H210" s="32" t="s">
        <v>18</v>
      </c>
      <c r="I210" s="32">
        <v>80.768000000000001</v>
      </c>
      <c r="J210" s="32">
        <v>28.774000000000001</v>
      </c>
      <c r="K210" s="32" t="b">
        <v>1</v>
      </c>
      <c r="L210" s="32" t="s">
        <v>47</v>
      </c>
      <c r="M210" s="32" t="s">
        <v>48</v>
      </c>
      <c r="N210" s="34">
        <v>46150</v>
      </c>
      <c r="O210" s="35" t="str">
        <f t="shared" si="0"/>
        <v>Nguyễn Ngọc Thơ</v>
      </c>
    </row>
    <row r="211" spans="1:15">
      <c r="A211" s="32" t="s">
        <v>121</v>
      </c>
      <c r="B211" s="32" t="s">
        <v>44</v>
      </c>
      <c r="C211" s="33">
        <v>46035</v>
      </c>
      <c r="D211" s="32">
        <v>919619755</v>
      </c>
      <c r="E211" s="32">
        <v>513794281</v>
      </c>
      <c r="F211" s="32" t="s">
        <v>122</v>
      </c>
      <c r="G211" s="32" t="s">
        <v>46</v>
      </c>
      <c r="H211" s="32" t="s">
        <v>18</v>
      </c>
      <c r="I211" s="32">
        <v>97.649000000000001</v>
      </c>
      <c r="J211" s="32">
        <v>34.206000000000003</v>
      </c>
      <c r="K211" s="32" t="b">
        <v>1</v>
      </c>
      <c r="L211" s="32" t="s">
        <v>47</v>
      </c>
      <c r="M211" s="32" t="s">
        <v>48</v>
      </c>
      <c r="N211" s="34">
        <v>46214</v>
      </c>
      <c r="O211" s="35" t="str">
        <f t="shared" si="0"/>
        <v>Nguyễn Ngọc Thơ</v>
      </c>
    </row>
    <row r="212" spans="1:15">
      <c r="A212" s="32" t="s">
        <v>121</v>
      </c>
      <c r="B212" s="32" t="s">
        <v>44</v>
      </c>
      <c r="C212" s="33">
        <v>46035</v>
      </c>
      <c r="D212" s="32">
        <v>919619755</v>
      </c>
      <c r="E212" s="32">
        <v>513794281</v>
      </c>
      <c r="F212" s="32" t="s">
        <v>122</v>
      </c>
      <c r="G212" s="32" t="s">
        <v>46</v>
      </c>
      <c r="H212" s="32" t="s">
        <v>18</v>
      </c>
      <c r="I212" s="32">
        <v>73.911000000000001</v>
      </c>
      <c r="J212" s="32">
        <v>33.036999999999999</v>
      </c>
      <c r="K212" s="32" t="b">
        <v>1</v>
      </c>
      <c r="L212" s="32" t="s">
        <v>47</v>
      </c>
      <c r="M212" s="32" t="s">
        <v>48</v>
      </c>
      <c r="N212" s="34">
        <v>46029</v>
      </c>
      <c r="O212" s="35" t="str">
        <f t="shared" si="0"/>
        <v>Nguyễn Ngọc Thơ</v>
      </c>
    </row>
    <row r="213" spans="1:15">
      <c r="A213" s="32" t="s">
        <v>121</v>
      </c>
      <c r="B213" s="32" t="s">
        <v>44</v>
      </c>
      <c r="C213" s="33">
        <v>46035</v>
      </c>
      <c r="D213" s="32">
        <v>919619755</v>
      </c>
      <c r="E213" s="32">
        <v>513794281</v>
      </c>
      <c r="F213" s="32" t="s">
        <v>122</v>
      </c>
      <c r="G213" s="32" t="s">
        <v>46</v>
      </c>
      <c r="H213" s="32" t="s">
        <v>18</v>
      </c>
      <c r="I213" s="32">
        <v>94.965000000000003</v>
      </c>
      <c r="J213" s="32">
        <v>47.472999999999999</v>
      </c>
      <c r="K213" s="32" t="b">
        <v>1</v>
      </c>
      <c r="L213" s="32" t="s">
        <v>47</v>
      </c>
      <c r="M213" s="32" t="s">
        <v>48</v>
      </c>
      <c r="N213" s="34">
        <v>46062</v>
      </c>
      <c r="O213" s="35" t="str">
        <f t="shared" si="0"/>
        <v>Nguyễn Ngọc Thơ</v>
      </c>
    </row>
    <row r="214" spans="1:15">
      <c r="A214" s="32" t="s">
        <v>140</v>
      </c>
      <c r="B214" s="32" t="s">
        <v>44</v>
      </c>
      <c r="C214" s="33">
        <v>46035</v>
      </c>
      <c r="D214" s="32">
        <v>888277009</v>
      </c>
      <c r="E214" s="32">
        <v>448147714</v>
      </c>
      <c r="F214" s="32" t="s">
        <v>141</v>
      </c>
      <c r="G214" s="32" t="s">
        <v>46</v>
      </c>
      <c r="H214" s="32" t="s">
        <v>51</v>
      </c>
      <c r="I214" s="32">
        <v>55.542000000000002</v>
      </c>
      <c r="J214" s="32">
        <v>5.7000000000000002E-2</v>
      </c>
      <c r="K214" s="32" t="b">
        <v>0</v>
      </c>
      <c r="L214" s="32" t="s">
        <v>47</v>
      </c>
      <c r="M214" s="32" t="s">
        <v>48</v>
      </c>
      <c r="N214" s="34">
        <v>46118</v>
      </c>
      <c r="O214" s="35" t="str">
        <f t="shared" si="0"/>
        <v>Bùi Tiến Dũng</v>
      </c>
    </row>
    <row r="215" spans="1:15">
      <c r="A215" s="32" t="s">
        <v>140</v>
      </c>
      <c r="B215" s="32" t="s">
        <v>44</v>
      </c>
      <c r="C215" s="33">
        <v>46035</v>
      </c>
      <c r="D215" s="32">
        <v>888277009</v>
      </c>
      <c r="E215" s="32">
        <v>448147714</v>
      </c>
      <c r="F215" s="32" t="s">
        <v>141</v>
      </c>
      <c r="G215" s="32" t="s">
        <v>46</v>
      </c>
      <c r="H215" s="32" t="s">
        <v>51</v>
      </c>
      <c r="I215" s="32">
        <v>55.542000000000002</v>
      </c>
      <c r="J215" s="32">
        <v>5.7000000000000002E-2</v>
      </c>
      <c r="K215" s="32" t="b">
        <v>0</v>
      </c>
      <c r="L215" s="32" t="s">
        <v>47</v>
      </c>
      <c r="M215" s="32" t="s">
        <v>48</v>
      </c>
      <c r="N215" s="34">
        <v>46118</v>
      </c>
      <c r="O215" s="35" t="str">
        <f t="shared" si="0"/>
        <v>Bùi Tiến Dũng</v>
      </c>
    </row>
    <row r="216" spans="1:15">
      <c r="A216" s="32" t="s">
        <v>110</v>
      </c>
      <c r="B216" s="32" t="s">
        <v>44</v>
      </c>
      <c r="C216" s="33">
        <v>46035</v>
      </c>
      <c r="D216" s="32">
        <v>853837837</v>
      </c>
      <c r="E216" s="32">
        <v>397762371</v>
      </c>
      <c r="F216" s="32" t="s">
        <v>95</v>
      </c>
      <c r="G216" s="32" t="s">
        <v>46</v>
      </c>
      <c r="H216" s="32" t="s">
        <v>51</v>
      </c>
      <c r="I216" s="32">
        <v>69.933999999999997</v>
      </c>
      <c r="J216" s="32">
        <v>13.662000000000001</v>
      </c>
      <c r="K216" s="32" t="b">
        <v>0</v>
      </c>
      <c r="L216" s="32" t="s">
        <v>47</v>
      </c>
      <c r="M216" s="32" t="s">
        <v>48</v>
      </c>
      <c r="N216" s="34">
        <v>46086</v>
      </c>
      <c r="O216" s="35" t="str">
        <f t="shared" si="0"/>
        <v>Trần Thanh Giàu</v>
      </c>
    </row>
    <row r="217" spans="1:15">
      <c r="A217" s="32" t="s">
        <v>110</v>
      </c>
      <c r="B217" s="32" t="s">
        <v>44</v>
      </c>
      <c r="C217" s="33">
        <v>46035</v>
      </c>
      <c r="D217" s="32">
        <v>853837837</v>
      </c>
      <c r="E217" s="32">
        <v>397762371</v>
      </c>
      <c r="F217" s="32" t="s">
        <v>95</v>
      </c>
      <c r="G217" s="32" t="s">
        <v>46</v>
      </c>
      <c r="H217" s="32" t="s">
        <v>51</v>
      </c>
      <c r="I217" s="32">
        <v>69.933999999999997</v>
      </c>
      <c r="J217" s="32">
        <v>13.662000000000001</v>
      </c>
      <c r="K217" s="32" t="b">
        <v>0</v>
      </c>
      <c r="L217" s="32" t="s">
        <v>47</v>
      </c>
      <c r="M217" s="32" t="s">
        <v>48</v>
      </c>
      <c r="N217" s="34">
        <v>46086</v>
      </c>
      <c r="O217" s="35" t="str">
        <f t="shared" si="0"/>
        <v>Trần Thanh Giàu</v>
      </c>
    </row>
    <row r="218" spans="1:15">
      <c r="A218" s="32" t="s">
        <v>133</v>
      </c>
      <c r="B218" s="32" t="s">
        <v>44</v>
      </c>
      <c r="C218" s="33">
        <v>46035</v>
      </c>
      <c r="D218" s="32">
        <v>913632800</v>
      </c>
      <c r="E218" s="32">
        <v>487761475</v>
      </c>
      <c r="F218" s="32" t="s">
        <v>71</v>
      </c>
      <c r="G218" s="32" t="s">
        <v>46</v>
      </c>
      <c r="H218" s="32" t="s">
        <v>51</v>
      </c>
      <c r="I218" s="32">
        <v>900.98699999999997</v>
      </c>
      <c r="J218" s="32">
        <v>133.971</v>
      </c>
      <c r="K218" s="32" t="b">
        <v>1</v>
      </c>
      <c r="L218" s="32" t="s">
        <v>47</v>
      </c>
      <c r="M218" s="32" t="s">
        <v>48</v>
      </c>
      <c r="N218" s="32" t="s">
        <v>142</v>
      </c>
      <c r="O218" s="35" t="str">
        <f t="shared" si="0"/>
        <v>Võ Quang Thìn</v>
      </c>
    </row>
    <row r="219" spans="1:15">
      <c r="A219" s="32" t="s">
        <v>133</v>
      </c>
      <c r="B219" s="32" t="s">
        <v>44</v>
      </c>
      <c r="C219" s="33">
        <v>46035</v>
      </c>
      <c r="D219" s="32">
        <v>913632800</v>
      </c>
      <c r="E219" s="32">
        <v>487761475</v>
      </c>
      <c r="F219" s="32" t="s">
        <v>71</v>
      </c>
      <c r="G219" s="32" t="s">
        <v>46</v>
      </c>
      <c r="H219" s="32" t="s">
        <v>51</v>
      </c>
      <c r="I219" s="32">
        <v>182.202</v>
      </c>
      <c r="J219" s="32">
        <v>68.120999999999995</v>
      </c>
      <c r="K219" s="32" t="b">
        <v>1</v>
      </c>
      <c r="L219" s="32" t="s">
        <v>47</v>
      </c>
      <c r="M219" s="32" t="s">
        <v>48</v>
      </c>
      <c r="N219" s="34">
        <v>46057</v>
      </c>
      <c r="O219" s="35" t="str">
        <f t="shared" si="0"/>
        <v>Võ Quang Thìn</v>
      </c>
    </row>
    <row r="220" spans="1:15">
      <c r="A220" s="32" t="s">
        <v>143</v>
      </c>
      <c r="B220" s="32" t="s">
        <v>44</v>
      </c>
      <c r="C220" s="33">
        <v>46035</v>
      </c>
      <c r="D220" s="32">
        <v>915907377</v>
      </c>
      <c r="E220" s="32">
        <v>243492200</v>
      </c>
      <c r="F220" s="32" t="s">
        <v>144</v>
      </c>
      <c r="G220" s="32" t="s">
        <v>46</v>
      </c>
      <c r="H220" s="32" t="s">
        <v>145</v>
      </c>
      <c r="I220" s="32">
        <v>84.76</v>
      </c>
      <c r="J220" s="32">
        <v>80.203000000000003</v>
      </c>
      <c r="K220" s="32" t="b">
        <v>1</v>
      </c>
      <c r="L220" s="32" t="s">
        <v>63</v>
      </c>
      <c r="M220" s="32" t="s">
        <v>63</v>
      </c>
      <c r="N220" s="34">
        <v>46235</v>
      </c>
      <c r="O220" s="35" t="str">
        <f t="shared" si="0"/>
        <v>Phạm Tiến Dũng</v>
      </c>
    </row>
    <row r="221" spans="1:15">
      <c r="A221" s="32" t="s">
        <v>143</v>
      </c>
      <c r="B221" s="32" t="s">
        <v>44</v>
      </c>
      <c r="C221" s="33">
        <v>46035</v>
      </c>
      <c r="D221" s="32">
        <v>915907377</v>
      </c>
      <c r="E221" s="32">
        <v>243492200</v>
      </c>
      <c r="F221" s="32" t="s">
        <v>144</v>
      </c>
      <c r="G221" s="32" t="s">
        <v>46</v>
      </c>
      <c r="H221" s="32" t="s">
        <v>145</v>
      </c>
      <c r="I221" s="32">
        <v>84.76</v>
      </c>
      <c r="J221" s="32">
        <v>80.203000000000003</v>
      </c>
      <c r="K221" s="32" t="b">
        <v>1</v>
      </c>
      <c r="L221" s="32" t="s">
        <v>63</v>
      </c>
      <c r="M221" s="32" t="s">
        <v>63</v>
      </c>
      <c r="N221" s="34">
        <v>46235</v>
      </c>
      <c r="O221" s="35" t="str">
        <f t="shared" si="0"/>
        <v>Phạm Tiến Dũng</v>
      </c>
    </row>
    <row r="222" spans="1:15">
      <c r="A222" s="32" t="s">
        <v>138</v>
      </c>
      <c r="B222" s="32" t="s">
        <v>44</v>
      </c>
      <c r="C222" s="33">
        <v>46035</v>
      </c>
      <c r="D222" s="32">
        <v>914403881</v>
      </c>
      <c r="E222" s="32">
        <v>407766951</v>
      </c>
      <c r="F222" s="32" t="s">
        <v>139</v>
      </c>
      <c r="G222" s="32" t="s">
        <v>46</v>
      </c>
      <c r="H222" s="32" t="s">
        <v>58</v>
      </c>
      <c r="I222" s="32">
        <v>10.976000000000001</v>
      </c>
      <c r="J222" s="32">
        <v>13.430999999999999</v>
      </c>
      <c r="K222" s="32" t="b">
        <v>1</v>
      </c>
      <c r="L222" s="32" t="s">
        <v>63</v>
      </c>
      <c r="M222" s="32" t="s">
        <v>48</v>
      </c>
      <c r="N222" s="34">
        <v>46269</v>
      </c>
      <c r="O222" s="35" t="str">
        <f t="shared" si="0"/>
        <v>Trần Xuân Toại</v>
      </c>
    </row>
    <row r="223" spans="1:15">
      <c r="A223" s="32" t="s">
        <v>138</v>
      </c>
      <c r="B223" s="32" t="s">
        <v>44</v>
      </c>
      <c r="C223" s="33">
        <v>46035</v>
      </c>
      <c r="D223" s="32">
        <v>914403881</v>
      </c>
      <c r="E223" s="32">
        <v>407766951</v>
      </c>
      <c r="F223" s="32" t="s">
        <v>139</v>
      </c>
      <c r="G223" s="32" t="s">
        <v>46</v>
      </c>
      <c r="H223" s="32" t="s">
        <v>58</v>
      </c>
      <c r="I223" s="32">
        <v>10.976000000000001</v>
      </c>
      <c r="J223" s="32">
        <v>13.430999999999999</v>
      </c>
      <c r="K223" s="32" t="b">
        <v>1</v>
      </c>
      <c r="L223" s="32" t="s">
        <v>63</v>
      </c>
      <c r="M223" s="32" t="s">
        <v>48</v>
      </c>
      <c r="N223" s="34">
        <v>46269</v>
      </c>
      <c r="O223" s="35" t="str">
        <f t="shared" si="0"/>
        <v>Trần Xuân Toại</v>
      </c>
    </row>
    <row r="224" spans="1:15">
      <c r="A224" s="32" t="s">
        <v>129</v>
      </c>
      <c r="B224" s="32" t="s">
        <v>44</v>
      </c>
      <c r="C224" s="33">
        <v>46035</v>
      </c>
      <c r="D224" s="32">
        <v>919269115</v>
      </c>
      <c r="E224" s="32">
        <v>410479102</v>
      </c>
      <c r="F224" s="32" t="s">
        <v>130</v>
      </c>
      <c r="G224" s="32" t="s">
        <v>46</v>
      </c>
      <c r="H224" s="32" t="s">
        <v>18</v>
      </c>
      <c r="I224" s="32">
        <v>105.958</v>
      </c>
      <c r="J224" s="32">
        <v>38.656999999999996</v>
      </c>
      <c r="K224" s="32" t="b">
        <v>1</v>
      </c>
      <c r="L224" s="32" t="s">
        <v>63</v>
      </c>
      <c r="M224" s="32" t="s">
        <v>48</v>
      </c>
      <c r="N224" s="34">
        <v>46210</v>
      </c>
      <c r="O224" s="35" t="str">
        <f t="shared" si="0"/>
        <v>Thái Minh Phúc</v>
      </c>
    </row>
    <row r="225" spans="1:15">
      <c r="A225" s="32" t="s">
        <v>129</v>
      </c>
      <c r="B225" s="32" t="s">
        <v>44</v>
      </c>
      <c r="C225" s="33">
        <v>46035</v>
      </c>
      <c r="D225" s="32">
        <v>919269115</v>
      </c>
      <c r="E225" s="32">
        <v>410479102</v>
      </c>
      <c r="F225" s="32" t="s">
        <v>130</v>
      </c>
      <c r="G225" s="32" t="s">
        <v>46</v>
      </c>
      <c r="H225" s="32" t="s">
        <v>18</v>
      </c>
      <c r="I225" s="32">
        <v>96.253</v>
      </c>
      <c r="J225" s="32">
        <v>43.222999999999999</v>
      </c>
      <c r="K225" s="32" t="b">
        <v>1</v>
      </c>
      <c r="L225" s="32" t="s">
        <v>63</v>
      </c>
      <c r="M225" s="32" t="s">
        <v>48</v>
      </c>
      <c r="N225" s="34">
        <v>46239</v>
      </c>
      <c r="O225" s="35" t="str">
        <f t="shared" si="0"/>
        <v>Thái Minh Phúc</v>
      </c>
    </row>
    <row r="226" spans="1:15">
      <c r="A226" s="32" t="s">
        <v>91</v>
      </c>
      <c r="B226" s="32" t="s">
        <v>44</v>
      </c>
      <c r="C226" s="33">
        <v>46035</v>
      </c>
      <c r="D226" s="32">
        <v>917714086</v>
      </c>
      <c r="E226" s="32">
        <v>514807788</v>
      </c>
      <c r="F226" s="32" t="s">
        <v>92</v>
      </c>
      <c r="G226" s="32" t="s">
        <v>46</v>
      </c>
      <c r="H226" s="32" t="s">
        <v>58</v>
      </c>
      <c r="I226" s="32">
        <v>138.25899999999999</v>
      </c>
      <c r="J226" s="32">
        <v>49.72</v>
      </c>
      <c r="K226" s="32" t="b">
        <v>1</v>
      </c>
      <c r="L226" s="32" t="s">
        <v>79</v>
      </c>
      <c r="M226" s="32" t="s">
        <v>48</v>
      </c>
      <c r="N226" s="34">
        <v>46085</v>
      </c>
      <c r="O226" s="35" t="str">
        <f t="shared" si="0"/>
        <v>Lê Hoàng Vinh</v>
      </c>
    </row>
    <row r="227" spans="1:15">
      <c r="A227" s="32" t="s">
        <v>129</v>
      </c>
      <c r="B227" s="32" t="s">
        <v>44</v>
      </c>
      <c r="C227" s="33">
        <v>46035</v>
      </c>
      <c r="D227" s="32">
        <v>919269115</v>
      </c>
      <c r="E227" s="32">
        <v>410479102</v>
      </c>
      <c r="F227" s="32" t="s">
        <v>130</v>
      </c>
      <c r="G227" s="32" t="s">
        <v>46</v>
      </c>
      <c r="H227" s="32" t="s">
        <v>18</v>
      </c>
      <c r="I227" s="32">
        <v>77.063000000000002</v>
      </c>
      <c r="J227" s="32">
        <v>46.249000000000002</v>
      </c>
      <c r="K227" s="32" t="b">
        <v>1</v>
      </c>
      <c r="L227" s="32" t="s">
        <v>63</v>
      </c>
      <c r="M227" s="32" t="s">
        <v>48</v>
      </c>
      <c r="N227" s="34">
        <v>46085</v>
      </c>
      <c r="O227" s="35" t="str">
        <f t="shared" si="0"/>
        <v>Thái Minh Phúc</v>
      </c>
    </row>
    <row r="228" spans="1:15">
      <c r="A228" s="32" t="s">
        <v>129</v>
      </c>
      <c r="B228" s="32" t="s">
        <v>44</v>
      </c>
      <c r="C228" s="33">
        <v>46035</v>
      </c>
      <c r="D228" s="32">
        <v>919269115</v>
      </c>
      <c r="E228" s="32">
        <v>410479102</v>
      </c>
      <c r="F228" s="32" t="s">
        <v>130</v>
      </c>
      <c r="G228" s="32" t="s">
        <v>46</v>
      </c>
      <c r="H228" s="32" t="s">
        <v>18</v>
      </c>
      <c r="I228" s="32">
        <v>80.194000000000003</v>
      </c>
      <c r="J228" s="32">
        <v>46.220999999999997</v>
      </c>
      <c r="K228" s="32" t="b">
        <v>1</v>
      </c>
      <c r="L228" s="32" t="s">
        <v>63</v>
      </c>
      <c r="M228" s="32" t="s">
        <v>48</v>
      </c>
      <c r="N228" s="34">
        <v>46090</v>
      </c>
      <c r="O228" s="35" t="str">
        <f t="shared" si="0"/>
        <v>Thái Minh Phúc</v>
      </c>
    </row>
    <row r="229" spans="1:15">
      <c r="A229" s="32" t="s">
        <v>129</v>
      </c>
      <c r="B229" s="32" t="s">
        <v>44</v>
      </c>
      <c r="C229" s="33">
        <v>46035</v>
      </c>
      <c r="D229" s="32">
        <v>919269115</v>
      </c>
      <c r="E229" s="32">
        <v>410479102</v>
      </c>
      <c r="F229" s="32" t="s">
        <v>130</v>
      </c>
      <c r="G229" s="32" t="s">
        <v>46</v>
      </c>
      <c r="H229" s="32" t="s">
        <v>18</v>
      </c>
      <c r="I229" s="32">
        <v>54.655999999999999</v>
      </c>
      <c r="J229" s="32">
        <v>42.232999999999997</v>
      </c>
      <c r="K229" s="32" t="b">
        <v>1</v>
      </c>
      <c r="L229" s="32" t="s">
        <v>63</v>
      </c>
      <c r="M229" s="32" t="s">
        <v>48</v>
      </c>
      <c r="N229" s="34">
        <v>46085</v>
      </c>
      <c r="O229" s="35" t="str">
        <f t="shared" si="0"/>
        <v>Thái Minh Phúc</v>
      </c>
    </row>
    <row r="230" spans="1:15">
      <c r="A230" s="32" t="s">
        <v>146</v>
      </c>
      <c r="B230" s="32" t="s">
        <v>44</v>
      </c>
      <c r="C230" s="33">
        <v>46035</v>
      </c>
      <c r="D230" s="32">
        <v>944555353</v>
      </c>
      <c r="E230" s="32">
        <v>301139065</v>
      </c>
      <c r="F230" s="32" t="s">
        <v>125</v>
      </c>
      <c r="G230" s="32" t="s">
        <v>46</v>
      </c>
      <c r="H230" s="32" t="s">
        <v>51</v>
      </c>
      <c r="I230" s="32">
        <v>458.61700000000002</v>
      </c>
      <c r="J230" s="32">
        <v>469.57900000000001</v>
      </c>
      <c r="K230" s="32" t="b">
        <v>0</v>
      </c>
      <c r="L230" s="32" t="s">
        <v>47</v>
      </c>
      <c r="M230" s="32" t="s">
        <v>63</v>
      </c>
      <c r="N230" s="32" t="s">
        <v>147</v>
      </c>
      <c r="O230" s="35" t="str">
        <f t="shared" si="0"/>
        <v>Trần Minh Phụng</v>
      </c>
    </row>
    <row r="231" spans="1:15">
      <c r="A231" s="32" t="s">
        <v>49</v>
      </c>
      <c r="B231" s="32" t="s">
        <v>44</v>
      </c>
      <c r="C231" s="33">
        <v>46035</v>
      </c>
      <c r="D231" s="32">
        <v>947245878</v>
      </c>
      <c r="E231" s="32">
        <v>493854272</v>
      </c>
      <c r="F231" s="32" t="s">
        <v>50</v>
      </c>
      <c r="G231" s="32" t="s">
        <v>46</v>
      </c>
      <c r="H231" s="32" t="s">
        <v>58</v>
      </c>
      <c r="I231" s="32">
        <v>1230.867</v>
      </c>
      <c r="J231" s="32">
        <v>157.98099999999999</v>
      </c>
      <c r="K231" s="32" t="b">
        <v>0</v>
      </c>
      <c r="L231" s="32" t="s">
        <v>47</v>
      </c>
      <c r="M231" s="32" t="s">
        <v>48</v>
      </c>
      <c r="N231" s="34">
        <v>46087</v>
      </c>
      <c r="O231" s="35" t="str">
        <f t="shared" si="0"/>
        <v>Phạm Nguyễn Quang Huy</v>
      </c>
    </row>
    <row r="232" spans="1:15">
      <c r="A232" s="32" t="s">
        <v>49</v>
      </c>
      <c r="B232" s="32" t="s">
        <v>44</v>
      </c>
      <c r="C232" s="33">
        <v>46035</v>
      </c>
      <c r="D232" s="32">
        <v>828926567</v>
      </c>
      <c r="E232" s="32">
        <v>493854272</v>
      </c>
      <c r="F232" s="32" t="s">
        <v>50</v>
      </c>
      <c r="G232" s="32" t="s">
        <v>46</v>
      </c>
      <c r="H232" s="32" t="s">
        <v>58</v>
      </c>
      <c r="I232" s="32">
        <v>1230.867</v>
      </c>
      <c r="J232" s="32">
        <v>157.98099999999999</v>
      </c>
      <c r="K232" s="32" t="b">
        <v>0</v>
      </c>
      <c r="L232" s="32" t="s">
        <v>47</v>
      </c>
      <c r="M232" s="32" t="s">
        <v>48</v>
      </c>
      <c r="N232" s="34">
        <v>46087</v>
      </c>
      <c r="O232" s="35" t="str">
        <f t="shared" si="0"/>
        <v>Phạm Nguyễn Quang Huy</v>
      </c>
    </row>
    <row r="233" spans="1:15">
      <c r="A233" s="32" t="s">
        <v>111</v>
      </c>
      <c r="B233" s="32" t="s">
        <v>44</v>
      </c>
      <c r="C233" s="33">
        <v>46035</v>
      </c>
      <c r="D233" s="32">
        <v>945796839</v>
      </c>
      <c r="E233" s="32">
        <v>514818795</v>
      </c>
      <c r="F233" s="32" t="s">
        <v>112</v>
      </c>
      <c r="G233" s="32" t="s">
        <v>46</v>
      </c>
      <c r="H233" s="32" t="s">
        <v>51</v>
      </c>
      <c r="I233" s="32">
        <v>45.241</v>
      </c>
      <c r="J233" s="32">
        <v>18.792000000000002</v>
      </c>
      <c r="K233" s="32" t="b">
        <v>1</v>
      </c>
      <c r="L233" s="32" t="s">
        <v>79</v>
      </c>
      <c r="M233" s="32" t="s">
        <v>48</v>
      </c>
      <c r="N233" s="34">
        <v>46145</v>
      </c>
      <c r="O233" s="35" t="str">
        <f t="shared" si="0"/>
        <v>Nguyễn Hải Đăng</v>
      </c>
    </row>
    <row r="234" spans="1:15">
      <c r="A234" s="32" t="s">
        <v>148</v>
      </c>
      <c r="B234" s="32" t="s">
        <v>44</v>
      </c>
      <c r="C234" s="33">
        <v>46035</v>
      </c>
      <c r="D234" s="32">
        <v>917675757</v>
      </c>
      <c r="E234" s="32">
        <v>382295122</v>
      </c>
      <c r="F234" s="32" t="s">
        <v>149</v>
      </c>
      <c r="G234" s="32" t="s">
        <v>46</v>
      </c>
      <c r="H234" s="32" t="s">
        <v>18</v>
      </c>
      <c r="I234" s="32">
        <v>205.41399999999999</v>
      </c>
      <c r="J234" s="32">
        <v>42.536999999999999</v>
      </c>
      <c r="K234" s="32" t="b">
        <v>1</v>
      </c>
      <c r="L234" s="32" t="s">
        <v>63</v>
      </c>
      <c r="M234" s="32" t="s">
        <v>48</v>
      </c>
      <c r="N234" s="34">
        <v>46182</v>
      </c>
      <c r="O234" s="35" t="str">
        <f t="shared" si="0"/>
        <v>Trần Hoài Vũ</v>
      </c>
    </row>
    <row r="235" spans="1:15">
      <c r="A235" s="32" t="s">
        <v>148</v>
      </c>
      <c r="B235" s="32" t="s">
        <v>44</v>
      </c>
      <c r="C235" s="33">
        <v>46035</v>
      </c>
      <c r="D235" s="32">
        <v>917675757</v>
      </c>
      <c r="E235" s="32">
        <v>382295122</v>
      </c>
      <c r="F235" s="32" t="s">
        <v>149</v>
      </c>
      <c r="G235" s="32" t="s">
        <v>46</v>
      </c>
      <c r="H235" s="32" t="s">
        <v>18</v>
      </c>
      <c r="I235" s="32">
        <v>267.548</v>
      </c>
      <c r="J235" s="32">
        <v>41.154000000000003</v>
      </c>
      <c r="K235" s="32" t="b">
        <v>1</v>
      </c>
      <c r="L235" s="32" t="s">
        <v>63</v>
      </c>
      <c r="M235" s="32" t="s">
        <v>48</v>
      </c>
      <c r="N235" s="34">
        <v>46177</v>
      </c>
      <c r="O235" s="35" t="str">
        <f t="shared" si="0"/>
        <v>Trần Hoài Vũ</v>
      </c>
    </row>
    <row r="236" spans="1:15">
      <c r="A236" s="32" t="s">
        <v>148</v>
      </c>
      <c r="B236" s="32" t="s">
        <v>44</v>
      </c>
      <c r="C236" s="33">
        <v>46035</v>
      </c>
      <c r="D236" s="32">
        <v>917675757</v>
      </c>
      <c r="E236" s="32">
        <v>382295122</v>
      </c>
      <c r="F236" s="32" t="s">
        <v>149</v>
      </c>
      <c r="G236" s="32" t="s">
        <v>46</v>
      </c>
      <c r="H236" s="32" t="s">
        <v>18</v>
      </c>
      <c r="I236" s="32">
        <v>103.919</v>
      </c>
      <c r="J236" s="32">
        <v>64.188999999999993</v>
      </c>
      <c r="K236" s="32" t="b">
        <v>1</v>
      </c>
      <c r="L236" s="32" t="s">
        <v>63</v>
      </c>
      <c r="M236" s="32" t="s">
        <v>48</v>
      </c>
      <c r="N236" s="34">
        <v>46272</v>
      </c>
      <c r="O236" s="35" t="str">
        <f t="shared" si="0"/>
        <v>Trần Hoài Vũ</v>
      </c>
    </row>
    <row r="237" spans="1:15">
      <c r="A237" s="32" t="s">
        <v>148</v>
      </c>
      <c r="B237" s="32" t="s">
        <v>44</v>
      </c>
      <c r="C237" s="33">
        <v>46035</v>
      </c>
      <c r="D237" s="32">
        <v>917675757</v>
      </c>
      <c r="E237" s="32">
        <v>382295122</v>
      </c>
      <c r="F237" s="32" t="s">
        <v>149</v>
      </c>
      <c r="G237" s="32" t="s">
        <v>46</v>
      </c>
      <c r="H237" s="32" t="s">
        <v>18</v>
      </c>
      <c r="I237" s="32">
        <v>141.971</v>
      </c>
      <c r="J237" s="32">
        <v>65.131</v>
      </c>
      <c r="K237" s="32" t="b">
        <v>1</v>
      </c>
      <c r="L237" s="32" t="s">
        <v>63</v>
      </c>
      <c r="M237" s="32" t="s">
        <v>48</v>
      </c>
      <c r="N237" s="34">
        <v>46272</v>
      </c>
      <c r="O237" s="35" t="str">
        <f t="shared" si="0"/>
        <v>Trần Hoài Vũ</v>
      </c>
    </row>
    <row r="238" spans="1:15">
      <c r="A238" s="32" t="s">
        <v>68</v>
      </c>
      <c r="B238" s="32" t="s">
        <v>44</v>
      </c>
      <c r="C238" s="33">
        <v>46035</v>
      </c>
      <c r="D238" s="32">
        <v>918616787</v>
      </c>
      <c r="E238" s="32">
        <v>302371366</v>
      </c>
      <c r="F238" s="32" t="s">
        <v>65</v>
      </c>
      <c r="G238" s="32" t="s">
        <v>46</v>
      </c>
      <c r="H238" s="32" t="s">
        <v>58</v>
      </c>
      <c r="I238" s="32">
        <v>52.988</v>
      </c>
      <c r="J238" s="32">
        <v>42.875999999999998</v>
      </c>
      <c r="K238" s="32" t="b">
        <v>1</v>
      </c>
      <c r="L238" s="32" t="s">
        <v>47</v>
      </c>
      <c r="M238" s="32" t="s">
        <v>63</v>
      </c>
      <c r="N238" s="34">
        <v>46147</v>
      </c>
      <c r="O238" s="35" t="str">
        <f t="shared" si="0"/>
        <v>Đặng Hoàng Vũ</v>
      </c>
    </row>
    <row r="239" spans="1:15">
      <c r="A239" s="32" t="s">
        <v>69</v>
      </c>
      <c r="B239" s="32" t="s">
        <v>44</v>
      </c>
      <c r="C239" s="33">
        <v>46035</v>
      </c>
      <c r="D239" s="32">
        <v>918616787</v>
      </c>
      <c r="E239" s="32">
        <v>302371366</v>
      </c>
      <c r="F239" s="32" t="s">
        <v>65</v>
      </c>
      <c r="G239" s="32" t="s">
        <v>46</v>
      </c>
      <c r="H239" s="32" t="s">
        <v>58</v>
      </c>
      <c r="I239" s="32">
        <v>52.988</v>
      </c>
      <c r="J239" s="32">
        <v>42.875999999999998</v>
      </c>
      <c r="K239" s="32" t="b">
        <v>1</v>
      </c>
      <c r="L239" s="32" t="s">
        <v>47</v>
      </c>
      <c r="M239" s="32" t="s">
        <v>63</v>
      </c>
      <c r="N239" s="34">
        <v>46147</v>
      </c>
      <c r="O239" s="35" t="str">
        <f t="shared" si="0"/>
        <v>Đặng Hoàng Vũ</v>
      </c>
    </row>
    <row r="240" spans="1:15">
      <c r="A240" s="32" t="s">
        <v>148</v>
      </c>
      <c r="B240" s="32" t="s">
        <v>44</v>
      </c>
      <c r="C240" s="33">
        <v>46035</v>
      </c>
      <c r="D240" s="32">
        <v>917675757</v>
      </c>
      <c r="E240" s="32">
        <v>382295122</v>
      </c>
      <c r="F240" s="32" t="s">
        <v>149</v>
      </c>
      <c r="G240" s="32" t="s">
        <v>46</v>
      </c>
      <c r="H240" s="32" t="s">
        <v>18</v>
      </c>
      <c r="I240" s="32">
        <v>111.42</v>
      </c>
      <c r="J240" s="32">
        <v>66.828999999999994</v>
      </c>
      <c r="K240" s="32" t="b">
        <v>1</v>
      </c>
      <c r="L240" s="32" t="s">
        <v>63</v>
      </c>
      <c r="M240" s="32" t="s">
        <v>48</v>
      </c>
      <c r="N240" s="34">
        <v>46086</v>
      </c>
      <c r="O240" s="35" t="str">
        <f t="shared" si="0"/>
        <v>Trần Hoài Vũ</v>
      </c>
    </row>
    <row r="241" spans="1:15">
      <c r="A241" s="32" t="s">
        <v>148</v>
      </c>
      <c r="B241" s="32" t="s">
        <v>44</v>
      </c>
      <c r="C241" s="33">
        <v>46035</v>
      </c>
      <c r="D241" s="32">
        <v>917675757</v>
      </c>
      <c r="E241" s="32">
        <v>382295122</v>
      </c>
      <c r="F241" s="32" t="s">
        <v>149</v>
      </c>
      <c r="G241" s="32" t="s">
        <v>46</v>
      </c>
      <c r="H241" s="32" t="s">
        <v>18</v>
      </c>
      <c r="I241" s="32">
        <v>94.974000000000004</v>
      </c>
      <c r="J241" s="32">
        <v>65.516000000000005</v>
      </c>
      <c r="K241" s="32" t="b">
        <v>1</v>
      </c>
      <c r="L241" s="32" t="s">
        <v>63</v>
      </c>
      <c r="M241" s="32" t="s">
        <v>48</v>
      </c>
      <c r="N241" s="34">
        <v>46180</v>
      </c>
      <c r="O241" s="35" t="str">
        <f t="shared" si="0"/>
        <v>Trần Hoài Vũ</v>
      </c>
    </row>
    <row r="242" spans="1:15">
      <c r="A242" s="32" t="s">
        <v>148</v>
      </c>
      <c r="B242" s="32" t="s">
        <v>44</v>
      </c>
      <c r="C242" s="33">
        <v>46035</v>
      </c>
      <c r="D242" s="32">
        <v>917675757</v>
      </c>
      <c r="E242" s="32">
        <v>382295122</v>
      </c>
      <c r="F242" s="32" t="s">
        <v>149</v>
      </c>
      <c r="G242" s="32" t="s">
        <v>46</v>
      </c>
      <c r="H242" s="32" t="s">
        <v>18</v>
      </c>
      <c r="I242" s="32">
        <v>99.102000000000004</v>
      </c>
      <c r="J242" s="32">
        <v>62.923000000000002</v>
      </c>
      <c r="K242" s="32" t="b">
        <v>1</v>
      </c>
      <c r="L242" s="32" t="s">
        <v>63</v>
      </c>
      <c r="M242" s="32" t="s">
        <v>48</v>
      </c>
      <c r="N242" s="34">
        <v>46182</v>
      </c>
      <c r="O242" s="35" t="str">
        <f t="shared" si="0"/>
        <v>Trần Hoài Vũ</v>
      </c>
    </row>
    <row r="243" spans="1:15">
      <c r="A243" s="32" t="s">
        <v>61</v>
      </c>
      <c r="B243" s="32" t="s">
        <v>44</v>
      </c>
      <c r="C243" s="33">
        <v>46035</v>
      </c>
      <c r="D243" s="32">
        <v>949786476</v>
      </c>
      <c r="E243" s="32">
        <v>514815800</v>
      </c>
      <c r="F243" s="32" t="s">
        <v>62</v>
      </c>
      <c r="G243" s="32" t="s">
        <v>46</v>
      </c>
      <c r="H243" s="32" t="s">
        <v>58</v>
      </c>
      <c r="I243" s="32">
        <v>105.538</v>
      </c>
      <c r="J243" s="32">
        <v>54.548999999999999</v>
      </c>
      <c r="K243" s="32" t="b">
        <v>1</v>
      </c>
      <c r="L243" s="32" t="s">
        <v>63</v>
      </c>
      <c r="M243" s="32" t="s">
        <v>48</v>
      </c>
      <c r="N243" s="34">
        <v>46178</v>
      </c>
      <c r="O243" s="35" t="str">
        <f t="shared" si="0"/>
        <v>Đặng Ngọc Sơn</v>
      </c>
    </row>
    <row r="244" spans="1:15">
      <c r="A244" s="32" t="s">
        <v>61</v>
      </c>
      <c r="B244" s="32" t="s">
        <v>44</v>
      </c>
      <c r="C244" s="33">
        <v>46035</v>
      </c>
      <c r="D244" s="32">
        <v>949786476</v>
      </c>
      <c r="E244" s="32">
        <v>514815800</v>
      </c>
      <c r="F244" s="32" t="s">
        <v>62</v>
      </c>
      <c r="G244" s="32" t="s">
        <v>46</v>
      </c>
      <c r="H244" s="32" t="s">
        <v>58</v>
      </c>
      <c r="I244" s="32">
        <v>120.69199999999999</v>
      </c>
      <c r="J244" s="32">
        <v>56.231000000000002</v>
      </c>
      <c r="K244" s="32" t="b">
        <v>1</v>
      </c>
      <c r="L244" s="32" t="s">
        <v>63</v>
      </c>
      <c r="M244" s="32" t="s">
        <v>48</v>
      </c>
      <c r="N244" s="32" t="s">
        <v>150</v>
      </c>
      <c r="O244" s="35" t="str">
        <f t="shared" si="0"/>
        <v>Đặng Ngọc Sơn</v>
      </c>
    </row>
    <row r="245" spans="1:15">
      <c r="A245" s="32" t="s">
        <v>151</v>
      </c>
      <c r="B245" s="32" t="s">
        <v>44</v>
      </c>
      <c r="C245" s="33">
        <v>46035</v>
      </c>
      <c r="D245" s="32">
        <v>943905906</v>
      </c>
      <c r="E245" s="32">
        <v>300419338</v>
      </c>
      <c r="F245" s="32" t="s">
        <v>125</v>
      </c>
      <c r="G245" s="32" t="s">
        <v>46</v>
      </c>
      <c r="H245" s="32" t="s">
        <v>18</v>
      </c>
      <c r="I245" s="32">
        <v>84.893000000000001</v>
      </c>
      <c r="J245" s="32">
        <v>62.302999999999997</v>
      </c>
      <c r="K245" s="32" t="b">
        <v>1</v>
      </c>
      <c r="L245" s="32" t="s">
        <v>47</v>
      </c>
      <c r="M245" s="32" t="s">
        <v>63</v>
      </c>
      <c r="N245" s="32" t="s">
        <v>152</v>
      </c>
      <c r="O245" s="35" t="str">
        <f t="shared" si="0"/>
        <v>Huỳnh Hạo Thiên</v>
      </c>
    </row>
    <row r="246" spans="1:15">
      <c r="A246" s="32" t="s">
        <v>151</v>
      </c>
      <c r="B246" s="32" t="s">
        <v>44</v>
      </c>
      <c r="C246" s="33">
        <v>46035</v>
      </c>
      <c r="D246" s="32">
        <v>943905906</v>
      </c>
      <c r="E246" s="32">
        <v>300419338</v>
      </c>
      <c r="F246" s="32" t="s">
        <v>125</v>
      </c>
      <c r="G246" s="32" t="s">
        <v>46</v>
      </c>
      <c r="H246" s="32" t="s">
        <v>18</v>
      </c>
      <c r="I246" s="32">
        <v>79.918000000000006</v>
      </c>
      <c r="J246" s="32">
        <v>63.316000000000003</v>
      </c>
      <c r="K246" s="32" t="b">
        <v>1</v>
      </c>
      <c r="L246" s="32" t="s">
        <v>47</v>
      </c>
      <c r="M246" s="32" t="s">
        <v>63</v>
      </c>
      <c r="N246" s="34">
        <v>46268</v>
      </c>
      <c r="O246" s="35" t="str">
        <f t="shared" si="0"/>
        <v>Huỳnh Hạo Thiên</v>
      </c>
    </row>
    <row r="247" spans="1:15">
      <c r="A247" s="32" t="s">
        <v>151</v>
      </c>
      <c r="B247" s="32" t="s">
        <v>44</v>
      </c>
      <c r="C247" s="33">
        <v>46035</v>
      </c>
      <c r="D247" s="32">
        <v>943905906</v>
      </c>
      <c r="E247" s="32">
        <v>300419338</v>
      </c>
      <c r="F247" s="32" t="s">
        <v>125</v>
      </c>
      <c r="G247" s="32" t="s">
        <v>46</v>
      </c>
      <c r="H247" s="32" t="s">
        <v>18</v>
      </c>
      <c r="I247" s="32">
        <v>93.149000000000001</v>
      </c>
      <c r="J247" s="32">
        <v>62.716999999999999</v>
      </c>
      <c r="K247" s="32" t="b">
        <v>1</v>
      </c>
      <c r="L247" s="32" t="s">
        <v>47</v>
      </c>
      <c r="M247" s="32" t="s">
        <v>63</v>
      </c>
      <c r="N247" s="32" t="s">
        <v>153</v>
      </c>
      <c r="O247" s="35" t="str">
        <f t="shared" si="0"/>
        <v>Huỳnh Hạo Thiên</v>
      </c>
    </row>
    <row r="248" spans="1:15">
      <c r="A248" s="32" t="s">
        <v>151</v>
      </c>
      <c r="B248" s="32" t="s">
        <v>44</v>
      </c>
      <c r="C248" s="33">
        <v>46035</v>
      </c>
      <c r="D248" s="32">
        <v>943905906</v>
      </c>
      <c r="E248" s="32">
        <v>300419338</v>
      </c>
      <c r="F248" s="32" t="s">
        <v>125</v>
      </c>
      <c r="G248" s="32" t="s">
        <v>46</v>
      </c>
      <c r="H248" s="32" t="s">
        <v>18</v>
      </c>
      <c r="I248" s="32">
        <v>94.453000000000003</v>
      </c>
      <c r="J248" s="32">
        <v>65.611000000000004</v>
      </c>
      <c r="K248" s="32" t="b">
        <v>1</v>
      </c>
      <c r="L248" s="32" t="s">
        <v>47</v>
      </c>
      <c r="M248" s="32" t="s">
        <v>63</v>
      </c>
      <c r="N248" s="34">
        <v>46235</v>
      </c>
      <c r="O248" s="35" t="str">
        <f t="shared" si="0"/>
        <v>Huỳnh Hạo Thiên</v>
      </c>
    </row>
    <row r="249" spans="1:15">
      <c r="A249" s="32" t="s">
        <v>151</v>
      </c>
      <c r="B249" s="32" t="s">
        <v>44</v>
      </c>
      <c r="C249" s="33">
        <v>46035</v>
      </c>
      <c r="D249" s="32">
        <v>943905906</v>
      </c>
      <c r="E249" s="32">
        <v>300419338</v>
      </c>
      <c r="F249" s="32" t="s">
        <v>125</v>
      </c>
      <c r="G249" s="32" t="s">
        <v>46</v>
      </c>
      <c r="H249" s="32" t="s">
        <v>18</v>
      </c>
      <c r="I249" s="32">
        <v>91.584000000000003</v>
      </c>
      <c r="J249" s="32">
        <v>60.841000000000001</v>
      </c>
      <c r="K249" s="32" t="b">
        <v>1</v>
      </c>
      <c r="L249" s="32" t="s">
        <v>47</v>
      </c>
      <c r="M249" s="32" t="s">
        <v>63</v>
      </c>
      <c r="N249" s="34">
        <v>46267</v>
      </c>
      <c r="O249" s="35" t="str">
        <f t="shared" si="0"/>
        <v>Huỳnh Hạo Thiên</v>
      </c>
    </row>
    <row r="250" spans="1:15">
      <c r="A250" s="32" t="s">
        <v>151</v>
      </c>
      <c r="B250" s="32" t="s">
        <v>44</v>
      </c>
      <c r="C250" s="33">
        <v>46035</v>
      </c>
      <c r="D250" s="32">
        <v>943905906</v>
      </c>
      <c r="E250" s="32">
        <v>300419338</v>
      </c>
      <c r="F250" s="32" t="s">
        <v>125</v>
      </c>
      <c r="G250" s="32" t="s">
        <v>46</v>
      </c>
      <c r="H250" s="32" t="s">
        <v>18</v>
      </c>
      <c r="I250" s="32">
        <v>96.792000000000002</v>
      </c>
      <c r="J250" s="32">
        <v>62.84</v>
      </c>
      <c r="K250" s="32" t="b">
        <v>1</v>
      </c>
      <c r="L250" s="32" t="s">
        <v>47</v>
      </c>
      <c r="M250" s="32" t="s">
        <v>63</v>
      </c>
      <c r="N250" s="32" t="s">
        <v>154</v>
      </c>
      <c r="O250" s="35" t="str">
        <f t="shared" si="0"/>
        <v>Huỳnh Hạo Thiên</v>
      </c>
    </row>
    <row r="251" spans="1:15">
      <c r="A251" s="32" t="s">
        <v>151</v>
      </c>
      <c r="B251" s="32" t="s">
        <v>44</v>
      </c>
      <c r="C251" s="33">
        <v>46035</v>
      </c>
      <c r="D251" s="32">
        <v>943905906</v>
      </c>
      <c r="E251" s="32">
        <v>300419338</v>
      </c>
      <c r="F251" s="32" t="s">
        <v>125</v>
      </c>
      <c r="G251" s="32" t="s">
        <v>46</v>
      </c>
      <c r="H251" s="32" t="s">
        <v>18</v>
      </c>
      <c r="I251" s="32">
        <v>98.962000000000003</v>
      </c>
      <c r="J251" s="32">
        <v>64.872</v>
      </c>
      <c r="K251" s="32" t="b">
        <v>1</v>
      </c>
      <c r="L251" s="32" t="s">
        <v>47</v>
      </c>
      <c r="M251" s="32" t="s">
        <v>63</v>
      </c>
      <c r="N251" s="34">
        <v>46027</v>
      </c>
      <c r="O251" s="35" t="str">
        <f t="shared" si="0"/>
        <v>Huỳnh Hạo Thiên</v>
      </c>
    </row>
    <row r="252" spans="1:15">
      <c r="A252" s="32" t="s">
        <v>151</v>
      </c>
      <c r="B252" s="32" t="s">
        <v>44</v>
      </c>
      <c r="C252" s="33">
        <v>46035</v>
      </c>
      <c r="D252" s="32">
        <v>943905906</v>
      </c>
      <c r="E252" s="32">
        <v>300419338</v>
      </c>
      <c r="F252" s="32" t="s">
        <v>125</v>
      </c>
      <c r="G252" s="32" t="s">
        <v>46</v>
      </c>
      <c r="H252" s="32" t="s">
        <v>18</v>
      </c>
      <c r="I252" s="32">
        <v>93.27</v>
      </c>
      <c r="J252" s="32">
        <v>65.533000000000001</v>
      </c>
      <c r="K252" s="32" t="b">
        <v>1</v>
      </c>
      <c r="L252" s="32" t="s">
        <v>47</v>
      </c>
      <c r="M252" s="32" t="s">
        <v>63</v>
      </c>
      <c r="N252" s="34">
        <v>46206</v>
      </c>
      <c r="O252" s="35" t="str">
        <f t="shared" si="0"/>
        <v>Huỳnh Hạo Thiên</v>
      </c>
    </row>
    <row r="253" spans="1:15">
      <c r="A253" s="32" t="s">
        <v>151</v>
      </c>
      <c r="B253" s="32" t="s">
        <v>44</v>
      </c>
      <c r="C253" s="33">
        <v>46035</v>
      </c>
      <c r="D253" s="32">
        <v>943905906</v>
      </c>
      <c r="E253" s="32">
        <v>300419338</v>
      </c>
      <c r="F253" s="32" t="s">
        <v>125</v>
      </c>
      <c r="G253" s="32" t="s">
        <v>46</v>
      </c>
      <c r="H253" s="32" t="s">
        <v>18</v>
      </c>
      <c r="I253" s="32">
        <v>92.486999999999995</v>
      </c>
      <c r="J253" s="32">
        <v>65.091999999999999</v>
      </c>
      <c r="K253" s="32" t="b">
        <v>1</v>
      </c>
      <c r="L253" s="32" t="s">
        <v>47</v>
      </c>
      <c r="M253" s="32" t="s">
        <v>63</v>
      </c>
      <c r="N253" s="34">
        <v>46088</v>
      </c>
      <c r="O253" s="35" t="str">
        <f t="shared" si="0"/>
        <v>Huỳnh Hạo Thiên</v>
      </c>
    </row>
    <row r="254" spans="1:15">
      <c r="A254" s="32" t="s">
        <v>151</v>
      </c>
      <c r="B254" s="32" t="s">
        <v>44</v>
      </c>
      <c r="C254" s="33">
        <v>46035</v>
      </c>
      <c r="D254" s="32">
        <v>943905906</v>
      </c>
      <c r="E254" s="32">
        <v>300419338</v>
      </c>
      <c r="F254" s="32" t="s">
        <v>125</v>
      </c>
      <c r="G254" s="32" t="s">
        <v>46</v>
      </c>
      <c r="H254" s="32" t="s">
        <v>18</v>
      </c>
      <c r="I254" s="32">
        <v>97.977999999999994</v>
      </c>
      <c r="J254" s="32">
        <v>63.865000000000002</v>
      </c>
      <c r="K254" s="32" t="b">
        <v>1</v>
      </c>
      <c r="L254" s="32" t="s">
        <v>47</v>
      </c>
      <c r="M254" s="32" t="s">
        <v>63</v>
      </c>
      <c r="N254" s="34">
        <v>46206</v>
      </c>
      <c r="O254" s="35" t="str">
        <f t="shared" si="0"/>
        <v>Huỳnh Hạo Thiên</v>
      </c>
    </row>
    <row r="255" spans="1:15">
      <c r="A255" s="32" t="s">
        <v>151</v>
      </c>
      <c r="B255" s="32" t="s">
        <v>44</v>
      </c>
      <c r="C255" s="33">
        <v>46035</v>
      </c>
      <c r="D255" s="32">
        <v>943905906</v>
      </c>
      <c r="E255" s="32">
        <v>300419338</v>
      </c>
      <c r="F255" s="32" t="s">
        <v>125</v>
      </c>
      <c r="G255" s="32" t="s">
        <v>46</v>
      </c>
      <c r="H255" s="32" t="s">
        <v>18</v>
      </c>
      <c r="I255" s="32">
        <v>99.665000000000006</v>
      </c>
      <c r="J255" s="32">
        <v>63.155999999999999</v>
      </c>
      <c r="K255" s="32" t="b">
        <v>1</v>
      </c>
      <c r="L255" s="32" t="s">
        <v>47</v>
      </c>
      <c r="M255" s="32" t="s">
        <v>63</v>
      </c>
      <c r="N255" s="34">
        <v>46151</v>
      </c>
      <c r="O255" s="35" t="str">
        <f t="shared" si="0"/>
        <v>Huỳnh Hạo Thiên</v>
      </c>
    </row>
    <row r="256" spans="1:15">
      <c r="A256" s="32" t="s">
        <v>136</v>
      </c>
      <c r="B256" s="32" t="s">
        <v>44</v>
      </c>
      <c r="C256" s="33">
        <v>46035</v>
      </c>
      <c r="D256" s="32">
        <v>917773898</v>
      </c>
      <c r="E256" s="32">
        <v>505313750</v>
      </c>
      <c r="F256" s="32" t="s">
        <v>122</v>
      </c>
      <c r="G256" s="32" t="s">
        <v>46</v>
      </c>
      <c r="H256" s="32" t="s">
        <v>51</v>
      </c>
      <c r="I256" s="32">
        <v>124.83799999999999</v>
      </c>
      <c r="J256" s="32">
        <v>47.954000000000001</v>
      </c>
      <c r="K256" s="32" t="b">
        <v>1</v>
      </c>
      <c r="L256" s="32" t="s">
        <v>47</v>
      </c>
      <c r="M256" s="32" t="s">
        <v>48</v>
      </c>
      <c r="N256" s="34">
        <v>46145</v>
      </c>
      <c r="O256" s="35" t="str">
        <f t="shared" si="0"/>
        <v>Lê Xuân Trình</v>
      </c>
    </row>
    <row r="257" spans="1:15">
      <c r="A257" s="32" t="s">
        <v>136</v>
      </c>
      <c r="B257" s="32" t="s">
        <v>44</v>
      </c>
      <c r="C257" s="33">
        <v>46035</v>
      </c>
      <c r="D257" s="32">
        <v>917773898</v>
      </c>
      <c r="E257" s="32">
        <v>505313750</v>
      </c>
      <c r="F257" s="32" t="s">
        <v>122</v>
      </c>
      <c r="G257" s="32" t="s">
        <v>46</v>
      </c>
      <c r="H257" s="32" t="s">
        <v>51</v>
      </c>
      <c r="I257" s="32">
        <v>98.277000000000001</v>
      </c>
      <c r="J257" s="32">
        <v>40.771999999999998</v>
      </c>
      <c r="K257" s="32" t="b">
        <v>1</v>
      </c>
      <c r="L257" s="32" t="s">
        <v>47</v>
      </c>
      <c r="M257" s="32" t="s">
        <v>48</v>
      </c>
      <c r="N257" s="34">
        <v>46269</v>
      </c>
      <c r="O257" s="35" t="str">
        <f t="shared" ref="O257:O511" si="1">LEFT(A257, LEN(A257) - 4)</f>
        <v>Lê Xuân Trình</v>
      </c>
    </row>
    <row r="258" spans="1:15">
      <c r="A258" s="32" t="s">
        <v>61</v>
      </c>
      <c r="B258" s="32" t="s">
        <v>44</v>
      </c>
      <c r="C258" s="33">
        <v>46035</v>
      </c>
      <c r="D258" s="32">
        <v>949786476</v>
      </c>
      <c r="E258" s="32">
        <v>514815800</v>
      </c>
      <c r="F258" s="32" t="s">
        <v>62</v>
      </c>
      <c r="G258" s="32" t="s">
        <v>46</v>
      </c>
      <c r="H258" s="32" t="s">
        <v>58</v>
      </c>
      <c r="I258" s="32">
        <v>137.74</v>
      </c>
      <c r="J258" s="32">
        <v>55.843000000000004</v>
      </c>
      <c r="K258" s="32" t="b">
        <v>1</v>
      </c>
      <c r="L258" s="32" t="s">
        <v>63</v>
      </c>
      <c r="M258" s="32" t="s">
        <v>48</v>
      </c>
      <c r="N258" s="34">
        <v>46205</v>
      </c>
      <c r="O258" s="35" t="str">
        <f t="shared" si="1"/>
        <v>Đặng Ngọc Sơn</v>
      </c>
    </row>
    <row r="259" spans="1:15">
      <c r="A259" s="32" t="s">
        <v>61</v>
      </c>
      <c r="B259" s="32" t="s">
        <v>44</v>
      </c>
      <c r="C259" s="33">
        <v>46035</v>
      </c>
      <c r="D259" s="32">
        <v>949786476</v>
      </c>
      <c r="E259" s="32">
        <v>514815800</v>
      </c>
      <c r="F259" s="32" t="s">
        <v>62</v>
      </c>
      <c r="G259" s="32" t="s">
        <v>46</v>
      </c>
      <c r="H259" s="32" t="s">
        <v>58</v>
      </c>
      <c r="I259" s="32">
        <v>59.838999999999999</v>
      </c>
      <c r="J259" s="32">
        <v>23.849</v>
      </c>
      <c r="K259" s="32" t="b">
        <v>1</v>
      </c>
      <c r="L259" s="32" t="s">
        <v>63</v>
      </c>
      <c r="M259" s="32" t="s">
        <v>48</v>
      </c>
      <c r="N259" s="34">
        <v>46206</v>
      </c>
      <c r="O259" s="35" t="str">
        <f t="shared" si="1"/>
        <v>Đặng Ngọc Sơn</v>
      </c>
    </row>
    <row r="260" spans="1:15">
      <c r="A260" s="32" t="s">
        <v>64</v>
      </c>
      <c r="B260" s="32" t="s">
        <v>44</v>
      </c>
      <c r="C260" s="33">
        <v>46035</v>
      </c>
      <c r="D260" s="32">
        <v>917769763</v>
      </c>
      <c r="E260" s="32">
        <v>297808089</v>
      </c>
      <c r="F260" s="32" t="s">
        <v>65</v>
      </c>
      <c r="G260" s="32" t="s">
        <v>46</v>
      </c>
      <c r="H260" s="32" t="s">
        <v>58</v>
      </c>
      <c r="I260" s="32">
        <v>111.723</v>
      </c>
      <c r="J260" s="32">
        <v>37.21</v>
      </c>
      <c r="K260" s="32" t="b">
        <v>1</v>
      </c>
      <c r="L260" s="32" t="s">
        <v>47</v>
      </c>
      <c r="M260" s="32" t="s">
        <v>63</v>
      </c>
      <c r="N260" s="34">
        <v>46177</v>
      </c>
      <c r="O260" s="35" t="str">
        <f t="shared" si="1"/>
        <v>Đỗ Tấn Phát</v>
      </c>
    </row>
    <row r="261" spans="1:15">
      <c r="A261" s="32" t="s">
        <v>43</v>
      </c>
      <c r="B261" s="32" t="s">
        <v>44</v>
      </c>
      <c r="C261" s="33">
        <v>46035</v>
      </c>
      <c r="D261" s="32">
        <v>914163199</v>
      </c>
      <c r="E261" s="32">
        <v>467432229</v>
      </c>
      <c r="F261" s="32" t="s">
        <v>45</v>
      </c>
      <c r="G261" s="32" t="s">
        <v>46</v>
      </c>
      <c r="H261" s="32" t="s">
        <v>18</v>
      </c>
      <c r="I261" s="32">
        <v>404.36</v>
      </c>
      <c r="J261" s="32">
        <v>30.504999999999999</v>
      </c>
      <c r="K261" s="32" t="b">
        <v>1</v>
      </c>
      <c r="L261" s="32" t="s">
        <v>47</v>
      </c>
      <c r="M261" s="32" t="s">
        <v>48</v>
      </c>
      <c r="N261" s="34">
        <v>46145</v>
      </c>
      <c r="O261" s="35" t="str">
        <f t="shared" si="1"/>
        <v>Trương Đình Lợi</v>
      </c>
    </row>
    <row r="262" spans="1:15">
      <c r="A262" s="32" t="s">
        <v>81</v>
      </c>
      <c r="B262" s="32" t="s">
        <v>44</v>
      </c>
      <c r="C262" s="33">
        <v>46035</v>
      </c>
      <c r="D262" s="32">
        <v>852226484</v>
      </c>
      <c r="E262" s="32">
        <v>494036091</v>
      </c>
      <c r="F262" s="32" t="s">
        <v>82</v>
      </c>
      <c r="G262" s="32" t="s">
        <v>46</v>
      </c>
      <c r="H262" s="32" t="s">
        <v>87</v>
      </c>
      <c r="I262" s="32">
        <v>192.46</v>
      </c>
      <c r="J262" s="32">
        <v>58.679000000000002</v>
      </c>
      <c r="K262" s="32" t="b">
        <v>0</v>
      </c>
      <c r="L262" s="32" t="s">
        <v>79</v>
      </c>
      <c r="M262" s="32" t="s">
        <v>48</v>
      </c>
      <c r="N262" s="34">
        <v>46055</v>
      </c>
      <c r="O262" s="35" t="str">
        <f t="shared" si="1"/>
        <v>Phù Hoàng Thành</v>
      </c>
    </row>
    <row r="263" spans="1:15">
      <c r="A263" s="32" t="s">
        <v>81</v>
      </c>
      <c r="B263" s="32" t="s">
        <v>44</v>
      </c>
      <c r="C263" s="33">
        <v>46035</v>
      </c>
      <c r="D263" s="32">
        <v>832428439</v>
      </c>
      <c r="E263" s="32">
        <v>494036091</v>
      </c>
      <c r="F263" s="32" t="s">
        <v>82</v>
      </c>
      <c r="G263" s="32" t="s">
        <v>46</v>
      </c>
      <c r="H263" s="32" t="s">
        <v>87</v>
      </c>
      <c r="I263" s="32">
        <v>192.46</v>
      </c>
      <c r="J263" s="32">
        <v>58.679000000000002</v>
      </c>
      <c r="K263" s="32" t="b">
        <v>0</v>
      </c>
      <c r="L263" s="32" t="s">
        <v>79</v>
      </c>
      <c r="M263" s="32" t="s">
        <v>48</v>
      </c>
      <c r="N263" s="34">
        <v>46055</v>
      </c>
      <c r="O263" s="35" t="str">
        <f t="shared" si="1"/>
        <v>Phù Hoàng Thành</v>
      </c>
    </row>
    <row r="264" spans="1:15">
      <c r="A264" s="32" t="s">
        <v>77</v>
      </c>
      <c r="B264" s="32" t="s">
        <v>44</v>
      </c>
      <c r="C264" s="33">
        <v>46035</v>
      </c>
      <c r="D264" s="32">
        <v>945663773</v>
      </c>
      <c r="E264" s="32">
        <v>507335872</v>
      </c>
      <c r="F264" s="32" t="s">
        <v>78</v>
      </c>
      <c r="G264" s="32" t="s">
        <v>46</v>
      </c>
      <c r="H264" s="32" t="s">
        <v>51</v>
      </c>
      <c r="I264" s="32">
        <v>72.772000000000006</v>
      </c>
      <c r="J264" s="32">
        <v>29.215</v>
      </c>
      <c r="K264" s="32" t="b">
        <v>1</v>
      </c>
      <c r="L264" s="32" t="s">
        <v>79</v>
      </c>
      <c r="M264" s="32" t="s">
        <v>80</v>
      </c>
      <c r="N264" s="34">
        <v>46085</v>
      </c>
      <c r="O264" s="35" t="str">
        <f t="shared" si="1"/>
        <v>Nguyễn Hữu Tân</v>
      </c>
    </row>
    <row r="265" spans="1:15">
      <c r="A265" s="32" t="s">
        <v>126</v>
      </c>
      <c r="B265" s="32" t="s">
        <v>44</v>
      </c>
      <c r="C265" s="33">
        <v>46035</v>
      </c>
      <c r="D265" s="32">
        <v>941328668</v>
      </c>
      <c r="E265" s="32">
        <v>474364867</v>
      </c>
      <c r="F265" s="32" t="s">
        <v>127</v>
      </c>
      <c r="G265" s="32" t="s">
        <v>46</v>
      </c>
      <c r="H265" s="32" t="s">
        <v>58</v>
      </c>
      <c r="I265" s="32">
        <v>57.52</v>
      </c>
      <c r="J265" s="32">
        <v>42.481999999999999</v>
      </c>
      <c r="K265" s="32" t="b">
        <v>1</v>
      </c>
      <c r="L265" s="32" t="s">
        <v>63</v>
      </c>
      <c r="M265" s="32" t="s">
        <v>48</v>
      </c>
      <c r="N265" s="34">
        <v>46024</v>
      </c>
      <c r="O265" s="35" t="str">
        <f t="shared" si="1"/>
        <v>Nguyễn Thành Phạm Trung</v>
      </c>
    </row>
    <row r="266" spans="1:15">
      <c r="A266" s="32" t="s">
        <v>85</v>
      </c>
      <c r="B266" s="32" t="s">
        <v>44</v>
      </c>
      <c r="C266" s="33">
        <v>46035</v>
      </c>
      <c r="D266" s="32">
        <v>918128333</v>
      </c>
      <c r="E266" s="32">
        <v>362213178</v>
      </c>
      <c r="F266" s="32" t="s">
        <v>86</v>
      </c>
      <c r="G266" s="32" t="s">
        <v>46</v>
      </c>
      <c r="H266" s="32" t="s">
        <v>51</v>
      </c>
      <c r="I266" s="32">
        <v>223.78700000000001</v>
      </c>
      <c r="J266" s="32">
        <v>57.715000000000003</v>
      </c>
      <c r="K266" s="32" t="b">
        <v>1</v>
      </c>
      <c r="L266" s="32" t="s">
        <v>47</v>
      </c>
      <c r="M266" s="32" t="s">
        <v>48</v>
      </c>
      <c r="N266" s="34">
        <v>46266</v>
      </c>
      <c r="O266" s="35" t="str">
        <f t="shared" si="1"/>
        <v>Trần Minh Tuấn1</v>
      </c>
    </row>
    <row r="267" spans="1:15">
      <c r="A267" s="32" t="s">
        <v>85</v>
      </c>
      <c r="B267" s="32" t="s">
        <v>44</v>
      </c>
      <c r="C267" s="33">
        <v>46035</v>
      </c>
      <c r="D267" s="32">
        <v>918128333</v>
      </c>
      <c r="E267" s="32">
        <v>362213178</v>
      </c>
      <c r="F267" s="32" t="s">
        <v>86</v>
      </c>
      <c r="G267" s="32" t="s">
        <v>46</v>
      </c>
      <c r="H267" s="32" t="s">
        <v>51</v>
      </c>
      <c r="I267" s="32">
        <v>220.369</v>
      </c>
      <c r="J267" s="32">
        <v>58.747</v>
      </c>
      <c r="K267" s="32" t="b">
        <v>1</v>
      </c>
      <c r="L267" s="32" t="s">
        <v>47</v>
      </c>
      <c r="M267" s="32" t="s">
        <v>48</v>
      </c>
      <c r="N267" s="34">
        <v>46174</v>
      </c>
      <c r="O267" s="35" t="str">
        <f t="shared" si="1"/>
        <v>Trần Minh Tuấn1</v>
      </c>
    </row>
    <row r="268" spans="1:15">
      <c r="A268" s="32" t="s">
        <v>83</v>
      </c>
      <c r="B268" s="32" t="s">
        <v>44</v>
      </c>
      <c r="C268" s="33">
        <v>46035</v>
      </c>
      <c r="D268" s="32">
        <v>829669739</v>
      </c>
      <c r="E268" s="32">
        <v>408233038</v>
      </c>
      <c r="F268" s="32" t="s">
        <v>84</v>
      </c>
      <c r="G268" s="32" t="s">
        <v>46</v>
      </c>
      <c r="H268" s="32" t="s">
        <v>51</v>
      </c>
      <c r="I268" s="32">
        <v>198.63300000000001</v>
      </c>
      <c r="J268" s="32">
        <v>54.655000000000001</v>
      </c>
      <c r="K268" s="32" t="b">
        <v>1</v>
      </c>
      <c r="L268" s="32" t="s">
        <v>47</v>
      </c>
      <c r="M268" s="32" t="s">
        <v>48</v>
      </c>
      <c r="N268" s="34">
        <v>46238</v>
      </c>
      <c r="O268" s="35" t="str">
        <f t="shared" si="1"/>
        <v>Lê Minh Kha</v>
      </c>
    </row>
    <row r="269" spans="1:15">
      <c r="A269" s="32" t="s">
        <v>83</v>
      </c>
      <c r="B269" s="32" t="s">
        <v>44</v>
      </c>
      <c r="C269" s="33">
        <v>46035</v>
      </c>
      <c r="D269" s="32">
        <v>886313796</v>
      </c>
      <c r="E269" s="32">
        <v>408233038</v>
      </c>
      <c r="F269" s="32" t="s">
        <v>84</v>
      </c>
      <c r="G269" s="32" t="s">
        <v>46</v>
      </c>
      <c r="H269" s="32" t="s">
        <v>51</v>
      </c>
      <c r="I269" s="32">
        <v>198.63300000000001</v>
      </c>
      <c r="J269" s="32">
        <v>54.655000000000001</v>
      </c>
      <c r="K269" s="32" t="b">
        <v>1</v>
      </c>
      <c r="L269" s="32" t="s">
        <v>47</v>
      </c>
      <c r="M269" s="32" t="s">
        <v>48</v>
      </c>
      <c r="N269" s="34">
        <v>46238</v>
      </c>
      <c r="O269" s="35" t="str">
        <f t="shared" si="1"/>
        <v>Lê Minh Kha</v>
      </c>
    </row>
    <row r="270" spans="1:15">
      <c r="A270" s="32" t="s">
        <v>88</v>
      </c>
      <c r="B270" s="32" t="s">
        <v>44</v>
      </c>
      <c r="C270" s="33">
        <v>46035</v>
      </c>
      <c r="D270" s="32">
        <v>918611919</v>
      </c>
      <c r="E270" s="32">
        <v>321677895</v>
      </c>
      <c r="F270" s="32" t="s">
        <v>65</v>
      </c>
      <c r="G270" s="32" t="s">
        <v>46</v>
      </c>
      <c r="H270" s="32" t="s">
        <v>51</v>
      </c>
      <c r="I270" s="32">
        <v>1459.364</v>
      </c>
      <c r="J270" s="32">
        <v>160.477</v>
      </c>
      <c r="K270" s="32" t="b">
        <v>1</v>
      </c>
      <c r="L270" s="32" t="s">
        <v>47</v>
      </c>
      <c r="M270" s="32" t="s">
        <v>63</v>
      </c>
      <c r="N270" s="34">
        <v>46218</v>
      </c>
      <c r="O270" s="35" t="str">
        <f t="shared" si="1"/>
        <v>Huỳnh Phước Yên</v>
      </c>
    </row>
    <row r="271" spans="1:15">
      <c r="A271" s="32" t="s">
        <v>89</v>
      </c>
      <c r="B271" s="32" t="s">
        <v>44</v>
      </c>
      <c r="C271" s="33">
        <v>46035</v>
      </c>
      <c r="D271" s="32">
        <v>837012768</v>
      </c>
      <c r="E271" s="32">
        <v>276156622</v>
      </c>
      <c r="F271" s="32" t="s">
        <v>90</v>
      </c>
      <c r="G271" s="32" t="s">
        <v>46</v>
      </c>
      <c r="H271" s="32" t="s">
        <v>51</v>
      </c>
      <c r="I271" s="32">
        <v>866.17100000000005</v>
      </c>
      <c r="J271" s="32">
        <v>81.600999999999999</v>
      </c>
      <c r="K271" s="32" t="b">
        <v>1</v>
      </c>
      <c r="L271" s="32" t="s">
        <v>47</v>
      </c>
      <c r="M271" s="32" t="s">
        <v>63</v>
      </c>
      <c r="N271" s="34">
        <v>46134</v>
      </c>
      <c r="O271" s="35" t="str">
        <f t="shared" si="1"/>
        <v>Nguyễn Thành Chí</v>
      </c>
    </row>
    <row r="272" spans="1:15">
      <c r="A272" s="32" t="s">
        <v>133</v>
      </c>
      <c r="B272" s="32" t="s">
        <v>44</v>
      </c>
      <c r="C272" s="33">
        <v>46035</v>
      </c>
      <c r="D272" s="32">
        <v>913632800</v>
      </c>
      <c r="E272" s="32">
        <v>487761475</v>
      </c>
      <c r="F272" s="32" t="s">
        <v>71</v>
      </c>
      <c r="G272" s="32" t="s">
        <v>46</v>
      </c>
      <c r="H272" s="32" t="s">
        <v>51</v>
      </c>
      <c r="I272" s="32">
        <v>999.51700000000005</v>
      </c>
      <c r="J272" s="32">
        <v>109.79300000000001</v>
      </c>
      <c r="K272" s="32" t="b">
        <v>1</v>
      </c>
      <c r="L272" s="32" t="s">
        <v>47</v>
      </c>
      <c r="M272" s="32" t="s">
        <v>48</v>
      </c>
      <c r="N272" s="34">
        <v>46280</v>
      </c>
      <c r="O272" s="35" t="str">
        <f t="shared" si="1"/>
        <v>Võ Quang Thìn</v>
      </c>
    </row>
    <row r="273" spans="1:15">
      <c r="A273" s="32" t="s">
        <v>119</v>
      </c>
      <c r="B273" s="32" t="s">
        <v>44</v>
      </c>
      <c r="C273" s="33">
        <v>46035</v>
      </c>
      <c r="D273" s="32">
        <v>945562692</v>
      </c>
      <c r="E273" s="32">
        <v>489225750</v>
      </c>
      <c r="F273" s="32" t="s">
        <v>71</v>
      </c>
      <c r="G273" s="32" t="s">
        <v>46</v>
      </c>
      <c r="H273" s="32" t="s">
        <v>51</v>
      </c>
      <c r="I273" s="32">
        <v>84.507000000000005</v>
      </c>
      <c r="J273" s="32">
        <v>64.701999999999998</v>
      </c>
      <c r="K273" s="32" t="b">
        <v>1</v>
      </c>
      <c r="L273" s="32" t="s">
        <v>47</v>
      </c>
      <c r="M273" s="32" t="s">
        <v>48</v>
      </c>
      <c r="N273" s="34">
        <v>46238</v>
      </c>
      <c r="O273" s="35" t="str">
        <f t="shared" si="1"/>
        <v>Nguyễn Thanh Hùng</v>
      </c>
    </row>
    <row r="274" spans="1:15">
      <c r="A274" s="32" t="s">
        <v>119</v>
      </c>
      <c r="B274" s="32" t="s">
        <v>44</v>
      </c>
      <c r="C274" s="33">
        <v>46035</v>
      </c>
      <c r="D274" s="32">
        <v>945562692</v>
      </c>
      <c r="E274" s="32">
        <v>489225750</v>
      </c>
      <c r="F274" s="32" t="s">
        <v>71</v>
      </c>
      <c r="G274" s="32" t="s">
        <v>46</v>
      </c>
      <c r="H274" s="32" t="s">
        <v>51</v>
      </c>
      <c r="I274" s="32">
        <v>104.28</v>
      </c>
      <c r="J274" s="32">
        <v>57.191000000000003</v>
      </c>
      <c r="K274" s="32" t="b">
        <v>1</v>
      </c>
      <c r="L274" s="32" t="s">
        <v>47</v>
      </c>
      <c r="M274" s="32" t="s">
        <v>48</v>
      </c>
      <c r="N274" s="34">
        <v>46269</v>
      </c>
      <c r="O274" s="35" t="str">
        <f t="shared" si="1"/>
        <v>Nguyễn Thanh Hùng</v>
      </c>
    </row>
    <row r="275" spans="1:15">
      <c r="A275" s="32" t="s">
        <v>117</v>
      </c>
      <c r="B275" s="32" t="s">
        <v>44</v>
      </c>
      <c r="C275" s="33">
        <v>46034</v>
      </c>
      <c r="D275" s="32">
        <v>919669378</v>
      </c>
      <c r="E275" s="32">
        <v>468081965</v>
      </c>
      <c r="F275" s="32" t="s">
        <v>98</v>
      </c>
      <c r="G275" s="32" t="s">
        <v>46</v>
      </c>
      <c r="H275" s="32" t="s">
        <v>18</v>
      </c>
      <c r="I275" s="32">
        <v>77.39</v>
      </c>
      <c r="J275" s="32">
        <v>54.975000000000001</v>
      </c>
      <c r="K275" s="32" t="b">
        <v>1</v>
      </c>
      <c r="L275" s="32" t="s">
        <v>63</v>
      </c>
      <c r="M275" s="32" t="s">
        <v>48</v>
      </c>
      <c r="N275" s="34">
        <v>46116</v>
      </c>
      <c r="O275" s="35" t="str">
        <f t="shared" si="1"/>
        <v>Nguyễn Văn Long</v>
      </c>
    </row>
    <row r="276" spans="1:15">
      <c r="A276" s="32" t="s">
        <v>52</v>
      </c>
      <c r="B276" s="32" t="s">
        <v>44</v>
      </c>
      <c r="C276" s="33">
        <v>46034</v>
      </c>
      <c r="D276" s="32">
        <v>915282271</v>
      </c>
      <c r="E276" s="32">
        <v>437354149</v>
      </c>
      <c r="F276" s="32" t="s">
        <v>53</v>
      </c>
      <c r="G276" s="32" t="s">
        <v>46</v>
      </c>
      <c r="H276" s="32" t="s">
        <v>58</v>
      </c>
      <c r="I276" s="32">
        <v>105.616</v>
      </c>
      <c r="J276" s="32">
        <v>36.893000000000001</v>
      </c>
      <c r="K276" s="32" t="b">
        <v>1</v>
      </c>
      <c r="L276" s="32" t="s">
        <v>47</v>
      </c>
      <c r="M276" s="32" t="s">
        <v>48</v>
      </c>
      <c r="N276" s="34">
        <v>46271</v>
      </c>
      <c r="O276" s="35" t="str">
        <f t="shared" si="1"/>
        <v>Nguyễn Hoàng Tuấn</v>
      </c>
    </row>
    <row r="277" spans="1:15">
      <c r="A277" s="32" t="s">
        <v>52</v>
      </c>
      <c r="B277" s="32" t="s">
        <v>44</v>
      </c>
      <c r="C277" s="33">
        <v>46034</v>
      </c>
      <c r="D277" s="32">
        <v>915282271</v>
      </c>
      <c r="E277" s="32">
        <v>437354149</v>
      </c>
      <c r="F277" s="32" t="s">
        <v>53</v>
      </c>
      <c r="G277" s="32" t="s">
        <v>46</v>
      </c>
      <c r="H277" s="32" t="s">
        <v>58</v>
      </c>
      <c r="I277" s="32">
        <v>105.616</v>
      </c>
      <c r="J277" s="32">
        <v>36.893000000000001</v>
      </c>
      <c r="K277" s="32" t="b">
        <v>1</v>
      </c>
      <c r="L277" s="32" t="s">
        <v>47</v>
      </c>
      <c r="M277" s="32" t="s">
        <v>48</v>
      </c>
      <c r="N277" s="34">
        <v>46271</v>
      </c>
      <c r="O277" s="35" t="str">
        <f t="shared" si="1"/>
        <v>Nguyễn Hoàng Tuấn</v>
      </c>
    </row>
    <row r="278" spans="1:15">
      <c r="A278" s="32" t="s">
        <v>117</v>
      </c>
      <c r="B278" s="32" t="s">
        <v>44</v>
      </c>
      <c r="C278" s="33">
        <v>46034</v>
      </c>
      <c r="D278" s="32">
        <v>919669378</v>
      </c>
      <c r="E278" s="32">
        <v>468081965</v>
      </c>
      <c r="F278" s="32" t="s">
        <v>98</v>
      </c>
      <c r="G278" s="32" t="s">
        <v>46</v>
      </c>
      <c r="H278" s="32" t="s">
        <v>18</v>
      </c>
      <c r="I278" s="32">
        <v>81.311999999999998</v>
      </c>
      <c r="J278" s="32">
        <v>53.51</v>
      </c>
      <c r="K278" s="32" t="b">
        <v>1</v>
      </c>
      <c r="L278" s="32" t="s">
        <v>63</v>
      </c>
      <c r="M278" s="32" t="s">
        <v>48</v>
      </c>
      <c r="N278" s="34">
        <v>46270</v>
      </c>
      <c r="O278" s="35" t="str">
        <f t="shared" si="1"/>
        <v>Nguyễn Văn Long</v>
      </c>
    </row>
    <row r="279" spans="1:15">
      <c r="A279" s="32" t="s">
        <v>117</v>
      </c>
      <c r="B279" s="32" t="s">
        <v>44</v>
      </c>
      <c r="C279" s="33">
        <v>46034</v>
      </c>
      <c r="D279" s="32">
        <v>919669378</v>
      </c>
      <c r="E279" s="32">
        <v>468081965</v>
      </c>
      <c r="F279" s="32" t="s">
        <v>98</v>
      </c>
      <c r="G279" s="32" t="s">
        <v>46</v>
      </c>
      <c r="H279" s="32" t="s">
        <v>18</v>
      </c>
      <c r="I279" s="32">
        <v>72.091999999999999</v>
      </c>
      <c r="J279" s="32">
        <v>54.070999999999998</v>
      </c>
      <c r="K279" s="32" t="b">
        <v>1</v>
      </c>
      <c r="L279" s="32" t="s">
        <v>63</v>
      </c>
      <c r="M279" s="32" t="s">
        <v>48</v>
      </c>
      <c r="N279" s="34">
        <v>46119</v>
      </c>
      <c r="O279" s="35" t="str">
        <f t="shared" si="1"/>
        <v>Nguyễn Văn Long</v>
      </c>
    </row>
    <row r="280" spans="1:15">
      <c r="A280" s="32" t="s">
        <v>117</v>
      </c>
      <c r="B280" s="32" t="s">
        <v>44</v>
      </c>
      <c r="C280" s="33">
        <v>46034</v>
      </c>
      <c r="D280" s="32">
        <v>919669378</v>
      </c>
      <c r="E280" s="32">
        <v>468081965</v>
      </c>
      <c r="F280" s="32" t="s">
        <v>98</v>
      </c>
      <c r="G280" s="32" t="s">
        <v>46</v>
      </c>
      <c r="H280" s="32" t="s">
        <v>18</v>
      </c>
      <c r="I280" s="32">
        <v>70.031000000000006</v>
      </c>
      <c r="J280" s="32">
        <v>50.435000000000002</v>
      </c>
      <c r="K280" s="32" t="b">
        <v>1</v>
      </c>
      <c r="L280" s="32" t="s">
        <v>63</v>
      </c>
      <c r="M280" s="32" t="s">
        <v>48</v>
      </c>
      <c r="N280" s="32" t="s">
        <v>105</v>
      </c>
      <c r="O280" s="35" t="str">
        <f t="shared" si="1"/>
        <v>Nguyễn Văn Long</v>
      </c>
    </row>
    <row r="281" spans="1:15">
      <c r="A281" s="32" t="s">
        <v>117</v>
      </c>
      <c r="B281" s="32" t="s">
        <v>44</v>
      </c>
      <c r="C281" s="33">
        <v>46034</v>
      </c>
      <c r="D281" s="32">
        <v>919669378</v>
      </c>
      <c r="E281" s="32">
        <v>468081965</v>
      </c>
      <c r="F281" s="32" t="s">
        <v>98</v>
      </c>
      <c r="G281" s="32" t="s">
        <v>46</v>
      </c>
      <c r="H281" s="32" t="s">
        <v>18</v>
      </c>
      <c r="I281" s="32">
        <v>83.403999999999996</v>
      </c>
      <c r="J281" s="32">
        <v>55.591999999999999</v>
      </c>
      <c r="K281" s="32" t="b">
        <v>1</v>
      </c>
      <c r="L281" s="32" t="s">
        <v>63</v>
      </c>
      <c r="M281" s="32" t="s">
        <v>48</v>
      </c>
      <c r="N281" s="34">
        <v>46240</v>
      </c>
      <c r="O281" s="35" t="str">
        <f t="shared" si="1"/>
        <v>Nguyễn Văn Long</v>
      </c>
    </row>
    <row r="282" spans="1:15">
      <c r="A282" s="32" t="s">
        <v>117</v>
      </c>
      <c r="B282" s="32" t="s">
        <v>44</v>
      </c>
      <c r="C282" s="33">
        <v>46034</v>
      </c>
      <c r="D282" s="32">
        <v>919669378</v>
      </c>
      <c r="E282" s="32">
        <v>468081965</v>
      </c>
      <c r="F282" s="32" t="s">
        <v>98</v>
      </c>
      <c r="G282" s="32" t="s">
        <v>46</v>
      </c>
      <c r="H282" s="32" t="s">
        <v>18</v>
      </c>
      <c r="I282" s="32">
        <v>72.739000000000004</v>
      </c>
      <c r="J282" s="32">
        <v>58.091000000000001</v>
      </c>
      <c r="K282" s="32" t="b">
        <v>1</v>
      </c>
      <c r="L282" s="32" t="s">
        <v>63</v>
      </c>
      <c r="M282" s="32" t="s">
        <v>48</v>
      </c>
      <c r="N282" s="34">
        <v>46238</v>
      </c>
      <c r="O282" s="35" t="str">
        <f t="shared" si="1"/>
        <v>Nguyễn Văn Long</v>
      </c>
    </row>
    <row r="283" spans="1:15">
      <c r="A283" s="32" t="s">
        <v>117</v>
      </c>
      <c r="B283" s="32" t="s">
        <v>44</v>
      </c>
      <c r="C283" s="33">
        <v>46034</v>
      </c>
      <c r="D283" s="32">
        <v>919669378</v>
      </c>
      <c r="E283" s="32">
        <v>468081965</v>
      </c>
      <c r="F283" s="32" t="s">
        <v>98</v>
      </c>
      <c r="G283" s="32" t="s">
        <v>46</v>
      </c>
      <c r="H283" s="32" t="s">
        <v>18</v>
      </c>
      <c r="I283" s="32">
        <v>87.724000000000004</v>
      </c>
      <c r="J283" s="32">
        <v>58.231000000000002</v>
      </c>
      <c r="K283" s="32" t="b">
        <v>1</v>
      </c>
      <c r="L283" s="32" t="s">
        <v>63</v>
      </c>
      <c r="M283" s="32" t="s">
        <v>48</v>
      </c>
      <c r="N283" s="34">
        <v>46152</v>
      </c>
      <c r="O283" s="35" t="str">
        <f t="shared" si="1"/>
        <v>Nguyễn Văn Long</v>
      </c>
    </row>
    <row r="284" spans="1:15">
      <c r="A284" s="32" t="s">
        <v>117</v>
      </c>
      <c r="B284" s="32" t="s">
        <v>44</v>
      </c>
      <c r="C284" s="33">
        <v>46034</v>
      </c>
      <c r="D284" s="32">
        <v>919669378</v>
      </c>
      <c r="E284" s="32">
        <v>468081965</v>
      </c>
      <c r="F284" s="32" t="s">
        <v>98</v>
      </c>
      <c r="G284" s="32" t="s">
        <v>46</v>
      </c>
      <c r="H284" s="32" t="s">
        <v>18</v>
      </c>
      <c r="I284" s="32">
        <v>73.316999999999993</v>
      </c>
      <c r="J284" s="32">
        <v>60.198999999999998</v>
      </c>
      <c r="K284" s="32" t="b">
        <v>1</v>
      </c>
      <c r="L284" s="32" t="s">
        <v>63</v>
      </c>
      <c r="M284" s="32" t="s">
        <v>48</v>
      </c>
      <c r="N284" s="34">
        <v>46118</v>
      </c>
      <c r="O284" s="35" t="str">
        <f t="shared" si="1"/>
        <v>Nguyễn Văn Long</v>
      </c>
    </row>
    <row r="285" spans="1:15">
      <c r="A285" s="32" t="s">
        <v>117</v>
      </c>
      <c r="B285" s="32" t="s">
        <v>44</v>
      </c>
      <c r="C285" s="33">
        <v>46034</v>
      </c>
      <c r="D285" s="32">
        <v>919669378</v>
      </c>
      <c r="E285" s="32">
        <v>468081965</v>
      </c>
      <c r="F285" s="32" t="s">
        <v>98</v>
      </c>
      <c r="G285" s="32" t="s">
        <v>46</v>
      </c>
      <c r="H285" s="32" t="s">
        <v>18</v>
      </c>
      <c r="I285" s="32">
        <v>86.031999999999996</v>
      </c>
      <c r="J285" s="32">
        <v>54.079000000000001</v>
      </c>
      <c r="K285" s="32" t="b">
        <v>1</v>
      </c>
      <c r="L285" s="32" t="s">
        <v>63</v>
      </c>
      <c r="M285" s="32" t="s">
        <v>48</v>
      </c>
      <c r="N285" s="34">
        <v>46061</v>
      </c>
      <c r="O285" s="35" t="str">
        <f t="shared" si="1"/>
        <v>Nguyễn Văn Long</v>
      </c>
    </row>
    <row r="286" spans="1:15">
      <c r="A286" s="32" t="s">
        <v>136</v>
      </c>
      <c r="B286" s="32" t="s">
        <v>44</v>
      </c>
      <c r="C286" s="33">
        <v>46034</v>
      </c>
      <c r="D286" s="32">
        <v>917773898</v>
      </c>
      <c r="E286" s="32">
        <v>505313750</v>
      </c>
      <c r="F286" s="32" t="s">
        <v>122</v>
      </c>
      <c r="G286" s="32" t="s">
        <v>46</v>
      </c>
      <c r="H286" s="32" t="s">
        <v>51</v>
      </c>
      <c r="I286" s="32">
        <v>127.078</v>
      </c>
      <c r="J286" s="32">
        <v>59.877000000000002</v>
      </c>
      <c r="K286" s="32" t="b">
        <v>1</v>
      </c>
      <c r="L286" s="32" t="s">
        <v>47</v>
      </c>
      <c r="M286" s="32" t="s">
        <v>48</v>
      </c>
      <c r="N286" s="34">
        <v>46084</v>
      </c>
      <c r="O286" s="35" t="str">
        <f t="shared" si="1"/>
        <v>Lê Xuân Trình</v>
      </c>
    </row>
    <row r="287" spans="1:15">
      <c r="A287" s="32" t="s">
        <v>136</v>
      </c>
      <c r="B287" s="32" t="s">
        <v>44</v>
      </c>
      <c r="C287" s="33">
        <v>46034</v>
      </c>
      <c r="D287" s="32">
        <v>917773898</v>
      </c>
      <c r="E287" s="32">
        <v>505313750</v>
      </c>
      <c r="F287" s="32" t="s">
        <v>122</v>
      </c>
      <c r="G287" s="32" t="s">
        <v>46</v>
      </c>
      <c r="H287" s="32" t="s">
        <v>51</v>
      </c>
      <c r="I287" s="32">
        <v>94.391999999999996</v>
      </c>
      <c r="J287" s="32">
        <v>37.906999999999996</v>
      </c>
      <c r="K287" s="32" t="b">
        <v>1</v>
      </c>
      <c r="L287" s="32" t="s">
        <v>47</v>
      </c>
      <c r="M287" s="32" t="s">
        <v>48</v>
      </c>
      <c r="N287" s="34">
        <v>46056</v>
      </c>
      <c r="O287" s="35" t="str">
        <f t="shared" si="1"/>
        <v>Lê Xuân Trình</v>
      </c>
    </row>
    <row r="288" spans="1:15">
      <c r="A288" s="32" t="s">
        <v>136</v>
      </c>
      <c r="B288" s="32" t="s">
        <v>44</v>
      </c>
      <c r="C288" s="33">
        <v>46034</v>
      </c>
      <c r="D288" s="32">
        <v>917773898</v>
      </c>
      <c r="E288" s="32">
        <v>505313750</v>
      </c>
      <c r="F288" s="32" t="s">
        <v>122</v>
      </c>
      <c r="G288" s="32" t="s">
        <v>46</v>
      </c>
      <c r="H288" s="32" t="s">
        <v>51</v>
      </c>
      <c r="I288" s="32">
        <v>61.02</v>
      </c>
      <c r="J288" s="32">
        <v>51.777999999999999</v>
      </c>
      <c r="K288" s="32" t="b">
        <v>1</v>
      </c>
      <c r="L288" s="32" t="s">
        <v>47</v>
      </c>
      <c r="M288" s="32" t="s">
        <v>48</v>
      </c>
      <c r="N288" s="34">
        <v>46175</v>
      </c>
      <c r="O288" s="35" t="str">
        <f t="shared" si="1"/>
        <v>Lê Xuân Trình</v>
      </c>
    </row>
    <row r="289" spans="1:15">
      <c r="A289" s="32" t="s">
        <v>136</v>
      </c>
      <c r="B289" s="32" t="s">
        <v>44</v>
      </c>
      <c r="C289" s="33">
        <v>46034</v>
      </c>
      <c r="D289" s="32">
        <v>917773898</v>
      </c>
      <c r="E289" s="32">
        <v>505313750</v>
      </c>
      <c r="F289" s="32" t="s">
        <v>122</v>
      </c>
      <c r="G289" s="32" t="s">
        <v>46</v>
      </c>
      <c r="H289" s="32" t="s">
        <v>51</v>
      </c>
      <c r="I289" s="32">
        <v>69.974999999999994</v>
      </c>
      <c r="J289" s="32">
        <v>54.973999999999997</v>
      </c>
      <c r="K289" s="32" t="b">
        <v>1</v>
      </c>
      <c r="L289" s="32" t="s">
        <v>47</v>
      </c>
      <c r="M289" s="32" t="s">
        <v>48</v>
      </c>
      <c r="N289" s="34">
        <v>46240</v>
      </c>
      <c r="O289" s="35" t="str">
        <f t="shared" si="1"/>
        <v>Lê Xuân Trình</v>
      </c>
    </row>
    <row r="290" spans="1:15">
      <c r="A290" s="32" t="s">
        <v>155</v>
      </c>
      <c r="B290" s="32" t="s">
        <v>44</v>
      </c>
      <c r="C290" s="33">
        <v>46034</v>
      </c>
      <c r="D290" s="32">
        <v>832428439</v>
      </c>
      <c r="E290" s="32">
        <v>467175684</v>
      </c>
      <c r="F290" s="32" t="s">
        <v>156</v>
      </c>
      <c r="G290" s="32" t="s">
        <v>46</v>
      </c>
      <c r="H290" s="32" t="s">
        <v>51</v>
      </c>
      <c r="I290" s="32">
        <v>33.619</v>
      </c>
      <c r="J290" s="32">
        <v>0.127</v>
      </c>
      <c r="K290" s="32" t="b">
        <v>0</v>
      </c>
      <c r="L290" s="32" t="s">
        <v>47</v>
      </c>
      <c r="M290" s="32" t="s">
        <v>48</v>
      </c>
      <c r="N290" s="34">
        <v>46074</v>
      </c>
      <c r="O290" s="35" t="str">
        <f t="shared" si="1"/>
        <v>Bùi Minh Tú</v>
      </c>
    </row>
    <row r="291" spans="1:15">
      <c r="A291" s="32" t="s">
        <v>157</v>
      </c>
      <c r="B291" s="32" t="s">
        <v>44</v>
      </c>
      <c r="C291" s="33">
        <v>46034</v>
      </c>
      <c r="D291" s="32">
        <v>948284288</v>
      </c>
      <c r="E291" s="32">
        <v>478724705</v>
      </c>
      <c r="F291" s="32" t="s">
        <v>98</v>
      </c>
      <c r="G291" s="32" t="s">
        <v>46</v>
      </c>
      <c r="H291" s="32" t="s">
        <v>58</v>
      </c>
      <c r="I291" s="32">
        <v>24.556999999999999</v>
      </c>
      <c r="J291" s="32">
        <v>3.008</v>
      </c>
      <c r="K291" s="32" t="b">
        <v>0</v>
      </c>
      <c r="L291" s="32" t="s">
        <v>63</v>
      </c>
      <c r="M291" s="32" t="s">
        <v>48</v>
      </c>
      <c r="N291" s="32" t="s">
        <v>158</v>
      </c>
      <c r="O291" s="35" t="str">
        <f t="shared" si="1"/>
        <v>Bùi Trung Duy</v>
      </c>
    </row>
    <row r="292" spans="1:15">
      <c r="A292" s="32" t="s">
        <v>157</v>
      </c>
      <c r="B292" s="32" t="s">
        <v>44</v>
      </c>
      <c r="C292" s="33">
        <v>46034</v>
      </c>
      <c r="D292" s="32">
        <v>948284288</v>
      </c>
      <c r="E292" s="32">
        <v>478724705</v>
      </c>
      <c r="F292" s="32" t="s">
        <v>98</v>
      </c>
      <c r="G292" s="32" t="s">
        <v>46</v>
      </c>
      <c r="H292" s="32" t="s">
        <v>58</v>
      </c>
      <c r="I292" s="32">
        <v>11.911</v>
      </c>
      <c r="J292" s="32">
        <v>2.7029999999999998</v>
      </c>
      <c r="K292" s="32" t="b">
        <v>0</v>
      </c>
      <c r="L292" s="32" t="s">
        <v>63</v>
      </c>
      <c r="M292" s="32" t="s">
        <v>48</v>
      </c>
      <c r="N292" s="34">
        <v>46216</v>
      </c>
      <c r="O292" s="35" t="str">
        <f t="shared" si="1"/>
        <v>Bùi Trung Duy</v>
      </c>
    </row>
    <row r="293" spans="1:15">
      <c r="A293" s="32" t="s">
        <v>138</v>
      </c>
      <c r="B293" s="32" t="s">
        <v>44</v>
      </c>
      <c r="C293" s="33">
        <v>46034</v>
      </c>
      <c r="D293" s="32">
        <v>914403881</v>
      </c>
      <c r="E293" s="32">
        <v>407766951</v>
      </c>
      <c r="F293" s="32" t="s">
        <v>139</v>
      </c>
      <c r="G293" s="32" t="s">
        <v>46</v>
      </c>
      <c r="H293" s="32" t="s">
        <v>58</v>
      </c>
      <c r="I293" s="32">
        <v>8.891</v>
      </c>
      <c r="J293" s="32">
        <v>7.6479999999999997</v>
      </c>
      <c r="K293" s="32" t="b">
        <v>1</v>
      </c>
      <c r="L293" s="32" t="s">
        <v>63</v>
      </c>
      <c r="M293" s="32" t="s">
        <v>48</v>
      </c>
      <c r="N293" s="34">
        <v>46126</v>
      </c>
      <c r="O293" s="35" t="str">
        <f t="shared" si="1"/>
        <v>Trần Xuân Toại</v>
      </c>
    </row>
    <row r="294" spans="1:15">
      <c r="A294" s="32" t="s">
        <v>138</v>
      </c>
      <c r="B294" s="32" t="s">
        <v>44</v>
      </c>
      <c r="C294" s="33">
        <v>46034</v>
      </c>
      <c r="D294" s="32">
        <v>914403881</v>
      </c>
      <c r="E294" s="32">
        <v>407766951</v>
      </c>
      <c r="F294" s="32" t="s">
        <v>139</v>
      </c>
      <c r="G294" s="32" t="s">
        <v>46</v>
      </c>
      <c r="H294" s="32" t="s">
        <v>58</v>
      </c>
      <c r="I294" s="32">
        <v>8.891</v>
      </c>
      <c r="J294" s="32">
        <v>7.6479999999999997</v>
      </c>
      <c r="K294" s="32" t="b">
        <v>1</v>
      </c>
      <c r="L294" s="32" t="s">
        <v>63</v>
      </c>
      <c r="M294" s="32" t="s">
        <v>48</v>
      </c>
      <c r="N294" s="34">
        <v>46126</v>
      </c>
      <c r="O294" s="35" t="str">
        <f t="shared" si="1"/>
        <v>Trần Xuân Toại</v>
      </c>
    </row>
    <row r="295" spans="1:15">
      <c r="A295" s="32" t="s">
        <v>159</v>
      </c>
      <c r="B295" s="32" t="s">
        <v>44</v>
      </c>
      <c r="C295" s="33">
        <v>46034</v>
      </c>
      <c r="D295" s="32">
        <v>917259777</v>
      </c>
      <c r="E295" s="32">
        <v>464238079</v>
      </c>
      <c r="F295" s="32" t="s">
        <v>160</v>
      </c>
      <c r="G295" s="32" t="s">
        <v>46</v>
      </c>
      <c r="H295" s="32" t="s">
        <v>18</v>
      </c>
      <c r="I295" s="32">
        <v>101.627</v>
      </c>
      <c r="J295" s="32">
        <v>54.197000000000003</v>
      </c>
      <c r="K295" s="32" t="b">
        <v>1</v>
      </c>
      <c r="L295" s="32" t="s">
        <v>63</v>
      </c>
      <c r="M295" s="32" t="s">
        <v>48</v>
      </c>
      <c r="N295" s="34">
        <v>46052</v>
      </c>
      <c r="O295" s="35" t="str">
        <f t="shared" si="1"/>
        <v>Ngô Văn Tâm</v>
      </c>
    </row>
    <row r="296" spans="1:15">
      <c r="A296" s="32" t="s">
        <v>159</v>
      </c>
      <c r="B296" s="32" t="s">
        <v>44</v>
      </c>
      <c r="C296" s="33">
        <v>46034</v>
      </c>
      <c r="D296" s="32">
        <v>917259777</v>
      </c>
      <c r="E296" s="32">
        <v>464238079</v>
      </c>
      <c r="F296" s="32" t="s">
        <v>160</v>
      </c>
      <c r="G296" s="32" t="s">
        <v>46</v>
      </c>
      <c r="H296" s="32" t="s">
        <v>18</v>
      </c>
      <c r="I296" s="32">
        <v>78.153999999999996</v>
      </c>
      <c r="J296" s="32">
        <v>56.265999999999998</v>
      </c>
      <c r="K296" s="32" t="b">
        <v>1</v>
      </c>
      <c r="L296" s="32" t="s">
        <v>63</v>
      </c>
      <c r="M296" s="32" t="s">
        <v>48</v>
      </c>
      <c r="N296" s="34">
        <v>46243</v>
      </c>
      <c r="O296" s="35" t="str">
        <f t="shared" si="1"/>
        <v>Ngô Văn Tâm</v>
      </c>
    </row>
    <row r="297" spans="1:15">
      <c r="A297" s="32" t="s">
        <v>159</v>
      </c>
      <c r="B297" s="32" t="s">
        <v>44</v>
      </c>
      <c r="C297" s="33">
        <v>46034</v>
      </c>
      <c r="D297" s="32">
        <v>917259777</v>
      </c>
      <c r="E297" s="32">
        <v>464238079</v>
      </c>
      <c r="F297" s="32" t="s">
        <v>160</v>
      </c>
      <c r="G297" s="32" t="s">
        <v>46</v>
      </c>
      <c r="H297" s="32" t="s">
        <v>18</v>
      </c>
      <c r="I297" s="32">
        <v>96.984999999999999</v>
      </c>
      <c r="J297" s="32">
        <v>54.012999999999998</v>
      </c>
      <c r="K297" s="32" t="b">
        <v>1</v>
      </c>
      <c r="L297" s="32" t="s">
        <v>63</v>
      </c>
      <c r="M297" s="32" t="s">
        <v>48</v>
      </c>
      <c r="N297" s="34">
        <v>46183</v>
      </c>
      <c r="O297" s="35" t="str">
        <f t="shared" si="1"/>
        <v>Ngô Văn Tâm</v>
      </c>
    </row>
    <row r="298" spans="1:15">
      <c r="A298" s="32" t="s">
        <v>106</v>
      </c>
      <c r="B298" s="32" t="s">
        <v>44</v>
      </c>
      <c r="C298" s="33">
        <v>46034</v>
      </c>
      <c r="D298" s="32">
        <v>911039328</v>
      </c>
      <c r="E298" s="32">
        <v>404632975</v>
      </c>
      <c r="F298" s="32" t="s">
        <v>107</v>
      </c>
      <c r="G298" s="32" t="s">
        <v>46</v>
      </c>
      <c r="H298" s="32" t="s">
        <v>18</v>
      </c>
      <c r="I298" s="32">
        <v>84.510999999999996</v>
      </c>
      <c r="J298" s="32">
        <v>48.137</v>
      </c>
      <c r="K298" s="32" t="b">
        <v>1</v>
      </c>
      <c r="L298" s="32" t="s">
        <v>47</v>
      </c>
      <c r="M298" s="32" t="s">
        <v>48</v>
      </c>
      <c r="N298" s="34">
        <v>46210</v>
      </c>
      <c r="O298" s="35" t="str">
        <f t="shared" si="1"/>
        <v>Trương Vũ Hải</v>
      </c>
    </row>
    <row r="299" spans="1:15">
      <c r="A299" s="32" t="s">
        <v>136</v>
      </c>
      <c r="B299" s="32" t="s">
        <v>44</v>
      </c>
      <c r="C299" s="33">
        <v>46034</v>
      </c>
      <c r="D299" s="32">
        <v>917773898</v>
      </c>
      <c r="E299" s="32">
        <v>505313750</v>
      </c>
      <c r="F299" s="32" t="s">
        <v>122</v>
      </c>
      <c r="G299" s="32" t="s">
        <v>46</v>
      </c>
      <c r="H299" s="32" t="s">
        <v>51</v>
      </c>
      <c r="I299" s="32">
        <v>88.528000000000006</v>
      </c>
      <c r="J299" s="32">
        <v>52.755000000000003</v>
      </c>
      <c r="K299" s="32" t="b">
        <v>1</v>
      </c>
      <c r="L299" s="32" t="s">
        <v>47</v>
      </c>
      <c r="M299" s="32" t="s">
        <v>48</v>
      </c>
      <c r="N299" s="32" t="s">
        <v>105</v>
      </c>
      <c r="O299" s="35" t="str">
        <f t="shared" si="1"/>
        <v>Lê Xuân Trình</v>
      </c>
    </row>
    <row r="300" spans="1:15">
      <c r="A300" s="32" t="s">
        <v>136</v>
      </c>
      <c r="B300" s="32" t="s">
        <v>44</v>
      </c>
      <c r="C300" s="33">
        <v>46034</v>
      </c>
      <c r="D300" s="32">
        <v>917773898</v>
      </c>
      <c r="E300" s="32">
        <v>505313750</v>
      </c>
      <c r="F300" s="32" t="s">
        <v>122</v>
      </c>
      <c r="G300" s="32" t="s">
        <v>46</v>
      </c>
      <c r="H300" s="32" t="s">
        <v>51</v>
      </c>
      <c r="I300" s="32">
        <v>168.762</v>
      </c>
      <c r="J300" s="32">
        <v>52.225000000000001</v>
      </c>
      <c r="K300" s="32" t="b">
        <v>1</v>
      </c>
      <c r="L300" s="32" t="s">
        <v>47</v>
      </c>
      <c r="M300" s="32" t="s">
        <v>48</v>
      </c>
      <c r="N300" s="34">
        <v>46055</v>
      </c>
      <c r="O300" s="35" t="str">
        <f t="shared" si="1"/>
        <v>Lê Xuân Trình</v>
      </c>
    </row>
    <row r="301" spans="1:15">
      <c r="A301" s="32" t="s">
        <v>111</v>
      </c>
      <c r="B301" s="32" t="s">
        <v>44</v>
      </c>
      <c r="C301" s="33">
        <v>46034</v>
      </c>
      <c r="D301" s="32">
        <v>945796839</v>
      </c>
      <c r="E301" s="32">
        <v>514818795</v>
      </c>
      <c r="F301" s="32" t="s">
        <v>112</v>
      </c>
      <c r="G301" s="32" t="s">
        <v>46</v>
      </c>
      <c r="H301" s="32" t="s">
        <v>51</v>
      </c>
      <c r="I301" s="32">
        <v>58.101999999999997</v>
      </c>
      <c r="J301" s="32">
        <v>37.514000000000003</v>
      </c>
      <c r="K301" s="32" t="b">
        <v>1</v>
      </c>
      <c r="L301" s="32" t="s">
        <v>79</v>
      </c>
      <c r="M301" s="32" t="s">
        <v>48</v>
      </c>
      <c r="N301" s="34">
        <v>46176</v>
      </c>
      <c r="O301" s="35" t="str">
        <f t="shared" si="1"/>
        <v>Nguyễn Hải Đăng</v>
      </c>
    </row>
    <row r="302" spans="1:15">
      <c r="A302" s="32" t="s">
        <v>136</v>
      </c>
      <c r="B302" s="32" t="s">
        <v>44</v>
      </c>
      <c r="C302" s="33">
        <v>46034</v>
      </c>
      <c r="D302" s="32">
        <v>917773898</v>
      </c>
      <c r="E302" s="32">
        <v>505313750</v>
      </c>
      <c r="F302" s="32" t="s">
        <v>122</v>
      </c>
      <c r="G302" s="32" t="s">
        <v>46</v>
      </c>
      <c r="H302" s="32" t="s">
        <v>58</v>
      </c>
      <c r="I302" s="32">
        <v>184.46</v>
      </c>
      <c r="J302" s="32">
        <v>70.471000000000004</v>
      </c>
      <c r="K302" s="32" t="b">
        <v>1</v>
      </c>
      <c r="L302" s="32" t="s">
        <v>47</v>
      </c>
      <c r="M302" s="32" t="s">
        <v>48</v>
      </c>
      <c r="N302" s="34">
        <v>46146</v>
      </c>
      <c r="O302" s="35" t="str">
        <f t="shared" si="1"/>
        <v>Lê Xuân Trình</v>
      </c>
    </row>
    <row r="303" spans="1:15">
      <c r="A303" s="32" t="s">
        <v>110</v>
      </c>
      <c r="B303" s="32" t="s">
        <v>44</v>
      </c>
      <c r="C303" s="33">
        <v>46034</v>
      </c>
      <c r="D303" s="32">
        <v>853837837</v>
      </c>
      <c r="E303" s="32">
        <v>397762371</v>
      </c>
      <c r="F303" s="32" t="s">
        <v>95</v>
      </c>
      <c r="G303" s="32" t="s">
        <v>46</v>
      </c>
      <c r="H303" s="32" t="s">
        <v>51</v>
      </c>
      <c r="I303" s="32">
        <v>44.692</v>
      </c>
      <c r="J303" s="32">
        <v>24.861999999999998</v>
      </c>
      <c r="K303" s="32" t="b">
        <v>0</v>
      </c>
      <c r="L303" s="32" t="s">
        <v>47</v>
      </c>
      <c r="M303" s="32" t="s">
        <v>48</v>
      </c>
      <c r="N303" s="34">
        <v>46207</v>
      </c>
      <c r="O303" s="35" t="str">
        <f t="shared" si="1"/>
        <v>Trần Thanh Giàu</v>
      </c>
    </row>
    <row r="304" spans="1:15">
      <c r="A304" s="32" t="s">
        <v>110</v>
      </c>
      <c r="B304" s="32" t="s">
        <v>44</v>
      </c>
      <c r="C304" s="33">
        <v>46034</v>
      </c>
      <c r="D304" s="32">
        <v>853837837</v>
      </c>
      <c r="E304" s="32">
        <v>397762371</v>
      </c>
      <c r="F304" s="32" t="s">
        <v>95</v>
      </c>
      <c r="G304" s="32" t="s">
        <v>46</v>
      </c>
      <c r="H304" s="32" t="s">
        <v>51</v>
      </c>
      <c r="I304" s="32">
        <v>44.692</v>
      </c>
      <c r="J304" s="32">
        <v>24.861999999999998</v>
      </c>
      <c r="K304" s="32" t="b">
        <v>0</v>
      </c>
      <c r="L304" s="32" t="s">
        <v>47</v>
      </c>
      <c r="M304" s="32" t="s">
        <v>48</v>
      </c>
      <c r="N304" s="34">
        <v>46207</v>
      </c>
      <c r="O304" s="35" t="str">
        <f t="shared" si="1"/>
        <v>Trần Thanh Giàu</v>
      </c>
    </row>
    <row r="305" spans="1:15">
      <c r="A305" s="32" t="s">
        <v>161</v>
      </c>
      <c r="B305" s="32" t="s">
        <v>44</v>
      </c>
      <c r="C305" s="33">
        <v>46034</v>
      </c>
      <c r="D305" s="32">
        <v>946789525</v>
      </c>
      <c r="E305" s="32">
        <v>292286390</v>
      </c>
      <c r="F305" s="32" t="s">
        <v>162</v>
      </c>
      <c r="G305" s="32" t="s">
        <v>46</v>
      </c>
      <c r="H305" s="32" t="s">
        <v>51</v>
      </c>
      <c r="I305" s="32">
        <v>806.5</v>
      </c>
      <c r="J305" s="32">
        <v>91.561000000000007</v>
      </c>
      <c r="K305" s="32" t="b">
        <v>1</v>
      </c>
      <c r="L305" s="32" t="s">
        <v>47</v>
      </c>
      <c r="M305" s="32" t="s">
        <v>63</v>
      </c>
      <c r="N305" s="34">
        <v>46063</v>
      </c>
      <c r="O305" s="35" t="str">
        <f t="shared" si="1"/>
        <v>Trần Văn Thuyết</v>
      </c>
    </row>
    <row r="306" spans="1:15">
      <c r="A306" s="32" t="s">
        <v>43</v>
      </c>
      <c r="B306" s="32" t="s">
        <v>44</v>
      </c>
      <c r="C306" s="33">
        <v>46034</v>
      </c>
      <c r="D306" s="32">
        <v>914163199</v>
      </c>
      <c r="E306" s="32">
        <v>467432229</v>
      </c>
      <c r="F306" s="32" t="s">
        <v>45</v>
      </c>
      <c r="G306" s="32" t="s">
        <v>46</v>
      </c>
      <c r="H306" s="32" t="s">
        <v>18</v>
      </c>
      <c r="I306" s="32">
        <v>79.150000000000006</v>
      </c>
      <c r="J306" s="32">
        <v>52.45</v>
      </c>
      <c r="K306" s="32" t="b">
        <v>1</v>
      </c>
      <c r="L306" s="32" t="s">
        <v>47</v>
      </c>
      <c r="M306" s="32" t="s">
        <v>48</v>
      </c>
      <c r="N306" s="34">
        <v>46124</v>
      </c>
      <c r="O306" s="35" t="str">
        <f t="shared" si="1"/>
        <v>Trương Đình Lợi</v>
      </c>
    </row>
    <row r="307" spans="1:15">
      <c r="A307" s="32" t="s">
        <v>136</v>
      </c>
      <c r="B307" s="32" t="s">
        <v>44</v>
      </c>
      <c r="C307" s="33">
        <v>46034</v>
      </c>
      <c r="D307" s="32">
        <v>917773898</v>
      </c>
      <c r="E307" s="32">
        <v>505313750</v>
      </c>
      <c r="F307" s="32" t="s">
        <v>122</v>
      </c>
      <c r="G307" s="32" t="s">
        <v>46</v>
      </c>
      <c r="H307" s="32" t="s">
        <v>51</v>
      </c>
      <c r="I307" s="32">
        <v>48.902999999999999</v>
      </c>
      <c r="J307" s="32">
        <v>30.859000000000002</v>
      </c>
      <c r="K307" s="32" t="b">
        <v>1</v>
      </c>
      <c r="L307" s="32" t="s">
        <v>47</v>
      </c>
      <c r="M307" s="32" t="s">
        <v>48</v>
      </c>
      <c r="N307" s="34">
        <v>46027</v>
      </c>
      <c r="O307" s="35" t="str">
        <f t="shared" si="1"/>
        <v>Lê Xuân Trình</v>
      </c>
    </row>
    <row r="308" spans="1:15">
      <c r="A308" s="32" t="s">
        <v>49</v>
      </c>
      <c r="B308" s="32" t="s">
        <v>44</v>
      </c>
      <c r="C308" s="33">
        <v>46034</v>
      </c>
      <c r="D308" s="32">
        <v>947245878</v>
      </c>
      <c r="E308" s="32">
        <v>493854272</v>
      </c>
      <c r="F308" s="32" t="s">
        <v>50</v>
      </c>
      <c r="G308" s="32" t="s">
        <v>46</v>
      </c>
      <c r="H308" s="32" t="s">
        <v>51</v>
      </c>
      <c r="I308" s="32">
        <v>1147.864</v>
      </c>
      <c r="J308" s="32">
        <v>163.666</v>
      </c>
      <c r="K308" s="32" t="b">
        <v>0</v>
      </c>
      <c r="L308" s="32" t="s">
        <v>47</v>
      </c>
      <c r="M308" s="32" t="s">
        <v>48</v>
      </c>
      <c r="N308" s="34">
        <v>46158</v>
      </c>
      <c r="O308" s="35" t="str">
        <f t="shared" si="1"/>
        <v>Phạm Nguyễn Quang Huy</v>
      </c>
    </row>
    <row r="309" spans="1:15">
      <c r="A309" s="32" t="s">
        <v>49</v>
      </c>
      <c r="B309" s="32" t="s">
        <v>44</v>
      </c>
      <c r="C309" s="33">
        <v>46034</v>
      </c>
      <c r="D309" s="32">
        <v>828926567</v>
      </c>
      <c r="E309" s="32">
        <v>493854272</v>
      </c>
      <c r="F309" s="32" t="s">
        <v>50</v>
      </c>
      <c r="G309" s="32" t="s">
        <v>46</v>
      </c>
      <c r="H309" s="32" t="s">
        <v>51</v>
      </c>
      <c r="I309" s="32">
        <v>1147.864</v>
      </c>
      <c r="J309" s="32">
        <v>163.666</v>
      </c>
      <c r="K309" s="32" t="b">
        <v>0</v>
      </c>
      <c r="L309" s="32" t="s">
        <v>47</v>
      </c>
      <c r="M309" s="32" t="s">
        <v>48</v>
      </c>
      <c r="N309" s="34">
        <v>46158</v>
      </c>
      <c r="O309" s="35" t="str">
        <f t="shared" si="1"/>
        <v>Phạm Nguyễn Quang Huy</v>
      </c>
    </row>
    <row r="310" spans="1:15">
      <c r="A310" s="32" t="s">
        <v>119</v>
      </c>
      <c r="B310" s="32" t="s">
        <v>44</v>
      </c>
      <c r="C310" s="33">
        <v>46034</v>
      </c>
      <c r="D310" s="32">
        <v>945562692</v>
      </c>
      <c r="E310" s="32">
        <v>489225750</v>
      </c>
      <c r="F310" s="32" t="s">
        <v>71</v>
      </c>
      <c r="G310" s="32" t="s">
        <v>46</v>
      </c>
      <c r="H310" s="32" t="s">
        <v>51</v>
      </c>
      <c r="I310" s="32">
        <v>218.072</v>
      </c>
      <c r="J310" s="32">
        <v>62.594000000000001</v>
      </c>
      <c r="K310" s="32" t="b">
        <v>1</v>
      </c>
      <c r="L310" s="32" t="s">
        <v>47</v>
      </c>
      <c r="M310" s="32" t="s">
        <v>48</v>
      </c>
      <c r="N310" s="34">
        <v>46146</v>
      </c>
      <c r="O310" s="35" t="str">
        <f t="shared" si="1"/>
        <v>Nguyễn Thanh Hùng</v>
      </c>
    </row>
    <row r="311" spans="1:15">
      <c r="A311" s="32" t="s">
        <v>163</v>
      </c>
      <c r="B311" s="32" t="s">
        <v>44</v>
      </c>
      <c r="C311" s="33">
        <v>46034</v>
      </c>
      <c r="D311" s="32">
        <v>917189000</v>
      </c>
      <c r="E311" s="32">
        <v>286520718</v>
      </c>
      <c r="F311" s="32" t="s">
        <v>125</v>
      </c>
      <c r="G311" s="32" t="s">
        <v>46</v>
      </c>
      <c r="H311" s="32" t="s">
        <v>58</v>
      </c>
      <c r="I311" s="32">
        <v>138.78200000000001</v>
      </c>
      <c r="J311" s="32">
        <v>21.189</v>
      </c>
      <c r="K311" s="32" t="b">
        <v>0</v>
      </c>
      <c r="L311" s="32" t="s">
        <v>47</v>
      </c>
      <c r="M311" s="32" t="s">
        <v>63</v>
      </c>
      <c r="N311" s="32" t="s">
        <v>164</v>
      </c>
      <c r="O311" s="35" t="str">
        <f t="shared" si="1"/>
        <v>Huỳnh Phương Đông</v>
      </c>
    </row>
    <row r="312" spans="1:15">
      <c r="A312" s="32" t="s">
        <v>163</v>
      </c>
      <c r="B312" s="32" t="s">
        <v>44</v>
      </c>
      <c r="C312" s="33">
        <v>46034</v>
      </c>
      <c r="D312" s="32">
        <v>917189000</v>
      </c>
      <c r="E312" s="32">
        <v>286520718</v>
      </c>
      <c r="F312" s="32" t="s">
        <v>125</v>
      </c>
      <c r="G312" s="32" t="s">
        <v>46</v>
      </c>
      <c r="H312" s="32" t="s">
        <v>58</v>
      </c>
      <c r="I312" s="32">
        <v>162.37899999999999</v>
      </c>
      <c r="J312" s="32">
        <v>33.951999999999998</v>
      </c>
      <c r="K312" s="32" t="b">
        <v>0</v>
      </c>
      <c r="L312" s="32" t="s">
        <v>47</v>
      </c>
      <c r="M312" s="32" t="s">
        <v>63</v>
      </c>
      <c r="N312" s="32" t="s">
        <v>152</v>
      </c>
      <c r="O312" s="35" t="str">
        <f t="shared" si="1"/>
        <v>Huỳnh Phương Đông</v>
      </c>
    </row>
    <row r="313" spans="1:15">
      <c r="A313" s="32" t="s">
        <v>163</v>
      </c>
      <c r="B313" s="32" t="s">
        <v>44</v>
      </c>
      <c r="C313" s="33">
        <v>46034</v>
      </c>
      <c r="D313" s="32">
        <v>917189000</v>
      </c>
      <c r="E313" s="32">
        <v>286520718</v>
      </c>
      <c r="F313" s="32" t="s">
        <v>125</v>
      </c>
      <c r="G313" s="32" t="s">
        <v>46</v>
      </c>
      <c r="H313" s="32" t="s">
        <v>58</v>
      </c>
      <c r="I313" s="32">
        <v>92.531000000000006</v>
      </c>
      <c r="J313" s="32">
        <v>92.716999999999999</v>
      </c>
      <c r="K313" s="32" t="b">
        <v>0</v>
      </c>
      <c r="L313" s="32" t="s">
        <v>47</v>
      </c>
      <c r="M313" s="32" t="s">
        <v>63</v>
      </c>
      <c r="N313" s="32" t="s">
        <v>165</v>
      </c>
      <c r="O313" s="35" t="str">
        <f t="shared" si="1"/>
        <v>Huỳnh Phương Đông</v>
      </c>
    </row>
    <row r="314" spans="1:15">
      <c r="A314" s="32" t="s">
        <v>49</v>
      </c>
      <c r="B314" s="32" t="s">
        <v>44</v>
      </c>
      <c r="C314" s="33">
        <v>46034</v>
      </c>
      <c r="D314" s="32">
        <v>947245878</v>
      </c>
      <c r="E314" s="32">
        <v>493854272</v>
      </c>
      <c r="F314" s="32" t="s">
        <v>50</v>
      </c>
      <c r="G314" s="32" t="s">
        <v>46</v>
      </c>
      <c r="H314" s="32" t="s">
        <v>58</v>
      </c>
      <c r="I314" s="32">
        <v>1005.399</v>
      </c>
      <c r="J314" s="32">
        <v>137.625</v>
      </c>
      <c r="K314" s="32" t="b">
        <v>0</v>
      </c>
      <c r="L314" s="32" t="s">
        <v>47</v>
      </c>
      <c r="M314" s="32" t="s">
        <v>48</v>
      </c>
      <c r="N314" s="34">
        <v>46239</v>
      </c>
      <c r="O314" s="35" t="str">
        <f t="shared" si="1"/>
        <v>Phạm Nguyễn Quang Huy</v>
      </c>
    </row>
    <row r="315" spans="1:15">
      <c r="A315" s="32" t="s">
        <v>49</v>
      </c>
      <c r="B315" s="32" t="s">
        <v>44</v>
      </c>
      <c r="C315" s="33">
        <v>46034</v>
      </c>
      <c r="D315" s="32">
        <v>828926567</v>
      </c>
      <c r="E315" s="32">
        <v>493854272</v>
      </c>
      <c r="F315" s="32" t="s">
        <v>50</v>
      </c>
      <c r="G315" s="32" t="s">
        <v>46</v>
      </c>
      <c r="H315" s="32" t="s">
        <v>58</v>
      </c>
      <c r="I315" s="32">
        <v>1005.399</v>
      </c>
      <c r="J315" s="32">
        <v>137.625</v>
      </c>
      <c r="K315" s="32" t="b">
        <v>0</v>
      </c>
      <c r="L315" s="32" t="s">
        <v>47</v>
      </c>
      <c r="M315" s="32" t="s">
        <v>48</v>
      </c>
      <c r="N315" s="34">
        <v>46239</v>
      </c>
      <c r="O315" s="35" t="str">
        <f t="shared" si="1"/>
        <v>Phạm Nguyễn Quang Huy</v>
      </c>
    </row>
    <row r="316" spans="1:15">
      <c r="A316" s="32" t="s">
        <v>85</v>
      </c>
      <c r="B316" s="32" t="s">
        <v>44</v>
      </c>
      <c r="C316" s="33">
        <v>46034</v>
      </c>
      <c r="D316" s="32">
        <v>918128333</v>
      </c>
      <c r="E316" s="32">
        <v>362213178</v>
      </c>
      <c r="F316" s="32" t="s">
        <v>86</v>
      </c>
      <c r="G316" s="32" t="s">
        <v>46</v>
      </c>
      <c r="H316" s="32" t="s">
        <v>51</v>
      </c>
      <c r="I316" s="32">
        <v>711.43</v>
      </c>
      <c r="J316" s="32">
        <v>143.97800000000001</v>
      </c>
      <c r="K316" s="32" t="b">
        <v>1</v>
      </c>
      <c r="L316" s="32" t="s">
        <v>47</v>
      </c>
      <c r="M316" s="32" t="s">
        <v>48</v>
      </c>
      <c r="N316" s="32" t="s">
        <v>166</v>
      </c>
      <c r="O316" s="35" t="str">
        <f t="shared" si="1"/>
        <v>Trần Minh Tuấn1</v>
      </c>
    </row>
    <row r="317" spans="1:15">
      <c r="A317" s="32" t="s">
        <v>167</v>
      </c>
      <c r="B317" s="32" t="s">
        <v>44</v>
      </c>
      <c r="C317" s="33">
        <v>46034</v>
      </c>
      <c r="D317" s="32">
        <v>911987798</v>
      </c>
      <c r="E317" s="32">
        <v>478852220</v>
      </c>
      <c r="F317" s="32" t="s">
        <v>168</v>
      </c>
      <c r="G317" s="32" t="s">
        <v>46</v>
      </c>
      <c r="H317" s="32" t="s">
        <v>51</v>
      </c>
      <c r="I317" s="32">
        <v>49.722999999999999</v>
      </c>
      <c r="J317" s="32">
        <v>10.074999999999999</v>
      </c>
      <c r="K317" s="32" t="b">
        <v>1</v>
      </c>
      <c r="L317" s="32" t="s">
        <v>47</v>
      </c>
      <c r="M317" s="32" t="s">
        <v>48</v>
      </c>
      <c r="N317" s="34">
        <v>46268</v>
      </c>
      <c r="O317" s="35" t="str">
        <f t="shared" si="1"/>
        <v>Nguyễn Hữu Nghĩa</v>
      </c>
    </row>
    <row r="318" spans="1:15">
      <c r="A318" s="32" t="s">
        <v>169</v>
      </c>
      <c r="B318" s="32" t="s">
        <v>44</v>
      </c>
      <c r="C318" s="33">
        <v>46034</v>
      </c>
      <c r="D318" s="32">
        <v>833823127</v>
      </c>
      <c r="E318" s="32">
        <v>303961588</v>
      </c>
      <c r="F318" s="32" t="s">
        <v>125</v>
      </c>
      <c r="G318" s="32" t="s">
        <v>46</v>
      </c>
      <c r="H318" s="32" t="s">
        <v>18</v>
      </c>
      <c r="I318" s="32">
        <v>114.5</v>
      </c>
      <c r="J318" s="32">
        <v>41.78</v>
      </c>
      <c r="K318" s="32" t="b">
        <v>1</v>
      </c>
      <c r="L318" s="32" t="s">
        <v>47</v>
      </c>
      <c r="M318" s="32" t="s">
        <v>63</v>
      </c>
      <c r="N318" s="34">
        <v>46146</v>
      </c>
      <c r="O318" s="35" t="str">
        <f t="shared" si="1"/>
        <v>Nguyễn Hoàng Đạt</v>
      </c>
    </row>
    <row r="319" spans="1:15">
      <c r="A319" s="32" t="s">
        <v>169</v>
      </c>
      <c r="B319" s="32" t="s">
        <v>44</v>
      </c>
      <c r="C319" s="33">
        <v>46034</v>
      </c>
      <c r="D319" s="32">
        <v>833823127</v>
      </c>
      <c r="E319" s="32">
        <v>303961588</v>
      </c>
      <c r="F319" s="32" t="s">
        <v>125</v>
      </c>
      <c r="G319" s="32" t="s">
        <v>46</v>
      </c>
      <c r="H319" s="32" t="s">
        <v>18</v>
      </c>
      <c r="I319" s="32">
        <v>106.126</v>
      </c>
      <c r="J319" s="32">
        <v>42.420999999999999</v>
      </c>
      <c r="K319" s="32" t="b">
        <v>1</v>
      </c>
      <c r="L319" s="32" t="s">
        <v>47</v>
      </c>
      <c r="M319" s="32" t="s">
        <v>63</v>
      </c>
      <c r="N319" s="34">
        <v>46083</v>
      </c>
      <c r="O319" s="35" t="str">
        <f t="shared" si="1"/>
        <v>Nguyễn Hoàng Đạt</v>
      </c>
    </row>
    <row r="320" spans="1:15">
      <c r="A320" s="32" t="s">
        <v>169</v>
      </c>
      <c r="B320" s="32" t="s">
        <v>44</v>
      </c>
      <c r="C320" s="33">
        <v>46034</v>
      </c>
      <c r="D320" s="32">
        <v>833823127</v>
      </c>
      <c r="E320" s="32">
        <v>303961588</v>
      </c>
      <c r="F320" s="32" t="s">
        <v>125</v>
      </c>
      <c r="G320" s="32" t="s">
        <v>46</v>
      </c>
      <c r="H320" s="32" t="s">
        <v>18</v>
      </c>
      <c r="I320" s="32">
        <v>93.466999999999999</v>
      </c>
      <c r="J320" s="32">
        <v>43.962000000000003</v>
      </c>
      <c r="K320" s="32" t="b">
        <v>1</v>
      </c>
      <c r="L320" s="32" t="s">
        <v>47</v>
      </c>
      <c r="M320" s="32" t="s">
        <v>63</v>
      </c>
      <c r="N320" s="34">
        <v>46054</v>
      </c>
      <c r="O320" s="35" t="str">
        <f t="shared" si="1"/>
        <v>Nguyễn Hoàng Đạt</v>
      </c>
    </row>
    <row r="321" spans="1:15">
      <c r="A321" s="32" t="s">
        <v>170</v>
      </c>
      <c r="B321" s="32" t="s">
        <v>44</v>
      </c>
      <c r="C321" s="33">
        <v>46034</v>
      </c>
      <c r="D321" s="32">
        <v>888193957</v>
      </c>
      <c r="E321" s="32">
        <v>278129190</v>
      </c>
      <c r="F321" s="32" t="s">
        <v>171</v>
      </c>
      <c r="G321" s="32" t="s">
        <v>46</v>
      </c>
      <c r="H321" s="32" t="s">
        <v>18</v>
      </c>
      <c r="I321" s="32">
        <v>296.56</v>
      </c>
      <c r="J321" s="32">
        <v>72.977000000000004</v>
      </c>
      <c r="K321" s="32" t="b">
        <v>1</v>
      </c>
      <c r="L321" s="32" t="s">
        <v>47</v>
      </c>
      <c r="M321" s="32" t="s">
        <v>63</v>
      </c>
      <c r="N321" s="34">
        <v>46087</v>
      </c>
      <c r="O321" s="35" t="str">
        <f t="shared" si="1"/>
        <v>Nguyễn Trường Quang</v>
      </c>
    </row>
    <row r="322" spans="1:15">
      <c r="A322" s="32" t="s">
        <v>169</v>
      </c>
      <c r="B322" s="32" t="s">
        <v>44</v>
      </c>
      <c r="C322" s="33">
        <v>46034</v>
      </c>
      <c r="D322" s="32">
        <v>833823127</v>
      </c>
      <c r="E322" s="32">
        <v>303961588</v>
      </c>
      <c r="F322" s="32" t="s">
        <v>125</v>
      </c>
      <c r="G322" s="32" t="s">
        <v>46</v>
      </c>
      <c r="H322" s="32" t="s">
        <v>18</v>
      </c>
      <c r="I322" s="32">
        <v>100.6</v>
      </c>
      <c r="J322" s="32">
        <v>43.988999999999997</v>
      </c>
      <c r="K322" s="32" t="b">
        <v>1</v>
      </c>
      <c r="L322" s="32" t="s">
        <v>47</v>
      </c>
      <c r="M322" s="32" t="s">
        <v>63</v>
      </c>
      <c r="N322" s="34">
        <v>46174</v>
      </c>
      <c r="O322" s="35" t="str">
        <f t="shared" si="1"/>
        <v>Nguyễn Hoàng Đạt</v>
      </c>
    </row>
    <row r="323" spans="1:15">
      <c r="A323" s="32" t="s">
        <v>170</v>
      </c>
      <c r="B323" s="32" t="s">
        <v>44</v>
      </c>
      <c r="C323" s="33">
        <v>46034</v>
      </c>
      <c r="D323" s="32">
        <v>888193957</v>
      </c>
      <c r="E323" s="32">
        <v>278129190</v>
      </c>
      <c r="F323" s="32" t="s">
        <v>171</v>
      </c>
      <c r="G323" s="32" t="s">
        <v>46</v>
      </c>
      <c r="H323" s="32" t="s">
        <v>18</v>
      </c>
      <c r="I323" s="32">
        <v>379.85300000000001</v>
      </c>
      <c r="J323" s="32">
        <v>78.298000000000002</v>
      </c>
      <c r="K323" s="32" t="b">
        <v>1</v>
      </c>
      <c r="L323" s="32" t="s">
        <v>47</v>
      </c>
      <c r="M323" s="32" t="s">
        <v>63</v>
      </c>
      <c r="N323" s="34">
        <v>46267</v>
      </c>
      <c r="O323" s="35" t="str">
        <f t="shared" si="1"/>
        <v>Nguyễn Trường Quang</v>
      </c>
    </row>
    <row r="324" spans="1:15">
      <c r="A324" s="32" t="s">
        <v>170</v>
      </c>
      <c r="B324" s="32" t="s">
        <v>44</v>
      </c>
      <c r="C324" s="33">
        <v>46034</v>
      </c>
      <c r="D324" s="32">
        <v>888193957</v>
      </c>
      <c r="E324" s="32">
        <v>278129190</v>
      </c>
      <c r="F324" s="32" t="s">
        <v>171</v>
      </c>
      <c r="G324" s="32" t="s">
        <v>46</v>
      </c>
      <c r="H324" s="32" t="s">
        <v>18</v>
      </c>
      <c r="I324" s="32">
        <v>129.017</v>
      </c>
      <c r="J324" s="32">
        <v>76.843999999999994</v>
      </c>
      <c r="K324" s="32" t="b">
        <v>1</v>
      </c>
      <c r="L324" s="32" t="s">
        <v>47</v>
      </c>
      <c r="M324" s="32" t="s">
        <v>63</v>
      </c>
      <c r="N324" s="32" t="s">
        <v>147</v>
      </c>
      <c r="O324" s="35" t="str">
        <f t="shared" si="1"/>
        <v>Nguyễn Trường Quang</v>
      </c>
    </row>
    <row r="325" spans="1:15">
      <c r="A325" s="32" t="s">
        <v>169</v>
      </c>
      <c r="B325" s="32" t="s">
        <v>44</v>
      </c>
      <c r="C325" s="33">
        <v>46034</v>
      </c>
      <c r="D325" s="32">
        <v>833823127</v>
      </c>
      <c r="E325" s="32">
        <v>303961588</v>
      </c>
      <c r="F325" s="32" t="s">
        <v>125</v>
      </c>
      <c r="G325" s="32" t="s">
        <v>46</v>
      </c>
      <c r="H325" s="32" t="s">
        <v>18</v>
      </c>
      <c r="I325" s="32">
        <v>93.701999999999998</v>
      </c>
      <c r="J325" s="32">
        <v>45.91</v>
      </c>
      <c r="K325" s="32" t="b">
        <v>1</v>
      </c>
      <c r="L325" s="32" t="s">
        <v>47</v>
      </c>
      <c r="M325" s="32" t="s">
        <v>63</v>
      </c>
      <c r="N325" s="34">
        <v>46054</v>
      </c>
      <c r="O325" s="35" t="str">
        <f t="shared" si="1"/>
        <v>Nguyễn Hoàng Đạt</v>
      </c>
    </row>
    <row r="326" spans="1:15">
      <c r="A326" s="32" t="s">
        <v>169</v>
      </c>
      <c r="B326" s="32" t="s">
        <v>44</v>
      </c>
      <c r="C326" s="33">
        <v>46034</v>
      </c>
      <c r="D326" s="32">
        <v>833823127</v>
      </c>
      <c r="E326" s="32">
        <v>303961588</v>
      </c>
      <c r="F326" s="32" t="s">
        <v>125</v>
      </c>
      <c r="G326" s="32" t="s">
        <v>46</v>
      </c>
      <c r="H326" s="32" t="s">
        <v>18</v>
      </c>
      <c r="I326" s="32">
        <v>125.16</v>
      </c>
      <c r="J326" s="32">
        <v>44.268999999999998</v>
      </c>
      <c r="K326" s="32" t="b">
        <v>1</v>
      </c>
      <c r="L326" s="32" t="s">
        <v>47</v>
      </c>
      <c r="M326" s="32" t="s">
        <v>63</v>
      </c>
      <c r="N326" s="34">
        <v>46114</v>
      </c>
      <c r="O326" s="35" t="str">
        <f t="shared" si="1"/>
        <v>Nguyễn Hoàng Đạt</v>
      </c>
    </row>
    <row r="327" spans="1:15">
      <c r="A327" s="32" t="s">
        <v>169</v>
      </c>
      <c r="B327" s="32" t="s">
        <v>44</v>
      </c>
      <c r="C327" s="33">
        <v>46034</v>
      </c>
      <c r="D327" s="32">
        <v>833823127</v>
      </c>
      <c r="E327" s="32">
        <v>303961588</v>
      </c>
      <c r="F327" s="32" t="s">
        <v>125</v>
      </c>
      <c r="G327" s="32" t="s">
        <v>46</v>
      </c>
      <c r="H327" s="32" t="s">
        <v>18</v>
      </c>
      <c r="I327" s="32">
        <v>103.52200000000001</v>
      </c>
      <c r="J327" s="32">
        <v>44.905000000000001</v>
      </c>
      <c r="K327" s="32" t="b">
        <v>1</v>
      </c>
      <c r="L327" s="32" t="s">
        <v>47</v>
      </c>
      <c r="M327" s="32" t="s">
        <v>63</v>
      </c>
      <c r="N327" s="34">
        <v>46113</v>
      </c>
      <c r="O327" s="35" t="str">
        <f t="shared" si="1"/>
        <v>Nguyễn Hoàng Đạt</v>
      </c>
    </row>
    <row r="328" spans="1:15">
      <c r="A328" s="32" t="s">
        <v>169</v>
      </c>
      <c r="B328" s="32" t="s">
        <v>44</v>
      </c>
      <c r="C328" s="33">
        <v>46034</v>
      </c>
      <c r="D328" s="32">
        <v>833823127</v>
      </c>
      <c r="E328" s="32">
        <v>303961588</v>
      </c>
      <c r="F328" s="32" t="s">
        <v>125</v>
      </c>
      <c r="G328" s="32" t="s">
        <v>46</v>
      </c>
      <c r="H328" s="32" t="s">
        <v>18</v>
      </c>
      <c r="I328" s="32">
        <v>127.523</v>
      </c>
      <c r="J328" s="32">
        <v>33.677</v>
      </c>
      <c r="K328" s="32" t="b">
        <v>1</v>
      </c>
      <c r="L328" s="32" t="s">
        <v>47</v>
      </c>
      <c r="M328" s="32" t="s">
        <v>63</v>
      </c>
      <c r="N328" s="34">
        <v>46207</v>
      </c>
      <c r="O328" s="35" t="str">
        <f t="shared" si="1"/>
        <v>Nguyễn Hoàng Đạt</v>
      </c>
    </row>
    <row r="329" spans="1:15">
      <c r="A329" s="32" t="s">
        <v>169</v>
      </c>
      <c r="B329" s="32" t="s">
        <v>44</v>
      </c>
      <c r="C329" s="33">
        <v>46034</v>
      </c>
      <c r="D329" s="32">
        <v>833823127</v>
      </c>
      <c r="E329" s="32">
        <v>303961588</v>
      </c>
      <c r="F329" s="32" t="s">
        <v>125</v>
      </c>
      <c r="G329" s="32" t="s">
        <v>46</v>
      </c>
      <c r="H329" s="32" t="s">
        <v>18</v>
      </c>
      <c r="I329" s="32">
        <v>101.286</v>
      </c>
      <c r="J329" s="32">
        <v>42.616999999999997</v>
      </c>
      <c r="K329" s="32" t="b">
        <v>0</v>
      </c>
      <c r="L329" s="32" t="s">
        <v>47</v>
      </c>
      <c r="M329" s="32" t="s">
        <v>63</v>
      </c>
      <c r="N329" s="32" t="s">
        <v>164</v>
      </c>
      <c r="O329" s="35" t="str">
        <f t="shared" si="1"/>
        <v>Nguyễn Hoàng Đạt</v>
      </c>
    </row>
    <row r="330" spans="1:15">
      <c r="A330" s="32" t="s">
        <v>88</v>
      </c>
      <c r="B330" s="32" t="s">
        <v>44</v>
      </c>
      <c r="C330" s="33">
        <v>46034</v>
      </c>
      <c r="D330" s="32">
        <v>918611919</v>
      </c>
      <c r="E330" s="32">
        <v>321677895</v>
      </c>
      <c r="F330" s="32" t="s">
        <v>65</v>
      </c>
      <c r="G330" s="32" t="s">
        <v>46</v>
      </c>
      <c r="H330" s="32" t="s">
        <v>51</v>
      </c>
      <c r="I330" s="32">
        <v>1076.6510000000001</v>
      </c>
      <c r="J330" s="32">
        <v>164.827</v>
      </c>
      <c r="K330" s="32" t="b">
        <v>1</v>
      </c>
      <c r="L330" s="32" t="s">
        <v>47</v>
      </c>
      <c r="M330" s="32" t="s">
        <v>63</v>
      </c>
      <c r="N330" s="32" t="s">
        <v>172</v>
      </c>
      <c r="O330" s="35" t="str">
        <f t="shared" si="1"/>
        <v>Huỳnh Phước Yên</v>
      </c>
    </row>
    <row r="331" spans="1:15">
      <c r="A331" s="32" t="s">
        <v>126</v>
      </c>
      <c r="B331" s="32" t="s">
        <v>44</v>
      </c>
      <c r="C331" s="33">
        <v>46034</v>
      </c>
      <c r="D331" s="32">
        <v>941328668</v>
      </c>
      <c r="E331" s="32">
        <v>474364867</v>
      </c>
      <c r="F331" s="32" t="s">
        <v>127</v>
      </c>
      <c r="G331" s="32" t="s">
        <v>46</v>
      </c>
      <c r="H331" s="32" t="s">
        <v>58</v>
      </c>
      <c r="I331" s="32">
        <v>76.424000000000007</v>
      </c>
      <c r="J331" s="32">
        <v>32.396000000000001</v>
      </c>
      <c r="K331" s="32" t="b">
        <v>1</v>
      </c>
      <c r="L331" s="32" t="s">
        <v>63</v>
      </c>
      <c r="M331" s="32" t="s">
        <v>48</v>
      </c>
      <c r="N331" s="34">
        <v>46115</v>
      </c>
      <c r="O331" s="35" t="str">
        <f t="shared" si="1"/>
        <v>Nguyễn Thành Phạm Trung</v>
      </c>
    </row>
    <row r="332" spans="1:15">
      <c r="A332" s="32" t="s">
        <v>85</v>
      </c>
      <c r="B332" s="32" t="s">
        <v>44</v>
      </c>
      <c r="C332" s="33">
        <v>46034</v>
      </c>
      <c r="D332" s="32">
        <v>918128333</v>
      </c>
      <c r="E332" s="32">
        <v>362213178</v>
      </c>
      <c r="F332" s="32" t="s">
        <v>86</v>
      </c>
      <c r="G332" s="32" t="s">
        <v>46</v>
      </c>
      <c r="H332" s="32" t="s">
        <v>51</v>
      </c>
      <c r="I332" s="32">
        <v>114.622</v>
      </c>
      <c r="J332" s="32">
        <v>58.127000000000002</v>
      </c>
      <c r="K332" s="32" t="b">
        <v>1</v>
      </c>
      <c r="L332" s="32" t="s">
        <v>47</v>
      </c>
      <c r="M332" s="32" t="s">
        <v>48</v>
      </c>
      <c r="N332" s="34">
        <v>46085</v>
      </c>
      <c r="O332" s="35" t="str">
        <f t="shared" si="1"/>
        <v>Trần Minh Tuấn1</v>
      </c>
    </row>
    <row r="333" spans="1:15">
      <c r="A333" s="32" t="s">
        <v>77</v>
      </c>
      <c r="B333" s="32" t="s">
        <v>44</v>
      </c>
      <c r="C333" s="33">
        <v>46034</v>
      </c>
      <c r="D333" s="32">
        <v>945663773</v>
      </c>
      <c r="E333" s="32">
        <v>507335872</v>
      </c>
      <c r="F333" s="32" t="s">
        <v>78</v>
      </c>
      <c r="G333" s="32" t="s">
        <v>46</v>
      </c>
      <c r="H333" s="32" t="s">
        <v>51</v>
      </c>
      <c r="I333" s="32">
        <v>66.495000000000005</v>
      </c>
      <c r="J333" s="32">
        <v>17.225999999999999</v>
      </c>
      <c r="K333" s="32" t="b">
        <v>1</v>
      </c>
      <c r="L333" s="32" t="s">
        <v>79</v>
      </c>
      <c r="M333" s="32" t="s">
        <v>80</v>
      </c>
      <c r="N333" s="34">
        <v>46144</v>
      </c>
      <c r="O333" s="35" t="str">
        <f t="shared" si="1"/>
        <v>Nguyễn Hữu Tân</v>
      </c>
    </row>
    <row r="334" spans="1:15">
      <c r="A334" s="32" t="s">
        <v>77</v>
      </c>
      <c r="B334" s="32" t="s">
        <v>44</v>
      </c>
      <c r="C334" s="33">
        <v>46034</v>
      </c>
      <c r="D334" s="32">
        <v>945663773</v>
      </c>
      <c r="E334" s="32">
        <v>507335872</v>
      </c>
      <c r="F334" s="32" t="s">
        <v>78</v>
      </c>
      <c r="G334" s="32" t="s">
        <v>46</v>
      </c>
      <c r="H334" s="32" t="s">
        <v>51</v>
      </c>
      <c r="I334" s="32">
        <v>79.012</v>
      </c>
      <c r="J334" s="32">
        <v>16.766999999999999</v>
      </c>
      <c r="K334" s="32" t="b">
        <v>1</v>
      </c>
      <c r="L334" s="32" t="s">
        <v>79</v>
      </c>
      <c r="M334" s="32" t="s">
        <v>80</v>
      </c>
      <c r="N334" s="34">
        <v>46026</v>
      </c>
      <c r="O334" s="35" t="str">
        <f t="shared" si="1"/>
        <v>Nguyễn Hữu Tân</v>
      </c>
    </row>
    <row r="335" spans="1:15">
      <c r="A335" s="32" t="s">
        <v>83</v>
      </c>
      <c r="B335" s="32" t="s">
        <v>44</v>
      </c>
      <c r="C335" s="33">
        <v>46034</v>
      </c>
      <c r="D335" s="32">
        <v>829669739</v>
      </c>
      <c r="E335" s="32">
        <v>408233038</v>
      </c>
      <c r="F335" s="32" t="s">
        <v>84</v>
      </c>
      <c r="G335" s="32" t="s">
        <v>46</v>
      </c>
      <c r="H335" s="32" t="s">
        <v>51</v>
      </c>
      <c r="I335" s="32">
        <v>166.50800000000001</v>
      </c>
      <c r="J335" s="32">
        <v>48.801000000000002</v>
      </c>
      <c r="K335" s="32" t="b">
        <v>0</v>
      </c>
      <c r="L335" s="32" t="s">
        <v>47</v>
      </c>
      <c r="M335" s="32" t="s">
        <v>48</v>
      </c>
      <c r="N335" s="34">
        <v>46025</v>
      </c>
      <c r="O335" s="35" t="str">
        <f t="shared" si="1"/>
        <v>Lê Minh Kha</v>
      </c>
    </row>
    <row r="336" spans="1:15">
      <c r="A336" s="32" t="s">
        <v>83</v>
      </c>
      <c r="B336" s="32" t="s">
        <v>44</v>
      </c>
      <c r="C336" s="33">
        <v>46034</v>
      </c>
      <c r="D336" s="32">
        <v>886313796</v>
      </c>
      <c r="E336" s="32">
        <v>408233038</v>
      </c>
      <c r="F336" s="32" t="s">
        <v>84</v>
      </c>
      <c r="G336" s="32" t="s">
        <v>46</v>
      </c>
      <c r="H336" s="32" t="s">
        <v>51</v>
      </c>
      <c r="I336" s="32">
        <v>166.50800000000001</v>
      </c>
      <c r="J336" s="32">
        <v>48.801000000000002</v>
      </c>
      <c r="K336" s="32" t="b">
        <v>0</v>
      </c>
      <c r="L336" s="32" t="s">
        <v>47</v>
      </c>
      <c r="M336" s="32" t="s">
        <v>48</v>
      </c>
      <c r="N336" s="34">
        <v>46025</v>
      </c>
      <c r="O336" s="35" t="str">
        <f t="shared" si="1"/>
        <v>Lê Minh Kha</v>
      </c>
    </row>
    <row r="337" spans="1:15">
      <c r="A337" s="32" t="s">
        <v>74</v>
      </c>
      <c r="B337" s="32" t="s">
        <v>44</v>
      </c>
      <c r="C337" s="33">
        <v>46034</v>
      </c>
      <c r="D337" s="32">
        <v>945833826</v>
      </c>
      <c r="E337" s="32">
        <v>515016582</v>
      </c>
      <c r="F337" s="32" t="s">
        <v>75</v>
      </c>
      <c r="G337" s="32" t="s">
        <v>46</v>
      </c>
      <c r="H337" s="32" t="s">
        <v>51</v>
      </c>
      <c r="I337" s="32">
        <v>1011.704</v>
      </c>
      <c r="J337" s="32">
        <v>163.96199999999999</v>
      </c>
      <c r="K337" s="32" t="b">
        <v>1</v>
      </c>
      <c r="L337" s="32" t="s">
        <v>47</v>
      </c>
      <c r="M337" s="32" t="s">
        <v>48</v>
      </c>
      <c r="N337" s="34">
        <v>46156</v>
      </c>
      <c r="O337" s="35" t="str">
        <f t="shared" si="1"/>
        <v>Võ Quang Duy</v>
      </c>
    </row>
    <row r="338" spans="1:15">
      <c r="A338" s="32" t="s">
        <v>89</v>
      </c>
      <c r="B338" s="32" t="s">
        <v>44</v>
      </c>
      <c r="C338" s="33">
        <v>46034</v>
      </c>
      <c r="D338" s="32">
        <v>837012768</v>
      </c>
      <c r="E338" s="32">
        <v>276156622</v>
      </c>
      <c r="F338" s="32" t="s">
        <v>90</v>
      </c>
      <c r="G338" s="32" t="s">
        <v>46</v>
      </c>
      <c r="H338" s="32" t="s">
        <v>51</v>
      </c>
      <c r="I338" s="32">
        <v>815.94299999999998</v>
      </c>
      <c r="J338" s="32">
        <v>76.734999999999999</v>
      </c>
      <c r="K338" s="32" t="b">
        <v>1</v>
      </c>
      <c r="L338" s="32" t="s">
        <v>47</v>
      </c>
      <c r="M338" s="32" t="s">
        <v>63</v>
      </c>
      <c r="N338" s="34">
        <v>46109</v>
      </c>
      <c r="O338" s="35" t="str">
        <f t="shared" si="1"/>
        <v>Nguyễn Thành Chí</v>
      </c>
    </row>
    <row r="339" spans="1:15">
      <c r="A339" s="32" t="s">
        <v>81</v>
      </c>
      <c r="B339" s="32" t="s">
        <v>44</v>
      </c>
      <c r="C339" s="33">
        <v>46034</v>
      </c>
      <c r="D339" s="32">
        <v>852226484</v>
      </c>
      <c r="E339" s="32">
        <v>494036091</v>
      </c>
      <c r="F339" s="32" t="s">
        <v>82</v>
      </c>
      <c r="G339" s="32" t="s">
        <v>46</v>
      </c>
      <c r="H339" s="32" t="s">
        <v>51</v>
      </c>
      <c r="I339" s="32">
        <v>110.825</v>
      </c>
      <c r="J339" s="32">
        <v>46.256</v>
      </c>
      <c r="K339" s="32" t="b">
        <v>1</v>
      </c>
      <c r="L339" s="32" t="s">
        <v>79</v>
      </c>
      <c r="M339" s="32" t="s">
        <v>48</v>
      </c>
      <c r="N339" s="34">
        <v>46059</v>
      </c>
      <c r="O339" s="35" t="str">
        <f t="shared" si="1"/>
        <v>Phù Hoàng Thành</v>
      </c>
    </row>
    <row r="340" spans="1:15">
      <c r="A340" s="32" t="s">
        <v>81</v>
      </c>
      <c r="B340" s="32" t="s">
        <v>44</v>
      </c>
      <c r="C340" s="33">
        <v>46034</v>
      </c>
      <c r="D340" s="32">
        <v>832428439</v>
      </c>
      <c r="E340" s="32">
        <v>494036091</v>
      </c>
      <c r="F340" s="32" t="s">
        <v>82</v>
      </c>
      <c r="G340" s="32" t="s">
        <v>46</v>
      </c>
      <c r="H340" s="32" t="s">
        <v>51</v>
      </c>
      <c r="I340" s="32">
        <v>110.825</v>
      </c>
      <c r="J340" s="32">
        <v>46.256</v>
      </c>
      <c r="K340" s="32" t="b">
        <v>1</v>
      </c>
      <c r="L340" s="32" t="s">
        <v>79</v>
      </c>
      <c r="M340" s="32" t="s">
        <v>48</v>
      </c>
      <c r="N340" s="34">
        <v>46059</v>
      </c>
      <c r="O340" s="35" t="str">
        <f t="shared" si="1"/>
        <v>Phù Hoàng Thành</v>
      </c>
    </row>
    <row r="341" spans="1:15">
      <c r="A341" s="32" t="s">
        <v>72</v>
      </c>
      <c r="B341" s="32" t="s">
        <v>44</v>
      </c>
      <c r="C341" s="33">
        <v>46034</v>
      </c>
      <c r="D341" s="32">
        <v>918955485</v>
      </c>
      <c r="E341" s="32">
        <v>463253403</v>
      </c>
      <c r="F341" s="32" t="s">
        <v>73</v>
      </c>
      <c r="G341" s="32" t="s">
        <v>46</v>
      </c>
      <c r="H341" s="32" t="s">
        <v>18</v>
      </c>
      <c r="I341" s="32">
        <v>366.07400000000001</v>
      </c>
      <c r="J341" s="32">
        <v>63.101999999999997</v>
      </c>
      <c r="K341" s="32" t="b">
        <v>1</v>
      </c>
      <c r="L341" s="32" t="s">
        <v>47</v>
      </c>
      <c r="M341" s="32" t="s">
        <v>48</v>
      </c>
      <c r="N341" s="32" t="s">
        <v>123</v>
      </c>
      <c r="O341" s="35" t="str">
        <f t="shared" si="1"/>
        <v>Lê Thành Tài</v>
      </c>
    </row>
    <row r="342" spans="1:15">
      <c r="A342" s="32" t="s">
        <v>72</v>
      </c>
      <c r="B342" s="32" t="s">
        <v>44</v>
      </c>
      <c r="C342" s="33">
        <v>46034</v>
      </c>
      <c r="D342" s="32">
        <v>918955485</v>
      </c>
      <c r="E342" s="32">
        <v>463253403</v>
      </c>
      <c r="F342" s="32" t="s">
        <v>73</v>
      </c>
      <c r="G342" s="32" t="s">
        <v>46</v>
      </c>
      <c r="H342" s="32" t="s">
        <v>18</v>
      </c>
      <c r="I342" s="32">
        <v>395.71499999999997</v>
      </c>
      <c r="J342" s="32">
        <v>58.472999999999999</v>
      </c>
      <c r="K342" s="32" t="b">
        <v>1</v>
      </c>
      <c r="L342" s="32" t="s">
        <v>47</v>
      </c>
      <c r="M342" s="32" t="s">
        <v>48</v>
      </c>
      <c r="N342" s="34">
        <v>46117</v>
      </c>
      <c r="O342" s="35" t="str">
        <f t="shared" si="1"/>
        <v>Lê Thành Tài</v>
      </c>
    </row>
    <row r="343" spans="1:15">
      <c r="A343" s="32" t="s">
        <v>72</v>
      </c>
      <c r="B343" s="32" t="s">
        <v>44</v>
      </c>
      <c r="C343" s="33">
        <v>46034</v>
      </c>
      <c r="D343" s="32">
        <v>918955485</v>
      </c>
      <c r="E343" s="32">
        <v>463253403</v>
      </c>
      <c r="F343" s="32" t="s">
        <v>73</v>
      </c>
      <c r="G343" s="32" t="s">
        <v>46</v>
      </c>
      <c r="H343" s="32" t="s">
        <v>18</v>
      </c>
      <c r="I343" s="32">
        <v>444.18799999999999</v>
      </c>
      <c r="J343" s="32">
        <v>50.363999999999997</v>
      </c>
      <c r="K343" s="32" t="b">
        <v>1</v>
      </c>
      <c r="L343" s="32" t="s">
        <v>47</v>
      </c>
      <c r="M343" s="32" t="s">
        <v>48</v>
      </c>
      <c r="N343" s="34">
        <v>46148</v>
      </c>
      <c r="O343" s="35" t="str">
        <f t="shared" si="1"/>
        <v>Lê Thành Tài</v>
      </c>
    </row>
    <row r="344" spans="1:15">
      <c r="A344" s="32" t="s">
        <v>96</v>
      </c>
      <c r="B344" s="32" t="s">
        <v>44</v>
      </c>
      <c r="C344" s="33">
        <v>46034</v>
      </c>
      <c r="D344" s="32">
        <v>914390007</v>
      </c>
      <c r="E344" s="32">
        <v>504830634</v>
      </c>
      <c r="F344" s="32" t="s">
        <v>60</v>
      </c>
      <c r="G344" s="32" t="s">
        <v>46</v>
      </c>
      <c r="H344" s="32" t="s">
        <v>51</v>
      </c>
      <c r="I344" s="32">
        <v>91.39</v>
      </c>
      <c r="J344" s="32">
        <v>48.639000000000003</v>
      </c>
      <c r="K344" s="32" t="b">
        <v>1</v>
      </c>
      <c r="L344" s="32" t="s">
        <v>47</v>
      </c>
      <c r="M344" s="32" t="s">
        <v>48</v>
      </c>
      <c r="N344" s="34">
        <v>46057</v>
      </c>
      <c r="O344" s="35" t="str">
        <f t="shared" si="1"/>
        <v>Võ Quốc Huy</v>
      </c>
    </row>
    <row r="345" spans="1:15">
      <c r="A345" s="32" t="s">
        <v>133</v>
      </c>
      <c r="B345" s="32" t="s">
        <v>44</v>
      </c>
      <c r="C345" s="33">
        <v>46034</v>
      </c>
      <c r="D345" s="32">
        <v>913632800</v>
      </c>
      <c r="E345" s="32">
        <v>487761475</v>
      </c>
      <c r="F345" s="32" t="s">
        <v>71</v>
      </c>
      <c r="G345" s="32" t="s">
        <v>46</v>
      </c>
      <c r="H345" s="32" t="s">
        <v>51</v>
      </c>
      <c r="I345" s="32">
        <v>1075.4000000000001</v>
      </c>
      <c r="J345" s="32">
        <v>116.361</v>
      </c>
      <c r="K345" s="32" t="b">
        <v>1</v>
      </c>
      <c r="L345" s="32" t="s">
        <v>47</v>
      </c>
      <c r="M345" s="32" t="s">
        <v>48</v>
      </c>
      <c r="N345" s="34">
        <v>46034</v>
      </c>
      <c r="O345" s="35" t="str">
        <f t="shared" si="1"/>
        <v>Võ Quang Thìn</v>
      </c>
    </row>
    <row r="346" spans="1:15">
      <c r="A346" s="32" t="s">
        <v>91</v>
      </c>
      <c r="B346" s="32" t="s">
        <v>44</v>
      </c>
      <c r="C346" s="33">
        <v>46034</v>
      </c>
      <c r="D346" s="32">
        <v>917714086</v>
      </c>
      <c r="E346" s="32">
        <v>514807788</v>
      </c>
      <c r="F346" s="32" t="s">
        <v>92</v>
      </c>
      <c r="G346" s="32" t="s">
        <v>46</v>
      </c>
      <c r="H346" s="32" t="s">
        <v>51</v>
      </c>
      <c r="I346" s="32">
        <v>699.34799999999996</v>
      </c>
      <c r="J346" s="32">
        <v>108.07299999999999</v>
      </c>
      <c r="K346" s="32" t="b">
        <v>1</v>
      </c>
      <c r="L346" s="32" t="s">
        <v>79</v>
      </c>
      <c r="M346" s="32" t="s">
        <v>48</v>
      </c>
      <c r="N346" s="34">
        <v>46185</v>
      </c>
      <c r="O346" s="35" t="str">
        <f t="shared" si="1"/>
        <v>Lê Hoàng Vinh</v>
      </c>
    </row>
    <row r="347" spans="1:15">
      <c r="A347" s="32" t="s">
        <v>119</v>
      </c>
      <c r="B347" s="32" t="s">
        <v>44</v>
      </c>
      <c r="C347" s="33">
        <v>46034</v>
      </c>
      <c r="D347" s="32">
        <v>945562692</v>
      </c>
      <c r="E347" s="32">
        <v>489225750</v>
      </c>
      <c r="F347" s="32" t="s">
        <v>71</v>
      </c>
      <c r="G347" s="32" t="s">
        <v>46</v>
      </c>
      <c r="H347" s="32" t="s">
        <v>51</v>
      </c>
      <c r="I347" s="32">
        <v>112.26600000000001</v>
      </c>
      <c r="J347" s="32">
        <v>77.117999999999995</v>
      </c>
      <c r="K347" s="32" t="b">
        <v>1</v>
      </c>
      <c r="L347" s="32" t="s">
        <v>47</v>
      </c>
      <c r="M347" s="32" t="s">
        <v>48</v>
      </c>
      <c r="N347" s="34">
        <v>46026</v>
      </c>
      <c r="O347" s="35" t="str">
        <f t="shared" si="1"/>
        <v>Nguyễn Thanh Hùng</v>
      </c>
    </row>
    <row r="348" spans="1:15">
      <c r="A348" s="32" t="s">
        <v>94</v>
      </c>
      <c r="B348" s="32" t="s">
        <v>44</v>
      </c>
      <c r="C348" s="33">
        <v>46034</v>
      </c>
      <c r="D348" s="32">
        <v>943541776</v>
      </c>
      <c r="E348" s="32">
        <v>409462271</v>
      </c>
      <c r="F348" s="32" t="s">
        <v>95</v>
      </c>
      <c r="G348" s="32" t="s">
        <v>46</v>
      </c>
      <c r="H348" s="32" t="s">
        <v>87</v>
      </c>
      <c r="I348" s="32">
        <v>83.350999999999999</v>
      </c>
      <c r="J348" s="32">
        <v>7.048</v>
      </c>
      <c r="K348" s="32" t="b">
        <v>1</v>
      </c>
      <c r="L348" s="32" t="s">
        <v>47</v>
      </c>
      <c r="M348" s="32" t="s">
        <v>48</v>
      </c>
      <c r="N348" s="34">
        <v>46187</v>
      </c>
      <c r="O348" s="35" t="str">
        <f t="shared" si="1"/>
        <v>Đoàn Nguyễn Tuấn Anh</v>
      </c>
    </row>
    <row r="349" spans="1:15">
      <c r="A349" s="32" t="s">
        <v>94</v>
      </c>
      <c r="B349" s="32" t="s">
        <v>44</v>
      </c>
      <c r="C349" s="33">
        <v>46034</v>
      </c>
      <c r="D349" s="32">
        <v>943541776</v>
      </c>
      <c r="E349" s="32">
        <v>409462271</v>
      </c>
      <c r="F349" s="32" t="s">
        <v>95</v>
      </c>
      <c r="G349" s="32" t="s">
        <v>46</v>
      </c>
      <c r="H349" s="32" t="s">
        <v>87</v>
      </c>
      <c r="I349" s="32">
        <v>87.325000000000003</v>
      </c>
      <c r="J349" s="32">
        <v>6.3440000000000003</v>
      </c>
      <c r="K349" s="32" t="b">
        <v>1</v>
      </c>
      <c r="L349" s="32" t="s">
        <v>47</v>
      </c>
      <c r="M349" s="32" t="s">
        <v>48</v>
      </c>
      <c r="N349" s="34">
        <v>46179</v>
      </c>
      <c r="O349" s="35" t="str">
        <f t="shared" si="1"/>
        <v>Đoàn Nguyễn Tuấn Anh</v>
      </c>
    </row>
    <row r="350" spans="1:15">
      <c r="A350" s="32" t="s">
        <v>119</v>
      </c>
      <c r="B350" s="32" t="s">
        <v>44</v>
      </c>
      <c r="C350" s="33">
        <v>46034</v>
      </c>
      <c r="D350" s="32">
        <v>945562692</v>
      </c>
      <c r="E350" s="32">
        <v>489225750</v>
      </c>
      <c r="F350" s="32" t="s">
        <v>71</v>
      </c>
      <c r="G350" s="32" t="s">
        <v>46</v>
      </c>
      <c r="H350" s="32" t="s">
        <v>51</v>
      </c>
      <c r="I350" s="32">
        <v>102.18</v>
      </c>
      <c r="J350" s="32">
        <v>65.872</v>
      </c>
      <c r="K350" s="32" t="b">
        <v>1</v>
      </c>
      <c r="L350" s="32" t="s">
        <v>47</v>
      </c>
      <c r="M350" s="32" t="s">
        <v>48</v>
      </c>
      <c r="N350" s="34">
        <v>46084</v>
      </c>
      <c r="O350" s="35" t="str">
        <f t="shared" si="1"/>
        <v>Nguyễn Thanh Hùng</v>
      </c>
    </row>
    <row r="351" spans="1:15">
      <c r="A351" s="32" t="s">
        <v>94</v>
      </c>
      <c r="B351" s="32" t="s">
        <v>44</v>
      </c>
      <c r="C351" s="33">
        <v>46034</v>
      </c>
      <c r="D351" s="32">
        <v>943541776</v>
      </c>
      <c r="E351" s="32">
        <v>409462271</v>
      </c>
      <c r="F351" s="32" t="s">
        <v>95</v>
      </c>
      <c r="G351" s="32" t="s">
        <v>46</v>
      </c>
      <c r="H351" s="32" t="s">
        <v>87</v>
      </c>
      <c r="I351" s="32">
        <v>88.756</v>
      </c>
      <c r="J351" s="32">
        <v>6.5510000000000002</v>
      </c>
      <c r="K351" s="32" t="b">
        <v>1</v>
      </c>
      <c r="L351" s="32" t="s">
        <v>47</v>
      </c>
      <c r="M351" s="32" t="s">
        <v>48</v>
      </c>
      <c r="N351" s="34">
        <v>46176</v>
      </c>
      <c r="O351" s="35" t="str">
        <f t="shared" si="1"/>
        <v>Đoàn Nguyễn Tuấn Anh</v>
      </c>
    </row>
    <row r="352" spans="1:15">
      <c r="A352" s="32" t="s">
        <v>61</v>
      </c>
      <c r="B352" s="32" t="s">
        <v>44</v>
      </c>
      <c r="C352" s="33">
        <v>46034</v>
      </c>
      <c r="D352" s="32">
        <v>949786476</v>
      </c>
      <c r="E352" s="32">
        <v>514815800</v>
      </c>
      <c r="F352" s="32" t="s">
        <v>62</v>
      </c>
      <c r="G352" s="32" t="s">
        <v>46</v>
      </c>
      <c r="H352" s="32" t="s">
        <v>58</v>
      </c>
      <c r="I352" s="32">
        <v>118.015</v>
      </c>
      <c r="J352" s="32">
        <v>58.104999999999997</v>
      </c>
      <c r="K352" s="32" t="b">
        <v>1</v>
      </c>
      <c r="L352" s="32" t="s">
        <v>63</v>
      </c>
      <c r="M352" s="32" t="s">
        <v>48</v>
      </c>
      <c r="N352" s="34">
        <v>46117</v>
      </c>
      <c r="O352" s="35" t="str">
        <f t="shared" si="1"/>
        <v>Đặng Ngọc Sơn</v>
      </c>
    </row>
    <row r="353" spans="1:15">
      <c r="A353" s="32" t="s">
        <v>119</v>
      </c>
      <c r="B353" s="32" t="s">
        <v>44</v>
      </c>
      <c r="C353" s="33">
        <v>46034</v>
      </c>
      <c r="D353" s="32">
        <v>945562692</v>
      </c>
      <c r="E353" s="32">
        <v>489225750</v>
      </c>
      <c r="F353" s="32" t="s">
        <v>71</v>
      </c>
      <c r="G353" s="32" t="s">
        <v>46</v>
      </c>
      <c r="H353" s="32" t="s">
        <v>51</v>
      </c>
      <c r="I353" s="32">
        <v>99.135999999999996</v>
      </c>
      <c r="J353" s="32">
        <v>68.628</v>
      </c>
      <c r="K353" s="32" t="b">
        <v>1</v>
      </c>
      <c r="L353" s="32" t="s">
        <v>47</v>
      </c>
      <c r="M353" s="32" t="s">
        <v>48</v>
      </c>
      <c r="N353" s="34">
        <v>46145</v>
      </c>
      <c r="O353" s="35" t="str">
        <f t="shared" si="1"/>
        <v>Nguyễn Thanh Hùng</v>
      </c>
    </row>
    <row r="354" spans="1:15">
      <c r="A354" s="32" t="s">
        <v>61</v>
      </c>
      <c r="B354" s="32" t="s">
        <v>44</v>
      </c>
      <c r="C354" s="33">
        <v>46034</v>
      </c>
      <c r="D354" s="32">
        <v>949786476</v>
      </c>
      <c r="E354" s="32">
        <v>514815800</v>
      </c>
      <c r="F354" s="32" t="s">
        <v>62</v>
      </c>
      <c r="G354" s="32" t="s">
        <v>46</v>
      </c>
      <c r="H354" s="32" t="s">
        <v>58</v>
      </c>
      <c r="I354" s="32">
        <v>65.593999999999994</v>
      </c>
      <c r="J354" s="32">
        <v>55.518999999999998</v>
      </c>
      <c r="K354" s="32" t="b">
        <v>1</v>
      </c>
      <c r="L354" s="32" t="s">
        <v>63</v>
      </c>
      <c r="M354" s="32" t="s">
        <v>48</v>
      </c>
      <c r="N354" s="34">
        <v>46239</v>
      </c>
      <c r="O354" s="35" t="str">
        <f t="shared" si="1"/>
        <v>Đặng Ngọc Sơn</v>
      </c>
    </row>
    <row r="355" spans="1:15">
      <c r="A355" s="32" t="s">
        <v>119</v>
      </c>
      <c r="B355" s="32" t="s">
        <v>44</v>
      </c>
      <c r="C355" s="33">
        <v>46034</v>
      </c>
      <c r="D355" s="32">
        <v>945562692</v>
      </c>
      <c r="E355" s="32">
        <v>489225750</v>
      </c>
      <c r="F355" s="32" t="s">
        <v>71</v>
      </c>
      <c r="G355" s="32" t="s">
        <v>46</v>
      </c>
      <c r="H355" s="32" t="s">
        <v>51</v>
      </c>
      <c r="I355" s="32">
        <v>117.95699999999999</v>
      </c>
      <c r="J355" s="32">
        <v>73.88</v>
      </c>
      <c r="K355" s="32" t="b">
        <v>1</v>
      </c>
      <c r="L355" s="32" t="s">
        <v>47</v>
      </c>
      <c r="M355" s="32" t="s">
        <v>48</v>
      </c>
      <c r="N355" s="34">
        <v>46025</v>
      </c>
      <c r="O355" s="35" t="str">
        <f t="shared" si="1"/>
        <v>Nguyễn Thanh Hùng</v>
      </c>
    </row>
    <row r="356" spans="1:15">
      <c r="A356" s="32" t="s">
        <v>119</v>
      </c>
      <c r="B356" s="32" t="s">
        <v>44</v>
      </c>
      <c r="C356" s="33">
        <v>46034</v>
      </c>
      <c r="D356" s="32">
        <v>945562692</v>
      </c>
      <c r="E356" s="32">
        <v>489225750</v>
      </c>
      <c r="F356" s="32" t="s">
        <v>71</v>
      </c>
      <c r="G356" s="32" t="s">
        <v>46</v>
      </c>
      <c r="H356" s="32" t="s">
        <v>51</v>
      </c>
      <c r="I356" s="32">
        <v>127.048</v>
      </c>
      <c r="J356" s="32">
        <v>70.319000000000003</v>
      </c>
      <c r="K356" s="32" t="b">
        <v>1</v>
      </c>
      <c r="L356" s="32" t="s">
        <v>47</v>
      </c>
      <c r="M356" s="32" t="s">
        <v>48</v>
      </c>
      <c r="N356" s="34">
        <v>46026</v>
      </c>
      <c r="O356" s="35" t="str">
        <f t="shared" si="1"/>
        <v>Nguyễn Thanh Hùng</v>
      </c>
    </row>
    <row r="357" spans="1:15">
      <c r="A357" s="32" t="s">
        <v>119</v>
      </c>
      <c r="B357" s="32" t="s">
        <v>44</v>
      </c>
      <c r="C357" s="33">
        <v>46034</v>
      </c>
      <c r="D357" s="32">
        <v>945562692</v>
      </c>
      <c r="E357" s="32">
        <v>489225750</v>
      </c>
      <c r="F357" s="32" t="s">
        <v>71</v>
      </c>
      <c r="G357" s="32" t="s">
        <v>46</v>
      </c>
      <c r="H357" s="32" t="s">
        <v>51</v>
      </c>
      <c r="I357" s="32">
        <v>105.375</v>
      </c>
      <c r="J357" s="32">
        <v>71.102000000000004</v>
      </c>
      <c r="K357" s="32" t="b">
        <v>1</v>
      </c>
      <c r="L357" s="32" t="s">
        <v>47</v>
      </c>
      <c r="M357" s="32" t="s">
        <v>48</v>
      </c>
      <c r="N357" s="34">
        <v>46026</v>
      </c>
      <c r="O357" s="35" t="str">
        <f t="shared" si="1"/>
        <v>Nguyễn Thanh Hùng</v>
      </c>
    </row>
    <row r="358" spans="1:15">
      <c r="A358" s="32" t="s">
        <v>119</v>
      </c>
      <c r="B358" s="32" t="s">
        <v>44</v>
      </c>
      <c r="C358" s="33">
        <v>46034</v>
      </c>
      <c r="D358" s="32">
        <v>945562692</v>
      </c>
      <c r="E358" s="32">
        <v>489225750</v>
      </c>
      <c r="F358" s="32" t="s">
        <v>71</v>
      </c>
      <c r="G358" s="32" t="s">
        <v>46</v>
      </c>
      <c r="H358" s="32" t="s">
        <v>51</v>
      </c>
      <c r="I358" s="32">
        <v>91.668999999999997</v>
      </c>
      <c r="J358" s="32">
        <v>65.751000000000005</v>
      </c>
      <c r="K358" s="32" t="b">
        <v>1</v>
      </c>
      <c r="L358" s="32" t="s">
        <v>47</v>
      </c>
      <c r="M358" s="32" t="s">
        <v>48</v>
      </c>
      <c r="N358" s="32" t="s">
        <v>137</v>
      </c>
      <c r="O358" s="35" t="str">
        <f t="shared" si="1"/>
        <v>Nguyễn Thanh Hùng</v>
      </c>
    </row>
    <row r="359" spans="1:15">
      <c r="A359" s="32" t="s">
        <v>119</v>
      </c>
      <c r="B359" s="32" t="s">
        <v>44</v>
      </c>
      <c r="C359" s="33">
        <v>46034</v>
      </c>
      <c r="D359" s="32">
        <v>945562692</v>
      </c>
      <c r="E359" s="32">
        <v>489225750</v>
      </c>
      <c r="F359" s="32" t="s">
        <v>71</v>
      </c>
      <c r="G359" s="32" t="s">
        <v>46</v>
      </c>
      <c r="H359" s="32" t="s">
        <v>51</v>
      </c>
      <c r="I359" s="32">
        <v>98.846999999999994</v>
      </c>
      <c r="J359" s="32">
        <v>30.177</v>
      </c>
      <c r="K359" s="32" t="b">
        <v>1</v>
      </c>
      <c r="L359" s="32" t="s">
        <v>47</v>
      </c>
      <c r="M359" s="32" t="s">
        <v>48</v>
      </c>
      <c r="N359" s="34">
        <v>46084</v>
      </c>
      <c r="O359" s="35" t="str">
        <f t="shared" si="1"/>
        <v>Nguyễn Thanh Hùng</v>
      </c>
    </row>
    <row r="360" spans="1:15">
      <c r="A360" s="32" t="s">
        <v>119</v>
      </c>
      <c r="B360" s="32" t="s">
        <v>44</v>
      </c>
      <c r="C360" s="33">
        <v>46034</v>
      </c>
      <c r="D360" s="32">
        <v>945562692</v>
      </c>
      <c r="E360" s="32">
        <v>489225750</v>
      </c>
      <c r="F360" s="32" t="s">
        <v>71</v>
      </c>
      <c r="G360" s="32" t="s">
        <v>46</v>
      </c>
      <c r="H360" s="32" t="s">
        <v>51</v>
      </c>
      <c r="I360" s="32">
        <v>91.591999999999999</v>
      </c>
      <c r="J360" s="32">
        <v>21.045999999999999</v>
      </c>
      <c r="K360" s="32" t="b">
        <v>1</v>
      </c>
      <c r="L360" s="32" t="s">
        <v>47</v>
      </c>
      <c r="M360" s="32" t="s">
        <v>48</v>
      </c>
      <c r="N360" s="34">
        <v>46116</v>
      </c>
      <c r="O360" s="35" t="str">
        <f t="shared" si="1"/>
        <v>Nguyễn Thanh Hùng</v>
      </c>
    </row>
    <row r="361" spans="1:15">
      <c r="A361" s="32" t="s">
        <v>119</v>
      </c>
      <c r="B361" s="32" t="s">
        <v>44</v>
      </c>
      <c r="C361" s="33">
        <v>46034</v>
      </c>
      <c r="D361" s="32">
        <v>945562692</v>
      </c>
      <c r="E361" s="32">
        <v>489225750</v>
      </c>
      <c r="F361" s="32" t="s">
        <v>71</v>
      </c>
      <c r="G361" s="32" t="s">
        <v>46</v>
      </c>
      <c r="H361" s="32" t="s">
        <v>51</v>
      </c>
      <c r="I361" s="32">
        <v>90.686000000000007</v>
      </c>
      <c r="J361" s="32">
        <v>22.13</v>
      </c>
      <c r="K361" s="32" t="b">
        <v>1</v>
      </c>
      <c r="L361" s="32" t="s">
        <v>47</v>
      </c>
      <c r="M361" s="32" t="s">
        <v>48</v>
      </c>
      <c r="N361" s="34">
        <v>46085</v>
      </c>
      <c r="O361" s="35" t="str">
        <f t="shared" si="1"/>
        <v>Nguyễn Thanh Hùng</v>
      </c>
    </row>
    <row r="362" spans="1:15">
      <c r="A362" s="32" t="s">
        <v>119</v>
      </c>
      <c r="B362" s="32" t="s">
        <v>44</v>
      </c>
      <c r="C362" s="33">
        <v>46034</v>
      </c>
      <c r="D362" s="32">
        <v>945562692</v>
      </c>
      <c r="E362" s="32">
        <v>489225750</v>
      </c>
      <c r="F362" s="32" t="s">
        <v>71</v>
      </c>
      <c r="G362" s="32" t="s">
        <v>46</v>
      </c>
      <c r="H362" s="32" t="s">
        <v>51</v>
      </c>
      <c r="I362" s="32">
        <v>82.840999999999994</v>
      </c>
      <c r="J362" s="32">
        <v>22.344999999999999</v>
      </c>
      <c r="K362" s="32" t="b">
        <v>1</v>
      </c>
      <c r="L362" s="32" t="s">
        <v>47</v>
      </c>
      <c r="M362" s="32" t="s">
        <v>48</v>
      </c>
      <c r="N362" s="32" t="s">
        <v>123</v>
      </c>
      <c r="O362" s="35" t="str">
        <f t="shared" si="1"/>
        <v>Nguyễn Thanh Hùng</v>
      </c>
    </row>
    <row r="363" spans="1:15">
      <c r="A363" s="32" t="s">
        <v>119</v>
      </c>
      <c r="B363" s="32" t="s">
        <v>44</v>
      </c>
      <c r="C363" s="33">
        <v>46034</v>
      </c>
      <c r="D363" s="32">
        <v>945562692</v>
      </c>
      <c r="E363" s="32">
        <v>489225750</v>
      </c>
      <c r="F363" s="32" t="s">
        <v>71</v>
      </c>
      <c r="G363" s="32" t="s">
        <v>46</v>
      </c>
      <c r="H363" s="32" t="s">
        <v>51</v>
      </c>
      <c r="I363" s="32">
        <v>69.421999999999997</v>
      </c>
      <c r="J363" s="32">
        <v>28.009</v>
      </c>
      <c r="K363" s="32" t="b">
        <v>1</v>
      </c>
      <c r="L363" s="32" t="s">
        <v>47</v>
      </c>
      <c r="M363" s="32" t="s">
        <v>48</v>
      </c>
      <c r="N363" s="34">
        <v>46085</v>
      </c>
      <c r="O363" s="35" t="str">
        <f t="shared" si="1"/>
        <v>Nguyễn Thanh Hùng</v>
      </c>
    </row>
    <row r="364" spans="1:15">
      <c r="A364" s="32" t="s">
        <v>61</v>
      </c>
      <c r="B364" s="32" t="s">
        <v>44</v>
      </c>
      <c r="C364" s="33">
        <v>46034</v>
      </c>
      <c r="D364" s="32">
        <v>949786476</v>
      </c>
      <c r="E364" s="32">
        <v>514815800</v>
      </c>
      <c r="F364" s="32" t="s">
        <v>62</v>
      </c>
      <c r="G364" s="32" t="s">
        <v>46</v>
      </c>
      <c r="H364" s="32" t="s">
        <v>58</v>
      </c>
      <c r="I364" s="32">
        <v>131.679</v>
      </c>
      <c r="J364" s="32">
        <v>63.362000000000002</v>
      </c>
      <c r="K364" s="32" t="b">
        <v>1</v>
      </c>
      <c r="L364" s="32" t="s">
        <v>63</v>
      </c>
      <c r="M364" s="32" t="s">
        <v>48</v>
      </c>
      <c r="N364" s="34">
        <v>46179</v>
      </c>
      <c r="O364" s="35" t="str">
        <f t="shared" si="1"/>
        <v>Đặng Ngọc Sơn</v>
      </c>
    </row>
    <row r="365" spans="1:15">
      <c r="A365" s="32" t="s">
        <v>119</v>
      </c>
      <c r="B365" s="32" t="s">
        <v>44</v>
      </c>
      <c r="C365" s="33">
        <v>46034</v>
      </c>
      <c r="D365" s="32">
        <v>945562692</v>
      </c>
      <c r="E365" s="32">
        <v>489225750</v>
      </c>
      <c r="F365" s="32" t="s">
        <v>71</v>
      </c>
      <c r="G365" s="32" t="s">
        <v>46</v>
      </c>
      <c r="H365" s="32" t="s">
        <v>51</v>
      </c>
      <c r="I365" s="32">
        <v>97.924999999999997</v>
      </c>
      <c r="J365" s="32">
        <v>34.28</v>
      </c>
      <c r="K365" s="32" t="b">
        <v>1</v>
      </c>
      <c r="L365" s="32" t="s">
        <v>47</v>
      </c>
      <c r="M365" s="32" t="s">
        <v>48</v>
      </c>
      <c r="N365" s="34">
        <v>46240</v>
      </c>
      <c r="O365" s="35" t="str">
        <f t="shared" si="1"/>
        <v>Nguyễn Thanh Hùng</v>
      </c>
    </row>
    <row r="366" spans="1:15">
      <c r="A366" s="32" t="s">
        <v>133</v>
      </c>
      <c r="B366" s="32" t="s">
        <v>44</v>
      </c>
      <c r="C366" s="33">
        <v>46034</v>
      </c>
      <c r="D366" s="32">
        <v>913632800</v>
      </c>
      <c r="E366" s="32">
        <v>487761475</v>
      </c>
      <c r="F366" s="32" t="s">
        <v>71</v>
      </c>
      <c r="G366" s="32" t="s">
        <v>46</v>
      </c>
      <c r="H366" s="32" t="s">
        <v>51</v>
      </c>
      <c r="I366" s="32">
        <v>636.89499999999998</v>
      </c>
      <c r="J366" s="32">
        <v>105.497</v>
      </c>
      <c r="K366" s="32" t="b">
        <v>1</v>
      </c>
      <c r="L366" s="32" t="s">
        <v>47</v>
      </c>
      <c r="M366" s="32" t="s">
        <v>48</v>
      </c>
      <c r="N366" s="34">
        <v>46118</v>
      </c>
      <c r="O366" s="35" t="str">
        <f t="shared" si="1"/>
        <v>Võ Quang Thìn</v>
      </c>
    </row>
    <row r="367" spans="1:15">
      <c r="A367" s="32" t="s">
        <v>133</v>
      </c>
      <c r="B367" s="32" t="s">
        <v>44</v>
      </c>
      <c r="C367" s="33">
        <v>46034</v>
      </c>
      <c r="D367" s="32">
        <v>913632800</v>
      </c>
      <c r="E367" s="32">
        <v>487761475</v>
      </c>
      <c r="F367" s="32" t="s">
        <v>71</v>
      </c>
      <c r="G367" s="32" t="s">
        <v>46</v>
      </c>
      <c r="H367" s="32" t="s">
        <v>51</v>
      </c>
      <c r="I367" s="32">
        <v>161.74600000000001</v>
      </c>
      <c r="J367" s="32">
        <v>61.406999999999996</v>
      </c>
      <c r="K367" s="32" t="b">
        <v>1</v>
      </c>
      <c r="L367" s="32" t="s">
        <v>47</v>
      </c>
      <c r="M367" s="32" t="s">
        <v>48</v>
      </c>
      <c r="N367" s="34">
        <v>46086</v>
      </c>
      <c r="O367" s="35" t="str">
        <f t="shared" si="1"/>
        <v>Võ Quang Thìn</v>
      </c>
    </row>
    <row r="368" spans="1:15">
      <c r="A368" s="32" t="s">
        <v>133</v>
      </c>
      <c r="B368" s="32" t="s">
        <v>44</v>
      </c>
      <c r="C368" s="33">
        <v>46034</v>
      </c>
      <c r="D368" s="32">
        <v>913632800</v>
      </c>
      <c r="E368" s="32">
        <v>487761475</v>
      </c>
      <c r="F368" s="32" t="s">
        <v>71</v>
      </c>
      <c r="G368" s="32" t="s">
        <v>46</v>
      </c>
      <c r="H368" s="32" t="s">
        <v>51</v>
      </c>
      <c r="I368" s="32">
        <v>151.756</v>
      </c>
      <c r="J368" s="32">
        <v>60.564</v>
      </c>
      <c r="K368" s="32" t="b">
        <v>1</v>
      </c>
      <c r="L368" s="32" t="s">
        <v>47</v>
      </c>
      <c r="M368" s="32" t="s">
        <v>48</v>
      </c>
      <c r="N368" s="34">
        <v>46175</v>
      </c>
      <c r="O368" s="35" t="str">
        <f t="shared" si="1"/>
        <v>Võ Quang Thìn</v>
      </c>
    </row>
    <row r="369" spans="1:15">
      <c r="A369" s="32" t="s">
        <v>173</v>
      </c>
      <c r="B369" s="32" t="s">
        <v>44</v>
      </c>
      <c r="C369" s="33">
        <v>46033</v>
      </c>
      <c r="D369" s="32">
        <v>919923817</v>
      </c>
      <c r="E369" s="32">
        <v>284536558</v>
      </c>
      <c r="F369" s="32" t="s">
        <v>174</v>
      </c>
      <c r="G369" s="32" t="s">
        <v>46</v>
      </c>
      <c r="H369" s="32" t="s">
        <v>87</v>
      </c>
      <c r="I369" s="32">
        <v>87.930999999999997</v>
      </c>
      <c r="J369" s="32">
        <v>29.422999999999998</v>
      </c>
      <c r="K369" s="32" t="b">
        <v>1</v>
      </c>
      <c r="L369" s="32" t="s">
        <v>47</v>
      </c>
      <c r="M369" s="32" t="s">
        <v>63</v>
      </c>
      <c r="N369" s="34">
        <v>46174</v>
      </c>
      <c r="O369" s="35" t="str">
        <f t="shared" si="1"/>
        <v>Lâm Bảo Tuấn</v>
      </c>
    </row>
    <row r="370" spans="1:15">
      <c r="A370" s="32" t="s">
        <v>173</v>
      </c>
      <c r="B370" s="32" t="s">
        <v>44</v>
      </c>
      <c r="C370" s="33">
        <v>46033</v>
      </c>
      <c r="D370" s="32">
        <v>919923817</v>
      </c>
      <c r="E370" s="32">
        <v>284536558</v>
      </c>
      <c r="F370" s="32" t="s">
        <v>174</v>
      </c>
      <c r="G370" s="32" t="s">
        <v>46</v>
      </c>
      <c r="H370" s="32" t="s">
        <v>87</v>
      </c>
      <c r="I370" s="32">
        <v>89.141000000000005</v>
      </c>
      <c r="J370" s="32">
        <v>31.637</v>
      </c>
      <c r="K370" s="32" t="b">
        <v>1</v>
      </c>
      <c r="L370" s="32" t="s">
        <v>47</v>
      </c>
      <c r="M370" s="32" t="s">
        <v>63</v>
      </c>
      <c r="N370" s="34">
        <v>46206</v>
      </c>
      <c r="O370" s="35" t="str">
        <f t="shared" si="1"/>
        <v>Lâm Bảo Tuấn</v>
      </c>
    </row>
    <row r="371" spans="1:15">
      <c r="A371" s="32" t="s">
        <v>173</v>
      </c>
      <c r="B371" s="32" t="s">
        <v>44</v>
      </c>
      <c r="C371" s="33">
        <v>46033</v>
      </c>
      <c r="D371" s="32">
        <v>919923817</v>
      </c>
      <c r="E371" s="32">
        <v>284536558</v>
      </c>
      <c r="F371" s="32" t="s">
        <v>174</v>
      </c>
      <c r="G371" s="32" t="s">
        <v>46</v>
      </c>
      <c r="H371" s="32" t="s">
        <v>87</v>
      </c>
      <c r="I371" s="32">
        <v>95.593000000000004</v>
      </c>
      <c r="J371" s="32">
        <v>32.662999999999997</v>
      </c>
      <c r="K371" s="32" t="b">
        <v>1</v>
      </c>
      <c r="L371" s="32" t="s">
        <v>47</v>
      </c>
      <c r="M371" s="32" t="s">
        <v>63</v>
      </c>
      <c r="N371" s="34">
        <v>46028</v>
      </c>
      <c r="O371" s="35" t="str">
        <f t="shared" si="1"/>
        <v>Lâm Bảo Tuấn</v>
      </c>
    </row>
    <row r="372" spans="1:15">
      <c r="A372" s="32" t="s">
        <v>173</v>
      </c>
      <c r="B372" s="32" t="s">
        <v>44</v>
      </c>
      <c r="C372" s="33">
        <v>46033</v>
      </c>
      <c r="D372" s="32">
        <v>919923817</v>
      </c>
      <c r="E372" s="32">
        <v>284536558</v>
      </c>
      <c r="F372" s="32" t="s">
        <v>174</v>
      </c>
      <c r="G372" s="32" t="s">
        <v>46</v>
      </c>
      <c r="H372" s="32" t="s">
        <v>87</v>
      </c>
      <c r="I372" s="32">
        <v>76.244</v>
      </c>
      <c r="J372" s="32">
        <v>34.106000000000002</v>
      </c>
      <c r="K372" s="32" t="b">
        <v>1</v>
      </c>
      <c r="L372" s="32" t="s">
        <v>47</v>
      </c>
      <c r="M372" s="32" t="s">
        <v>63</v>
      </c>
      <c r="N372" s="32" t="s">
        <v>147</v>
      </c>
      <c r="O372" s="35" t="str">
        <f t="shared" si="1"/>
        <v>Lâm Bảo Tuấn</v>
      </c>
    </row>
    <row r="373" spans="1:15">
      <c r="A373" s="32" t="s">
        <v>173</v>
      </c>
      <c r="B373" s="32" t="s">
        <v>44</v>
      </c>
      <c r="C373" s="33">
        <v>46033</v>
      </c>
      <c r="D373" s="32">
        <v>919923817</v>
      </c>
      <c r="E373" s="32">
        <v>284536558</v>
      </c>
      <c r="F373" s="32" t="s">
        <v>174</v>
      </c>
      <c r="G373" s="32" t="s">
        <v>46</v>
      </c>
      <c r="H373" s="32" t="s">
        <v>87</v>
      </c>
      <c r="I373" s="32">
        <v>85.701999999999998</v>
      </c>
      <c r="J373" s="32">
        <v>26.181999999999999</v>
      </c>
      <c r="K373" s="32" t="b">
        <v>1</v>
      </c>
      <c r="L373" s="32" t="s">
        <v>47</v>
      </c>
      <c r="M373" s="32" t="s">
        <v>63</v>
      </c>
      <c r="N373" s="34">
        <v>46268</v>
      </c>
      <c r="O373" s="35" t="str">
        <f t="shared" si="1"/>
        <v>Lâm Bảo Tuấn</v>
      </c>
    </row>
    <row r="374" spans="1:15">
      <c r="A374" s="32" t="s">
        <v>173</v>
      </c>
      <c r="B374" s="32" t="s">
        <v>44</v>
      </c>
      <c r="C374" s="33">
        <v>46033</v>
      </c>
      <c r="D374" s="32">
        <v>919923817</v>
      </c>
      <c r="E374" s="32">
        <v>284536558</v>
      </c>
      <c r="F374" s="32" t="s">
        <v>174</v>
      </c>
      <c r="G374" s="32" t="s">
        <v>46</v>
      </c>
      <c r="H374" s="32" t="s">
        <v>87</v>
      </c>
      <c r="I374" s="32">
        <v>80.254000000000005</v>
      </c>
      <c r="J374" s="32">
        <v>31.623000000000001</v>
      </c>
      <c r="K374" s="32" t="b">
        <v>0</v>
      </c>
      <c r="L374" s="32" t="s">
        <v>47</v>
      </c>
      <c r="M374" s="32" t="s">
        <v>63</v>
      </c>
      <c r="N374" s="34">
        <v>46206</v>
      </c>
      <c r="O374" s="35" t="str">
        <f t="shared" si="1"/>
        <v>Lâm Bảo Tuấn</v>
      </c>
    </row>
    <row r="375" spans="1:15">
      <c r="A375" s="32" t="s">
        <v>170</v>
      </c>
      <c r="B375" s="32" t="s">
        <v>44</v>
      </c>
      <c r="C375" s="33">
        <v>46033</v>
      </c>
      <c r="D375" s="32">
        <v>888193957</v>
      </c>
      <c r="E375" s="32">
        <v>278129190</v>
      </c>
      <c r="F375" s="32" t="s">
        <v>171</v>
      </c>
      <c r="G375" s="32" t="s">
        <v>46</v>
      </c>
      <c r="H375" s="32" t="s">
        <v>18</v>
      </c>
      <c r="I375" s="32">
        <v>651.01400000000001</v>
      </c>
      <c r="J375" s="32">
        <v>99.793999999999997</v>
      </c>
      <c r="K375" s="32" t="b">
        <v>1</v>
      </c>
      <c r="L375" s="32" t="s">
        <v>47</v>
      </c>
      <c r="M375" s="32" t="s">
        <v>63</v>
      </c>
      <c r="N375" s="32" t="s">
        <v>175</v>
      </c>
      <c r="O375" s="35" t="str">
        <f t="shared" si="1"/>
        <v>Nguyễn Trường Quang</v>
      </c>
    </row>
    <row r="376" spans="1:15">
      <c r="A376" s="32" t="s">
        <v>170</v>
      </c>
      <c r="B376" s="32" t="s">
        <v>44</v>
      </c>
      <c r="C376" s="33">
        <v>46033</v>
      </c>
      <c r="D376" s="32">
        <v>888193957</v>
      </c>
      <c r="E376" s="32">
        <v>278129190</v>
      </c>
      <c r="F376" s="32" t="s">
        <v>171</v>
      </c>
      <c r="G376" s="32" t="s">
        <v>46</v>
      </c>
      <c r="H376" s="32" t="s">
        <v>18</v>
      </c>
      <c r="I376" s="32">
        <v>608.37599999999998</v>
      </c>
      <c r="J376" s="32">
        <v>53.557000000000002</v>
      </c>
      <c r="K376" s="32" t="b">
        <v>1</v>
      </c>
      <c r="L376" s="32" t="s">
        <v>47</v>
      </c>
      <c r="M376" s="32" t="s">
        <v>63</v>
      </c>
      <c r="N376" s="34">
        <v>46174</v>
      </c>
      <c r="O376" s="35" t="str">
        <f t="shared" si="1"/>
        <v>Nguyễn Trường Quang</v>
      </c>
    </row>
    <row r="377" spans="1:15">
      <c r="A377" s="32" t="s">
        <v>170</v>
      </c>
      <c r="B377" s="32" t="s">
        <v>44</v>
      </c>
      <c r="C377" s="33">
        <v>46033</v>
      </c>
      <c r="D377" s="32">
        <v>888193957</v>
      </c>
      <c r="E377" s="32">
        <v>278129190</v>
      </c>
      <c r="F377" s="32" t="s">
        <v>171</v>
      </c>
      <c r="G377" s="32" t="s">
        <v>46</v>
      </c>
      <c r="H377" s="32" t="s">
        <v>18</v>
      </c>
      <c r="I377" s="32">
        <v>565.024</v>
      </c>
      <c r="J377" s="32">
        <v>62.677</v>
      </c>
      <c r="K377" s="32" t="b">
        <v>1</v>
      </c>
      <c r="L377" s="32" t="s">
        <v>47</v>
      </c>
      <c r="M377" s="32" t="s">
        <v>63</v>
      </c>
      <c r="N377" s="34">
        <v>46176</v>
      </c>
      <c r="O377" s="35" t="str">
        <f t="shared" si="1"/>
        <v>Nguyễn Trường Quang</v>
      </c>
    </row>
    <row r="378" spans="1:15">
      <c r="A378" s="32" t="s">
        <v>133</v>
      </c>
      <c r="B378" s="32" t="s">
        <v>44</v>
      </c>
      <c r="C378" s="33">
        <v>46033</v>
      </c>
      <c r="D378" s="32">
        <v>913632800</v>
      </c>
      <c r="E378" s="32">
        <v>487761475</v>
      </c>
      <c r="F378" s="32" t="s">
        <v>71</v>
      </c>
      <c r="G378" s="32" t="s">
        <v>46</v>
      </c>
      <c r="H378" s="32" t="s">
        <v>51</v>
      </c>
      <c r="I378" s="32">
        <v>932.92700000000002</v>
      </c>
      <c r="J378" s="32">
        <v>135.85900000000001</v>
      </c>
      <c r="K378" s="32" t="b">
        <v>1</v>
      </c>
      <c r="L378" s="32" t="s">
        <v>47</v>
      </c>
      <c r="M378" s="32" t="s">
        <v>48</v>
      </c>
      <c r="N378" s="34">
        <v>46268</v>
      </c>
      <c r="O378" s="35" t="str">
        <f t="shared" si="1"/>
        <v>Võ Quang Thìn</v>
      </c>
    </row>
    <row r="379" spans="1:15">
      <c r="A379" s="32" t="s">
        <v>91</v>
      </c>
      <c r="B379" s="32" t="s">
        <v>44</v>
      </c>
      <c r="C379" s="33">
        <v>46033</v>
      </c>
      <c r="D379" s="32">
        <v>917714086</v>
      </c>
      <c r="E379" s="32">
        <v>514807788</v>
      </c>
      <c r="F379" s="32" t="s">
        <v>92</v>
      </c>
      <c r="G379" s="32" t="s">
        <v>46</v>
      </c>
      <c r="H379" s="32" t="s">
        <v>51</v>
      </c>
      <c r="I379" s="32">
        <v>462.73099999999999</v>
      </c>
      <c r="J379" s="32">
        <v>42.993000000000002</v>
      </c>
      <c r="K379" s="32" t="b">
        <v>1</v>
      </c>
      <c r="L379" s="32" t="s">
        <v>79</v>
      </c>
      <c r="M379" s="32" t="s">
        <v>48</v>
      </c>
      <c r="N379" s="34">
        <v>46225</v>
      </c>
      <c r="O379" s="35" t="str">
        <f t="shared" si="1"/>
        <v>Lê Hoàng Vinh</v>
      </c>
    </row>
    <row r="380" spans="1:15">
      <c r="A380" s="32" t="s">
        <v>176</v>
      </c>
      <c r="B380" s="32" t="s">
        <v>44</v>
      </c>
      <c r="C380" s="33">
        <v>46033</v>
      </c>
      <c r="D380" s="32">
        <v>949552355</v>
      </c>
      <c r="E380" s="32">
        <v>412247549</v>
      </c>
      <c r="F380" s="32" t="s">
        <v>177</v>
      </c>
      <c r="G380" s="32" t="s">
        <v>46</v>
      </c>
      <c r="H380" s="32" t="s">
        <v>51</v>
      </c>
      <c r="I380" s="32">
        <v>18.47</v>
      </c>
      <c r="J380" s="32">
        <v>1.8720000000000001</v>
      </c>
      <c r="K380" s="32" t="b">
        <v>1</v>
      </c>
      <c r="L380" s="32" t="s">
        <v>79</v>
      </c>
      <c r="M380" s="32" t="s">
        <v>48</v>
      </c>
      <c r="N380" s="32" t="s">
        <v>178</v>
      </c>
      <c r="O380" s="35" t="str">
        <f t="shared" si="1"/>
        <v>Huỳnh Đức Huy</v>
      </c>
    </row>
    <row r="381" spans="1:15">
      <c r="A381" s="32" t="s">
        <v>89</v>
      </c>
      <c r="B381" s="32" t="s">
        <v>44</v>
      </c>
      <c r="C381" s="33">
        <v>46033</v>
      </c>
      <c r="D381" s="32">
        <v>837012768</v>
      </c>
      <c r="E381" s="32">
        <v>276156622</v>
      </c>
      <c r="F381" s="32" t="s">
        <v>90</v>
      </c>
      <c r="G381" s="32" t="s">
        <v>46</v>
      </c>
      <c r="H381" s="32" t="s">
        <v>51</v>
      </c>
      <c r="I381" s="32">
        <v>716.91</v>
      </c>
      <c r="J381" s="32">
        <v>77.623000000000005</v>
      </c>
      <c r="K381" s="32" t="b">
        <v>1</v>
      </c>
      <c r="L381" s="32" t="s">
        <v>47</v>
      </c>
      <c r="M381" s="32" t="s">
        <v>63</v>
      </c>
      <c r="N381" s="34">
        <v>46203</v>
      </c>
      <c r="O381" s="35" t="str">
        <f t="shared" si="1"/>
        <v>Nguyễn Thành Chí</v>
      </c>
    </row>
    <row r="382" spans="1:15">
      <c r="A382" s="32" t="s">
        <v>179</v>
      </c>
      <c r="B382" s="32" t="s">
        <v>44</v>
      </c>
      <c r="C382" s="33">
        <v>46033</v>
      </c>
      <c r="D382" s="32">
        <v>946432493</v>
      </c>
      <c r="E382" s="32">
        <v>497769619</v>
      </c>
      <c r="F382" s="32" t="s">
        <v>180</v>
      </c>
      <c r="G382" s="32" t="s">
        <v>181</v>
      </c>
      <c r="H382" s="32" t="s">
        <v>18</v>
      </c>
      <c r="I382" s="32">
        <v>53.87</v>
      </c>
      <c r="J382" s="32">
        <v>294.97899999999998</v>
      </c>
      <c r="K382" s="32" t="b">
        <v>0</v>
      </c>
      <c r="L382" s="32" t="s">
        <v>47</v>
      </c>
      <c r="M382" s="32" t="s">
        <v>48</v>
      </c>
      <c r="N382" s="34">
        <v>46120</v>
      </c>
      <c r="O382" s="35" t="str">
        <f t="shared" si="1"/>
        <v>Trần Quốc Đạt</v>
      </c>
    </row>
    <row r="383" spans="1:15">
      <c r="A383" s="32" t="s">
        <v>182</v>
      </c>
      <c r="B383" s="32" t="s">
        <v>44</v>
      </c>
      <c r="C383" s="33">
        <v>46033</v>
      </c>
      <c r="D383" s="32">
        <v>918760639</v>
      </c>
      <c r="E383" s="32">
        <v>493881845</v>
      </c>
      <c r="F383" s="32" t="s">
        <v>183</v>
      </c>
      <c r="G383" s="32" t="s">
        <v>46</v>
      </c>
      <c r="H383" s="32" t="s">
        <v>58</v>
      </c>
      <c r="I383" s="32">
        <v>28.706</v>
      </c>
      <c r="J383" s="32">
        <v>21.341999999999999</v>
      </c>
      <c r="K383" s="32" t="b">
        <v>1</v>
      </c>
      <c r="L383" s="32" t="s">
        <v>47</v>
      </c>
      <c r="M383" s="32" t="s">
        <v>48</v>
      </c>
      <c r="N383" s="34">
        <v>46271</v>
      </c>
      <c r="O383" s="35" t="str">
        <f t="shared" si="1"/>
        <v>Bùi Tấn Bảo</v>
      </c>
    </row>
    <row r="384" spans="1:15">
      <c r="A384" s="32" t="s">
        <v>182</v>
      </c>
      <c r="B384" s="32" t="s">
        <v>44</v>
      </c>
      <c r="C384" s="33">
        <v>46033</v>
      </c>
      <c r="D384" s="32">
        <v>918760639</v>
      </c>
      <c r="E384" s="32">
        <v>493881845</v>
      </c>
      <c r="F384" s="32" t="s">
        <v>183</v>
      </c>
      <c r="G384" s="32" t="s">
        <v>46</v>
      </c>
      <c r="H384" s="32" t="s">
        <v>58</v>
      </c>
      <c r="I384" s="32">
        <v>28.706</v>
      </c>
      <c r="J384" s="32">
        <v>21.341999999999999</v>
      </c>
      <c r="K384" s="32" t="b">
        <v>1</v>
      </c>
      <c r="L384" s="32" t="s">
        <v>47</v>
      </c>
      <c r="M384" s="32" t="s">
        <v>48</v>
      </c>
      <c r="N384" s="34">
        <v>46271</v>
      </c>
      <c r="O384" s="35" t="str">
        <f t="shared" si="1"/>
        <v>Bùi Tấn Bảo</v>
      </c>
    </row>
    <row r="385" spans="1:15">
      <c r="A385" s="32" t="s">
        <v>91</v>
      </c>
      <c r="B385" s="32" t="s">
        <v>44</v>
      </c>
      <c r="C385" s="33">
        <v>46033</v>
      </c>
      <c r="D385" s="32">
        <v>917714086</v>
      </c>
      <c r="E385" s="32">
        <v>514807788</v>
      </c>
      <c r="F385" s="32" t="s">
        <v>92</v>
      </c>
      <c r="G385" s="32" t="s">
        <v>46</v>
      </c>
      <c r="H385" s="32" t="s">
        <v>51</v>
      </c>
      <c r="I385" s="32">
        <v>113.95</v>
      </c>
      <c r="J385" s="32">
        <v>33.384</v>
      </c>
      <c r="K385" s="32" t="b">
        <v>1</v>
      </c>
      <c r="L385" s="32" t="s">
        <v>79</v>
      </c>
      <c r="M385" s="32" t="s">
        <v>48</v>
      </c>
      <c r="N385" s="34">
        <v>46059</v>
      </c>
      <c r="O385" s="35" t="str">
        <f t="shared" si="1"/>
        <v>Lê Hoàng Vinh</v>
      </c>
    </row>
    <row r="386" spans="1:15">
      <c r="A386" s="32" t="s">
        <v>52</v>
      </c>
      <c r="B386" s="32" t="s">
        <v>44</v>
      </c>
      <c r="C386" s="33">
        <v>46033</v>
      </c>
      <c r="D386" s="32">
        <v>915282271</v>
      </c>
      <c r="E386" s="32">
        <v>437354149</v>
      </c>
      <c r="F386" s="32" t="s">
        <v>53</v>
      </c>
      <c r="G386" s="32" t="s">
        <v>46</v>
      </c>
      <c r="H386" s="32" t="s">
        <v>58</v>
      </c>
      <c r="I386" s="32">
        <v>131.279</v>
      </c>
      <c r="J386" s="32">
        <v>35.231000000000002</v>
      </c>
      <c r="K386" s="32" t="b">
        <v>1</v>
      </c>
      <c r="L386" s="32" t="s">
        <v>47</v>
      </c>
      <c r="M386" s="32" t="s">
        <v>48</v>
      </c>
      <c r="N386" s="34">
        <v>46204</v>
      </c>
      <c r="O386" s="35" t="str">
        <f t="shared" si="1"/>
        <v>Nguyễn Hoàng Tuấn</v>
      </c>
    </row>
    <row r="387" spans="1:15">
      <c r="A387" s="32" t="s">
        <v>52</v>
      </c>
      <c r="B387" s="32" t="s">
        <v>44</v>
      </c>
      <c r="C387" s="33">
        <v>46033</v>
      </c>
      <c r="D387" s="32">
        <v>915282271</v>
      </c>
      <c r="E387" s="32">
        <v>437354149</v>
      </c>
      <c r="F387" s="32" t="s">
        <v>53</v>
      </c>
      <c r="G387" s="32" t="s">
        <v>46</v>
      </c>
      <c r="H387" s="32" t="s">
        <v>58</v>
      </c>
      <c r="I387" s="32">
        <v>131.279</v>
      </c>
      <c r="J387" s="32">
        <v>35.231000000000002</v>
      </c>
      <c r="K387" s="32" t="b">
        <v>1</v>
      </c>
      <c r="L387" s="32" t="s">
        <v>47</v>
      </c>
      <c r="M387" s="32" t="s">
        <v>48</v>
      </c>
      <c r="N387" s="34">
        <v>46204</v>
      </c>
      <c r="O387" s="35" t="str">
        <f t="shared" si="1"/>
        <v>Nguyễn Hoàng Tuấn</v>
      </c>
    </row>
    <row r="388" spans="1:15">
      <c r="A388" s="32" t="s">
        <v>182</v>
      </c>
      <c r="B388" s="32" t="s">
        <v>44</v>
      </c>
      <c r="C388" s="33">
        <v>46033</v>
      </c>
      <c r="D388" s="32">
        <v>918760639</v>
      </c>
      <c r="E388" s="32">
        <v>493881845</v>
      </c>
      <c r="F388" s="32" t="s">
        <v>183</v>
      </c>
      <c r="G388" s="32" t="s">
        <v>46</v>
      </c>
      <c r="H388" s="32" t="s">
        <v>58</v>
      </c>
      <c r="I388" s="32">
        <v>63.027000000000001</v>
      </c>
      <c r="J388" s="32">
        <v>20.641999999999999</v>
      </c>
      <c r="K388" s="32" t="b">
        <v>1</v>
      </c>
      <c r="L388" s="32" t="s">
        <v>47</v>
      </c>
      <c r="M388" s="32" t="s">
        <v>48</v>
      </c>
      <c r="N388" s="34">
        <v>46210</v>
      </c>
      <c r="O388" s="35" t="str">
        <f t="shared" si="1"/>
        <v>Bùi Tấn Bảo</v>
      </c>
    </row>
    <row r="389" spans="1:15">
      <c r="A389" s="32" t="s">
        <v>182</v>
      </c>
      <c r="B389" s="32" t="s">
        <v>44</v>
      </c>
      <c r="C389" s="33">
        <v>46033</v>
      </c>
      <c r="D389" s="32">
        <v>918760639</v>
      </c>
      <c r="E389" s="32">
        <v>493881845</v>
      </c>
      <c r="F389" s="32" t="s">
        <v>183</v>
      </c>
      <c r="G389" s="32" t="s">
        <v>46</v>
      </c>
      <c r="H389" s="32" t="s">
        <v>58</v>
      </c>
      <c r="I389" s="32">
        <v>63.027000000000001</v>
      </c>
      <c r="J389" s="32">
        <v>20.641999999999999</v>
      </c>
      <c r="K389" s="32" t="b">
        <v>1</v>
      </c>
      <c r="L389" s="32" t="s">
        <v>47</v>
      </c>
      <c r="M389" s="32" t="s">
        <v>48</v>
      </c>
      <c r="N389" s="34">
        <v>46210</v>
      </c>
      <c r="O389" s="35" t="str">
        <f t="shared" si="1"/>
        <v>Bùi Tấn Bảo</v>
      </c>
    </row>
    <row r="390" spans="1:15">
      <c r="A390" s="32" t="s">
        <v>182</v>
      </c>
      <c r="B390" s="32" t="s">
        <v>44</v>
      </c>
      <c r="C390" s="33">
        <v>46033</v>
      </c>
      <c r="D390" s="32">
        <v>918760639</v>
      </c>
      <c r="E390" s="32">
        <v>493881845</v>
      </c>
      <c r="F390" s="32" t="s">
        <v>183</v>
      </c>
      <c r="G390" s="32" t="s">
        <v>46</v>
      </c>
      <c r="H390" s="32" t="s">
        <v>58</v>
      </c>
      <c r="I390" s="32">
        <v>38.073</v>
      </c>
      <c r="J390" s="32">
        <v>37.692999999999998</v>
      </c>
      <c r="K390" s="32" t="b">
        <v>1</v>
      </c>
      <c r="L390" s="32" t="s">
        <v>47</v>
      </c>
      <c r="M390" s="32" t="s">
        <v>48</v>
      </c>
      <c r="N390" s="34">
        <v>46209</v>
      </c>
      <c r="O390" s="35" t="str">
        <f t="shared" si="1"/>
        <v>Bùi Tấn Bảo</v>
      </c>
    </row>
    <row r="391" spans="1:15">
      <c r="A391" s="32" t="s">
        <v>182</v>
      </c>
      <c r="B391" s="32" t="s">
        <v>44</v>
      </c>
      <c r="C391" s="33">
        <v>46033</v>
      </c>
      <c r="D391" s="32">
        <v>918760639</v>
      </c>
      <c r="E391" s="32">
        <v>493881845</v>
      </c>
      <c r="F391" s="32" t="s">
        <v>183</v>
      </c>
      <c r="G391" s="32" t="s">
        <v>46</v>
      </c>
      <c r="H391" s="32" t="s">
        <v>58</v>
      </c>
      <c r="I391" s="32">
        <v>38.073</v>
      </c>
      <c r="J391" s="32">
        <v>37.692999999999998</v>
      </c>
      <c r="K391" s="32" t="b">
        <v>1</v>
      </c>
      <c r="L391" s="32" t="s">
        <v>47</v>
      </c>
      <c r="M391" s="32" t="s">
        <v>48</v>
      </c>
      <c r="N391" s="34">
        <v>46209</v>
      </c>
      <c r="O391" s="35" t="str">
        <f t="shared" si="1"/>
        <v>Bùi Tấn Bảo</v>
      </c>
    </row>
    <row r="392" spans="1:15">
      <c r="A392" s="32" t="s">
        <v>138</v>
      </c>
      <c r="B392" s="32" t="s">
        <v>44</v>
      </c>
      <c r="C392" s="33">
        <v>46033</v>
      </c>
      <c r="D392" s="32">
        <v>914403881</v>
      </c>
      <c r="E392" s="32">
        <v>407766951</v>
      </c>
      <c r="F392" s="32" t="s">
        <v>139</v>
      </c>
      <c r="G392" s="32" t="s">
        <v>46</v>
      </c>
      <c r="H392" s="32" t="s">
        <v>51</v>
      </c>
      <c r="I392" s="32">
        <v>44.249000000000002</v>
      </c>
      <c r="J392" s="32">
        <v>24.323</v>
      </c>
      <c r="K392" s="32" t="b">
        <v>1</v>
      </c>
      <c r="L392" s="32" t="s">
        <v>63</v>
      </c>
      <c r="M392" s="32" t="s">
        <v>48</v>
      </c>
      <c r="N392" s="34">
        <v>46087</v>
      </c>
      <c r="O392" s="35" t="str">
        <f t="shared" si="1"/>
        <v>Trần Xuân Toại</v>
      </c>
    </row>
    <row r="393" spans="1:15">
      <c r="A393" s="32" t="s">
        <v>138</v>
      </c>
      <c r="B393" s="32" t="s">
        <v>44</v>
      </c>
      <c r="C393" s="33">
        <v>46033</v>
      </c>
      <c r="D393" s="32">
        <v>914403881</v>
      </c>
      <c r="E393" s="32">
        <v>407766951</v>
      </c>
      <c r="F393" s="32" t="s">
        <v>139</v>
      </c>
      <c r="G393" s="32" t="s">
        <v>46</v>
      </c>
      <c r="H393" s="32" t="s">
        <v>51</v>
      </c>
      <c r="I393" s="32">
        <v>44.249000000000002</v>
      </c>
      <c r="J393" s="32">
        <v>24.323</v>
      </c>
      <c r="K393" s="32" t="b">
        <v>1</v>
      </c>
      <c r="L393" s="32" t="s">
        <v>63</v>
      </c>
      <c r="M393" s="32" t="s">
        <v>48</v>
      </c>
      <c r="N393" s="34">
        <v>46087</v>
      </c>
      <c r="O393" s="35" t="str">
        <f t="shared" si="1"/>
        <v>Trần Xuân Toại</v>
      </c>
    </row>
    <row r="394" spans="1:15">
      <c r="A394" s="32" t="s">
        <v>184</v>
      </c>
      <c r="B394" s="32" t="s">
        <v>44</v>
      </c>
      <c r="C394" s="33">
        <v>46033</v>
      </c>
      <c r="D394" s="32">
        <v>916127115</v>
      </c>
      <c r="E394" s="32">
        <v>490152546</v>
      </c>
      <c r="F394" s="32" t="s">
        <v>185</v>
      </c>
      <c r="G394" s="32" t="s">
        <v>46</v>
      </c>
      <c r="H394" s="32" t="s">
        <v>58</v>
      </c>
      <c r="I394" s="32">
        <v>28.978000000000002</v>
      </c>
      <c r="J394" s="32">
        <v>35.04</v>
      </c>
      <c r="K394" s="32" t="b">
        <v>1</v>
      </c>
      <c r="L394" s="32" t="s">
        <v>63</v>
      </c>
      <c r="M394" s="32" t="s">
        <v>48</v>
      </c>
      <c r="N394" s="32" t="s">
        <v>123</v>
      </c>
      <c r="O394" s="35" t="str">
        <f t="shared" si="1"/>
        <v>Nguyễn Văn Đờt Rét Mười Lăm</v>
      </c>
    </row>
    <row r="395" spans="1:15">
      <c r="A395" s="32" t="s">
        <v>143</v>
      </c>
      <c r="B395" s="32" t="s">
        <v>44</v>
      </c>
      <c r="C395" s="33">
        <v>46033</v>
      </c>
      <c r="D395" s="32">
        <v>915907377</v>
      </c>
      <c r="E395" s="32">
        <v>243492200</v>
      </c>
      <c r="F395" s="32" t="s">
        <v>144</v>
      </c>
      <c r="G395" s="32" t="s">
        <v>46</v>
      </c>
      <c r="H395" s="32" t="s">
        <v>87</v>
      </c>
      <c r="I395" s="32">
        <v>120.47199999999999</v>
      </c>
      <c r="J395" s="32">
        <v>16.224</v>
      </c>
      <c r="K395" s="32" t="b">
        <v>1</v>
      </c>
      <c r="L395" s="32" t="s">
        <v>63</v>
      </c>
      <c r="M395" s="32" t="s">
        <v>63</v>
      </c>
      <c r="N395" s="34">
        <v>46129</v>
      </c>
      <c r="O395" s="35" t="str">
        <f t="shared" si="1"/>
        <v>Phạm Tiến Dũng</v>
      </c>
    </row>
    <row r="396" spans="1:15">
      <c r="A396" s="32" t="s">
        <v>143</v>
      </c>
      <c r="B396" s="32" t="s">
        <v>44</v>
      </c>
      <c r="C396" s="33">
        <v>46033</v>
      </c>
      <c r="D396" s="32">
        <v>915907377</v>
      </c>
      <c r="E396" s="32">
        <v>243492200</v>
      </c>
      <c r="F396" s="32" t="s">
        <v>144</v>
      </c>
      <c r="G396" s="32" t="s">
        <v>46</v>
      </c>
      <c r="H396" s="32" t="s">
        <v>87</v>
      </c>
      <c r="I396" s="32">
        <v>120.47199999999999</v>
      </c>
      <c r="J396" s="32">
        <v>16.224</v>
      </c>
      <c r="K396" s="32" t="b">
        <v>1</v>
      </c>
      <c r="L396" s="32" t="s">
        <v>63</v>
      </c>
      <c r="M396" s="32" t="s">
        <v>63</v>
      </c>
      <c r="N396" s="34">
        <v>46129</v>
      </c>
      <c r="O396" s="35" t="str">
        <f t="shared" si="1"/>
        <v>Phạm Tiến Dũng</v>
      </c>
    </row>
    <row r="397" spans="1:15">
      <c r="A397" s="32" t="s">
        <v>159</v>
      </c>
      <c r="B397" s="32" t="s">
        <v>44</v>
      </c>
      <c r="C397" s="33">
        <v>46033</v>
      </c>
      <c r="D397" s="32">
        <v>917259777</v>
      </c>
      <c r="E397" s="32">
        <v>464238079</v>
      </c>
      <c r="F397" s="32" t="s">
        <v>160</v>
      </c>
      <c r="G397" s="32" t="s">
        <v>46</v>
      </c>
      <c r="H397" s="32" t="s">
        <v>18</v>
      </c>
      <c r="I397" s="32">
        <v>77.084000000000003</v>
      </c>
      <c r="J397" s="32">
        <v>27.798999999999999</v>
      </c>
      <c r="K397" s="32" t="b">
        <v>1</v>
      </c>
      <c r="L397" s="32" t="s">
        <v>63</v>
      </c>
      <c r="M397" s="32" t="s">
        <v>48</v>
      </c>
      <c r="N397" s="34">
        <v>46273</v>
      </c>
      <c r="O397" s="35" t="str">
        <f t="shared" si="1"/>
        <v>Ngô Văn Tâm</v>
      </c>
    </row>
    <row r="398" spans="1:15">
      <c r="A398" s="32" t="s">
        <v>74</v>
      </c>
      <c r="B398" s="32" t="s">
        <v>44</v>
      </c>
      <c r="C398" s="33">
        <v>46033</v>
      </c>
      <c r="D398" s="32">
        <v>945833826</v>
      </c>
      <c r="E398" s="32">
        <v>515016582</v>
      </c>
      <c r="F398" s="32" t="s">
        <v>75</v>
      </c>
      <c r="G398" s="32" t="s">
        <v>46</v>
      </c>
      <c r="H398" s="32" t="s">
        <v>51</v>
      </c>
      <c r="I398" s="32">
        <v>717.73900000000003</v>
      </c>
      <c r="J398" s="32">
        <v>70.009</v>
      </c>
      <c r="K398" s="32" t="b">
        <v>1</v>
      </c>
      <c r="L398" s="32" t="s">
        <v>47</v>
      </c>
      <c r="M398" s="32" t="s">
        <v>48</v>
      </c>
      <c r="N398" s="34">
        <v>46133</v>
      </c>
      <c r="O398" s="35" t="str">
        <f t="shared" si="1"/>
        <v>Võ Quang Duy</v>
      </c>
    </row>
    <row r="399" spans="1:15">
      <c r="A399" s="32" t="s">
        <v>81</v>
      </c>
      <c r="B399" s="32" t="s">
        <v>44</v>
      </c>
      <c r="C399" s="33">
        <v>46033</v>
      </c>
      <c r="D399" s="32">
        <v>852226484</v>
      </c>
      <c r="E399" s="32">
        <v>494036091</v>
      </c>
      <c r="F399" s="32" t="s">
        <v>82</v>
      </c>
      <c r="G399" s="32" t="s">
        <v>46</v>
      </c>
      <c r="H399" s="32" t="s">
        <v>145</v>
      </c>
      <c r="I399" s="32">
        <v>80.423000000000002</v>
      </c>
      <c r="J399" s="32">
        <v>35.61</v>
      </c>
      <c r="K399" s="32" t="b">
        <v>1</v>
      </c>
      <c r="L399" s="32" t="s">
        <v>79</v>
      </c>
      <c r="M399" s="32" t="s">
        <v>48</v>
      </c>
      <c r="N399" s="34">
        <v>46148</v>
      </c>
      <c r="O399" s="35" t="str">
        <f t="shared" si="1"/>
        <v>Phù Hoàng Thành</v>
      </c>
    </row>
    <row r="400" spans="1:15">
      <c r="A400" s="32" t="s">
        <v>81</v>
      </c>
      <c r="B400" s="32" t="s">
        <v>44</v>
      </c>
      <c r="C400" s="33">
        <v>46033</v>
      </c>
      <c r="D400" s="32">
        <v>832428439</v>
      </c>
      <c r="E400" s="32">
        <v>494036091</v>
      </c>
      <c r="F400" s="32" t="s">
        <v>82</v>
      </c>
      <c r="G400" s="32" t="s">
        <v>46</v>
      </c>
      <c r="H400" s="32" t="s">
        <v>145</v>
      </c>
      <c r="I400" s="32">
        <v>80.423000000000002</v>
      </c>
      <c r="J400" s="32">
        <v>35.61</v>
      </c>
      <c r="K400" s="32" t="b">
        <v>1</v>
      </c>
      <c r="L400" s="32" t="s">
        <v>79</v>
      </c>
      <c r="M400" s="32" t="s">
        <v>48</v>
      </c>
      <c r="N400" s="34">
        <v>46148</v>
      </c>
      <c r="O400" s="35" t="str">
        <f t="shared" si="1"/>
        <v>Phù Hoàng Thành</v>
      </c>
    </row>
    <row r="401" spans="1:15">
      <c r="A401" s="32" t="s">
        <v>81</v>
      </c>
      <c r="B401" s="32" t="s">
        <v>44</v>
      </c>
      <c r="C401" s="33">
        <v>46033</v>
      </c>
      <c r="D401" s="32">
        <v>832428439</v>
      </c>
      <c r="E401" s="32">
        <v>494036091</v>
      </c>
      <c r="F401" s="32" t="s">
        <v>82</v>
      </c>
      <c r="G401" s="32" t="s">
        <v>46</v>
      </c>
      <c r="H401" s="32" t="s">
        <v>145</v>
      </c>
      <c r="I401" s="32">
        <v>60.226999999999997</v>
      </c>
      <c r="J401" s="32">
        <v>21.395</v>
      </c>
      <c r="K401" s="32" t="b">
        <v>1</v>
      </c>
      <c r="L401" s="32" t="s">
        <v>79</v>
      </c>
      <c r="M401" s="32" t="s">
        <v>48</v>
      </c>
      <c r="N401" s="34">
        <v>46059</v>
      </c>
      <c r="O401" s="35" t="str">
        <f t="shared" si="1"/>
        <v>Phù Hoàng Thành</v>
      </c>
    </row>
    <row r="402" spans="1:15">
      <c r="A402" s="32" t="s">
        <v>81</v>
      </c>
      <c r="B402" s="32" t="s">
        <v>44</v>
      </c>
      <c r="C402" s="33">
        <v>46033</v>
      </c>
      <c r="D402" s="32">
        <v>852226484</v>
      </c>
      <c r="E402" s="32">
        <v>494036091</v>
      </c>
      <c r="F402" s="32" t="s">
        <v>82</v>
      </c>
      <c r="G402" s="32" t="s">
        <v>46</v>
      </c>
      <c r="H402" s="32" t="s">
        <v>145</v>
      </c>
      <c r="I402" s="32">
        <v>60.226999999999997</v>
      </c>
      <c r="J402" s="32">
        <v>21.395</v>
      </c>
      <c r="K402" s="32" t="b">
        <v>1</v>
      </c>
      <c r="L402" s="32" t="s">
        <v>79</v>
      </c>
      <c r="M402" s="32" t="s">
        <v>48</v>
      </c>
      <c r="N402" s="34">
        <v>46059</v>
      </c>
      <c r="O402" s="35" t="str">
        <f t="shared" si="1"/>
        <v>Phù Hoàng Thành</v>
      </c>
    </row>
    <row r="403" spans="1:15">
      <c r="A403" s="32" t="s">
        <v>186</v>
      </c>
      <c r="B403" s="32" t="s">
        <v>44</v>
      </c>
      <c r="C403" s="33">
        <v>46033</v>
      </c>
      <c r="D403" s="32">
        <v>941254259</v>
      </c>
      <c r="E403" s="32">
        <v>453002858</v>
      </c>
      <c r="F403" s="32" t="s">
        <v>45</v>
      </c>
      <c r="G403" s="32" t="s">
        <v>46</v>
      </c>
      <c r="H403" s="32" t="s">
        <v>51</v>
      </c>
      <c r="I403" s="32">
        <v>496.18900000000002</v>
      </c>
      <c r="J403" s="32">
        <v>18.067</v>
      </c>
      <c r="K403" s="32" t="b">
        <v>1</v>
      </c>
      <c r="L403" s="32" t="s">
        <v>47</v>
      </c>
      <c r="M403" s="32" t="s">
        <v>48</v>
      </c>
      <c r="N403" s="34">
        <v>46161</v>
      </c>
      <c r="O403" s="35" t="str">
        <f t="shared" si="1"/>
        <v>Nguyễn Công Giang</v>
      </c>
    </row>
    <row r="404" spans="1:15">
      <c r="A404" s="32" t="s">
        <v>186</v>
      </c>
      <c r="B404" s="32" t="s">
        <v>44</v>
      </c>
      <c r="C404" s="33">
        <v>46033</v>
      </c>
      <c r="D404" s="32">
        <v>941254259</v>
      </c>
      <c r="E404" s="32">
        <v>453002858</v>
      </c>
      <c r="F404" s="32" t="s">
        <v>45</v>
      </c>
      <c r="G404" s="32" t="s">
        <v>46</v>
      </c>
      <c r="H404" s="32" t="s">
        <v>51</v>
      </c>
      <c r="I404" s="32">
        <v>496.18900000000002</v>
      </c>
      <c r="J404" s="32">
        <v>18.067</v>
      </c>
      <c r="K404" s="32" t="b">
        <v>1</v>
      </c>
      <c r="L404" s="32" t="s">
        <v>47</v>
      </c>
      <c r="M404" s="32" t="s">
        <v>48</v>
      </c>
      <c r="N404" s="34">
        <v>46161</v>
      </c>
      <c r="O404" s="35" t="str">
        <f t="shared" si="1"/>
        <v>Nguyễn Công Giang</v>
      </c>
    </row>
    <row r="405" spans="1:15">
      <c r="A405" s="32" t="s">
        <v>81</v>
      </c>
      <c r="B405" s="32" t="s">
        <v>44</v>
      </c>
      <c r="C405" s="33">
        <v>46033</v>
      </c>
      <c r="D405" s="32">
        <v>832428439</v>
      </c>
      <c r="E405" s="32">
        <v>494036091</v>
      </c>
      <c r="F405" s="32" t="s">
        <v>82</v>
      </c>
      <c r="G405" s="32" t="s">
        <v>46</v>
      </c>
      <c r="H405" s="32" t="s">
        <v>145</v>
      </c>
      <c r="I405" s="32">
        <v>76.191000000000003</v>
      </c>
      <c r="J405" s="32">
        <v>17.584</v>
      </c>
      <c r="K405" s="32" t="b">
        <v>1</v>
      </c>
      <c r="L405" s="32" t="s">
        <v>79</v>
      </c>
      <c r="M405" s="32" t="s">
        <v>48</v>
      </c>
      <c r="N405" s="34">
        <v>46214</v>
      </c>
      <c r="O405" s="35" t="str">
        <f t="shared" si="1"/>
        <v>Phù Hoàng Thành</v>
      </c>
    </row>
    <row r="406" spans="1:15">
      <c r="A406" s="32" t="s">
        <v>81</v>
      </c>
      <c r="B406" s="32" t="s">
        <v>44</v>
      </c>
      <c r="C406" s="33">
        <v>46033</v>
      </c>
      <c r="D406" s="32">
        <v>852226484</v>
      </c>
      <c r="E406" s="32">
        <v>494036091</v>
      </c>
      <c r="F406" s="32" t="s">
        <v>82</v>
      </c>
      <c r="G406" s="32" t="s">
        <v>46</v>
      </c>
      <c r="H406" s="32" t="s">
        <v>145</v>
      </c>
      <c r="I406" s="32">
        <v>76.191000000000003</v>
      </c>
      <c r="J406" s="32">
        <v>17.584</v>
      </c>
      <c r="K406" s="32" t="b">
        <v>1</v>
      </c>
      <c r="L406" s="32" t="s">
        <v>79</v>
      </c>
      <c r="M406" s="32" t="s">
        <v>48</v>
      </c>
      <c r="N406" s="34">
        <v>46214</v>
      </c>
      <c r="O406" s="35" t="str">
        <f t="shared" si="1"/>
        <v>Phù Hoàng Thành</v>
      </c>
    </row>
    <row r="407" spans="1:15">
      <c r="A407" s="32" t="s">
        <v>81</v>
      </c>
      <c r="B407" s="32" t="s">
        <v>44</v>
      </c>
      <c r="C407" s="33">
        <v>46033</v>
      </c>
      <c r="D407" s="32">
        <v>832428439</v>
      </c>
      <c r="E407" s="32">
        <v>494036091</v>
      </c>
      <c r="F407" s="32" t="s">
        <v>82</v>
      </c>
      <c r="G407" s="32" t="s">
        <v>46</v>
      </c>
      <c r="H407" s="32" t="s">
        <v>145</v>
      </c>
      <c r="I407" s="32">
        <v>75.998999999999995</v>
      </c>
      <c r="J407" s="32">
        <v>11.39</v>
      </c>
      <c r="K407" s="32" t="b">
        <v>1</v>
      </c>
      <c r="L407" s="32" t="s">
        <v>79</v>
      </c>
      <c r="M407" s="32" t="s">
        <v>48</v>
      </c>
      <c r="N407" s="34">
        <v>46099</v>
      </c>
      <c r="O407" s="35" t="str">
        <f t="shared" si="1"/>
        <v>Phù Hoàng Thành</v>
      </c>
    </row>
    <row r="408" spans="1:15">
      <c r="A408" s="32" t="s">
        <v>81</v>
      </c>
      <c r="B408" s="32" t="s">
        <v>44</v>
      </c>
      <c r="C408" s="33">
        <v>46033</v>
      </c>
      <c r="D408" s="32">
        <v>852226484</v>
      </c>
      <c r="E408" s="32">
        <v>494036091</v>
      </c>
      <c r="F408" s="32" t="s">
        <v>82</v>
      </c>
      <c r="G408" s="32" t="s">
        <v>46</v>
      </c>
      <c r="H408" s="32" t="s">
        <v>145</v>
      </c>
      <c r="I408" s="32">
        <v>75.998999999999995</v>
      </c>
      <c r="J408" s="32">
        <v>11.39</v>
      </c>
      <c r="K408" s="32" t="b">
        <v>1</v>
      </c>
      <c r="L408" s="32" t="s">
        <v>79</v>
      </c>
      <c r="M408" s="32" t="s">
        <v>48</v>
      </c>
      <c r="N408" s="34">
        <v>46099</v>
      </c>
      <c r="O408" s="35" t="str">
        <f t="shared" si="1"/>
        <v>Phù Hoàng Thành</v>
      </c>
    </row>
    <row r="409" spans="1:15">
      <c r="A409" s="32" t="s">
        <v>187</v>
      </c>
      <c r="B409" s="32" t="s">
        <v>44</v>
      </c>
      <c r="C409" s="33">
        <v>46033</v>
      </c>
      <c r="D409" s="32">
        <v>946174436</v>
      </c>
      <c r="E409" s="32">
        <v>475924886</v>
      </c>
      <c r="F409" s="32" t="s">
        <v>188</v>
      </c>
      <c r="G409" s="32" t="s">
        <v>46</v>
      </c>
      <c r="H409" s="32" t="s">
        <v>58</v>
      </c>
      <c r="I409" s="32">
        <v>45.814999999999998</v>
      </c>
      <c r="J409" s="32">
        <v>45.424999999999997</v>
      </c>
      <c r="K409" s="32" t="b">
        <v>0</v>
      </c>
      <c r="L409" s="32" t="s">
        <v>47</v>
      </c>
      <c r="M409" s="32" t="s">
        <v>48</v>
      </c>
      <c r="N409" s="34">
        <v>46204</v>
      </c>
      <c r="O409" s="35" t="str">
        <f t="shared" si="1"/>
        <v>Trương Đình Minh Tân</v>
      </c>
    </row>
    <row r="410" spans="1:15">
      <c r="A410" s="32" t="s">
        <v>88</v>
      </c>
      <c r="B410" s="32" t="s">
        <v>44</v>
      </c>
      <c r="C410" s="33">
        <v>46033</v>
      </c>
      <c r="D410" s="32">
        <v>918611919</v>
      </c>
      <c r="E410" s="32">
        <v>321677895</v>
      </c>
      <c r="F410" s="32" t="s">
        <v>65</v>
      </c>
      <c r="G410" s="32" t="s">
        <v>46</v>
      </c>
      <c r="H410" s="32" t="s">
        <v>51</v>
      </c>
      <c r="I410" s="32">
        <v>236.36</v>
      </c>
      <c r="J410" s="32">
        <v>45.758000000000003</v>
      </c>
      <c r="K410" s="32" t="b">
        <v>1</v>
      </c>
      <c r="L410" s="32" t="s">
        <v>47</v>
      </c>
      <c r="M410" s="32" t="s">
        <v>63</v>
      </c>
      <c r="N410" s="34">
        <v>46113</v>
      </c>
      <c r="O410" s="35" t="str">
        <f t="shared" si="1"/>
        <v>Huỳnh Phước Yên</v>
      </c>
    </row>
    <row r="411" spans="1:15">
      <c r="A411" s="32" t="s">
        <v>126</v>
      </c>
      <c r="B411" s="32" t="s">
        <v>44</v>
      </c>
      <c r="C411" s="33">
        <v>46033</v>
      </c>
      <c r="D411" s="32">
        <v>941328668</v>
      </c>
      <c r="E411" s="32">
        <v>474364867</v>
      </c>
      <c r="F411" s="32" t="s">
        <v>127</v>
      </c>
      <c r="G411" s="32" t="s">
        <v>46</v>
      </c>
      <c r="H411" s="32" t="s">
        <v>87</v>
      </c>
      <c r="I411" s="32">
        <v>80.510999999999996</v>
      </c>
      <c r="J411" s="32">
        <v>28.645</v>
      </c>
      <c r="K411" s="32" t="b">
        <v>1</v>
      </c>
      <c r="L411" s="32" t="s">
        <v>63</v>
      </c>
      <c r="M411" s="32" t="s">
        <v>48</v>
      </c>
      <c r="N411" s="34">
        <v>46026</v>
      </c>
      <c r="O411" s="35" t="str">
        <f t="shared" si="1"/>
        <v>Nguyễn Thành Phạm Trung</v>
      </c>
    </row>
    <row r="412" spans="1:15">
      <c r="A412" s="32" t="s">
        <v>81</v>
      </c>
      <c r="B412" s="32" t="s">
        <v>44</v>
      </c>
      <c r="C412" s="33">
        <v>46033</v>
      </c>
      <c r="D412" s="32">
        <v>852226484</v>
      </c>
      <c r="E412" s="32">
        <v>494036091</v>
      </c>
      <c r="F412" s="32" t="s">
        <v>82</v>
      </c>
      <c r="G412" s="32" t="s">
        <v>46</v>
      </c>
      <c r="H412" s="32" t="s">
        <v>145</v>
      </c>
      <c r="I412" s="32">
        <v>36.335000000000001</v>
      </c>
      <c r="J412" s="32">
        <v>39.113999999999997</v>
      </c>
      <c r="K412" s="32" t="b">
        <v>1</v>
      </c>
      <c r="L412" s="32" t="s">
        <v>79</v>
      </c>
      <c r="M412" s="32" t="s">
        <v>48</v>
      </c>
      <c r="N412" s="34">
        <v>46092</v>
      </c>
      <c r="O412" s="35" t="str">
        <f t="shared" si="1"/>
        <v>Phù Hoàng Thành</v>
      </c>
    </row>
    <row r="413" spans="1:15">
      <c r="A413" s="32" t="s">
        <v>81</v>
      </c>
      <c r="B413" s="32" t="s">
        <v>44</v>
      </c>
      <c r="C413" s="33">
        <v>46033</v>
      </c>
      <c r="D413" s="32">
        <v>832428439</v>
      </c>
      <c r="E413" s="32">
        <v>494036091</v>
      </c>
      <c r="F413" s="32" t="s">
        <v>82</v>
      </c>
      <c r="G413" s="32" t="s">
        <v>46</v>
      </c>
      <c r="H413" s="32" t="s">
        <v>145</v>
      </c>
      <c r="I413" s="32">
        <v>36.335000000000001</v>
      </c>
      <c r="J413" s="32">
        <v>39.113999999999997</v>
      </c>
      <c r="K413" s="32" t="b">
        <v>1</v>
      </c>
      <c r="L413" s="32" t="s">
        <v>79</v>
      </c>
      <c r="M413" s="32" t="s">
        <v>48</v>
      </c>
      <c r="N413" s="34">
        <v>46092</v>
      </c>
      <c r="O413" s="35" t="str">
        <f t="shared" si="1"/>
        <v>Phù Hoàng Thành</v>
      </c>
    </row>
    <row r="414" spans="1:15">
      <c r="A414" s="32" t="s">
        <v>85</v>
      </c>
      <c r="B414" s="32" t="s">
        <v>44</v>
      </c>
      <c r="C414" s="33">
        <v>46033</v>
      </c>
      <c r="D414" s="32">
        <v>918128333</v>
      </c>
      <c r="E414" s="32">
        <v>362213178</v>
      </c>
      <c r="F414" s="32" t="s">
        <v>86</v>
      </c>
      <c r="G414" s="32" t="s">
        <v>46</v>
      </c>
      <c r="H414" s="32" t="s">
        <v>87</v>
      </c>
      <c r="I414" s="32">
        <v>173.45500000000001</v>
      </c>
      <c r="J414" s="32">
        <v>35.091000000000001</v>
      </c>
      <c r="K414" s="32" t="b">
        <v>1</v>
      </c>
      <c r="L414" s="32" t="s">
        <v>47</v>
      </c>
      <c r="M414" s="32" t="s">
        <v>48</v>
      </c>
      <c r="N414" s="34">
        <v>46270</v>
      </c>
      <c r="O414" s="35" t="str">
        <f t="shared" si="1"/>
        <v>Trần Minh Tuấn1</v>
      </c>
    </row>
    <row r="415" spans="1:15">
      <c r="A415" s="32" t="s">
        <v>85</v>
      </c>
      <c r="B415" s="32" t="s">
        <v>44</v>
      </c>
      <c r="C415" s="33">
        <v>46033</v>
      </c>
      <c r="D415" s="32">
        <v>918128333</v>
      </c>
      <c r="E415" s="32">
        <v>362213178</v>
      </c>
      <c r="F415" s="32" t="s">
        <v>86</v>
      </c>
      <c r="G415" s="32" t="s">
        <v>46</v>
      </c>
      <c r="H415" s="32" t="s">
        <v>87</v>
      </c>
      <c r="I415" s="32">
        <v>146.494</v>
      </c>
      <c r="J415" s="32">
        <v>37.548000000000002</v>
      </c>
      <c r="K415" s="32" t="b">
        <v>1</v>
      </c>
      <c r="L415" s="32" t="s">
        <v>47</v>
      </c>
      <c r="M415" s="32" t="s">
        <v>48</v>
      </c>
      <c r="N415" s="34">
        <v>46270</v>
      </c>
      <c r="O415" s="35" t="str">
        <f t="shared" si="1"/>
        <v>Trần Minh Tuấn1</v>
      </c>
    </row>
    <row r="416" spans="1:15">
      <c r="A416" s="32" t="s">
        <v>159</v>
      </c>
      <c r="B416" s="32" t="s">
        <v>44</v>
      </c>
      <c r="C416" s="33">
        <v>46033</v>
      </c>
      <c r="D416" s="32">
        <v>917259777</v>
      </c>
      <c r="E416" s="32">
        <v>464238079</v>
      </c>
      <c r="F416" s="32" t="s">
        <v>160</v>
      </c>
      <c r="G416" s="32" t="s">
        <v>46</v>
      </c>
      <c r="H416" s="32" t="s">
        <v>18</v>
      </c>
      <c r="I416" s="32">
        <v>108.164</v>
      </c>
      <c r="J416" s="32">
        <v>51.469000000000001</v>
      </c>
      <c r="K416" s="32" t="b">
        <v>1</v>
      </c>
      <c r="L416" s="32" t="s">
        <v>63</v>
      </c>
      <c r="M416" s="32" t="s">
        <v>48</v>
      </c>
      <c r="N416" s="34">
        <v>46157</v>
      </c>
      <c r="O416" s="35" t="str">
        <f t="shared" si="1"/>
        <v>Ngô Văn Tâm</v>
      </c>
    </row>
    <row r="417" spans="1:15">
      <c r="A417" s="32" t="s">
        <v>159</v>
      </c>
      <c r="B417" s="32" t="s">
        <v>44</v>
      </c>
      <c r="C417" s="33">
        <v>46033</v>
      </c>
      <c r="D417" s="32">
        <v>917259777</v>
      </c>
      <c r="E417" s="32">
        <v>464238079</v>
      </c>
      <c r="F417" s="32" t="s">
        <v>160</v>
      </c>
      <c r="G417" s="32" t="s">
        <v>46</v>
      </c>
      <c r="H417" s="32" t="s">
        <v>18</v>
      </c>
      <c r="I417" s="32">
        <v>73.891999999999996</v>
      </c>
      <c r="J417" s="32">
        <v>40.095999999999997</v>
      </c>
      <c r="K417" s="32" t="b">
        <v>1</v>
      </c>
      <c r="L417" s="32" t="s">
        <v>63</v>
      </c>
      <c r="M417" s="32" t="s">
        <v>48</v>
      </c>
      <c r="N417" s="34">
        <v>46155</v>
      </c>
      <c r="O417" s="35" t="str">
        <f t="shared" si="1"/>
        <v>Ngô Văn Tâm</v>
      </c>
    </row>
    <row r="418" spans="1:15">
      <c r="A418" s="32" t="s">
        <v>72</v>
      </c>
      <c r="B418" s="32" t="s">
        <v>44</v>
      </c>
      <c r="C418" s="33">
        <v>46033</v>
      </c>
      <c r="D418" s="32">
        <v>918955485</v>
      </c>
      <c r="E418" s="32">
        <v>463253403</v>
      </c>
      <c r="F418" s="32" t="s">
        <v>73</v>
      </c>
      <c r="G418" s="32" t="s">
        <v>46</v>
      </c>
      <c r="H418" s="32" t="s">
        <v>18</v>
      </c>
      <c r="I418" s="32">
        <v>443.88600000000002</v>
      </c>
      <c r="J418" s="32">
        <v>49.168999999999997</v>
      </c>
      <c r="K418" s="32" t="b">
        <v>1</v>
      </c>
      <c r="L418" s="32" t="s">
        <v>47</v>
      </c>
      <c r="M418" s="32" t="s">
        <v>48</v>
      </c>
      <c r="N418" s="32" t="s">
        <v>137</v>
      </c>
      <c r="O418" s="35" t="str">
        <f t="shared" si="1"/>
        <v>Lê Thành Tài</v>
      </c>
    </row>
    <row r="419" spans="1:15">
      <c r="A419" s="32" t="s">
        <v>72</v>
      </c>
      <c r="B419" s="32" t="s">
        <v>44</v>
      </c>
      <c r="C419" s="33">
        <v>46033</v>
      </c>
      <c r="D419" s="32">
        <v>918955485</v>
      </c>
      <c r="E419" s="32">
        <v>463253403</v>
      </c>
      <c r="F419" s="32" t="s">
        <v>73</v>
      </c>
      <c r="G419" s="32" t="s">
        <v>46</v>
      </c>
      <c r="H419" s="32" t="s">
        <v>18</v>
      </c>
      <c r="I419" s="32">
        <v>522.30399999999997</v>
      </c>
      <c r="J419" s="32">
        <v>44.75</v>
      </c>
      <c r="K419" s="32" t="b">
        <v>1</v>
      </c>
      <c r="L419" s="32" t="s">
        <v>47</v>
      </c>
      <c r="M419" s="32" t="s">
        <v>48</v>
      </c>
      <c r="N419" s="34">
        <v>46144</v>
      </c>
      <c r="O419" s="35" t="str">
        <f t="shared" si="1"/>
        <v>Lê Thành Tài</v>
      </c>
    </row>
    <row r="420" spans="1:15">
      <c r="A420" s="32" t="s">
        <v>72</v>
      </c>
      <c r="B420" s="32" t="s">
        <v>44</v>
      </c>
      <c r="C420" s="33">
        <v>46033</v>
      </c>
      <c r="D420" s="32">
        <v>918955485</v>
      </c>
      <c r="E420" s="32">
        <v>463253403</v>
      </c>
      <c r="F420" s="32" t="s">
        <v>73</v>
      </c>
      <c r="G420" s="32" t="s">
        <v>46</v>
      </c>
      <c r="H420" s="32" t="s">
        <v>18</v>
      </c>
      <c r="I420" s="32">
        <v>586.99699999999996</v>
      </c>
      <c r="J420" s="32">
        <v>42.679000000000002</v>
      </c>
      <c r="K420" s="32" t="b">
        <v>1</v>
      </c>
      <c r="L420" s="32" t="s">
        <v>47</v>
      </c>
      <c r="M420" s="32" t="s">
        <v>48</v>
      </c>
      <c r="N420" s="34">
        <v>46204</v>
      </c>
      <c r="O420" s="35" t="str">
        <f t="shared" si="1"/>
        <v>Lê Thành Tài</v>
      </c>
    </row>
    <row r="421" spans="1:15">
      <c r="A421" s="32" t="s">
        <v>72</v>
      </c>
      <c r="B421" s="32" t="s">
        <v>44</v>
      </c>
      <c r="C421" s="33">
        <v>46033</v>
      </c>
      <c r="D421" s="32">
        <v>918955485</v>
      </c>
      <c r="E421" s="32">
        <v>463253403</v>
      </c>
      <c r="F421" s="32" t="s">
        <v>73</v>
      </c>
      <c r="G421" s="32" t="s">
        <v>46</v>
      </c>
      <c r="H421" s="32" t="s">
        <v>18</v>
      </c>
      <c r="I421" s="32">
        <v>570.47199999999998</v>
      </c>
      <c r="J421" s="32">
        <v>37.244999999999997</v>
      </c>
      <c r="K421" s="32" t="b">
        <v>1</v>
      </c>
      <c r="L421" s="32" t="s">
        <v>47</v>
      </c>
      <c r="M421" s="32" t="s">
        <v>48</v>
      </c>
      <c r="N421" s="34">
        <v>46148</v>
      </c>
      <c r="O421" s="35" t="str">
        <f t="shared" si="1"/>
        <v>Lê Thành Tài</v>
      </c>
    </row>
    <row r="422" spans="1:15">
      <c r="A422" s="32" t="s">
        <v>96</v>
      </c>
      <c r="B422" s="32" t="s">
        <v>44</v>
      </c>
      <c r="C422" s="33">
        <v>46033</v>
      </c>
      <c r="D422" s="32">
        <v>914390007</v>
      </c>
      <c r="E422" s="32">
        <v>504830634</v>
      </c>
      <c r="F422" s="32" t="s">
        <v>60</v>
      </c>
      <c r="G422" s="32" t="s">
        <v>46</v>
      </c>
      <c r="H422" s="32" t="s">
        <v>51</v>
      </c>
      <c r="I422" s="32">
        <v>70.034000000000006</v>
      </c>
      <c r="J422" s="32">
        <v>30.33</v>
      </c>
      <c r="K422" s="32" t="b">
        <v>1</v>
      </c>
      <c r="L422" s="32" t="s">
        <v>47</v>
      </c>
      <c r="M422" s="32" t="s">
        <v>48</v>
      </c>
      <c r="N422" s="34">
        <v>46267</v>
      </c>
      <c r="O422" s="35" t="str">
        <f t="shared" si="1"/>
        <v>Võ Quốc Huy</v>
      </c>
    </row>
    <row r="423" spans="1:15">
      <c r="A423" s="32" t="s">
        <v>143</v>
      </c>
      <c r="B423" s="32" t="s">
        <v>44</v>
      </c>
      <c r="C423" s="33">
        <v>46032</v>
      </c>
      <c r="D423" s="32">
        <v>915907377</v>
      </c>
      <c r="E423" s="32">
        <v>243492200</v>
      </c>
      <c r="F423" s="32" t="s">
        <v>144</v>
      </c>
      <c r="G423" s="32" t="s">
        <v>46</v>
      </c>
      <c r="H423" s="32" t="s">
        <v>87</v>
      </c>
      <c r="I423" s="32">
        <v>48.222999999999999</v>
      </c>
      <c r="J423" s="32">
        <v>5.6340000000000003</v>
      </c>
      <c r="K423" s="32" t="b">
        <v>1</v>
      </c>
      <c r="L423" s="32" t="s">
        <v>63</v>
      </c>
      <c r="M423" s="32" t="s">
        <v>63</v>
      </c>
      <c r="N423" s="34">
        <v>46026</v>
      </c>
      <c r="O423" s="35" t="str">
        <f t="shared" si="1"/>
        <v>Phạm Tiến Dũng</v>
      </c>
    </row>
    <row r="424" spans="1:15">
      <c r="A424" s="32" t="s">
        <v>143</v>
      </c>
      <c r="B424" s="32" t="s">
        <v>44</v>
      </c>
      <c r="C424" s="33">
        <v>46032</v>
      </c>
      <c r="D424" s="32">
        <v>915907377</v>
      </c>
      <c r="E424" s="32">
        <v>243492200</v>
      </c>
      <c r="F424" s="32" t="s">
        <v>144</v>
      </c>
      <c r="G424" s="32" t="s">
        <v>46</v>
      </c>
      <c r="H424" s="32" t="s">
        <v>87</v>
      </c>
      <c r="I424" s="32">
        <v>48.222999999999999</v>
      </c>
      <c r="J424" s="32">
        <v>5.6340000000000003</v>
      </c>
      <c r="K424" s="32" t="b">
        <v>1</v>
      </c>
      <c r="L424" s="32" t="s">
        <v>63</v>
      </c>
      <c r="M424" s="32" t="s">
        <v>63</v>
      </c>
      <c r="N424" s="34">
        <v>46026</v>
      </c>
      <c r="O424" s="35" t="str">
        <f t="shared" si="1"/>
        <v>Phạm Tiến Dũng</v>
      </c>
    </row>
    <row r="425" spans="1:15">
      <c r="A425" s="32" t="s">
        <v>88</v>
      </c>
      <c r="B425" s="32" t="s">
        <v>44</v>
      </c>
      <c r="C425" s="33">
        <v>46032</v>
      </c>
      <c r="D425" s="32">
        <v>918611919</v>
      </c>
      <c r="E425" s="32">
        <v>321677895</v>
      </c>
      <c r="F425" s="32" t="s">
        <v>65</v>
      </c>
      <c r="G425" s="32" t="s">
        <v>46</v>
      </c>
      <c r="H425" s="32" t="s">
        <v>51</v>
      </c>
      <c r="I425" s="32">
        <v>115.98099999999999</v>
      </c>
      <c r="J425" s="32">
        <v>47.820999999999998</v>
      </c>
      <c r="K425" s="32" t="b">
        <v>1</v>
      </c>
      <c r="L425" s="32" t="s">
        <v>47</v>
      </c>
      <c r="M425" s="32" t="s">
        <v>63</v>
      </c>
      <c r="N425" s="32" t="s">
        <v>152</v>
      </c>
      <c r="O425" s="35" t="str">
        <f t="shared" si="1"/>
        <v>Huỳnh Phước Yên</v>
      </c>
    </row>
    <row r="426" spans="1:15">
      <c r="A426" s="32" t="s">
        <v>159</v>
      </c>
      <c r="B426" s="32" t="s">
        <v>44</v>
      </c>
      <c r="C426" s="33">
        <v>46032</v>
      </c>
      <c r="D426" s="32">
        <v>917259777</v>
      </c>
      <c r="E426" s="32">
        <v>464238079</v>
      </c>
      <c r="F426" s="32" t="s">
        <v>160</v>
      </c>
      <c r="G426" s="32" t="s">
        <v>46</v>
      </c>
      <c r="H426" s="32" t="s">
        <v>18</v>
      </c>
      <c r="I426" s="32">
        <v>75.263000000000005</v>
      </c>
      <c r="J426" s="32">
        <v>53.848999999999997</v>
      </c>
      <c r="K426" s="32" t="b">
        <v>1</v>
      </c>
      <c r="L426" s="32" t="s">
        <v>63</v>
      </c>
      <c r="M426" s="32" t="s">
        <v>48</v>
      </c>
      <c r="N426" s="34">
        <v>46124</v>
      </c>
      <c r="O426" s="35" t="str">
        <f t="shared" si="1"/>
        <v>Ngô Văn Tâm</v>
      </c>
    </row>
    <row r="427" spans="1:15">
      <c r="A427" s="32" t="s">
        <v>159</v>
      </c>
      <c r="B427" s="32" t="s">
        <v>44</v>
      </c>
      <c r="C427" s="33">
        <v>46032</v>
      </c>
      <c r="D427" s="32">
        <v>917259777</v>
      </c>
      <c r="E427" s="32">
        <v>464238079</v>
      </c>
      <c r="F427" s="32" t="s">
        <v>160</v>
      </c>
      <c r="G427" s="32" t="s">
        <v>46</v>
      </c>
      <c r="H427" s="32" t="s">
        <v>18</v>
      </c>
      <c r="I427" s="32">
        <v>83.787999999999997</v>
      </c>
      <c r="J427" s="32">
        <v>54.942999999999998</v>
      </c>
      <c r="K427" s="32" t="b">
        <v>1</v>
      </c>
      <c r="L427" s="32" t="s">
        <v>63</v>
      </c>
      <c r="M427" s="32" t="s">
        <v>48</v>
      </c>
      <c r="N427" s="32" t="s">
        <v>100</v>
      </c>
      <c r="O427" s="35" t="str">
        <f t="shared" si="1"/>
        <v>Ngô Văn Tâm</v>
      </c>
    </row>
    <row r="428" spans="1:15">
      <c r="A428" s="32" t="s">
        <v>189</v>
      </c>
      <c r="B428" s="32" t="s">
        <v>44</v>
      </c>
      <c r="C428" s="33">
        <v>46032</v>
      </c>
      <c r="D428" s="32">
        <v>836886007</v>
      </c>
      <c r="E428" s="32">
        <v>467590112</v>
      </c>
      <c r="F428" s="32" t="s">
        <v>190</v>
      </c>
      <c r="G428" s="32" t="s">
        <v>46</v>
      </c>
      <c r="H428" s="32" t="s">
        <v>51</v>
      </c>
      <c r="I428" s="32">
        <v>42.801000000000002</v>
      </c>
      <c r="J428" s="32">
        <v>47.591999999999999</v>
      </c>
      <c r="K428" s="32" t="b">
        <v>1</v>
      </c>
      <c r="L428" s="32" t="s">
        <v>47</v>
      </c>
      <c r="M428" s="32" t="s">
        <v>48</v>
      </c>
      <c r="N428" s="34">
        <v>46084</v>
      </c>
      <c r="O428" s="35" t="str">
        <f t="shared" si="1"/>
        <v>Lê Minh Hòa</v>
      </c>
    </row>
    <row r="429" spans="1:15">
      <c r="A429" s="32" t="s">
        <v>189</v>
      </c>
      <c r="B429" s="32" t="s">
        <v>44</v>
      </c>
      <c r="C429" s="33">
        <v>46032</v>
      </c>
      <c r="D429" s="32">
        <v>919684007</v>
      </c>
      <c r="E429" s="32">
        <v>467590112</v>
      </c>
      <c r="F429" s="32" t="s">
        <v>190</v>
      </c>
      <c r="G429" s="32" t="s">
        <v>46</v>
      </c>
      <c r="H429" s="32" t="s">
        <v>51</v>
      </c>
      <c r="I429" s="32">
        <v>42.801000000000002</v>
      </c>
      <c r="J429" s="32">
        <v>47.591999999999999</v>
      </c>
      <c r="K429" s="32" t="b">
        <v>1</v>
      </c>
      <c r="L429" s="32" t="s">
        <v>47</v>
      </c>
      <c r="M429" s="32" t="s">
        <v>48</v>
      </c>
      <c r="N429" s="34">
        <v>46084</v>
      </c>
      <c r="O429" s="35" t="str">
        <f t="shared" si="1"/>
        <v>Lê Minh Hòa</v>
      </c>
    </row>
    <row r="430" spans="1:15">
      <c r="A430" s="32" t="s">
        <v>159</v>
      </c>
      <c r="B430" s="32" t="s">
        <v>44</v>
      </c>
      <c r="C430" s="33">
        <v>46032</v>
      </c>
      <c r="D430" s="32">
        <v>917259777</v>
      </c>
      <c r="E430" s="32">
        <v>464238079</v>
      </c>
      <c r="F430" s="32" t="s">
        <v>160</v>
      </c>
      <c r="G430" s="32" t="s">
        <v>46</v>
      </c>
      <c r="H430" s="32" t="s">
        <v>18</v>
      </c>
      <c r="I430" s="32">
        <v>95.162999999999997</v>
      </c>
      <c r="J430" s="32">
        <v>46.741</v>
      </c>
      <c r="K430" s="32" t="b">
        <v>1</v>
      </c>
      <c r="L430" s="32" t="s">
        <v>63</v>
      </c>
      <c r="M430" s="32" t="s">
        <v>48</v>
      </c>
      <c r="N430" s="32" t="s">
        <v>191</v>
      </c>
      <c r="O430" s="35" t="str">
        <f t="shared" si="1"/>
        <v>Ngô Văn Tâm</v>
      </c>
    </row>
    <row r="431" spans="1:15">
      <c r="A431" s="32" t="s">
        <v>192</v>
      </c>
      <c r="B431" s="32" t="s">
        <v>44</v>
      </c>
      <c r="C431" s="33">
        <v>46032</v>
      </c>
      <c r="D431" s="32">
        <v>846528979</v>
      </c>
      <c r="E431" s="32">
        <v>489405039</v>
      </c>
      <c r="F431" s="32" t="s">
        <v>193</v>
      </c>
      <c r="G431" s="32" t="s">
        <v>46</v>
      </c>
      <c r="H431" s="32" t="s">
        <v>51</v>
      </c>
      <c r="I431" s="32">
        <v>97.100999999999999</v>
      </c>
      <c r="J431" s="32">
        <v>50.701999999999998</v>
      </c>
      <c r="K431" s="32" t="b">
        <v>1</v>
      </c>
      <c r="L431" s="32" t="s">
        <v>63</v>
      </c>
      <c r="M431" s="32" t="s">
        <v>48</v>
      </c>
      <c r="N431" s="34">
        <v>46027</v>
      </c>
      <c r="O431" s="35" t="str">
        <f t="shared" si="1"/>
        <v>Đinh Bộ Lĩnh</v>
      </c>
    </row>
    <row r="432" spans="1:15">
      <c r="A432" s="32" t="s">
        <v>74</v>
      </c>
      <c r="B432" s="32" t="s">
        <v>44</v>
      </c>
      <c r="C432" s="33">
        <v>46032</v>
      </c>
      <c r="D432" s="32">
        <v>945833826</v>
      </c>
      <c r="E432" s="32">
        <v>515016582</v>
      </c>
      <c r="F432" s="32" t="s">
        <v>75</v>
      </c>
      <c r="G432" s="32" t="s">
        <v>46</v>
      </c>
      <c r="H432" s="32" t="s">
        <v>51</v>
      </c>
      <c r="I432" s="32">
        <v>989.42899999999997</v>
      </c>
      <c r="J432" s="32">
        <v>94.188000000000002</v>
      </c>
      <c r="K432" s="32" t="b">
        <v>1</v>
      </c>
      <c r="L432" s="32" t="s">
        <v>47</v>
      </c>
      <c r="M432" s="32" t="s">
        <v>48</v>
      </c>
      <c r="N432" s="34">
        <v>46249</v>
      </c>
      <c r="O432" s="35" t="str">
        <f t="shared" si="1"/>
        <v>Võ Quang Duy</v>
      </c>
    </row>
    <row r="433" spans="1:15">
      <c r="A433" s="32" t="s">
        <v>74</v>
      </c>
      <c r="B433" s="32" t="s">
        <v>44</v>
      </c>
      <c r="C433" s="33">
        <v>46032</v>
      </c>
      <c r="D433" s="32">
        <v>945833826</v>
      </c>
      <c r="E433" s="32">
        <v>515016582</v>
      </c>
      <c r="F433" s="32" t="s">
        <v>75</v>
      </c>
      <c r="G433" s="32" t="s">
        <v>46</v>
      </c>
      <c r="H433" s="32" t="s">
        <v>51</v>
      </c>
      <c r="I433" s="32">
        <v>1026.0070000000001</v>
      </c>
      <c r="J433" s="32">
        <v>98.055000000000007</v>
      </c>
      <c r="K433" s="32" t="b">
        <v>1</v>
      </c>
      <c r="L433" s="32" t="s">
        <v>47</v>
      </c>
      <c r="M433" s="32" t="s">
        <v>48</v>
      </c>
      <c r="N433" s="34">
        <v>46250</v>
      </c>
      <c r="O433" s="35" t="str">
        <f t="shared" si="1"/>
        <v>Võ Quang Duy</v>
      </c>
    </row>
    <row r="434" spans="1:15">
      <c r="A434" s="32" t="s">
        <v>192</v>
      </c>
      <c r="B434" s="32" t="s">
        <v>44</v>
      </c>
      <c r="C434" s="33">
        <v>46032</v>
      </c>
      <c r="D434" s="32">
        <v>846528979</v>
      </c>
      <c r="E434" s="32">
        <v>489405039</v>
      </c>
      <c r="F434" s="32" t="s">
        <v>193</v>
      </c>
      <c r="G434" s="32" t="s">
        <v>46</v>
      </c>
      <c r="H434" s="32" t="s">
        <v>51</v>
      </c>
      <c r="I434" s="32">
        <v>80.656000000000006</v>
      </c>
      <c r="J434" s="32">
        <v>51.774999999999999</v>
      </c>
      <c r="K434" s="32" t="b">
        <v>1</v>
      </c>
      <c r="L434" s="32" t="s">
        <v>63</v>
      </c>
      <c r="M434" s="32" t="s">
        <v>48</v>
      </c>
      <c r="N434" s="34">
        <v>46269</v>
      </c>
      <c r="O434" s="35" t="str">
        <f t="shared" si="1"/>
        <v>Đinh Bộ Lĩnh</v>
      </c>
    </row>
    <row r="435" spans="1:15">
      <c r="A435" s="32" t="s">
        <v>106</v>
      </c>
      <c r="B435" s="32" t="s">
        <v>44</v>
      </c>
      <c r="C435" s="33">
        <v>46032</v>
      </c>
      <c r="D435" s="32">
        <v>911039328</v>
      </c>
      <c r="E435" s="32">
        <v>404632975</v>
      </c>
      <c r="F435" s="32" t="s">
        <v>107</v>
      </c>
      <c r="G435" s="32" t="s">
        <v>46</v>
      </c>
      <c r="H435" s="32" t="s">
        <v>18</v>
      </c>
      <c r="I435" s="32">
        <v>80.436000000000007</v>
      </c>
      <c r="J435" s="32">
        <v>42.987000000000002</v>
      </c>
      <c r="K435" s="32" t="b">
        <v>1</v>
      </c>
      <c r="L435" s="32" t="s">
        <v>47</v>
      </c>
      <c r="M435" s="32" t="s">
        <v>48</v>
      </c>
      <c r="N435" s="34">
        <v>46239</v>
      </c>
      <c r="O435" s="35" t="str">
        <f t="shared" si="1"/>
        <v>Trương Vũ Hải</v>
      </c>
    </row>
    <row r="436" spans="1:15">
      <c r="A436" s="32" t="s">
        <v>126</v>
      </c>
      <c r="B436" s="32" t="s">
        <v>44</v>
      </c>
      <c r="C436" s="33">
        <v>46032</v>
      </c>
      <c r="D436" s="32">
        <v>941328668</v>
      </c>
      <c r="E436" s="32">
        <v>474364867</v>
      </c>
      <c r="F436" s="32" t="s">
        <v>127</v>
      </c>
      <c r="G436" s="32" t="s">
        <v>46</v>
      </c>
      <c r="H436" s="32" t="s">
        <v>51</v>
      </c>
      <c r="I436" s="32">
        <v>43.390999999999998</v>
      </c>
      <c r="J436" s="32">
        <v>5.0570000000000004</v>
      </c>
      <c r="K436" s="32" t="b">
        <v>1</v>
      </c>
      <c r="L436" s="32" t="s">
        <v>63</v>
      </c>
      <c r="M436" s="32" t="s">
        <v>48</v>
      </c>
      <c r="N436" s="34">
        <v>46208</v>
      </c>
      <c r="O436" s="35" t="str">
        <f t="shared" si="1"/>
        <v>Nguyễn Thành Phạm Trung</v>
      </c>
    </row>
    <row r="437" spans="1:15">
      <c r="A437" s="32" t="s">
        <v>83</v>
      </c>
      <c r="B437" s="32" t="s">
        <v>44</v>
      </c>
      <c r="C437" s="33">
        <v>46032</v>
      </c>
      <c r="D437" s="32">
        <v>829669739</v>
      </c>
      <c r="E437" s="32">
        <v>408233038</v>
      </c>
      <c r="F437" s="32" t="s">
        <v>84</v>
      </c>
      <c r="G437" s="32" t="s">
        <v>46</v>
      </c>
      <c r="H437" s="32" t="s">
        <v>51</v>
      </c>
      <c r="I437" s="32">
        <v>134.285</v>
      </c>
      <c r="J437" s="32">
        <v>44.841000000000001</v>
      </c>
      <c r="K437" s="32" t="b">
        <v>0</v>
      </c>
      <c r="L437" s="32" t="s">
        <v>47</v>
      </c>
      <c r="M437" s="32" t="s">
        <v>48</v>
      </c>
      <c r="N437" s="34">
        <v>46116</v>
      </c>
      <c r="O437" s="35" t="str">
        <f t="shared" si="1"/>
        <v>Lê Minh Kha</v>
      </c>
    </row>
    <row r="438" spans="1:15">
      <c r="A438" s="32" t="s">
        <v>83</v>
      </c>
      <c r="B438" s="32" t="s">
        <v>44</v>
      </c>
      <c r="C438" s="33">
        <v>46032</v>
      </c>
      <c r="D438" s="32">
        <v>886313796</v>
      </c>
      <c r="E438" s="32">
        <v>408233038</v>
      </c>
      <c r="F438" s="32" t="s">
        <v>84</v>
      </c>
      <c r="G438" s="32" t="s">
        <v>46</v>
      </c>
      <c r="H438" s="32" t="s">
        <v>51</v>
      </c>
      <c r="I438" s="32">
        <v>134.285</v>
      </c>
      <c r="J438" s="32">
        <v>44.841000000000001</v>
      </c>
      <c r="K438" s="32" t="b">
        <v>0</v>
      </c>
      <c r="L438" s="32" t="s">
        <v>47</v>
      </c>
      <c r="M438" s="32" t="s">
        <v>48</v>
      </c>
      <c r="N438" s="34">
        <v>46116</v>
      </c>
      <c r="O438" s="35" t="str">
        <f t="shared" si="1"/>
        <v>Lê Minh Kha</v>
      </c>
    </row>
    <row r="439" spans="1:15">
      <c r="A439" s="32" t="s">
        <v>77</v>
      </c>
      <c r="B439" s="32" t="s">
        <v>44</v>
      </c>
      <c r="C439" s="33">
        <v>46032</v>
      </c>
      <c r="D439" s="32">
        <v>945663773</v>
      </c>
      <c r="E439" s="32">
        <v>507335872</v>
      </c>
      <c r="F439" s="32" t="s">
        <v>78</v>
      </c>
      <c r="G439" s="32" t="s">
        <v>46</v>
      </c>
      <c r="H439" s="32" t="s">
        <v>51</v>
      </c>
      <c r="I439" s="32">
        <v>50.034999999999997</v>
      </c>
      <c r="J439" s="32">
        <v>31.013000000000002</v>
      </c>
      <c r="K439" s="32" t="b">
        <v>1</v>
      </c>
      <c r="L439" s="32" t="s">
        <v>79</v>
      </c>
      <c r="M439" s="32" t="s">
        <v>80</v>
      </c>
      <c r="N439" s="34">
        <v>46115</v>
      </c>
      <c r="O439" s="35" t="str">
        <f t="shared" si="1"/>
        <v>Nguyễn Hữu Tân</v>
      </c>
    </row>
    <row r="440" spans="1:15">
      <c r="A440" s="32" t="s">
        <v>194</v>
      </c>
      <c r="B440" s="32" t="s">
        <v>44</v>
      </c>
      <c r="C440" s="33">
        <v>46032</v>
      </c>
      <c r="D440" s="32">
        <v>948445577</v>
      </c>
      <c r="E440" s="32">
        <v>492056911</v>
      </c>
      <c r="F440" s="32" t="s">
        <v>195</v>
      </c>
      <c r="G440" s="32" t="s">
        <v>46</v>
      </c>
      <c r="H440" s="32" t="s">
        <v>51</v>
      </c>
      <c r="I440" s="32">
        <v>143.459</v>
      </c>
      <c r="J440" s="32">
        <v>43.140999999999998</v>
      </c>
      <c r="K440" s="32" t="b">
        <v>1</v>
      </c>
      <c r="L440" s="32" t="s">
        <v>47</v>
      </c>
      <c r="M440" s="32" t="s">
        <v>48</v>
      </c>
      <c r="N440" s="32" t="s">
        <v>158</v>
      </c>
      <c r="O440" s="35" t="str">
        <f t="shared" si="1"/>
        <v>Tiêu Văn Y</v>
      </c>
    </row>
    <row r="441" spans="1:15">
      <c r="A441" s="32" t="s">
        <v>194</v>
      </c>
      <c r="B441" s="32" t="s">
        <v>44</v>
      </c>
      <c r="C441" s="33">
        <v>46032</v>
      </c>
      <c r="D441" s="32">
        <v>948445577</v>
      </c>
      <c r="E441" s="32">
        <v>492056911</v>
      </c>
      <c r="F441" s="32" t="s">
        <v>195</v>
      </c>
      <c r="G441" s="32" t="s">
        <v>46</v>
      </c>
      <c r="H441" s="32" t="s">
        <v>51</v>
      </c>
      <c r="I441" s="32">
        <v>143.459</v>
      </c>
      <c r="J441" s="32">
        <v>43.140999999999998</v>
      </c>
      <c r="K441" s="32" t="b">
        <v>1</v>
      </c>
      <c r="L441" s="32" t="s">
        <v>47</v>
      </c>
      <c r="M441" s="32" t="s">
        <v>48</v>
      </c>
      <c r="N441" s="32" t="s">
        <v>158</v>
      </c>
      <c r="O441" s="35" t="str">
        <f t="shared" si="1"/>
        <v>Tiêu Văn Y</v>
      </c>
    </row>
    <row r="442" spans="1:15">
      <c r="A442" s="32" t="s">
        <v>133</v>
      </c>
      <c r="B442" s="32" t="s">
        <v>44</v>
      </c>
      <c r="C442" s="33">
        <v>46032</v>
      </c>
      <c r="D442" s="32">
        <v>913632800</v>
      </c>
      <c r="E442" s="32">
        <v>487761475</v>
      </c>
      <c r="F442" s="32" t="s">
        <v>71</v>
      </c>
      <c r="G442" s="32" t="s">
        <v>46</v>
      </c>
      <c r="H442" s="32" t="s">
        <v>51</v>
      </c>
      <c r="I442" s="32">
        <v>934.84400000000005</v>
      </c>
      <c r="J442" s="32">
        <v>105.093</v>
      </c>
      <c r="K442" s="32" t="b">
        <v>1</v>
      </c>
      <c r="L442" s="32" t="s">
        <v>47</v>
      </c>
      <c r="M442" s="32" t="s">
        <v>48</v>
      </c>
      <c r="N442" s="34">
        <v>46269</v>
      </c>
      <c r="O442" s="35" t="str">
        <f t="shared" si="1"/>
        <v>Võ Quang Thìn</v>
      </c>
    </row>
    <row r="443" spans="1:15">
      <c r="A443" s="32" t="s">
        <v>59</v>
      </c>
      <c r="B443" s="32" t="s">
        <v>44</v>
      </c>
      <c r="C443" s="33">
        <v>46032</v>
      </c>
      <c r="D443" s="32">
        <v>918278345</v>
      </c>
      <c r="E443" s="32">
        <v>511526722</v>
      </c>
      <c r="F443" s="32" t="s">
        <v>60</v>
      </c>
      <c r="G443" s="32" t="s">
        <v>46</v>
      </c>
      <c r="H443" s="32" t="s">
        <v>51</v>
      </c>
      <c r="I443" s="32">
        <v>84.369</v>
      </c>
      <c r="J443" s="32">
        <v>17.891999999999999</v>
      </c>
      <c r="K443" s="32" t="b">
        <v>1</v>
      </c>
      <c r="L443" s="32" t="s">
        <v>47</v>
      </c>
      <c r="M443" s="32" t="s">
        <v>48</v>
      </c>
      <c r="N443" s="34">
        <v>46023</v>
      </c>
      <c r="O443" s="35" t="str">
        <f t="shared" si="1"/>
        <v>Trịnh Minh Trí</v>
      </c>
    </row>
    <row r="444" spans="1:15">
      <c r="A444" s="32" t="s">
        <v>59</v>
      </c>
      <c r="B444" s="32" t="s">
        <v>44</v>
      </c>
      <c r="C444" s="33">
        <v>46032</v>
      </c>
      <c r="D444" s="32">
        <v>918278345</v>
      </c>
      <c r="E444" s="32">
        <v>511526722</v>
      </c>
      <c r="F444" s="32" t="s">
        <v>60</v>
      </c>
      <c r="G444" s="32" t="s">
        <v>46</v>
      </c>
      <c r="H444" s="32" t="s">
        <v>51</v>
      </c>
      <c r="I444" s="32">
        <v>103.252</v>
      </c>
      <c r="J444" s="32">
        <v>11.874000000000001</v>
      </c>
      <c r="K444" s="32" t="b">
        <v>1</v>
      </c>
      <c r="L444" s="32" t="s">
        <v>47</v>
      </c>
      <c r="M444" s="32" t="s">
        <v>48</v>
      </c>
      <c r="N444" s="34">
        <v>46175</v>
      </c>
      <c r="O444" s="35" t="str">
        <f t="shared" si="1"/>
        <v>Trịnh Minh Trí</v>
      </c>
    </row>
    <row r="445" spans="1:15">
      <c r="A445" s="32" t="s">
        <v>59</v>
      </c>
      <c r="B445" s="32" t="s">
        <v>44</v>
      </c>
      <c r="C445" s="33">
        <v>46032</v>
      </c>
      <c r="D445" s="32">
        <v>918278345</v>
      </c>
      <c r="E445" s="32">
        <v>511526722</v>
      </c>
      <c r="F445" s="32" t="s">
        <v>60</v>
      </c>
      <c r="G445" s="32" t="s">
        <v>46</v>
      </c>
      <c r="H445" s="32" t="s">
        <v>51</v>
      </c>
      <c r="I445" s="32">
        <v>98.638999999999996</v>
      </c>
      <c r="J445" s="32">
        <v>27.513000000000002</v>
      </c>
      <c r="K445" s="32" t="b">
        <v>1</v>
      </c>
      <c r="L445" s="32" t="s">
        <v>47</v>
      </c>
      <c r="M445" s="32" t="s">
        <v>48</v>
      </c>
      <c r="N445" s="34">
        <v>46144</v>
      </c>
      <c r="O445" s="35" t="str">
        <f t="shared" si="1"/>
        <v>Trịnh Minh Trí</v>
      </c>
    </row>
    <row r="446" spans="1:15">
      <c r="A446" s="32" t="s">
        <v>136</v>
      </c>
      <c r="B446" s="32" t="s">
        <v>44</v>
      </c>
      <c r="C446" s="33">
        <v>46032</v>
      </c>
      <c r="D446" s="32">
        <v>917773898</v>
      </c>
      <c r="E446" s="32">
        <v>505313750</v>
      </c>
      <c r="F446" s="32" t="s">
        <v>122</v>
      </c>
      <c r="G446" s="32" t="s">
        <v>46</v>
      </c>
      <c r="H446" s="32" t="s">
        <v>51</v>
      </c>
      <c r="I446" s="32">
        <v>60.72</v>
      </c>
      <c r="J446" s="32">
        <v>45.713000000000001</v>
      </c>
      <c r="K446" s="32" t="b">
        <v>1</v>
      </c>
      <c r="L446" s="32" t="s">
        <v>47</v>
      </c>
      <c r="M446" s="32" t="s">
        <v>48</v>
      </c>
      <c r="N446" s="34">
        <v>46246</v>
      </c>
      <c r="O446" s="35" t="str">
        <f t="shared" si="1"/>
        <v>Lê Xuân Trình</v>
      </c>
    </row>
    <row r="447" spans="1:15">
      <c r="A447" s="32" t="s">
        <v>196</v>
      </c>
      <c r="B447" s="32" t="s">
        <v>44</v>
      </c>
      <c r="C447" s="33">
        <v>46032</v>
      </c>
      <c r="D447" s="32">
        <v>945645759</v>
      </c>
      <c r="E447" s="32">
        <v>495432176</v>
      </c>
      <c r="F447" s="32" t="s">
        <v>71</v>
      </c>
      <c r="G447" s="32" t="s">
        <v>46</v>
      </c>
      <c r="H447" s="32" t="s">
        <v>58</v>
      </c>
      <c r="I447" s="32">
        <v>207.10499999999999</v>
      </c>
      <c r="J447" s="32">
        <v>46.356999999999999</v>
      </c>
      <c r="K447" s="32" t="b">
        <v>1</v>
      </c>
      <c r="L447" s="32" t="s">
        <v>47</v>
      </c>
      <c r="M447" s="32" t="s">
        <v>48</v>
      </c>
      <c r="N447" s="34">
        <v>46055</v>
      </c>
      <c r="O447" s="35" t="str">
        <f t="shared" si="1"/>
        <v>Nguyễn Hoàng Phi</v>
      </c>
    </row>
    <row r="448" spans="1:15">
      <c r="A448" s="32" t="s">
        <v>196</v>
      </c>
      <c r="B448" s="32" t="s">
        <v>44</v>
      </c>
      <c r="C448" s="33">
        <v>46032</v>
      </c>
      <c r="D448" s="32">
        <v>945645759</v>
      </c>
      <c r="E448" s="32">
        <v>495432176</v>
      </c>
      <c r="F448" s="32" t="s">
        <v>71</v>
      </c>
      <c r="G448" s="32" t="s">
        <v>46</v>
      </c>
      <c r="H448" s="32" t="s">
        <v>58</v>
      </c>
      <c r="I448" s="32">
        <v>207.10499999999999</v>
      </c>
      <c r="J448" s="32">
        <v>46.356999999999999</v>
      </c>
      <c r="K448" s="32" t="b">
        <v>1</v>
      </c>
      <c r="L448" s="32" t="s">
        <v>47</v>
      </c>
      <c r="M448" s="32" t="s">
        <v>48</v>
      </c>
      <c r="N448" s="34">
        <v>46055</v>
      </c>
      <c r="O448" s="35" t="str">
        <f t="shared" si="1"/>
        <v>Nguyễn Hoàng Phi</v>
      </c>
    </row>
    <row r="449" spans="1:15">
      <c r="A449" s="32" t="s">
        <v>197</v>
      </c>
      <c r="B449" s="32" t="s">
        <v>44</v>
      </c>
      <c r="C449" s="33">
        <v>46032</v>
      </c>
      <c r="D449" s="32">
        <v>911685484</v>
      </c>
      <c r="E449" s="32">
        <v>514513531</v>
      </c>
      <c r="F449" s="32" t="s">
        <v>112</v>
      </c>
      <c r="G449" s="32" t="s">
        <v>46</v>
      </c>
      <c r="H449" s="32" t="s">
        <v>58</v>
      </c>
      <c r="I449" s="32">
        <v>48.204000000000001</v>
      </c>
      <c r="J449" s="32">
        <v>54.399000000000001</v>
      </c>
      <c r="K449" s="32" t="b">
        <v>1</v>
      </c>
      <c r="L449" s="32" t="s">
        <v>79</v>
      </c>
      <c r="M449" s="32" t="s">
        <v>48</v>
      </c>
      <c r="N449" s="34">
        <v>46145</v>
      </c>
      <c r="O449" s="35" t="str">
        <f t="shared" si="1"/>
        <v>Thiệu Thái An</v>
      </c>
    </row>
    <row r="450" spans="1:15">
      <c r="A450" s="32" t="s">
        <v>197</v>
      </c>
      <c r="B450" s="32" t="s">
        <v>44</v>
      </c>
      <c r="C450" s="33">
        <v>46032</v>
      </c>
      <c r="D450" s="32">
        <v>911685484</v>
      </c>
      <c r="E450" s="32">
        <v>514513531</v>
      </c>
      <c r="F450" s="32" t="s">
        <v>112</v>
      </c>
      <c r="G450" s="32" t="s">
        <v>46</v>
      </c>
      <c r="H450" s="32" t="s">
        <v>58</v>
      </c>
      <c r="I450" s="32">
        <v>39.249000000000002</v>
      </c>
      <c r="J450" s="32">
        <v>17.077999999999999</v>
      </c>
      <c r="K450" s="32" t="b">
        <v>1</v>
      </c>
      <c r="L450" s="32" t="s">
        <v>79</v>
      </c>
      <c r="M450" s="32" t="s">
        <v>48</v>
      </c>
      <c r="N450" s="34">
        <v>46269</v>
      </c>
      <c r="O450" s="35" t="str">
        <f t="shared" si="1"/>
        <v>Thiệu Thái An</v>
      </c>
    </row>
    <row r="451" spans="1:15">
      <c r="A451" s="32" t="s">
        <v>192</v>
      </c>
      <c r="B451" s="32" t="s">
        <v>44</v>
      </c>
      <c r="C451" s="33">
        <v>46032</v>
      </c>
      <c r="D451" s="32">
        <v>846528979</v>
      </c>
      <c r="E451" s="32">
        <v>489405039</v>
      </c>
      <c r="F451" s="32" t="s">
        <v>193</v>
      </c>
      <c r="G451" s="32" t="s">
        <v>46</v>
      </c>
      <c r="H451" s="32" t="s">
        <v>51</v>
      </c>
      <c r="I451" s="32">
        <v>82.475999999999999</v>
      </c>
      <c r="J451" s="32">
        <v>47.218000000000004</v>
      </c>
      <c r="K451" s="32" t="b">
        <v>1</v>
      </c>
      <c r="L451" s="32" t="s">
        <v>63</v>
      </c>
      <c r="M451" s="32" t="s">
        <v>48</v>
      </c>
      <c r="N451" s="34">
        <v>46236</v>
      </c>
      <c r="O451" s="35" t="str">
        <f t="shared" si="1"/>
        <v>Đinh Bộ Lĩnh</v>
      </c>
    </row>
    <row r="452" spans="1:15">
      <c r="A452" s="32" t="s">
        <v>192</v>
      </c>
      <c r="B452" s="32" t="s">
        <v>44</v>
      </c>
      <c r="C452" s="33">
        <v>46032</v>
      </c>
      <c r="D452" s="32">
        <v>846528979</v>
      </c>
      <c r="E452" s="32">
        <v>489405039</v>
      </c>
      <c r="F452" s="32" t="s">
        <v>193</v>
      </c>
      <c r="G452" s="32" t="s">
        <v>46</v>
      </c>
      <c r="H452" s="32" t="s">
        <v>51</v>
      </c>
      <c r="I452" s="32">
        <v>55.798000000000002</v>
      </c>
      <c r="J452" s="32">
        <v>50.911999999999999</v>
      </c>
      <c r="K452" s="32" t="b">
        <v>1</v>
      </c>
      <c r="L452" s="32" t="s">
        <v>63</v>
      </c>
      <c r="M452" s="32" t="s">
        <v>48</v>
      </c>
      <c r="N452" s="34">
        <v>46150</v>
      </c>
      <c r="O452" s="35" t="str">
        <f t="shared" si="1"/>
        <v>Đinh Bộ Lĩnh</v>
      </c>
    </row>
    <row r="453" spans="1:15">
      <c r="A453" s="32" t="s">
        <v>64</v>
      </c>
      <c r="B453" s="32" t="s">
        <v>44</v>
      </c>
      <c r="C453" s="33">
        <v>46032</v>
      </c>
      <c r="D453" s="32">
        <v>917769763</v>
      </c>
      <c r="E453" s="32">
        <v>297808089</v>
      </c>
      <c r="F453" s="32" t="s">
        <v>65</v>
      </c>
      <c r="G453" s="32" t="s">
        <v>46</v>
      </c>
      <c r="H453" s="32" t="s">
        <v>51</v>
      </c>
      <c r="I453" s="32">
        <v>779.61099999999999</v>
      </c>
      <c r="J453" s="32">
        <v>46.466999999999999</v>
      </c>
      <c r="K453" s="32" t="b">
        <v>1</v>
      </c>
      <c r="L453" s="32" t="s">
        <v>47</v>
      </c>
      <c r="M453" s="32" t="s">
        <v>63</v>
      </c>
      <c r="N453" s="34">
        <v>46291</v>
      </c>
      <c r="O453" s="35" t="str">
        <f t="shared" si="1"/>
        <v>Đỗ Tấn Phát</v>
      </c>
    </row>
    <row r="454" spans="1:15">
      <c r="A454" s="32" t="s">
        <v>49</v>
      </c>
      <c r="B454" s="32" t="s">
        <v>44</v>
      </c>
      <c r="C454" s="33">
        <v>46032</v>
      </c>
      <c r="D454" s="32">
        <v>828926567</v>
      </c>
      <c r="E454" s="32">
        <v>493854272</v>
      </c>
      <c r="F454" s="32" t="s">
        <v>50</v>
      </c>
      <c r="G454" s="32" t="s">
        <v>46</v>
      </c>
      <c r="H454" s="32" t="s">
        <v>58</v>
      </c>
      <c r="I454" s="32">
        <v>1195.7829999999999</v>
      </c>
      <c r="J454" s="32">
        <v>70.893000000000001</v>
      </c>
      <c r="K454" s="32" t="b">
        <v>0</v>
      </c>
      <c r="L454" s="32" t="s">
        <v>47</v>
      </c>
      <c r="M454" s="32" t="s">
        <v>48</v>
      </c>
      <c r="N454" s="34">
        <v>46237</v>
      </c>
      <c r="O454" s="35" t="str">
        <f t="shared" si="1"/>
        <v>Phạm Nguyễn Quang Huy</v>
      </c>
    </row>
    <row r="455" spans="1:15">
      <c r="A455" s="32" t="s">
        <v>49</v>
      </c>
      <c r="B455" s="32" t="s">
        <v>44</v>
      </c>
      <c r="C455" s="33">
        <v>46032</v>
      </c>
      <c r="D455" s="32">
        <v>947245878</v>
      </c>
      <c r="E455" s="32">
        <v>493854272</v>
      </c>
      <c r="F455" s="32" t="s">
        <v>50</v>
      </c>
      <c r="G455" s="32" t="s">
        <v>46</v>
      </c>
      <c r="H455" s="32" t="s">
        <v>58</v>
      </c>
      <c r="I455" s="32">
        <v>1195.7829999999999</v>
      </c>
      <c r="J455" s="32">
        <v>70.893000000000001</v>
      </c>
      <c r="K455" s="32" t="b">
        <v>0</v>
      </c>
      <c r="L455" s="32" t="s">
        <v>47</v>
      </c>
      <c r="M455" s="32" t="s">
        <v>48</v>
      </c>
      <c r="N455" s="34">
        <v>46237</v>
      </c>
      <c r="O455" s="35" t="str">
        <f t="shared" si="1"/>
        <v>Phạm Nguyễn Quang Huy</v>
      </c>
    </row>
    <row r="456" spans="1:15">
      <c r="A456" s="32" t="s">
        <v>49</v>
      </c>
      <c r="B456" s="32" t="s">
        <v>44</v>
      </c>
      <c r="C456" s="33">
        <v>46032</v>
      </c>
      <c r="D456" s="32">
        <v>947245878</v>
      </c>
      <c r="E456" s="32">
        <v>493854272</v>
      </c>
      <c r="F456" s="32" t="s">
        <v>50</v>
      </c>
      <c r="G456" s="32" t="s">
        <v>46</v>
      </c>
      <c r="H456" s="32" t="s">
        <v>58</v>
      </c>
      <c r="I456" s="32">
        <v>1216.3910000000001</v>
      </c>
      <c r="J456" s="32">
        <v>18.579999999999998</v>
      </c>
      <c r="K456" s="32" t="b">
        <v>0</v>
      </c>
      <c r="L456" s="32" t="s">
        <v>47</v>
      </c>
      <c r="M456" s="32" t="s">
        <v>48</v>
      </c>
      <c r="N456" s="34">
        <v>46223</v>
      </c>
      <c r="O456" s="35" t="str">
        <f t="shared" si="1"/>
        <v>Phạm Nguyễn Quang Huy</v>
      </c>
    </row>
    <row r="457" spans="1:15">
      <c r="A457" s="32" t="s">
        <v>49</v>
      </c>
      <c r="B457" s="32" t="s">
        <v>44</v>
      </c>
      <c r="C457" s="33">
        <v>46032</v>
      </c>
      <c r="D457" s="32">
        <v>828926567</v>
      </c>
      <c r="E457" s="32">
        <v>493854272</v>
      </c>
      <c r="F457" s="32" t="s">
        <v>50</v>
      </c>
      <c r="G457" s="32" t="s">
        <v>46</v>
      </c>
      <c r="H457" s="32" t="s">
        <v>58</v>
      </c>
      <c r="I457" s="32">
        <v>1216.3910000000001</v>
      </c>
      <c r="J457" s="32">
        <v>18.579999999999998</v>
      </c>
      <c r="K457" s="32" t="b">
        <v>0</v>
      </c>
      <c r="L457" s="32" t="s">
        <v>47</v>
      </c>
      <c r="M457" s="32" t="s">
        <v>48</v>
      </c>
      <c r="N457" s="34">
        <v>46223</v>
      </c>
      <c r="O457" s="35" t="str">
        <f t="shared" si="1"/>
        <v>Phạm Nguyễn Quang Huy</v>
      </c>
    </row>
    <row r="458" spans="1:15">
      <c r="A458" s="32" t="s">
        <v>89</v>
      </c>
      <c r="B458" s="32" t="s">
        <v>44</v>
      </c>
      <c r="C458" s="33">
        <v>46032</v>
      </c>
      <c r="D458" s="32">
        <v>837012768</v>
      </c>
      <c r="E458" s="32">
        <v>276156622</v>
      </c>
      <c r="F458" s="32" t="s">
        <v>90</v>
      </c>
      <c r="G458" s="32" t="s">
        <v>46</v>
      </c>
      <c r="H458" s="32" t="s">
        <v>51</v>
      </c>
      <c r="I458" s="32">
        <v>796.34199999999998</v>
      </c>
      <c r="J458" s="32">
        <v>57.238999999999997</v>
      </c>
      <c r="K458" s="32" t="b">
        <v>1</v>
      </c>
      <c r="L458" s="32" t="s">
        <v>47</v>
      </c>
      <c r="M458" s="32" t="s">
        <v>63</v>
      </c>
      <c r="N458" s="32" t="s">
        <v>198</v>
      </c>
      <c r="O458" s="35" t="str">
        <f t="shared" si="1"/>
        <v>Nguyễn Thành Chí</v>
      </c>
    </row>
    <row r="459" spans="1:15">
      <c r="A459" s="32" t="s">
        <v>143</v>
      </c>
      <c r="B459" s="32" t="s">
        <v>44</v>
      </c>
      <c r="C459" s="33">
        <v>46032</v>
      </c>
      <c r="D459" s="32">
        <v>915907377</v>
      </c>
      <c r="E459" s="32">
        <v>243492200</v>
      </c>
      <c r="F459" s="32" t="s">
        <v>144</v>
      </c>
      <c r="G459" s="32" t="s">
        <v>46</v>
      </c>
      <c r="H459" s="32" t="s">
        <v>87</v>
      </c>
      <c r="I459" s="32">
        <v>54.853999999999999</v>
      </c>
      <c r="J459" s="32">
        <v>12.189</v>
      </c>
      <c r="K459" s="32" t="b">
        <v>1</v>
      </c>
      <c r="L459" s="32" t="s">
        <v>63</v>
      </c>
      <c r="M459" s="32" t="s">
        <v>63</v>
      </c>
      <c r="N459" s="34">
        <v>46061</v>
      </c>
      <c r="O459" s="35" t="str">
        <f t="shared" si="1"/>
        <v>Phạm Tiến Dũng</v>
      </c>
    </row>
    <row r="460" spans="1:15">
      <c r="A460" s="32" t="s">
        <v>143</v>
      </c>
      <c r="B460" s="32" t="s">
        <v>44</v>
      </c>
      <c r="C460" s="33">
        <v>46032</v>
      </c>
      <c r="D460" s="32">
        <v>915907377</v>
      </c>
      <c r="E460" s="32">
        <v>243492200</v>
      </c>
      <c r="F460" s="32" t="s">
        <v>144</v>
      </c>
      <c r="G460" s="32" t="s">
        <v>46</v>
      </c>
      <c r="H460" s="32" t="s">
        <v>87</v>
      </c>
      <c r="I460" s="32">
        <v>54.853999999999999</v>
      </c>
      <c r="J460" s="32">
        <v>12.189</v>
      </c>
      <c r="K460" s="32" t="b">
        <v>1</v>
      </c>
      <c r="L460" s="32" t="s">
        <v>63</v>
      </c>
      <c r="M460" s="32" t="s">
        <v>63</v>
      </c>
      <c r="N460" s="34">
        <v>46061</v>
      </c>
      <c r="O460" s="35" t="str">
        <f t="shared" si="1"/>
        <v>Phạm Tiến Dũng</v>
      </c>
    </row>
    <row r="461" spans="1:15">
      <c r="A461" s="32" t="s">
        <v>70</v>
      </c>
      <c r="B461" s="32" t="s">
        <v>44</v>
      </c>
      <c r="C461" s="33">
        <v>46032</v>
      </c>
      <c r="D461" s="32">
        <v>913352939</v>
      </c>
      <c r="E461" s="32">
        <v>511935418</v>
      </c>
      <c r="F461" s="32" t="s">
        <v>71</v>
      </c>
      <c r="G461" s="32" t="s">
        <v>46</v>
      </c>
      <c r="H461" s="32" t="s">
        <v>51</v>
      </c>
      <c r="I461" s="32">
        <v>905.14599999999996</v>
      </c>
      <c r="J461" s="32">
        <v>145.78700000000001</v>
      </c>
      <c r="K461" s="32" t="b">
        <v>1</v>
      </c>
      <c r="L461" s="32" t="s">
        <v>47</v>
      </c>
      <c r="M461" s="32" t="s">
        <v>48</v>
      </c>
      <c r="N461" s="32" t="s">
        <v>199</v>
      </c>
      <c r="O461" s="35" t="str">
        <f t="shared" si="1"/>
        <v>Dương Nhật Phương</v>
      </c>
    </row>
    <row r="462" spans="1:15">
      <c r="A462" s="32" t="s">
        <v>194</v>
      </c>
      <c r="B462" s="32" t="s">
        <v>44</v>
      </c>
      <c r="C462" s="33">
        <v>46032</v>
      </c>
      <c r="D462" s="32">
        <v>948445577</v>
      </c>
      <c r="E462" s="32">
        <v>492056911</v>
      </c>
      <c r="F462" s="32" t="s">
        <v>195</v>
      </c>
      <c r="G462" s="32" t="s">
        <v>46</v>
      </c>
      <c r="H462" s="32" t="s">
        <v>58</v>
      </c>
      <c r="I462" s="32">
        <v>81.927999999999997</v>
      </c>
      <c r="J462" s="32">
        <v>55.540999999999997</v>
      </c>
      <c r="K462" s="32" t="b">
        <v>1</v>
      </c>
      <c r="L462" s="32" t="s">
        <v>47</v>
      </c>
      <c r="M462" s="32" t="s">
        <v>48</v>
      </c>
      <c r="N462" s="32" t="s">
        <v>137</v>
      </c>
      <c r="O462" s="35" t="str">
        <f t="shared" si="1"/>
        <v>Tiêu Văn Y</v>
      </c>
    </row>
    <row r="463" spans="1:15">
      <c r="A463" s="32" t="s">
        <v>194</v>
      </c>
      <c r="B463" s="32" t="s">
        <v>44</v>
      </c>
      <c r="C463" s="33">
        <v>46032</v>
      </c>
      <c r="D463" s="32">
        <v>948445577</v>
      </c>
      <c r="E463" s="32">
        <v>492056911</v>
      </c>
      <c r="F463" s="32" t="s">
        <v>195</v>
      </c>
      <c r="G463" s="32" t="s">
        <v>46</v>
      </c>
      <c r="H463" s="32" t="s">
        <v>58</v>
      </c>
      <c r="I463" s="32">
        <v>81.927999999999997</v>
      </c>
      <c r="J463" s="32">
        <v>55.540999999999997</v>
      </c>
      <c r="K463" s="32" t="b">
        <v>1</v>
      </c>
      <c r="L463" s="32" t="s">
        <v>47</v>
      </c>
      <c r="M463" s="32" t="s">
        <v>48</v>
      </c>
      <c r="N463" s="32" t="s">
        <v>137</v>
      </c>
      <c r="O463" s="35" t="str">
        <f t="shared" si="1"/>
        <v>Tiêu Văn Y</v>
      </c>
    </row>
    <row r="464" spans="1:15">
      <c r="A464" s="32" t="s">
        <v>70</v>
      </c>
      <c r="B464" s="32" t="s">
        <v>44</v>
      </c>
      <c r="C464" s="33">
        <v>46032</v>
      </c>
      <c r="D464" s="32">
        <v>913352939</v>
      </c>
      <c r="E464" s="32">
        <v>511935418</v>
      </c>
      <c r="F464" s="32" t="s">
        <v>71</v>
      </c>
      <c r="G464" s="32" t="s">
        <v>46</v>
      </c>
      <c r="H464" s="32" t="s">
        <v>51</v>
      </c>
      <c r="I464" s="32">
        <v>1251.701</v>
      </c>
      <c r="J464" s="32">
        <v>135.81899999999999</v>
      </c>
      <c r="K464" s="32" t="b">
        <v>1</v>
      </c>
      <c r="L464" s="32" t="s">
        <v>47</v>
      </c>
      <c r="M464" s="32" t="s">
        <v>48</v>
      </c>
      <c r="N464" s="34">
        <v>46213</v>
      </c>
      <c r="O464" s="35" t="str">
        <f t="shared" si="1"/>
        <v>Dương Nhật Phương</v>
      </c>
    </row>
    <row r="465" spans="1:15">
      <c r="A465" s="32" t="s">
        <v>52</v>
      </c>
      <c r="B465" s="32" t="s">
        <v>44</v>
      </c>
      <c r="C465" s="33">
        <v>46032</v>
      </c>
      <c r="D465" s="32">
        <v>915282271</v>
      </c>
      <c r="E465" s="32">
        <v>437354149</v>
      </c>
      <c r="F465" s="32" t="s">
        <v>53</v>
      </c>
      <c r="G465" s="32" t="s">
        <v>46</v>
      </c>
      <c r="H465" s="32" t="s">
        <v>58</v>
      </c>
      <c r="I465" s="32">
        <v>903.04899999999998</v>
      </c>
      <c r="J465" s="32">
        <v>153.92400000000001</v>
      </c>
      <c r="K465" s="32" t="b">
        <v>1</v>
      </c>
      <c r="L465" s="32" t="s">
        <v>47</v>
      </c>
      <c r="M465" s="32" t="s">
        <v>48</v>
      </c>
      <c r="N465" s="34">
        <v>46148</v>
      </c>
      <c r="O465" s="35" t="str">
        <f t="shared" si="1"/>
        <v>Nguyễn Hoàng Tuấn</v>
      </c>
    </row>
    <row r="466" spans="1:15">
      <c r="A466" s="32" t="s">
        <v>52</v>
      </c>
      <c r="B466" s="32" t="s">
        <v>44</v>
      </c>
      <c r="C466" s="33">
        <v>46032</v>
      </c>
      <c r="D466" s="32">
        <v>915282271</v>
      </c>
      <c r="E466" s="32">
        <v>437354149</v>
      </c>
      <c r="F466" s="32" t="s">
        <v>53</v>
      </c>
      <c r="G466" s="32" t="s">
        <v>46</v>
      </c>
      <c r="H466" s="32" t="s">
        <v>58</v>
      </c>
      <c r="I466" s="32">
        <v>903.04899999999998</v>
      </c>
      <c r="J466" s="32">
        <v>153.92400000000001</v>
      </c>
      <c r="K466" s="32" t="b">
        <v>1</v>
      </c>
      <c r="L466" s="32" t="s">
        <v>47</v>
      </c>
      <c r="M466" s="32" t="s">
        <v>48</v>
      </c>
      <c r="N466" s="34">
        <v>46148</v>
      </c>
      <c r="O466" s="35" t="str">
        <f t="shared" si="1"/>
        <v>Nguyễn Hoàng Tuấn</v>
      </c>
    </row>
    <row r="467" spans="1:15">
      <c r="A467" s="32" t="s">
        <v>88</v>
      </c>
      <c r="B467" s="32" t="s">
        <v>44</v>
      </c>
      <c r="C467" s="33">
        <v>46032</v>
      </c>
      <c r="D467" s="32">
        <v>918611919</v>
      </c>
      <c r="E467" s="32">
        <v>321677895</v>
      </c>
      <c r="F467" s="32" t="s">
        <v>65</v>
      </c>
      <c r="G467" s="32" t="s">
        <v>46</v>
      </c>
      <c r="H467" s="32" t="s">
        <v>51</v>
      </c>
      <c r="I467" s="32">
        <v>347.48399999999998</v>
      </c>
      <c r="J467" s="32">
        <v>11.199</v>
      </c>
      <c r="K467" s="32" t="b">
        <v>0</v>
      </c>
      <c r="L467" s="32" t="s">
        <v>47</v>
      </c>
      <c r="M467" s="32" t="s">
        <v>63</v>
      </c>
      <c r="N467" s="34">
        <v>46191</v>
      </c>
      <c r="O467" s="35" t="str">
        <f t="shared" si="1"/>
        <v>Huỳnh Phước Yên</v>
      </c>
    </row>
    <row r="468" spans="1:15">
      <c r="A468" s="32" t="s">
        <v>81</v>
      </c>
      <c r="B468" s="32" t="s">
        <v>44</v>
      </c>
      <c r="C468" s="33">
        <v>46032</v>
      </c>
      <c r="D468" s="32">
        <v>832428439</v>
      </c>
      <c r="E468" s="32">
        <v>494036091</v>
      </c>
      <c r="F468" s="32" t="s">
        <v>82</v>
      </c>
      <c r="G468" s="32" t="s">
        <v>46</v>
      </c>
      <c r="H468" s="32" t="s">
        <v>145</v>
      </c>
      <c r="I468" s="32">
        <v>43.253999999999998</v>
      </c>
      <c r="J468" s="32">
        <v>37.164999999999999</v>
      </c>
      <c r="K468" s="32" t="b">
        <v>1</v>
      </c>
      <c r="L468" s="32" t="s">
        <v>79</v>
      </c>
      <c r="M468" s="32" t="s">
        <v>48</v>
      </c>
      <c r="N468" s="34">
        <v>46145</v>
      </c>
      <c r="O468" s="35" t="str">
        <f t="shared" si="1"/>
        <v>Phù Hoàng Thành</v>
      </c>
    </row>
    <row r="469" spans="1:15">
      <c r="A469" s="32" t="s">
        <v>81</v>
      </c>
      <c r="B469" s="32" t="s">
        <v>44</v>
      </c>
      <c r="C469" s="33">
        <v>46032</v>
      </c>
      <c r="D469" s="32">
        <v>852226484</v>
      </c>
      <c r="E469" s="32">
        <v>494036091</v>
      </c>
      <c r="F469" s="32" t="s">
        <v>82</v>
      </c>
      <c r="G469" s="32" t="s">
        <v>46</v>
      </c>
      <c r="H469" s="32" t="s">
        <v>145</v>
      </c>
      <c r="I469" s="32">
        <v>43.253999999999998</v>
      </c>
      <c r="J469" s="32">
        <v>37.164999999999999</v>
      </c>
      <c r="K469" s="32" t="b">
        <v>1</v>
      </c>
      <c r="L469" s="32" t="s">
        <v>79</v>
      </c>
      <c r="M469" s="32" t="s">
        <v>48</v>
      </c>
      <c r="N469" s="34">
        <v>46145</v>
      </c>
      <c r="O469" s="35" t="str">
        <f t="shared" si="1"/>
        <v>Phù Hoàng Thành</v>
      </c>
    </row>
    <row r="470" spans="1:15">
      <c r="A470" s="32" t="s">
        <v>85</v>
      </c>
      <c r="B470" s="32" t="s">
        <v>44</v>
      </c>
      <c r="C470" s="33">
        <v>46032</v>
      </c>
      <c r="D470" s="32">
        <v>918128333</v>
      </c>
      <c r="E470" s="32">
        <v>362213178</v>
      </c>
      <c r="F470" s="32" t="s">
        <v>86</v>
      </c>
      <c r="G470" s="32" t="s">
        <v>46</v>
      </c>
      <c r="H470" s="32" t="s">
        <v>87</v>
      </c>
      <c r="I470" s="32">
        <v>779.404</v>
      </c>
      <c r="J470" s="32">
        <v>43.08</v>
      </c>
      <c r="K470" s="32" t="b">
        <v>1</v>
      </c>
      <c r="L470" s="32" t="s">
        <v>47</v>
      </c>
      <c r="M470" s="32" t="s">
        <v>48</v>
      </c>
      <c r="N470" s="34">
        <v>46245</v>
      </c>
      <c r="O470" s="35" t="str">
        <f t="shared" si="1"/>
        <v>Trần Minh Tuấn1</v>
      </c>
    </row>
    <row r="471" spans="1:15">
      <c r="A471" s="32" t="s">
        <v>85</v>
      </c>
      <c r="B471" s="32" t="s">
        <v>44</v>
      </c>
      <c r="C471" s="33">
        <v>46032</v>
      </c>
      <c r="D471" s="32">
        <v>918128333</v>
      </c>
      <c r="E471" s="32">
        <v>362213178</v>
      </c>
      <c r="F471" s="32" t="s">
        <v>86</v>
      </c>
      <c r="G471" s="32" t="s">
        <v>46</v>
      </c>
      <c r="H471" s="32" t="s">
        <v>87</v>
      </c>
      <c r="I471" s="32">
        <v>212.69200000000001</v>
      </c>
      <c r="J471" s="32">
        <v>34.619</v>
      </c>
      <c r="K471" s="32" t="b">
        <v>1</v>
      </c>
      <c r="L471" s="32" t="s">
        <v>47</v>
      </c>
      <c r="M471" s="32" t="s">
        <v>48</v>
      </c>
      <c r="N471" s="34">
        <v>46027</v>
      </c>
      <c r="O471" s="35" t="str">
        <f t="shared" si="1"/>
        <v>Trần Minh Tuấn1</v>
      </c>
    </row>
    <row r="472" spans="1:15">
      <c r="A472" s="32" t="s">
        <v>96</v>
      </c>
      <c r="B472" s="32" t="s">
        <v>44</v>
      </c>
      <c r="C472" s="33">
        <v>46032</v>
      </c>
      <c r="D472" s="32">
        <v>914390007</v>
      </c>
      <c r="E472" s="32">
        <v>504830634</v>
      </c>
      <c r="F472" s="32" t="s">
        <v>60</v>
      </c>
      <c r="G472" s="32" t="s">
        <v>46</v>
      </c>
      <c r="H472" s="32" t="s">
        <v>51</v>
      </c>
      <c r="I472" s="32">
        <v>60.113999999999997</v>
      </c>
      <c r="J472" s="32">
        <v>31.068999999999999</v>
      </c>
      <c r="K472" s="32" t="b">
        <v>1</v>
      </c>
      <c r="L472" s="32" t="s">
        <v>47</v>
      </c>
      <c r="M472" s="32" t="s">
        <v>48</v>
      </c>
      <c r="N472" s="32" t="s">
        <v>150</v>
      </c>
      <c r="O472" s="35" t="str">
        <f t="shared" si="1"/>
        <v>Võ Quốc Huy</v>
      </c>
    </row>
    <row r="473" spans="1:15">
      <c r="A473" s="32" t="s">
        <v>91</v>
      </c>
      <c r="B473" s="32" t="s">
        <v>44</v>
      </c>
      <c r="C473" s="33">
        <v>46032</v>
      </c>
      <c r="D473" s="32">
        <v>917714086</v>
      </c>
      <c r="E473" s="32">
        <v>514807788</v>
      </c>
      <c r="F473" s="32" t="s">
        <v>92</v>
      </c>
      <c r="G473" s="32" t="s">
        <v>46</v>
      </c>
      <c r="H473" s="32" t="s">
        <v>51</v>
      </c>
      <c r="I473" s="32">
        <v>1049.125</v>
      </c>
      <c r="J473" s="32">
        <v>120.881</v>
      </c>
      <c r="K473" s="32" t="b">
        <v>1</v>
      </c>
      <c r="L473" s="32" t="s">
        <v>79</v>
      </c>
      <c r="M473" s="32" t="s">
        <v>48</v>
      </c>
      <c r="N473" s="32" t="s">
        <v>100</v>
      </c>
      <c r="O473" s="35" t="str">
        <f t="shared" si="1"/>
        <v>Lê Hoàng Vinh</v>
      </c>
    </row>
    <row r="474" spans="1:15">
      <c r="A474" s="32" t="s">
        <v>159</v>
      </c>
      <c r="B474" s="32" t="s">
        <v>44</v>
      </c>
      <c r="C474" s="33">
        <v>46031</v>
      </c>
      <c r="D474" s="32">
        <v>917259777</v>
      </c>
      <c r="E474" s="32">
        <v>464238079</v>
      </c>
      <c r="F474" s="32" t="s">
        <v>160</v>
      </c>
      <c r="G474" s="32" t="s">
        <v>46</v>
      </c>
      <c r="H474" s="32" t="s">
        <v>18</v>
      </c>
      <c r="I474" s="32">
        <v>71.731999999999999</v>
      </c>
      <c r="J474" s="32">
        <v>50.904000000000003</v>
      </c>
      <c r="K474" s="32" t="b">
        <v>1</v>
      </c>
      <c r="L474" s="32" t="s">
        <v>63</v>
      </c>
      <c r="M474" s="32" t="s">
        <v>48</v>
      </c>
      <c r="N474" s="34">
        <v>46092</v>
      </c>
      <c r="O474" s="35" t="str">
        <f t="shared" si="1"/>
        <v>Ngô Văn Tâm</v>
      </c>
    </row>
    <row r="475" spans="1:15">
      <c r="A475" s="32" t="s">
        <v>143</v>
      </c>
      <c r="B475" s="32" t="s">
        <v>44</v>
      </c>
      <c r="C475" s="33">
        <v>46031</v>
      </c>
      <c r="D475" s="32">
        <v>915907377</v>
      </c>
      <c r="E475" s="32">
        <v>243492200</v>
      </c>
      <c r="F475" s="32" t="s">
        <v>144</v>
      </c>
      <c r="G475" s="32" t="s">
        <v>46</v>
      </c>
      <c r="H475" s="32" t="s">
        <v>87</v>
      </c>
      <c r="I475" s="32">
        <v>16.501999999999999</v>
      </c>
      <c r="J475" s="32">
        <v>9.7859999999999996</v>
      </c>
      <c r="K475" s="32" t="b">
        <v>1</v>
      </c>
      <c r="L475" s="32" t="s">
        <v>63</v>
      </c>
      <c r="M475" s="32" t="s">
        <v>63</v>
      </c>
      <c r="N475" s="34">
        <v>46177</v>
      </c>
      <c r="O475" s="35" t="str">
        <f t="shared" si="1"/>
        <v>Phạm Tiến Dũng</v>
      </c>
    </row>
    <row r="476" spans="1:15">
      <c r="A476" s="32" t="s">
        <v>143</v>
      </c>
      <c r="B476" s="32" t="s">
        <v>44</v>
      </c>
      <c r="C476" s="33">
        <v>46031</v>
      </c>
      <c r="D476" s="32">
        <v>915907377</v>
      </c>
      <c r="E476" s="32">
        <v>243492200</v>
      </c>
      <c r="F476" s="32" t="s">
        <v>144</v>
      </c>
      <c r="G476" s="32" t="s">
        <v>46</v>
      </c>
      <c r="H476" s="32" t="s">
        <v>87</v>
      </c>
      <c r="I476" s="32">
        <v>16.501999999999999</v>
      </c>
      <c r="J476" s="32">
        <v>9.7859999999999996</v>
      </c>
      <c r="K476" s="32" t="b">
        <v>1</v>
      </c>
      <c r="L476" s="32" t="s">
        <v>63</v>
      </c>
      <c r="M476" s="32" t="s">
        <v>63</v>
      </c>
      <c r="N476" s="34">
        <v>46177</v>
      </c>
      <c r="O476" s="35" t="str">
        <f t="shared" si="1"/>
        <v>Phạm Tiến Dũng</v>
      </c>
    </row>
    <row r="477" spans="1:15">
      <c r="A477" s="32" t="s">
        <v>106</v>
      </c>
      <c r="B477" s="32" t="s">
        <v>44</v>
      </c>
      <c r="C477" s="33">
        <v>46031</v>
      </c>
      <c r="D477" s="32">
        <v>911039328</v>
      </c>
      <c r="E477" s="32">
        <v>404632975</v>
      </c>
      <c r="F477" s="32" t="s">
        <v>107</v>
      </c>
      <c r="G477" s="32" t="s">
        <v>46</v>
      </c>
      <c r="H477" s="32" t="s">
        <v>18</v>
      </c>
      <c r="I477" s="32">
        <v>134.191</v>
      </c>
      <c r="J477" s="32">
        <v>36.774999999999999</v>
      </c>
      <c r="K477" s="32" t="b">
        <v>1</v>
      </c>
      <c r="L477" s="32" t="s">
        <v>47</v>
      </c>
      <c r="M477" s="32" t="s">
        <v>48</v>
      </c>
      <c r="N477" s="34">
        <v>46239</v>
      </c>
      <c r="O477" s="35" t="str">
        <f t="shared" si="1"/>
        <v>Trương Vũ Hải</v>
      </c>
    </row>
    <row r="478" spans="1:15">
      <c r="A478" s="32" t="s">
        <v>106</v>
      </c>
      <c r="B478" s="32" t="s">
        <v>44</v>
      </c>
      <c r="C478" s="33">
        <v>46031</v>
      </c>
      <c r="D478" s="32">
        <v>911039328</v>
      </c>
      <c r="E478" s="32">
        <v>404632975</v>
      </c>
      <c r="F478" s="32" t="s">
        <v>107</v>
      </c>
      <c r="G478" s="32" t="s">
        <v>46</v>
      </c>
      <c r="H478" s="32" t="s">
        <v>18</v>
      </c>
      <c r="I478" s="32">
        <v>134.495</v>
      </c>
      <c r="J478" s="32">
        <v>30.614000000000001</v>
      </c>
      <c r="K478" s="32" t="b">
        <v>1</v>
      </c>
      <c r="L478" s="32" t="s">
        <v>47</v>
      </c>
      <c r="M478" s="32" t="s">
        <v>48</v>
      </c>
      <c r="N478" s="34">
        <v>46249</v>
      </c>
      <c r="O478" s="35" t="str">
        <f t="shared" si="1"/>
        <v>Trương Vũ Hải</v>
      </c>
    </row>
    <row r="479" spans="1:15">
      <c r="A479" s="32" t="s">
        <v>106</v>
      </c>
      <c r="B479" s="32" t="s">
        <v>44</v>
      </c>
      <c r="C479" s="33">
        <v>46031</v>
      </c>
      <c r="D479" s="32">
        <v>911039328</v>
      </c>
      <c r="E479" s="32">
        <v>404632975</v>
      </c>
      <c r="F479" s="32" t="s">
        <v>107</v>
      </c>
      <c r="G479" s="32" t="s">
        <v>46</v>
      </c>
      <c r="H479" s="32" t="s">
        <v>18</v>
      </c>
      <c r="I479" s="32">
        <v>126.48699999999999</v>
      </c>
      <c r="J479" s="32">
        <v>42.905999999999999</v>
      </c>
      <c r="K479" s="32" t="b">
        <v>1</v>
      </c>
      <c r="L479" s="32" t="s">
        <v>47</v>
      </c>
      <c r="M479" s="32" t="s">
        <v>48</v>
      </c>
      <c r="N479" s="34">
        <v>46120</v>
      </c>
      <c r="O479" s="35" t="str">
        <f t="shared" si="1"/>
        <v>Trương Vũ Hải</v>
      </c>
    </row>
    <row r="480" spans="1:15">
      <c r="A480" s="32" t="s">
        <v>106</v>
      </c>
      <c r="B480" s="32" t="s">
        <v>44</v>
      </c>
      <c r="C480" s="33">
        <v>46031</v>
      </c>
      <c r="D480" s="32">
        <v>911039328</v>
      </c>
      <c r="E480" s="32">
        <v>404632975</v>
      </c>
      <c r="F480" s="32" t="s">
        <v>107</v>
      </c>
      <c r="G480" s="32" t="s">
        <v>46</v>
      </c>
      <c r="H480" s="32" t="s">
        <v>18</v>
      </c>
      <c r="I480" s="32">
        <v>129.82</v>
      </c>
      <c r="J480" s="32">
        <v>34.729999999999997</v>
      </c>
      <c r="K480" s="32" t="b">
        <v>1</v>
      </c>
      <c r="L480" s="32" t="s">
        <v>47</v>
      </c>
      <c r="M480" s="32" t="s">
        <v>48</v>
      </c>
      <c r="N480" s="34">
        <v>46059</v>
      </c>
      <c r="O480" s="35" t="str">
        <f t="shared" si="1"/>
        <v>Trương Vũ Hải</v>
      </c>
    </row>
    <row r="481" spans="1:15">
      <c r="A481" s="32" t="s">
        <v>106</v>
      </c>
      <c r="B481" s="32" t="s">
        <v>44</v>
      </c>
      <c r="C481" s="33">
        <v>46031</v>
      </c>
      <c r="D481" s="32">
        <v>911039328</v>
      </c>
      <c r="E481" s="32">
        <v>404632975</v>
      </c>
      <c r="F481" s="32" t="s">
        <v>107</v>
      </c>
      <c r="G481" s="32" t="s">
        <v>46</v>
      </c>
      <c r="H481" s="32" t="s">
        <v>18</v>
      </c>
      <c r="I481" s="32">
        <v>131.21100000000001</v>
      </c>
      <c r="J481" s="32">
        <v>32.597999999999999</v>
      </c>
      <c r="K481" s="32" t="b">
        <v>1</v>
      </c>
      <c r="L481" s="32" t="s">
        <v>47</v>
      </c>
      <c r="M481" s="32" t="s">
        <v>48</v>
      </c>
      <c r="N481" s="34">
        <v>46146</v>
      </c>
      <c r="O481" s="35" t="str">
        <f t="shared" si="1"/>
        <v>Trương Vũ Hải</v>
      </c>
    </row>
    <row r="482" spans="1:15">
      <c r="A482" s="32" t="s">
        <v>200</v>
      </c>
      <c r="B482" s="32" t="s">
        <v>44</v>
      </c>
      <c r="C482" s="33">
        <v>46031</v>
      </c>
      <c r="D482" s="32">
        <v>819286567</v>
      </c>
      <c r="E482" s="32">
        <v>426482510</v>
      </c>
      <c r="F482" s="32" t="s">
        <v>107</v>
      </c>
      <c r="G482" s="32" t="s">
        <v>46</v>
      </c>
      <c r="H482" s="32" t="s">
        <v>58</v>
      </c>
      <c r="I482" s="32">
        <v>9.3989999999999991</v>
      </c>
      <c r="J482" s="32">
        <v>11.364000000000001</v>
      </c>
      <c r="K482" s="32" t="b">
        <v>0</v>
      </c>
      <c r="L482" s="32" t="s">
        <v>47</v>
      </c>
      <c r="M482" s="32" t="s">
        <v>48</v>
      </c>
      <c r="N482" s="34">
        <v>46162</v>
      </c>
      <c r="O482" s="35" t="str">
        <f t="shared" si="1"/>
        <v>Phạm Hoàng Giang</v>
      </c>
    </row>
    <row r="483" spans="1:15">
      <c r="A483" s="32" t="s">
        <v>91</v>
      </c>
      <c r="B483" s="32" t="s">
        <v>44</v>
      </c>
      <c r="C483" s="33">
        <v>46031</v>
      </c>
      <c r="D483" s="32">
        <v>917714086</v>
      </c>
      <c r="E483" s="32">
        <v>514807788</v>
      </c>
      <c r="F483" s="32" t="s">
        <v>92</v>
      </c>
      <c r="G483" s="32" t="s">
        <v>46</v>
      </c>
      <c r="H483" s="32" t="s">
        <v>51</v>
      </c>
      <c r="I483" s="32">
        <v>475.65</v>
      </c>
      <c r="J483" s="32">
        <v>39.957000000000001</v>
      </c>
      <c r="K483" s="32" t="b">
        <v>1</v>
      </c>
      <c r="L483" s="32" t="s">
        <v>79</v>
      </c>
      <c r="M483" s="32" t="s">
        <v>48</v>
      </c>
      <c r="N483" s="34">
        <v>46145</v>
      </c>
      <c r="O483" s="35" t="str">
        <f t="shared" si="1"/>
        <v>Lê Hoàng Vinh</v>
      </c>
    </row>
    <row r="484" spans="1:15">
      <c r="A484" s="32" t="s">
        <v>136</v>
      </c>
      <c r="B484" s="32" t="s">
        <v>44</v>
      </c>
      <c r="C484" s="33">
        <v>46031</v>
      </c>
      <c r="D484" s="32">
        <v>917773898</v>
      </c>
      <c r="E484" s="32">
        <v>505313750</v>
      </c>
      <c r="F484" s="32" t="s">
        <v>122</v>
      </c>
      <c r="G484" s="32" t="s">
        <v>46</v>
      </c>
      <c r="H484" s="32" t="s">
        <v>51</v>
      </c>
      <c r="I484" s="32">
        <v>78.959000000000003</v>
      </c>
      <c r="J484" s="32">
        <v>32.055999999999997</v>
      </c>
      <c r="K484" s="32" t="b">
        <v>1</v>
      </c>
      <c r="L484" s="32" t="s">
        <v>47</v>
      </c>
      <c r="M484" s="32" t="s">
        <v>48</v>
      </c>
      <c r="N484" s="34">
        <v>46024</v>
      </c>
      <c r="O484" s="35" t="str">
        <f t="shared" si="1"/>
        <v>Lê Xuân Trình</v>
      </c>
    </row>
    <row r="485" spans="1:15">
      <c r="A485" s="32" t="s">
        <v>136</v>
      </c>
      <c r="B485" s="32" t="s">
        <v>44</v>
      </c>
      <c r="C485" s="33">
        <v>46031</v>
      </c>
      <c r="D485" s="32">
        <v>917773898</v>
      </c>
      <c r="E485" s="32">
        <v>505313750</v>
      </c>
      <c r="F485" s="32" t="s">
        <v>122</v>
      </c>
      <c r="G485" s="32" t="s">
        <v>46</v>
      </c>
      <c r="H485" s="32" t="s">
        <v>51</v>
      </c>
      <c r="I485" s="32">
        <v>65.712000000000003</v>
      </c>
      <c r="J485" s="32">
        <v>26.45</v>
      </c>
      <c r="K485" s="32" t="b">
        <v>1</v>
      </c>
      <c r="L485" s="32" t="s">
        <v>47</v>
      </c>
      <c r="M485" s="32" t="s">
        <v>48</v>
      </c>
      <c r="N485" s="34">
        <v>46144</v>
      </c>
      <c r="O485" s="35" t="str">
        <f t="shared" si="1"/>
        <v>Lê Xuân Trình</v>
      </c>
    </row>
    <row r="486" spans="1:15">
      <c r="A486" s="32" t="s">
        <v>136</v>
      </c>
      <c r="B486" s="32" t="s">
        <v>44</v>
      </c>
      <c r="C486" s="33">
        <v>46031</v>
      </c>
      <c r="D486" s="32">
        <v>917773898</v>
      </c>
      <c r="E486" s="32">
        <v>505313750</v>
      </c>
      <c r="F486" s="32" t="s">
        <v>122</v>
      </c>
      <c r="G486" s="32" t="s">
        <v>46</v>
      </c>
      <c r="H486" s="32" t="s">
        <v>51</v>
      </c>
      <c r="I486" s="32">
        <v>61.085000000000001</v>
      </c>
      <c r="J486" s="32">
        <v>32.1</v>
      </c>
      <c r="K486" s="32" t="b">
        <v>1</v>
      </c>
      <c r="L486" s="32" t="s">
        <v>47</v>
      </c>
      <c r="M486" s="32" t="s">
        <v>48</v>
      </c>
      <c r="N486" s="34">
        <v>46121</v>
      </c>
      <c r="O486" s="35" t="str">
        <f t="shared" si="1"/>
        <v>Lê Xuân Trình</v>
      </c>
    </row>
    <row r="487" spans="1:15">
      <c r="A487" s="32" t="s">
        <v>136</v>
      </c>
      <c r="B487" s="32" t="s">
        <v>44</v>
      </c>
      <c r="C487" s="33">
        <v>46031</v>
      </c>
      <c r="D487" s="32">
        <v>917773898</v>
      </c>
      <c r="E487" s="32">
        <v>505313750</v>
      </c>
      <c r="F487" s="32" t="s">
        <v>122</v>
      </c>
      <c r="G487" s="32" t="s">
        <v>46</v>
      </c>
      <c r="H487" s="32" t="s">
        <v>51</v>
      </c>
      <c r="I487" s="32">
        <v>36.384</v>
      </c>
      <c r="J487" s="32">
        <v>38.351999999999997</v>
      </c>
      <c r="K487" s="32" t="b">
        <v>1</v>
      </c>
      <c r="L487" s="32" t="s">
        <v>47</v>
      </c>
      <c r="M487" s="32" t="s">
        <v>48</v>
      </c>
      <c r="N487" s="32" t="s">
        <v>105</v>
      </c>
      <c r="O487" s="35" t="str">
        <f t="shared" si="1"/>
        <v>Lê Xuân Trình</v>
      </c>
    </row>
    <row r="488" spans="1:15">
      <c r="A488" s="32" t="s">
        <v>136</v>
      </c>
      <c r="B488" s="32" t="s">
        <v>44</v>
      </c>
      <c r="C488" s="33">
        <v>46031</v>
      </c>
      <c r="D488" s="32">
        <v>917773898</v>
      </c>
      <c r="E488" s="32">
        <v>505313750</v>
      </c>
      <c r="F488" s="32" t="s">
        <v>122</v>
      </c>
      <c r="G488" s="32" t="s">
        <v>46</v>
      </c>
      <c r="H488" s="32" t="s">
        <v>51</v>
      </c>
      <c r="I488" s="32">
        <v>69.191999999999993</v>
      </c>
      <c r="J488" s="32">
        <v>39.56</v>
      </c>
      <c r="K488" s="32" t="b">
        <v>1</v>
      </c>
      <c r="L488" s="32" t="s">
        <v>47</v>
      </c>
      <c r="M488" s="32" t="s">
        <v>48</v>
      </c>
      <c r="N488" s="34">
        <v>46084</v>
      </c>
      <c r="O488" s="35" t="str">
        <f t="shared" si="1"/>
        <v>Lê Xuân Trình</v>
      </c>
    </row>
    <row r="489" spans="1:15">
      <c r="A489" s="32" t="s">
        <v>136</v>
      </c>
      <c r="B489" s="32" t="s">
        <v>44</v>
      </c>
      <c r="C489" s="33">
        <v>46031</v>
      </c>
      <c r="D489" s="32">
        <v>917773898</v>
      </c>
      <c r="E489" s="32">
        <v>505313750</v>
      </c>
      <c r="F489" s="32" t="s">
        <v>122</v>
      </c>
      <c r="G489" s="32" t="s">
        <v>46</v>
      </c>
      <c r="H489" s="32" t="s">
        <v>51</v>
      </c>
      <c r="I489" s="32">
        <v>178.595</v>
      </c>
      <c r="J489" s="32">
        <v>63.508000000000003</v>
      </c>
      <c r="K489" s="32" t="b">
        <v>1</v>
      </c>
      <c r="L489" s="32" t="s">
        <v>47</v>
      </c>
      <c r="M489" s="32" t="s">
        <v>48</v>
      </c>
      <c r="N489" s="34">
        <v>46059</v>
      </c>
      <c r="O489" s="35" t="str">
        <f t="shared" si="1"/>
        <v>Lê Xuân Trình</v>
      </c>
    </row>
    <row r="490" spans="1:15">
      <c r="A490" s="32" t="s">
        <v>136</v>
      </c>
      <c r="B490" s="32" t="s">
        <v>44</v>
      </c>
      <c r="C490" s="33">
        <v>46031</v>
      </c>
      <c r="D490" s="32">
        <v>917773898</v>
      </c>
      <c r="E490" s="32">
        <v>505313750</v>
      </c>
      <c r="F490" s="32" t="s">
        <v>122</v>
      </c>
      <c r="G490" s="32" t="s">
        <v>46</v>
      </c>
      <c r="H490" s="32" t="s">
        <v>51</v>
      </c>
      <c r="I490" s="32">
        <v>112.69</v>
      </c>
      <c r="J490" s="32">
        <v>59.523000000000003</v>
      </c>
      <c r="K490" s="32" t="b">
        <v>1</v>
      </c>
      <c r="L490" s="32" t="s">
        <v>47</v>
      </c>
      <c r="M490" s="32" t="s">
        <v>48</v>
      </c>
      <c r="N490" s="34">
        <v>46119</v>
      </c>
      <c r="O490" s="35" t="str">
        <f t="shared" si="1"/>
        <v>Lê Xuân Trình</v>
      </c>
    </row>
    <row r="491" spans="1:15">
      <c r="A491" s="32" t="s">
        <v>136</v>
      </c>
      <c r="B491" s="32" t="s">
        <v>44</v>
      </c>
      <c r="C491" s="33">
        <v>46031</v>
      </c>
      <c r="D491" s="32">
        <v>917773898</v>
      </c>
      <c r="E491" s="32">
        <v>505313750</v>
      </c>
      <c r="F491" s="32" t="s">
        <v>122</v>
      </c>
      <c r="G491" s="32" t="s">
        <v>46</v>
      </c>
      <c r="H491" s="32" t="s">
        <v>51</v>
      </c>
      <c r="I491" s="32">
        <v>193.28299999999999</v>
      </c>
      <c r="J491" s="32">
        <v>79.918000000000006</v>
      </c>
      <c r="K491" s="32" t="b">
        <v>1</v>
      </c>
      <c r="L491" s="32" t="s">
        <v>47</v>
      </c>
      <c r="M491" s="32" t="s">
        <v>48</v>
      </c>
      <c r="N491" s="32" t="s">
        <v>158</v>
      </c>
      <c r="O491" s="35" t="str">
        <f t="shared" si="1"/>
        <v>Lê Xuân Trình</v>
      </c>
    </row>
    <row r="492" spans="1:15">
      <c r="A492" s="32" t="s">
        <v>70</v>
      </c>
      <c r="B492" s="32" t="s">
        <v>44</v>
      </c>
      <c r="C492" s="33">
        <v>46031</v>
      </c>
      <c r="D492" s="32">
        <v>913352939</v>
      </c>
      <c r="E492" s="32">
        <v>511935418</v>
      </c>
      <c r="F492" s="32" t="s">
        <v>71</v>
      </c>
      <c r="G492" s="32" t="s">
        <v>46</v>
      </c>
      <c r="H492" s="32" t="s">
        <v>51</v>
      </c>
      <c r="I492" s="32">
        <v>1297.665</v>
      </c>
      <c r="J492" s="32">
        <v>108.529</v>
      </c>
      <c r="K492" s="32" t="b">
        <v>1</v>
      </c>
      <c r="L492" s="32" t="s">
        <v>47</v>
      </c>
      <c r="M492" s="32" t="s">
        <v>48</v>
      </c>
      <c r="N492" s="34">
        <v>46028</v>
      </c>
      <c r="O492" s="35" t="str">
        <f t="shared" si="1"/>
        <v>Dương Nhật Phương</v>
      </c>
    </row>
    <row r="493" spans="1:15">
      <c r="A493" s="32" t="s">
        <v>77</v>
      </c>
      <c r="B493" s="32" t="s">
        <v>44</v>
      </c>
      <c r="C493" s="33">
        <v>46031</v>
      </c>
      <c r="D493" s="32">
        <v>945663773</v>
      </c>
      <c r="E493" s="32">
        <v>507335872</v>
      </c>
      <c r="F493" s="32" t="s">
        <v>78</v>
      </c>
      <c r="G493" s="32" t="s">
        <v>46</v>
      </c>
      <c r="H493" s="32" t="s">
        <v>51</v>
      </c>
      <c r="I493" s="32">
        <v>70.881</v>
      </c>
      <c r="J493" s="32">
        <v>2.5710000000000002</v>
      </c>
      <c r="K493" s="32" t="b">
        <v>1</v>
      </c>
      <c r="L493" s="32" t="s">
        <v>79</v>
      </c>
      <c r="M493" s="32" t="s">
        <v>80</v>
      </c>
      <c r="N493" s="32" t="s">
        <v>201</v>
      </c>
      <c r="O493" s="35" t="str">
        <f t="shared" si="1"/>
        <v>Nguyễn Hữu Tân</v>
      </c>
    </row>
    <row r="494" spans="1:15">
      <c r="A494" s="32" t="s">
        <v>77</v>
      </c>
      <c r="B494" s="32" t="s">
        <v>44</v>
      </c>
      <c r="C494" s="33">
        <v>46031</v>
      </c>
      <c r="D494" s="32">
        <v>945663773</v>
      </c>
      <c r="E494" s="32">
        <v>507335872</v>
      </c>
      <c r="F494" s="32" t="s">
        <v>78</v>
      </c>
      <c r="G494" s="32" t="s">
        <v>46</v>
      </c>
      <c r="H494" s="32" t="s">
        <v>51</v>
      </c>
      <c r="I494" s="32">
        <v>52.725000000000001</v>
      </c>
      <c r="J494" s="32">
        <v>8.4619999999999997</v>
      </c>
      <c r="K494" s="32" t="b">
        <v>1</v>
      </c>
      <c r="L494" s="32" t="s">
        <v>79</v>
      </c>
      <c r="M494" s="32" t="s">
        <v>80</v>
      </c>
      <c r="N494" s="34">
        <v>46269</v>
      </c>
      <c r="O494" s="35" t="str">
        <f t="shared" si="1"/>
        <v>Nguyễn Hữu Tân</v>
      </c>
    </row>
    <row r="495" spans="1:15">
      <c r="A495" s="32" t="s">
        <v>136</v>
      </c>
      <c r="B495" s="32" t="s">
        <v>44</v>
      </c>
      <c r="C495" s="33">
        <v>46031</v>
      </c>
      <c r="D495" s="32">
        <v>917773898</v>
      </c>
      <c r="E495" s="32">
        <v>505313750</v>
      </c>
      <c r="F495" s="32" t="s">
        <v>122</v>
      </c>
      <c r="G495" s="32" t="s">
        <v>46</v>
      </c>
      <c r="H495" s="32" t="s">
        <v>51</v>
      </c>
      <c r="I495" s="32">
        <v>42.89</v>
      </c>
      <c r="J495" s="32">
        <v>44.466000000000001</v>
      </c>
      <c r="K495" s="32" t="b">
        <v>1</v>
      </c>
      <c r="L495" s="32" t="s">
        <v>47</v>
      </c>
      <c r="M495" s="32" t="s">
        <v>48</v>
      </c>
      <c r="N495" s="34">
        <v>46267</v>
      </c>
      <c r="O495" s="35" t="str">
        <f t="shared" si="1"/>
        <v>Lê Xuân Trình</v>
      </c>
    </row>
    <row r="496" spans="1:15">
      <c r="A496" s="32" t="s">
        <v>136</v>
      </c>
      <c r="B496" s="32" t="s">
        <v>44</v>
      </c>
      <c r="C496" s="33">
        <v>46031</v>
      </c>
      <c r="D496" s="32">
        <v>917773898</v>
      </c>
      <c r="E496" s="32">
        <v>505313750</v>
      </c>
      <c r="F496" s="32" t="s">
        <v>122</v>
      </c>
      <c r="G496" s="32" t="s">
        <v>46</v>
      </c>
      <c r="H496" s="32" t="s">
        <v>51</v>
      </c>
      <c r="I496" s="32">
        <v>64.11</v>
      </c>
      <c r="J496" s="32">
        <v>53.563000000000002</v>
      </c>
      <c r="K496" s="32" t="b">
        <v>1</v>
      </c>
      <c r="L496" s="32" t="s">
        <v>47</v>
      </c>
      <c r="M496" s="32" t="s">
        <v>48</v>
      </c>
      <c r="N496" s="34">
        <v>46205</v>
      </c>
      <c r="O496" s="35" t="str">
        <f t="shared" si="1"/>
        <v>Lê Xuân Trình</v>
      </c>
    </row>
    <row r="497" spans="1:15">
      <c r="A497" s="32" t="s">
        <v>52</v>
      </c>
      <c r="B497" s="32" t="s">
        <v>44</v>
      </c>
      <c r="C497" s="33">
        <v>46031</v>
      </c>
      <c r="D497" s="32">
        <v>915282271</v>
      </c>
      <c r="E497" s="32">
        <v>437354149</v>
      </c>
      <c r="F497" s="32" t="s">
        <v>53</v>
      </c>
      <c r="G497" s="32" t="s">
        <v>46</v>
      </c>
      <c r="H497" s="32" t="s">
        <v>58</v>
      </c>
      <c r="I497" s="32">
        <v>121.346</v>
      </c>
      <c r="J497" s="32">
        <v>37.503999999999998</v>
      </c>
      <c r="K497" s="32" t="b">
        <v>1</v>
      </c>
      <c r="L497" s="32" t="s">
        <v>47</v>
      </c>
      <c r="M497" s="32" t="s">
        <v>48</v>
      </c>
      <c r="N497" s="32" t="s">
        <v>150</v>
      </c>
      <c r="O497" s="35" t="str">
        <f t="shared" si="1"/>
        <v>Nguyễn Hoàng Tuấn</v>
      </c>
    </row>
    <row r="498" spans="1:15">
      <c r="A498" s="32" t="s">
        <v>52</v>
      </c>
      <c r="B498" s="32" t="s">
        <v>44</v>
      </c>
      <c r="C498" s="33">
        <v>46031</v>
      </c>
      <c r="D498" s="32">
        <v>915282271</v>
      </c>
      <c r="E498" s="32">
        <v>437354149</v>
      </c>
      <c r="F498" s="32" t="s">
        <v>53</v>
      </c>
      <c r="G498" s="32" t="s">
        <v>46</v>
      </c>
      <c r="H498" s="32" t="s">
        <v>58</v>
      </c>
      <c r="I498" s="32">
        <v>121.346</v>
      </c>
      <c r="J498" s="32">
        <v>37.503999999999998</v>
      </c>
      <c r="K498" s="32" t="b">
        <v>1</v>
      </c>
      <c r="L498" s="32" t="s">
        <v>47</v>
      </c>
      <c r="M498" s="32" t="s">
        <v>48</v>
      </c>
      <c r="N498" s="32" t="s">
        <v>150</v>
      </c>
      <c r="O498" s="35" t="str">
        <f t="shared" si="1"/>
        <v>Nguyễn Hoàng Tuấn</v>
      </c>
    </row>
    <row r="499" spans="1:15">
      <c r="A499" s="32" t="s">
        <v>54</v>
      </c>
      <c r="B499" s="32" t="s">
        <v>44</v>
      </c>
      <c r="C499" s="33">
        <v>46031</v>
      </c>
      <c r="D499" s="32">
        <v>948557338</v>
      </c>
      <c r="E499" s="32">
        <v>515291346</v>
      </c>
      <c r="F499" s="32" t="s">
        <v>55</v>
      </c>
      <c r="G499" s="32" t="s">
        <v>46</v>
      </c>
      <c r="H499" s="32" t="s">
        <v>51</v>
      </c>
      <c r="I499" s="32">
        <v>117.709</v>
      </c>
      <c r="J499" s="32">
        <v>24.870999999999999</v>
      </c>
      <c r="K499" s="32" t="b">
        <v>1</v>
      </c>
      <c r="L499" s="32" t="s">
        <v>47</v>
      </c>
      <c r="M499" s="32" t="s">
        <v>48</v>
      </c>
      <c r="N499" s="34">
        <v>46116</v>
      </c>
      <c r="O499" s="35" t="str">
        <f t="shared" si="1"/>
        <v>Hồ Chí Linh</v>
      </c>
    </row>
    <row r="500" spans="1:15">
      <c r="A500" s="32" t="s">
        <v>143</v>
      </c>
      <c r="B500" s="32" t="s">
        <v>44</v>
      </c>
      <c r="C500" s="33">
        <v>46031</v>
      </c>
      <c r="D500" s="32">
        <v>915907377</v>
      </c>
      <c r="E500" s="32">
        <v>243492200</v>
      </c>
      <c r="F500" s="32" t="s">
        <v>144</v>
      </c>
      <c r="G500" s="32" t="s">
        <v>46</v>
      </c>
      <c r="H500" s="32" t="s">
        <v>87</v>
      </c>
      <c r="I500" s="32">
        <v>160.173</v>
      </c>
      <c r="J500" s="32">
        <v>70.867999999999995</v>
      </c>
      <c r="K500" s="32" t="b">
        <v>1</v>
      </c>
      <c r="L500" s="32" t="s">
        <v>63</v>
      </c>
      <c r="M500" s="32" t="s">
        <v>63</v>
      </c>
      <c r="N500" s="34">
        <v>46174</v>
      </c>
      <c r="O500" s="35" t="str">
        <f t="shared" si="1"/>
        <v>Phạm Tiến Dũng</v>
      </c>
    </row>
    <row r="501" spans="1:15">
      <c r="A501" s="32" t="s">
        <v>143</v>
      </c>
      <c r="B501" s="32" t="s">
        <v>44</v>
      </c>
      <c r="C501" s="33">
        <v>46031</v>
      </c>
      <c r="D501" s="32">
        <v>915907377</v>
      </c>
      <c r="E501" s="32">
        <v>243492200</v>
      </c>
      <c r="F501" s="32" t="s">
        <v>144</v>
      </c>
      <c r="G501" s="32" t="s">
        <v>46</v>
      </c>
      <c r="H501" s="32" t="s">
        <v>87</v>
      </c>
      <c r="I501" s="32">
        <v>160.173</v>
      </c>
      <c r="J501" s="32">
        <v>70.867999999999995</v>
      </c>
      <c r="K501" s="32" t="b">
        <v>1</v>
      </c>
      <c r="L501" s="32" t="s">
        <v>63</v>
      </c>
      <c r="M501" s="32" t="s">
        <v>63</v>
      </c>
      <c r="N501" s="34">
        <v>46174</v>
      </c>
      <c r="O501" s="35" t="str">
        <f t="shared" si="1"/>
        <v>Phạm Tiến Dũng</v>
      </c>
    </row>
    <row r="502" spans="1:15">
      <c r="A502" s="32" t="s">
        <v>110</v>
      </c>
      <c r="B502" s="32" t="s">
        <v>44</v>
      </c>
      <c r="C502" s="33">
        <v>46031</v>
      </c>
      <c r="D502" s="32">
        <v>853837837</v>
      </c>
      <c r="E502" s="32">
        <v>397762371</v>
      </c>
      <c r="F502" s="32" t="s">
        <v>95</v>
      </c>
      <c r="G502" s="32" t="s">
        <v>46</v>
      </c>
      <c r="H502" s="32" t="s">
        <v>58</v>
      </c>
      <c r="I502" s="32">
        <v>120.529</v>
      </c>
      <c r="J502" s="32">
        <v>20.305</v>
      </c>
      <c r="K502" s="32" t="b">
        <v>0</v>
      </c>
      <c r="L502" s="32" t="s">
        <v>47</v>
      </c>
      <c r="M502" s="32" t="s">
        <v>48</v>
      </c>
      <c r="N502" s="32" t="s">
        <v>202</v>
      </c>
      <c r="O502" s="35" t="str">
        <f t="shared" si="1"/>
        <v>Trần Thanh Giàu</v>
      </c>
    </row>
    <row r="503" spans="1:15">
      <c r="A503" s="32" t="s">
        <v>110</v>
      </c>
      <c r="B503" s="32" t="s">
        <v>44</v>
      </c>
      <c r="C503" s="33">
        <v>46031</v>
      </c>
      <c r="D503" s="32">
        <v>853837837</v>
      </c>
      <c r="E503" s="32">
        <v>397762371</v>
      </c>
      <c r="F503" s="32" t="s">
        <v>95</v>
      </c>
      <c r="G503" s="32" t="s">
        <v>46</v>
      </c>
      <c r="H503" s="32" t="s">
        <v>58</v>
      </c>
      <c r="I503" s="32">
        <v>120.529</v>
      </c>
      <c r="J503" s="32">
        <v>20.305</v>
      </c>
      <c r="K503" s="32" t="b">
        <v>0</v>
      </c>
      <c r="L503" s="32" t="s">
        <v>47</v>
      </c>
      <c r="M503" s="32" t="s">
        <v>48</v>
      </c>
      <c r="N503" s="32" t="s">
        <v>202</v>
      </c>
      <c r="O503" s="35" t="str">
        <f t="shared" si="1"/>
        <v>Trần Thanh Giàu</v>
      </c>
    </row>
    <row r="504" spans="1:15">
      <c r="A504" s="32" t="s">
        <v>106</v>
      </c>
      <c r="B504" s="32" t="s">
        <v>44</v>
      </c>
      <c r="C504" s="33">
        <v>46031</v>
      </c>
      <c r="D504" s="32">
        <v>911039328</v>
      </c>
      <c r="E504" s="32">
        <v>404632975</v>
      </c>
      <c r="F504" s="32" t="s">
        <v>107</v>
      </c>
      <c r="G504" s="32" t="s">
        <v>46</v>
      </c>
      <c r="H504" s="32" t="s">
        <v>18</v>
      </c>
      <c r="I504" s="32">
        <v>171.71100000000001</v>
      </c>
      <c r="J504" s="32">
        <v>37.594999999999999</v>
      </c>
      <c r="K504" s="32" t="b">
        <v>1</v>
      </c>
      <c r="L504" s="32" t="s">
        <v>47</v>
      </c>
      <c r="M504" s="32" t="s">
        <v>48</v>
      </c>
      <c r="N504" s="34">
        <v>46272</v>
      </c>
      <c r="O504" s="35" t="str">
        <f t="shared" si="1"/>
        <v>Trương Vũ Hải</v>
      </c>
    </row>
    <row r="505" spans="1:15">
      <c r="A505" s="32" t="s">
        <v>69</v>
      </c>
      <c r="B505" s="32" t="s">
        <v>44</v>
      </c>
      <c r="C505" s="33">
        <v>46031</v>
      </c>
      <c r="D505" s="32">
        <v>918616787</v>
      </c>
      <c r="E505" s="32">
        <v>302371366</v>
      </c>
      <c r="F505" s="32" t="s">
        <v>65</v>
      </c>
      <c r="G505" s="32" t="s">
        <v>46</v>
      </c>
      <c r="H505" s="32" t="s">
        <v>58</v>
      </c>
      <c r="I505" s="32">
        <v>1343.0530000000001</v>
      </c>
      <c r="J505" s="32">
        <v>90.914000000000001</v>
      </c>
      <c r="K505" s="32" t="b">
        <v>1</v>
      </c>
      <c r="L505" s="32" t="s">
        <v>47</v>
      </c>
      <c r="M505" s="32" t="s">
        <v>63</v>
      </c>
      <c r="N505" s="34">
        <v>46222</v>
      </c>
      <c r="O505" s="35" t="str">
        <f t="shared" si="1"/>
        <v>Đặng Hoàng Vũ</v>
      </c>
    </row>
    <row r="506" spans="1:15">
      <c r="A506" s="32" t="s">
        <v>68</v>
      </c>
      <c r="B506" s="32" t="s">
        <v>44</v>
      </c>
      <c r="C506" s="33">
        <v>46031</v>
      </c>
      <c r="D506" s="32">
        <v>918616787</v>
      </c>
      <c r="E506" s="32">
        <v>302371366</v>
      </c>
      <c r="F506" s="32" t="s">
        <v>65</v>
      </c>
      <c r="G506" s="32" t="s">
        <v>46</v>
      </c>
      <c r="H506" s="32" t="s">
        <v>58</v>
      </c>
      <c r="I506" s="32">
        <v>1343.0530000000001</v>
      </c>
      <c r="J506" s="32">
        <v>90.914000000000001</v>
      </c>
      <c r="K506" s="32" t="b">
        <v>1</v>
      </c>
      <c r="L506" s="32" t="s">
        <v>47</v>
      </c>
      <c r="M506" s="32" t="s">
        <v>63</v>
      </c>
      <c r="N506" s="34">
        <v>46222</v>
      </c>
      <c r="O506" s="35" t="str">
        <f t="shared" si="1"/>
        <v>Đặng Hoàng Vũ</v>
      </c>
    </row>
    <row r="507" spans="1:15">
      <c r="A507" s="32" t="s">
        <v>203</v>
      </c>
      <c r="B507" s="32" t="s">
        <v>44</v>
      </c>
      <c r="C507" s="33">
        <v>46031</v>
      </c>
      <c r="D507" s="32">
        <v>916659889</v>
      </c>
      <c r="E507" s="32">
        <v>516858755</v>
      </c>
      <c r="F507" s="32" t="s">
        <v>204</v>
      </c>
      <c r="G507" s="32" t="s">
        <v>46</v>
      </c>
      <c r="H507" s="32" t="s">
        <v>51</v>
      </c>
      <c r="I507" s="32">
        <v>73.161000000000001</v>
      </c>
      <c r="J507" s="32">
        <v>32.11</v>
      </c>
      <c r="K507" s="32" t="b">
        <v>1</v>
      </c>
      <c r="L507" s="32" t="s">
        <v>63</v>
      </c>
      <c r="M507" s="32" t="s">
        <v>48</v>
      </c>
      <c r="N507" s="34">
        <v>46102</v>
      </c>
      <c r="O507" s="35" t="str">
        <f t="shared" si="1"/>
        <v>Bùi Hoàng Tường</v>
      </c>
    </row>
    <row r="508" spans="1:15">
      <c r="A508" s="32" t="s">
        <v>148</v>
      </c>
      <c r="B508" s="32" t="s">
        <v>44</v>
      </c>
      <c r="C508" s="33">
        <v>46031</v>
      </c>
      <c r="D508" s="32">
        <v>917675757</v>
      </c>
      <c r="E508" s="32">
        <v>382295122</v>
      </c>
      <c r="F508" s="32" t="s">
        <v>149</v>
      </c>
      <c r="G508" s="32" t="s">
        <v>46</v>
      </c>
      <c r="H508" s="32" t="s">
        <v>87</v>
      </c>
      <c r="I508" s="32">
        <v>74.52</v>
      </c>
      <c r="J508" s="32">
        <v>52.866</v>
      </c>
      <c r="K508" s="32" t="b">
        <v>1</v>
      </c>
      <c r="L508" s="32" t="s">
        <v>63</v>
      </c>
      <c r="M508" s="32" t="s">
        <v>48</v>
      </c>
      <c r="N508" s="34">
        <v>46150</v>
      </c>
      <c r="O508" s="35" t="str">
        <f t="shared" si="1"/>
        <v>Trần Hoài Vũ</v>
      </c>
    </row>
    <row r="509" spans="1:15">
      <c r="A509" s="32" t="s">
        <v>148</v>
      </c>
      <c r="B509" s="32" t="s">
        <v>44</v>
      </c>
      <c r="C509" s="33">
        <v>46031</v>
      </c>
      <c r="D509" s="32">
        <v>917675757</v>
      </c>
      <c r="E509" s="32">
        <v>382295122</v>
      </c>
      <c r="F509" s="32" t="s">
        <v>149</v>
      </c>
      <c r="G509" s="32" t="s">
        <v>46</v>
      </c>
      <c r="H509" s="32" t="s">
        <v>87</v>
      </c>
      <c r="I509" s="32">
        <v>99.406000000000006</v>
      </c>
      <c r="J509" s="32">
        <v>54.945999999999998</v>
      </c>
      <c r="K509" s="32" t="b">
        <v>1</v>
      </c>
      <c r="L509" s="32" t="s">
        <v>63</v>
      </c>
      <c r="M509" s="32" t="s">
        <v>48</v>
      </c>
      <c r="N509" s="32" t="s">
        <v>135</v>
      </c>
      <c r="O509" s="35" t="str">
        <f t="shared" si="1"/>
        <v>Trần Hoài Vũ</v>
      </c>
    </row>
    <row r="510" spans="1:15">
      <c r="A510" s="32" t="s">
        <v>203</v>
      </c>
      <c r="B510" s="32" t="s">
        <v>44</v>
      </c>
      <c r="C510" s="33">
        <v>46031</v>
      </c>
      <c r="D510" s="32">
        <v>916659889</v>
      </c>
      <c r="E510" s="32">
        <v>516858755</v>
      </c>
      <c r="F510" s="32" t="s">
        <v>204</v>
      </c>
      <c r="G510" s="32" t="s">
        <v>46</v>
      </c>
      <c r="H510" s="32" t="s">
        <v>51</v>
      </c>
      <c r="I510" s="32">
        <v>102.98</v>
      </c>
      <c r="J510" s="32">
        <v>36.762</v>
      </c>
      <c r="K510" s="32" t="b">
        <v>1</v>
      </c>
      <c r="L510" s="32" t="s">
        <v>63</v>
      </c>
      <c r="M510" s="32" t="s">
        <v>48</v>
      </c>
      <c r="N510" s="34">
        <v>46024</v>
      </c>
      <c r="O510" s="35" t="str">
        <f t="shared" si="1"/>
        <v>Bùi Hoàng Tường</v>
      </c>
    </row>
    <row r="511" spans="1:15">
      <c r="A511" s="32" t="s">
        <v>205</v>
      </c>
      <c r="B511" s="32" t="s">
        <v>44</v>
      </c>
      <c r="C511" s="33">
        <v>46031</v>
      </c>
      <c r="D511" s="32">
        <v>917076606</v>
      </c>
      <c r="E511" s="32">
        <v>487115378</v>
      </c>
      <c r="F511" s="32" t="s">
        <v>206</v>
      </c>
      <c r="G511" s="32" t="s">
        <v>46</v>
      </c>
      <c r="H511" s="32" t="s">
        <v>51</v>
      </c>
      <c r="I511" s="32">
        <v>32.884999999999998</v>
      </c>
      <c r="J511" s="32">
        <v>45.267000000000003</v>
      </c>
      <c r="K511" s="32" t="b">
        <v>1</v>
      </c>
      <c r="L511" s="32" t="s">
        <v>79</v>
      </c>
      <c r="M511" s="32" t="s">
        <v>48</v>
      </c>
      <c r="N511" s="34">
        <v>46178</v>
      </c>
      <c r="O511" s="35" t="str">
        <f t="shared" si="1"/>
        <v>Nguyễn Quốc Hùng</v>
      </c>
    </row>
    <row r="512" spans="1:15">
      <c r="A512" s="32" t="s">
        <v>64</v>
      </c>
      <c r="B512" s="32" t="s">
        <v>44</v>
      </c>
      <c r="C512" s="33">
        <v>46031</v>
      </c>
      <c r="D512" s="32">
        <v>917769763</v>
      </c>
      <c r="E512" s="32">
        <v>297808089</v>
      </c>
      <c r="F512" s="32" t="s">
        <v>65</v>
      </c>
      <c r="G512" s="32" t="s">
        <v>46</v>
      </c>
      <c r="H512" s="32" t="s">
        <v>58</v>
      </c>
      <c r="I512" s="32">
        <v>47.34</v>
      </c>
      <c r="J512" s="32">
        <v>48.993000000000002</v>
      </c>
      <c r="K512" s="32" t="b">
        <v>1</v>
      </c>
      <c r="L512" s="32" t="s">
        <v>47</v>
      </c>
      <c r="M512" s="32" t="s">
        <v>63</v>
      </c>
      <c r="N512" s="34">
        <v>46031</v>
      </c>
      <c r="O512" s="35" t="str">
        <f t="shared" ref="O512:O766" si="2">LEFT(A512, LEN(A512) - 4)</f>
        <v>Đỗ Tấn Phát</v>
      </c>
    </row>
    <row r="513" spans="1:15">
      <c r="A513" s="32" t="s">
        <v>64</v>
      </c>
      <c r="B513" s="32" t="s">
        <v>44</v>
      </c>
      <c r="C513" s="33">
        <v>46031</v>
      </c>
      <c r="D513" s="32">
        <v>917769763</v>
      </c>
      <c r="E513" s="32">
        <v>297808089</v>
      </c>
      <c r="F513" s="32" t="s">
        <v>65</v>
      </c>
      <c r="G513" s="32" t="s">
        <v>46</v>
      </c>
      <c r="H513" s="32" t="s">
        <v>58</v>
      </c>
      <c r="I513" s="32">
        <v>66.453999999999994</v>
      </c>
      <c r="J513" s="32">
        <v>33.012999999999998</v>
      </c>
      <c r="K513" s="32" t="b">
        <v>1</v>
      </c>
      <c r="L513" s="32" t="s">
        <v>47</v>
      </c>
      <c r="M513" s="32" t="s">
        <v>63</v>
      </c>
      <c r="N513" s="34">
        <v>46177</v>
      </c>
      <c r="O513" s="35" t="str">
        <f t="shared" si="2"/>
        <v>Đỗ Tấn Phát</v>
      </c>
    </row>
    <row r="514" spans="1:15">
      <c r="A514" s="32" t="s">
        <v>49</v>
      </c>
      <c r="B514" s="32" t="s">
        <v>44</v>
      </c>
      <c r="C514" s="33">
        <v>46031</v>
      </c>
      <c r="D514" s="32">
        <v>828926567</v>
      </c>
      <c r="E514" s="32">
        <v>493854272</v>
      </c>
      <c r="F514" s="32" t="s">
        <v>50</v>
      </c>
      <c r="G514" s="32" t="s">
        <v>46</v>
      </c>
      <c r="H514" s="32" t="s">
        <v>58</v>
      </c>
      <c r="I514" s="32">
        <v>948.375</v>
      </c>
      <c r="J514" s="32">
        <v>118.054</v>
      </c>
      <c r="K514" s="32" t="b">
        <v>0</v>
      </c>
      <c r="L514" s="32" t="s">
        <v>47</v>
      </c>
      <c r="M514" s="32" t="s">
        <v>48</v>
      </c>
      <c r="N514" s="34">
        <v>46157</v>
      </c>
      <c r="O514" s="35" t="str">
        <f t="shared" si="2"/>
        <v>Phạm Nguyễn Quang Huy</v>
      </c>
    </row>
    <row r="515" spans="1:15">
      <c r="A515" s="32" t="s">
        <v>49</v>
      </c>
      <c r="B515" s="32" t="s">
        <v>44</v>
      </c>
      <c r="C515" s="33">
        <v>46031</v>
      </c>
      <c r="D515" s="32">
        <v>947245878</v>
      </c>
      <c r="E515" s="32">
        <v>493854272</v>
      </c>
      <c r="F515" s="32" t="s">
        <v>50</v>
      </c>
      <c r="G515" s="32" t="s">
        <v>46</v>
      </c>
      <c r="H515" s="32" t="s">
        <v>58</v>
      </c>
      <c r="I515" s="32">
        <v>948.375</v>
      </c>
      <c r="J515" s="32">
        <v>118.054</v>
      </c>
      <c r="K515" s="32" t="b">
        <v>0</v>
      </c>
      <c r="L515" s="32" t="s">
        <v>47</v>
      </c>
      <c r="M515" s="32" t="s">
        <v>48</v>
      </c>
      <c r="N515" s="34">
        <v>46157</v>
      </c>
      <c r="O515" s="35" t="str">
        <f t="shared" si="2"/>
        <v>Phạm Nguyễn Quang Huy</v>
      </c>
    </row>
    <row r="516" spans="1:15">
      <c r="A516" s="32" t="s">
        <v>136</v>
      </c>
      <c r="B516" s="32" t="s">
        <v>44</v>
      </c>
      <c r="C516" s="33">
        <v>46031</v>
      </c>
      <c r="D516" s="32">
        <v>917773898</v>
      </c>
      <c r="E516" s="32">
        <v>505313750</v>
      </c>
      <c r="F516" s="32" t="s">
        <v>122</v>
      </c>
      <c r="G516" s="32" t="s">
        <v>46</v>
      </c>
      <c r="H516" s="32" t="s">
        <v>51</v>
      </c>
      <c r="I516" s="32">
        <v>110.604</v>
      </c>
      <c r="J516" s="32">
        <v>51.902999999999999</v>
      </c>
      <c r="K516" s="32" t="b">
        <v>1</v>
      </c>
      <c r="L516" s="32" t="s">
        <v>47</v>
      </c>
      <c r="M516" s="32" t="s">
        <v>48</v>
      </c>
      <c r="N516" s="34">
        <v>46238</v>
      </c>
      <c r="O516" s="35" t="str">
        <f t="shared" si="2"/>
        <v>Lê Xuân Trình</v>
      </c>
    </row>
    <row r="517" spans="1:15">
      <c r="A517" s="32" t="s">
        <v>143</v>
      </c>
      <c r="B517" s="32" t="s">
        <v>44</v>
      </c>
      <c r="C517" s="33">
        <v>46031</v>
      </c>
      <c r="D517" s="32">
        <v>915907377</v>
      </c>
      <c r="E517" s="32">
        <v>243492200</v>
      </c>
      <c r="F517" s="32" t="s">
        <v>144</v>
      </c>
      <c r="G517" s="32" t="s">
        <v>46</v>
      </c>
      <c r="H517" s="32" t="s">
        <v>87</v>
      </c>
      <c r="I517" s="32">
        <v>111.742</v>
      </c>
      <c r="J517" s="32">
        <v>124.88500000000001</v>
      </c>
      <c r="K517" s="32" t="b">
        <v>1</v>
      </c>
      <c r="L517" s="32" t="s">
        <v>63</v>
      </c>
      <c r="M517" s="32" t="s">
        <v>63</v>
      </c>
      <c r="N517" s="34">
        <v>46023</v>
      </c>
      <c r="O517" s="35" t="str">
        <f t="shared" si="2"/>
        <v>Phạm Tiến Dũng</v>
      </c>
    </row>
    <row r="518" spans="1:15">
      <c r="A518" s="32" t="s">
        <v>143</v>
      </c>
      <c r="B518" s="32" t="s">
        <v>44</v>
      </c>
      <c r="C518" s="33">
        <v>46031</v>
      </c>
      <c r="D518" s="32">
        <v>915907377</v>
      </c>
      <c r="E518" s="32">
        <v>243492200</v>
      </c>
      <c r="F518" s="32" t="s">
        <v>144</v>
      </c>
      <c r="G518" s="32" t="s">
        <v>46</v>
      </c>
      <c r="H518" s="32" t="s">
        <v>87</v>
      </c>
      <c r="I518" s="32">
        <v>111.742</v>
      </c>
      <c r="J518" s="32">
        <v>124.88500000000001</v>
      </c>
      <c r="K518" s="32" t="b">
        <v>1</v>
      </c>
      <c r="L518" s="32" t="s">
        <v>63</v>
      </c>
      <c r="M518" s="32" t="s">
        <v>63</v>
      </c>
      <c r="N518" s="34">
        <v>46023</v>
      </c>
      <c r="O518" s="35" t="str">
        <f t="shared" si="2"/>
        <v>Phạm Tiến Dũng</v>
      </c>
    </row>
    <row r="519" spans="1:15">
      <c r="A519" s="32" t="s">
        <v>129</v>
      </c>
      <c r="B519" s="32" t="s">
        <v>44</v>
      </c>
      <c r="C519" s="33">
        <v>46031</v>
      </c>
      <c r="D519" s="32">
        <v>919269115</v>
      </c>
      <c r="E519" s="32">
        <v>410479102</v>
      </c>
      <c r="F519" s="32" t="s">
        <v>130</v>
      </c>
      <c r="G519" s="32" t="s">
        <v>46</v>
      </c>
      <c r="H519" s="32" t="s">
        <v>18</v>
      </c>
      <c r="I519" s="32">
        <v>85.231999999999999</v>
      </c>
      <c r="J519" s="32">
        <v>44.793999999999997</v>
      </c>
      <c r="K519" s="32" t="b">
        <v>1</v>
      </c>
      <c r="L519" s="32" t="s">
        <v>63</v>
      </c>
      <c r="M519" s="32" t="s">
        <v>48</v>
      </c>
      <c r="N519" s="34">
        <v>46056</v>
      </c>
      <c r="O519" s="35" t="str">
        <f t="shared" si="2"/>
        <v>Thái Minh Phúc</v>
      </c>
    </row>
    <row r="520" spans="1:15">
      <c r="A520" s="32" t="s">
        <v>129</v>
      </c>
      <c r="B520" s="32" t="s">
        <v>44</v>
      </c>
      <c r="C520" s="33">
        <v>46031</v>
      </c>
      <c r="D520" s="32">
        <v>919269115</v>
      </c>
      <c r="E520" s="32">
        <v>410479102</v>
      </c>
      <c r="F520" s="32" t="s">
        <v>130</v>
      </c>
      <c r="G520" s="32" t="s">
        <v>46</v>
      </c>
      <c r="H520" s="32" t="s">
        <v>18</v>
      </c>
      <c r="I520" s="32">
        <v>83.912000000000006</v>
      </c>
      <c r="J520" s="32">
        <v>43.756</v>
      </c>
      <c r="K520" s="32" t="b">
        <v>1</v>
      </c>
      <c r="L520" s="32" t="s">
        <v>63</v>
      </c>
      <c r="M520" s="32" t="s">
        <v>48</v>
      </c>
      <c r="N520" s="34">
        <v>46206</v>
      </c>
      <c r="O520" s="35" t="str">
        <f t="shared" si="2"/>
        <v>Thái Minh Phúc</v>
      </c>
    </row>
    <row r="521" spans="1:15">
      <c r="A521" s="32" t="s">
        <v>111</v>
      </c>
      <c r="B521" s="32" t="s">
        <v>44</v>
      </c>
      <c r="C521" s="33">
        <v>46031</v>
      </c>
      <c r="D521" s="32">
        <v>945796839</v>
      </c>
      <c r="E521" s="32">
        <v>514818795</v>
      </c>
      <c r="F521" s="32" t="s">
        <v>112</v>
      </c>
      <c r="G521" s="32" t="s">
        <v>46</v>
      </c>
      <c r="H521" s="32" t="s">
        <v>51</v>
      </c>
      <c r="I521" s="32">
        <v>75.536000000000001</v>
      </c>
      <c r="J521" s="32">
        <v>60.951999999999998</v>
      </c>
      <c r="K521" s="32" t="b">
        <v>1</v>
      </c>
      <c r="L521" s="32" t="s">
        <v>79</v>
      </c>
      <c r="M521" s="32" t="s">
        <v>48</v>
      </c>
      <c r="N521" s="34">
        <v>46025</v>
      </c>
      <c r="O521" s="35" t="str">
        <f t="shared" si="2"/>
        <v>Nguyễn Hải Đăng</v>
      </c>
    </row>
    <row r="522" spans="1:15">
      <c r="A522" s="32" t="s">
        <v>81</v>
      </c>
      <c r="B522" s="32" t="s">
        <v>44</v>
      </c>
      <c r="C522" s="33">
        <v>46031</v>
      </c>
      <c r="D522" s="32">
        <v>832428439</v>
      </c>
      <c r="E522" s="32">
        <v>494036091</v>
      </c>
      <c r="F522" s="32" t="s">
        <v>82</v>
      </c>
      <c r="G522" s="32" t="s">
        <v>46</v>
      </c>
      <c r="H522" s="32" t="s">
        <v>87</v>
      </c>
      <c r="I522" s="32">
        <v>85.748000000000005</v>
      </c>
      <c r="J522" s="32">
        <v>19.427</v>
      </c>
      <c r="K522" s="32" t="b">
        <v>1</v>
      </c>
      <c r="L522" s="32" t="s">
        <v>79</v>
      </c>
      <c r="M522" s="32" t="s">
        <v>48</v>
      </c>
      <c r="N522" s="34">
        <v>46139</v>
      </c>
      <c r="O522" s="35" t="str">
        <f t="shared" si="2"/>
        <v>Phù Hoàng Thành</v>
      </c>
    </row>
    <row r="523" spans="1:15">
      <c r="A523" s="32" t="s">
        <v>81</v>
      </c>
      <c r="B523" s="32" t="s">
        <v>44</v>
      </c>
      <c r="C523" s="33">
        <v>46031</v>
      </c>
      <c r="D523" s="32">
        <v>852226484</v>
      </c>
      <c r="E523" s="32">
        <v>494036091</v>
      </c>
      <c r="F523" s="32" t="s">
        <v>82</v>
      </c>
      <c r="G523" s="32" t="s">
        <v>46</v>
      </c>
      <c r="H523" s="32" t="s">
        <v>87</v>
      </c>
      <c r="I523" s="32">
        <v>85.748000000000005</v>
      </c>
      <c r="J523" s="32">
        <v>19.427</v>
      </c>
      <c r="K523" s="32" t="b">
        <v>1</v>
      </c>
      <c r="L523" s="32" t="s">
        <v>79</v>
      </c>
      <c r="M523" s="32" t="s">
        <v>48</v>
      </c>
      <c r="N523" s="34">
        <v>46139</v>
      </c>
      <c r="O523" s="35" t="str">
        <f t="shared" si="2"/>
        <v>Phù Hoàng Thành</v>
      </c>
    </row>
    <row r="524" spans="1:15">
      <c r="A524" s="32" t="s">
        <v>207</v>
      </c>
      <c r="B524" s="32" t="s">
        <v>44</v>
      </c>
      <c r="C524" s="33">
        <v>46031</v>
      </c>
      <c r="D524" s="32">
        <v>915502804</v>
      </c>
      <c r="E524" s="32">
        <v>496103164</v>
      </c>
      <c r="F524" s="32" t="s">
        <v>208</v>
      </c>
      <c r="G524" s="32" t="s">
        <v>46</v>
      </c>
      <c r="H524" s="32" t="s">
        <v>51</v>
      </c>
      <c r="I524" s="32">
        <v>9.2159999999999993</v>
      </c>
      <c r="J524" s="32">
        <v>10.513999999999999</v>
      </c>
      <c r="K524" s="32" t="b">
        <v>1</v>
      </c>
      <c r="L524" s="32" t="s">
        <v>63</v>
      </c>
      <c r="M524" s="32" t="s">
        <v>48</v>
      </c>
      <c r="N524" s="34">
        <v>46057</v>
      </c>
      <c r="O524" s="35" t="str">
        <f t="shared" si="2"/>
        <v>Tô Tiểu Ngọc</v>
      </c>
    </row>
    <row r="525" spans="1:15">
      <c r="A525" s="32" t="s">
        <v>129</v>
      </c>
      <c r="B525" s="32" t="s">
        <v>44</v>
      </c>
      <c r="C525" s="33">
        <v>46031</v>
      </c>
      <c r="D525" s="32">
        <v>919269115</v>
      </c>
      <c r="E525" s="32">
        <v>410479102</v>
      </c>
      <c r="F525" s="32" t="s">
        <v>130</v>
      </c>
      <c r="G525" s="32" t="s">
        <v>46</v>
      </c>
      <c r="H525" s="32" t="s">
        <v>18</v>
      </c>
      <c r="I525" s="32">
        <v>126.15</v>
      </c>
      <c r="J525" s="32">
        <v>45.774999999999999</v>
      </c>
      <c r="K525" s="32" t="b">
        <v>1</v>
      </c>
      <c r="L525" s="32" t="s">
        <v>63</v>
      </c>
      <c r="M525" s="32" t="s">
        <v>48</v>
      </c>
      <c r="N525" s="34">
        <v>46057</v>
      </c>
      <c r="O525" s="35" t="str">
        <f t="shared" si="2"/>
        <v>Thái Minh Phúc</v>
      </c>
    </row>
    <row r="526" spans="1:15">
      <c r="A526" s="32" t="s">
        <v>129</v>
      </c>
      <c r="B526" s="32" t="s">
        <v>44</v>
      </c>
      <c r="C526" s="33">
        <v>46031</v>
      </c>
      <c r="D526" s="32">
        <v>919269115</v>
      </c>
      <c r="E526" s="32">
        <v>410479102</v>
      </c>
      <c r="F526" s="32" t="s">
        <v>130</v>
      </c>
      <c r="G526" s="32" t="s">
        <v>46</v>
      </c>
      <c r="H526" s="32" t="s">
        <v>18</v>
      </c>
      <c r="I526" s="32">
        <v>120.626</v>
      </c>
      <c r="J526" s="32">
        <v>44.965000000000003</v>
      </c>
      <c r="K526" s="32" t="b">
        <v>1</v>
      </c>
      <c r="L526" s="32" t="s">
        <v>63</v>
      </c>
      <c r="M526" s="32" t="s">
        <v>48</v>
      </c>
      <c r="N526" s="34">
        <v>46059</v>
      </c>
      <c r="O526" s="35" t="str">
        <f t="shared" si="2"/>
        <v>Thái Minh Phúc</v>
      </c>
    </row>
    <row r="527" spans="1:15">
      <c r="A527" s="32" t="s">
        <v>136</v>
      </c>
      <c r="B527" s="32" t="s">
        <v>44</v>
      </c>
      <c r="C527" s="33">
        <v>46031</v>
      </c>
      <c r="D527" s="32">
        <v>917773898</v>
      </c>
      <c r="E527" s="32">
        <v>505313750</v>
      </c>
      <c r="F527" s="32" t="s">
        <v>122</v>
      </c>
      <c r="G527" s="32" t="s">
        <v>46</v>
      </c>
      <c r="H527" s="32" t="s">
        <v>51</v>
      </c>
      <c r="I527" s="32">
        <v>863.22299999999996</v>
      </c>
      <c r="J527" s="32">
        <v>91.96</v>
      </c>
      <c r="K527" s="32" t="b">
        <v>1</v>
      </c>
      <c r="L527" s="32" t="s">
        <v>47</v>
      </c>
      <c r="M527" s="32" t="s">
        <v>48</v>
      </c>
      <c r="N527" s="34">
        <v>46211</v>
      </c>
      <c r="O527" s="35" t="str">
        <f t="shared" si="2"/>
        <v>Lê Xuân Trình</v>
      </c>
    </row>
    <row r="528" spans="1:15">
      <c r="A528" s="32" t="s">
        <v>88</v>
      </c>
      <c r="B528" s="32" t="s">
        <v>44</v>
      </c>
      <c r="C528" s="33">
        <v>46031</v>
      </c>
      <c r="D528" s="32">
        <v>918611919</v>
      </c>
      <c r="E528" s="32">
        <v>321677895</v>
      </c>
      <c r="F528" s="32" t="s">
        <v>65</v>
      </c>
      <c r="G528" s="32" t="s">
        <v>46</v>
      </c>
      <c r="H528" s="32" t="s">
        <v>51</v>
      </c>
      <c r="I528" s="32">
        <v>484.25599999999997</v>
      </c>
      <c r="J528" s="32">
        <v>9.73</v>
      </c>
      <c r="K528" s="32" t="b">
        <v>1</v>
      </c>
      <c r="L528" s="32" t="s">
        <v>47</v>
      </c>
      <c r="M528" s="32" t="s">
        <v>63</v>
      </c>
      <c r="N528" s="34">
        <v>46293</v>
      </c>
      <c r="O528" s="35" t="str">
        <f t="shared" si="2"/>
        <v>Huỳnh Phước Yên</v>
      </c>
    </row>
    <row r="529" spans="1:15">
      <c r="A529" s="32" t="s">
        <v>88</v>
      </c>
      <c r="B529" s="32" t="s">
        <v>44</v>
      </c>
      <c r="C529" s="33">
        <v>46031</v>
      </c>
      <c r="D529" s="32">
        <v>918611919</v>
      </c>
      <c r="E529" s="32">
        <v>321677895</v>
      </c>
      <c r="F529" s="32" t="s">
        <v>65</v>
      </c>
      <c r="G529" s="32" t="s">
        <v>46</v>
      </c>
      <c r="H529" s="32" t="s">
        <v>51</v>
      </c>
      <c r="I529" s="32">
        <v>237.81200000000001</v>
      </c>
      <c r="J529" s="32">
        <v>9.9909999999999997</v>
      </c>
      <c r="K529" s="32" t="b">
        <v>1</v>
      </c>
      <c r="L529" s="32" t="s">
        <v>47</v>
      </c>
      <c r="M529" s="32" t="s">
        <v>63</v>
      </c>
      <c r="N529" s="34">
        <v>46202</v>
      </c>
      <c r="O529" s="35" t="str">
        <f t="shared" si="2"/>
        <v>Huỳnh Phước Yên</v>
      </c>
    </row>
    <row r="530" spans="1:15">
      <c r="A530" s="32" t="s">
        <v>83</v>
      </c>
      <c r="B530" s="32" t="s">
        <v>44</v>
      </c>
      <c r="C530" s="33">
        <v>46031</v>
      </c>
      <c r="D530" s="32">
        <v>886313796</v>
      </c>
      <c r="E530" s="32">
        <v>408233038</v>
      </c>
      <c r="F530" s="32" t="s">
        <v>84</v>
      </c>
      <c r="G530" s="32" t="s">
        <v>46</v>
      </c>
      <c r="H530" s="32" t="s">
        <v>51</v>
      </c>
      <c r="I530" s="32">
        <v>75.400000000000006</v>
      </c>
      <c r="J530" s="32">
        <v>44.179000000000002</v>
      </c>
      <c r="K530" s="32" t="b">
        <v>0</v>
      </c>
      <c r="L530" s="32" t="s">
        <v>47</v>
      </c>
      <c r="M530" s="32" t="s">
        <v>48</v>
      </c>
      <c r="N530" s="34">
        <v>46208</v>
      </c>
      <c r="O530" s="35" t="str">
        <f t="shared" si="2"/>
        <v>Lê Minh Kha</v>
      </c>
    </row>
    <row r="531" spans="1:15">
      <c r="A531" s="32" t="s">
        <v>83</v>
      </c>
      <c r="B531" s="32" t="s">
        <v>44</v>
      </c>
      <c r="C531" s="33">
        <v>46031</v>
      </c>
      <c r="D531" s="32">
        <v>829669739</v>
      </c>
      <c r="E531" s="32">
        <v>408233038</v>
      </c>
      <c r="F531" s="32" t="s">
        <v>84</v>
      </c>
      <c r="G531" s="32" t="s">
        <v>46</v>
      </c>
      <c r="H531" s="32" t="s">
        <v>51</v>
      </c>
      <c r="I531" s="32">
        <v>75.400000000000006</v>
      </c>
      <c r="J531" s="32">
        <v>44.179000000000002</v>
      </c>
      <c r="K531" s="32" t="b">
        <v>0</v>
      </c>
      <c r="L531" s="32" t="s">
        <v>47</v>
      </c>
      <c r="M531" s="32" t="s">
        <v>48</v>
      </c>
      <c r="N531" s="34">
        <v>46208</v>
      </c>
      <c r="O531" s="35" t="str">
        <f t="shared" si="2"/>
        <v>Lê Minh Kha</v>
      </c>
    </row>
    <row r="532" spans="1:15">
      <c r="A532" s="32" t="s">
        <v>89</v>
      </c>
      <c r="B532" s="32" t="s">
        <v>44</v>
      </c>
      <c r="C532" s="33">
        <v>46031</v>
      </c>
      <c r="D532" s="32">
        <v>837012768</v>
      </c>
      <c r="E532" s="32">
        <v>276156622</v>
      </c>
      <c r="F532" s="32" t="s">
        <v>90</v>
      </c>
      <c r="G532" s="32" t="s">
        <v>46</v>
      </c>
      <c r="H532" s="32" t="s">
        <v>51</v>
      </c>
      <c r="I532" s="32">
        <v>679.61500000000001</v>
      </c>
      <c r="J532" s="32">
        <v>38.219000000000001</v>
      </c>
      <c r="K532" s="32" t="b">
        <v>1</v>
      </c>
      <c r="L532" s="32" t="s">
        <v>47</v>
      </c>
      <c r="M532" s="32" t="s">
        <v>63</v>
      </c>
      <c r="N532" s="32" t="s">
        <v>209</v>
      </c>
      <c r="O532" s="35" t="str">
        <f t="shared" si="2"/>
        <v>Nguyễn Thành Chí</v>
      </c>
    </row>
    <row r="533" spans="1:15">
      <c r="A533" s="32" t="s">
        <v>70</v>
      </c>
      <c r="B533" s="32" t="s">
        <v>44</v>
      </c>
      <c r="C533" s="33">
        <v>46031</v>
      </c>
      <c r="D533" s="32">
        <v>913352939</v>
      </c>
      <c r="E533" s="32">
        <v>511935418</v>
      </c>
      <c r="F533" s="32" t="s">
        <v>71</v>
      </c>
      <c r="G533" s="32" t="s">
        <v>46</v>
      </c>
      <c r="H533" s="32" t="s">
        <v>51</v>
      </c>
      <c r="I533" s="32">
        <v>1045.3530000000001</v>
      </c>
      <c r="J533" s="32">
        <v>127.21</v>
      </c>
      <c r="K533" s="32" t="b">
        <v>1</v>
      </c>
      <c r="L533" s="32" t="s">
        <v>47</v>
      </c>
      <c r="M533" s="32" t="s">
        <v>48</v>
      </c>
      <c r="N533" s="34">
        <v>46187</v>
      </c>
      <c r="O533" s="35" t="str">
        <f t="shared" si="2"/>
        <v>Dương Nhật Phương</v>
      </c>
    </row>
    <row r="534" spans="1:15">
      <c r="A534" s="32" t="s">
        <v>43</v>
      </c>
      <c r="B534" s="32" t="s">
        <v>44</v>
      </c>
      <c r="C534" s="33">
        <v>46031</v>
      </c>
      <c r="D534" s="32">
        <v>914163199</v>
      </c>
      <c r="E534" s="32">
        <v>467432229</v>
      </c>
      <c r="F534" s="32" t="s">
        <v>45</v>
      </c>
      <c r="G534" s="32" t="s">
        <v>46</v>
      </c>
      <c r="H534" s="32" t="s">
        <v>51</v>
      </c>
      <c r="I534" s="32">
        <v>207.02699999999999</v>
      </c>
      <c r="J534" s="32">
        <v>51.234000000000002</v>
      </c>
      <c r="K534" s="32" t="b">
        <v>1</v>
      </c>
      <c r="L534" s="32" t="s">
        <v>47</v>
      </c>
      <c r="M534" s="32" t="s">
        <v>48</v>
      </c>
      <c r="N534" s="34">
        <v>46058</v>
      </c>
      <c r="O534" s="35" t="str">
        <f t="shared" si="2"/>
        <v>Trương Đình Lợi</v>
      </c>
    </row>
    <row r="535" spans="1:15">
      <c r="A535" s="32" t="s">
        <v>85</v>
      </c>
      <c r="B535" s="32" t="s">
        <v>44</v>
      </c>
      <c r="C535" s="33">
        <v>46031</v>
      </c>
      <c r="D535" s="32">
        <v>918128333</v>
      </c>
      <c r="E535" s="32">
        <v>362213178</v>
      </c>
      <c r="F535" s="32" t="s">
        <v>86</v>
      </c>
      <c r="G535" s="32" t="s">
        <v>46</v>
      </c>
      <c r="H535" s="32" t="s">
        <v>87</v>
      </c>
      <c r="I535" s="32">
        <v>248.965</v>
      </c>
      <c r="J535" s="32">
        <v>44.298999999999999</v>
      </c>
      <c r="K535" s="32" t="b">
        <v>1</v>
      </c>
      <c r="L535" s="32" t="s">
        <v>47</v>
      </c>
      <c r="M535" s="32" t="s">
        <v>48</v>
      </c>
      <c r="N535" s="34">
        <v>46148</v>
      </c>
      <c r="O535" s="35" t="str">
        <f t="shared" si="2"/>
        <v>Trần Minh Tuấn1</v>
      </c>
    </row>
    <row r="536" spans="1:15">
      <c r="A536" s="32" t="s">
        <v>143</v>
      </c>
      <c r="B536" s="32" t="s">
        <v>44</v>
      </c>
      <c r="C536" s="33">
        <v>46031</v>
      </c>
      <c r="D536" s="32">
        <v>915907377</v>
      </c>
      <c r="E536" s="32">
        <v>243492200</v>
      </c>
      <c r="F536" s="32" t="s">
        <v>144</v>
      </c>
      <c r="G536" s="32" t="s">
        <v>46</v>
      </c>
      <c r="H536" s="32" t="s">
        <v>87</v>
      </c>
      <c r="I536" s="32">
        <v>118.77500000000001</v>
      </c>
      <c r="J536" s="32">
        <v>26.872</v>
      </c>
      <c r="K536" s="32" t="b">
        <v>1</v>
      </c>
      <c r="L536" s="32" t="s">
        <v>63</v>
      </c>
      <c r="M536" s="32" t="s">
        <v>63</v>
      </c>
      <c r="N536" s="34">
        <v>46033</v>
      </c>
      <c r="O536" s="35" t="str">
        <f t="shared" si="2"/>
        <v>Phạm Tiến Dũng</v>
      </c>
    </row>
    <row r="537" spans="1:15">
      <c r="A537" s="32" t="s">
        <v>143</v>
      </c>
      <c r="B537" s="32" t="s">
        <v>44</v>
      </c>
      <c r="C537" s="33">
        <v>46031</v>
      </c>
      <c r="D537" s="32">
        <v>915907377</v>
      </c>
      <c r="E537" s="32">
        <v>243492200</v>
      </c>
      <c r="F537" s="32" t="s">
        <v>144</v>
      </c>
      <c r="G537" s="32" t="s">
        <v>46</v>
      </c>
      <c r="H537" s="32" t="s">
        <v>87</v>
      </c>
      <c r="I537" s="32">
        <v>118.77500000000001</v>
      </c>
      <c r="J537" s="32">
        <v>26.872</v>
      </c>
      <c r="K537" s="32" t="b">
        <v>1</v>
      </c>
      <c r="L537" s="32" t="s">
        <v>63</v>
      </c>
      <c r="M537" s="32" t="s">
        <v>63</v>
      </c>
      <c r="N537" s="34">
        <v>46033</v>
      </c>
      <c r="O537" s="35" t="str">
        <f t="shared" si="2"/>
        <v>Phạm Tiến Dũng</v>
      </c>
    </row>
    <row r="538" spans="1:15">
      <c r="A538" s="32" t="s">
        <v>159</v>
      </c>
      <c r="B538" s="32" t="s">
        <v>44</v>
      </c>
      <c r="C538" s="33">
        <v>46030</v>
      </c>
      <c r="D538" s="32">
        <v>917259777</v>
      </c>
      <c r="E538" s="32">
        <v>464238079</v>
      </c>
      <c r="F538" s="32" t="s">
        <v>160</v>
      </c>
      <c r="G538" s="32" t="s">
        <v>46</v>
      </c>
      <c r="H538" s="32" t="s">
        <v>18</v>
      </c>
      <c r="I538" s="32">
        <v>79.069999999999993</v>
      </c>
      <c r="J538" s="32">
        <v>40.448999999999998</v>
      </c>
      <c r="K538" s="32" t="b">
        <v>1</v>
      </c>
      <c r="L538" s="32" t="s">
        <v>63</v>
      </c>
      <c r="M538" s="32" t="s">
        <v>48</v>
      </c>
      <c r="N538" s="34">
        <v>46240</v>
      </c>
      <c r="O538" s="35" t="str">
        <f t="shared" si="2"/>
        <v>Ngô Văn Tâm</v>
      </c>
    </row>
    <row r="539" spans="1:15">
      <c r="A539" s="32" t="s">
        <v>159</v>
      </c>
      <c r="B539" s="32" t="s">
        <v>44</v>
      </c>
      <c r="C539" s="33">
        <v>46030</v>
      </c>
      <c r="D539" s="32">
        <v>917259777</v>
      </c>
      <c r="E539" s="32">
        <v>464238079</v>
      </c>
      <c r="F539" s="32" t="s">
        <v>160</v>
      </c>
      <c r="G539" s="32" t="s">
        <v>46</v>
      </c>
      <c r="H539" s="32" t="s">
        <v>18</v>
      </c>
      <c r="I539" s="32">
        <v>70.180999999999997</v>
      </c>
      <c r="J539" s="32">
        <v>21.428999999999998</v>
      </c>
      <c r="K539" s="32" t="b">
        <v>1</v>
      </c>
      <c r="L539" s="32" t="s">
        <v>63</v>
      </c>
      <c r="M539" s="32" t="s">
        <v>48</v>
      </c>
      <c r="N539" s="34">
        <v>46219</v>
      </c>
      <c r="O539" s="35" t="str">
        <f t="shared" si="2"/>
        <v>Ngô Văn Tâm</v>
      </c>
    </row>
    <row r="540" spans="1:15">
      <c r="A540" s="32" t="s">
        <v>143</v>
      </c>
      <c r="B540" s="32" t="s">
        <v>44</v>
      </c>
      <c r="C540" s="33">
        <v>46030</v>
      </c>
      <c r="D540" s="32">
        <v>915907377</v>
      </c>
      <c r="E540" s="32">
        <v>243492200</v>
      </c>
      <c r="F540" s="32" t="s">
        <v>144</v>
      </c>
      <c r="G540" s="32" t="s">
        <v>46</v>
      </c>
      <c r="H540" s="32" t="s">
        <v>87</v>
      </c>
      <c r="I540" s="32">
        <v>56.960999999999999</v>
      </c>
      <c r="J540" s="32">
        <v>30.308</v>
      </c>
      <c r="K540" s="32" t="b">
        <v>1</v>
      </c>
      <c r="L540" s="32" t="s">
        <v>63</v>
      </c>
      <c r="M540" s="32" t="s">
        <v>63</v>
      </c>
      <c r="N540" s="34">
        <v>46206</v>
      </c>
      <c r="O540" s="35" t="str">
        <f t="shared" si="2"/>
        <v>Phạm Tiến Dũng</v>
      </c>
    </row>
    <row r="541" spans="1:15">
      <c r="A541" s="32" t="s">
        <v>143</v>
      </c>
      <c r="B541" s="32" t="s">
        <v>44</v>
      </c>
      <c r="C541" s="33">
        <v>46030</v>
      </c>
      <c r="D541" s="32">
        <v>915907377</v>
      </c>
      <c r="E541" s="32">
        <v>243492200</v>
      </c>
      <c r="F541" s="32" t="s">
        <v>144</v>
      </c>
      <c r="G541" s="32" t="s">
        <v>46</v>
      </c>
      <c r="H541" s="32" t="s">
        <v>87</v>
      </c>
      <c r="I541" s="32">
        <v>56.960999999999999</v>
      </c>
      <c r="J541" s="32">
        <v>30.308</v>
      </c>
      <c r="K541" s="32" t="b">
        <v>1</v>
      </c>
      <c r="L541" s="32" t="s">
        <v>63</v>
      </c>
      <c r="M541" s="32" t="s">
        <v>63</v>
      </c>
      <c r="N541" s="34">
        <v>46206</v>
      </c>
      <c r="O541" s="35" t="str">
        <f t="shared" si="2"/>
        <v>Phạm Tiến Dũng</v>
      </c>
    </row>
    <row r="542" spans="1:15">
      <c r="A542" s="32" t="s">
        <v>143</v>
      </c>
      <c r="B542" s="32" t="s">
        <v>44</v>
      </c>
      <c r="C542" s="33">
        <v>46030</v>
      </c>
      <c r="D542" s="32">
        <v>915907377</v>
      </c>
      <c r="E542" s="32">
        <v>243492200</v>
      </c>
      <c r="F542" s="32" t="s">
        <v>144</v>
      </c>
      <c r="G542" s="32" t="s">
        <v>46</v>
      </c>
      <c r="H542" s="32" t="s">
        <v>87</v>
      </c>
      <c r="I542" s="32">
        <v>78.302999999999997</v>
      </c>
      <c r="J542" s="32">
        <v>33.259</v>
      </c>
      <c r="K542" s="32" t="b">
        <v>0</v>
      </c>
      <c r="L542" s="32" t="s">
        <v>63</v>
      </c>
      <c r="M542" s="32" t="s">
        <v>63</v>
      </c>
      <c r="N542" s="34">
        <v>46027</v>
      </c>
      <c r="O542" s="35" t="str">
        <f t="shared" si="2"/>
        <v>Phạm Tiến Dũng</v>
      </c>
    </row>
    <row r="543" spans="1:15">
      <c r="A543" s="32" t="s">
        <v>143</v>
      </c>
      <c r="B543" s="32" t="s">
        <v>44</v>
      </c>
      <c r="C543" s="33">
        <v>46030</v>
      </c>
      <c r="D543" s="32">
        <v>915907377</v>
      </c>
      <c r="E543" s="32">
        <v>243492200</v>
      </c>
      <c r="F543" s="32" t="s">
        <v>144</v>
      </c>
      <c r="G543" s="32" t="s">
        <v>46</v>
      </c>
      <c r="H543" s="32" t="s">
        <v>87</v>
      </c>
      <c r="I543" s="32">
        <v>78.302999999999997</v>
      </c>
      <c r="J543" s="32">
        <v>33.259</v>
      </c>
      <c r="K543" s="32" t="b">
        <v>0</v>
      </c>
      <c r="L543" s="32" t="s">
        <v>63</v>
      </c>
      <c r="M543" s="32" t="s">
        <v>63</v>
      </c>
      <c r="N543" s="34">
        <v>46027</v>
      </c>
      <c r="O543" s="35" t="str">
        <f t="shared" si="2"/>
        <v>Phạm Tiến Dũng</v>
      </c>
    </row>
    <row r="544" spans="1:15">
      <c r="A544" s="32" t="s">
        <v>210</v>
      </c>
      <c r="B544" s="32" t="s">
        <v>44</v>
      </c>
      <c r="C544" s="33">
        <v>46030</v>
      </c>
      <c r="D544" s="32">
        <v>913814958</v>
      </c>
      <c r="E544" s="32">
        <v>438990014</v>
      </c>
      <c r="F544" s="32" t="s">
        <v>208</v>
      </c>
      <c r="G544" s="32" t="s">
        <v>46</v>
      </c>
      <c r="H544" s="32" t="s">
        <v>18</v>
      </c>
      <c r="I544" s="32">
        <v>42.543999999999997</v>
      </c>
      <c r="J544" s="32">
        <v>51.225999999999999</v>
      </c>
      <c r="K544" s="32" t="b">
        <v>1</v>
      </c>
      <c r="L544" s="32" t="s">
        <v>63</v>
      </c>
      <c r="M544" s="32" t="s">
        <v>48</v>
      </c>
      <c r="N544" s="34">
        <v>46207</v>
      </c>
      <c r="O544" s="35" t="str">
        <f t="shared" si="2"/>
        <v>Huỳnh Quốc Thông</v>
      </c>
    </row>
    <row r="545" spans="1:15">
      <c r="A545" s="32" t="s">
        <v>61</v>
      </c>
      <c r="B545" s="32" t="s">
        <v>44</v>
      </c>
      <c r="C545" s="33">
        <v>46030</v>
      </c>
      <c r="D545" s="32">
        <v>949786476</v>
      </c>
      <c r="E545" s="32">
        <v>514815800</v>
      </c>
      <c r="F545" s="32" t="s">
        <v>62</v>
      </c>
      <c r="G545" s="32" t="s">
        <v>46</v>
      </c>
      <c r="H545" s="32" t="s">
        <v>58</v>
      </c>
      <c r="I545" s="32">
        <v>132.97</v>
      </c>
      <c r="J545" s="32">
        <v>56.006</v>
      </c>
      <c r="K545" s="32" t="b">
        <v>1</v>
      </c>
      <c r="L545" s="32" t="s">
        <v>63</v>
      </c>
      <c r="M545" s="32" t="s">
        <v>48</v>
      </c>
      <c r="N545" s="34">
        <v>46206</v>
      </c>
      <c r="O545" s="35" t="str">
        <f t="shared" si="2"/>
        <v>Đặng Ngọc Sơn</v>
      </c>
    </row>
    <row r="546" spans="1:15">
      <c r="A546" s="32" t="s">
        <v>111</v>
      </c>
      <c r="B546" s="32" t="s">
        <v>44</v>
      </c>
      <c r="C546" s="33">
        <v>46030</v>
      </c>
      <c r="D546" s="32">
        <v>945796839</v>
      </c>
      <c r="E546" s="32">
        <v>514818795</v>
      </c>
      <c r="F546" s="32" t="s">
        <v>112</v>
      </c>
      <c r="G546" s="32" t="s">
        <v>46</v>
      </c>
      <c r="H546" s="32" t="s">
        <v>51</v>
      </c>
      <c r="I546" s="32">
        <v>64.677999999999997</v>
      </c>
      <c r="J546" s="32">
        <v>43.19</v>
      </c>
      <c r="K546" s="32" t="b">
        <v>1</v>
      </c>
      <c r="L546" s="32" t="s">
        <v>79</v>
      </c>
      <c r="M546" s="32" t="s">
        <v>48</v>
      </c>
      <c r="N546" s="34">
        <v>46176</v>
      </c>
      <c r="O546" s="35" t="str">
        <f t="shared" si="2"/>
        <v>Nguyễn Hải Đăng</v>
      </c>
    </row>
    <row r="547" spans="1:15">
      <c r="A547" s="32" t="s">
        <v>197</v>
      </c>
      <c r="B547" s="32" t="s">
        <v>44</v>
      </c>
      <c r="C547" s="33">
        <v>46030</v>
      </c>
      <c r="D547" s="32">
        <v>911685484</v>
      </c>
      <c r="E547" s="32">
        <v>514513531</v>
      </c>
      <c r="F547" s="32" t="s">
        <v>112</v>
      </c>
      <c r="G547" s="32" t="s">
        <v>46</v>
      </c>
      <c r="H547" s="32" t="s">
        <v>51</v>
      </c>
      <c r="I547" s="32">
        <v>104.395</v>
      </c>
      <c r="J547" s="32">
        <v>25.582999999999998</v>
      </c>
      <c r="K547" s="32" t="b">
        <v>1</v>
      </c>
      <c r="L547" s="32" t="s">
        <v>79</v>
      </c>
      <c r="M547" s="32" t="s">
        <v>48</v>
      </c>
      <c r="N547" s="32" t="s">
        <v>158</v>
      </c>
      <c r="O547" s="35" t="str">
        <f t="shared" si="2"/>
        <v>Thiệu Thái An</v>
      </c>
    </row>
    <row r="548" spans="1:15">
      <c r="A548" s="32" t="s">
        <v>70</v>
      </c>
      <c r="B548" s="32" t="s">
        <v>44</v>
      </c>
      <c r="C548" s="33">
        <v>46030</v>
      </c>
      <c r="D548" s="32">
        <v>913352939</v>
      </c>
      <c r="E548" s="32">
        <v>511935418</v>
      </c>
      <c r="F548" s="32" t="s">
        <v>71</v>
      </c>
      <c r="G548" s="32" t="s">
        <v>46</v>
      </c>
      <c r="H548" s="32" t="s">
        <v>51</v>
      </c>
      <c r="I548" s="32">
        <v>1074.364</v>
      </c>
      <c r="J548" s="32">
        <v>146.79300000000001</v>
      </c>
      <c r="K548" s="32" t="b">
        <v>1</v>
      </c>
      <c r="L548" s="32" t="s">
        <v>47</v>
      </c>
      <c r="M548" s="32" t="s">
        <v>48</v>
      </c>
      <c r="N548" s="32" t="s">
        <v>211</v>
      </c>
      <c r="O548" s="35" t="str">
        <f t="shared" si="2"/>
        <v>Dương Nhật Phương</v>
      </c>
    </row>
    <row r="549" spans="1:15">
      <c r="A549" s="32" t="s">
        <v>197</v>
      </c>
      <c r="B549" s="32" t="s">
        <v>44</v>
      </c>
      <c r="C549" s="33">
        <v>46030</v>
      </c>
      <c r="D549" s="32">
        <v>911685484</v>
      </c>
      <c r="E549" s="32">
        <v>514513531</v>
      </c>
      <c r="F549" s="32" t="s">
        <v>112</v>
      </c>
      <c r="G549" s="32" t="s">
        <v>46</v>
      </c>
      <c r="H549" s="32" t="s">
        <v>51</v>
      </c>
      <c r="I549" s="32">
        <v>77.082999999999998</v>
      </c>
      <c r="J549" s="32">
        <v>21.538</v>
      </c>
      <c r="K549" s="32" t="b">
        <v>1</v>
      </c>
      <c r="L549" s="32" t="s">
        <v>79</v>
      </c>
      <c r="M549" s="32" t="s">
        <v>48</v>
      </c>
      <c r="N549" s="34">
        <v>46117</v>
      </c>
      <c r="O549" s="35" t="str">
        <f t="shared" si="2"/>
        <v>Thiệu Thái An</v>
      </c>
    </row>
    <row r="550" spans="1:15">
      <c r="A550" s="32" t="s">
        <v>136</v>
      </c>
      <c r="B550" s="32" t="s">
        <v>44</v>
      </c>
      <c r="C550" s="33">
        <v>46030</v>
      </c>
      <c r="D550" s="32">
        <v>917773898</v>
      </c>
      <c r="E550" s="32">
        <v>505313750</v>
      </c>
      <c r="F550" s="32" t="s">
        <v>122</v>
      </c>
      <c r="G550" s="32" t="s">
        <v>46</v>
      </c>
      <c r="H550" s="32" t="s">
        <v>51</v>
      </c>
      <c r="I550" s="32">
        <v>79.775999999999996</v>
      </c>
      <c r="J550" s="32">
        <v>49.043999999999997</v>
      </c>
      <c r="K550" s="32" t="b">
        <v>1</v>
      </c>
      <c r="L550" s="32" t="s">
        <v>47</v>
      </c>
      <c r="M550" s="32" t="s">
        <v>48</v>
      </c>
      <c r="N550" s="34">
        <v>46238</v>
      </c>
      <c r="O550" s="35" t="str">
        <f t="shared" si="2"/>
        <v>Lê Xuân Trình</v>
      </c>
    </row>
    <row r="551" spans="1:15">
      <c r="A551" s="32" t="s">
        <v>136</v>
      </c>
      <c r="B551" s="32" t="s">
        <v>44</v>
      </c>
      <c r="C551" s="33">
        <v>46030</v>
      </c>
      <c r="D551" s="32">
        <v>917773898</v>
      </c>
      <c r="E551" s="32">
        <v>505313750</v>
      </c>
      <c r="F551" s="32" t="s">
        <v>122</v>
      </c>
      <c r="G551" s="32" t="s">
        <v>46</v>
      </c>
      <c r="H551" s="32" t="s">
        <v>51</v>
      </c>
      <c r="I551" s="32">
        <v>91.361000000000004</v>
      </c>
      <c r="J551" s="32">
        <v>44.344000000000001</v>
      </c>
      <c r="K551" s="32" t="b">
        <v>1</v>
      </c>
      <c r="L551" s="32" t="s">
        <v>47</v>
      </c>
      <c r="M551" s="32" t="s">
        <v>48</v>
      </c>
      <c r="N551" s="34">
        <v>46208</v>
      </c>
      <c r="O551" s="35" t="str">
        <f t="shared" si="2"/>
        <v>Lê Xuân Trình</v>
      </c>
    </row>
    <row r="552" spans="1:15">
      <c r="A552" s="32" t="s">
        <v>212</v>
      </c>
      <c r="B552" s="32" t="s">
        <v>44</v>
      </c>
      <c r="C552" s="33">
        <v>46030</v>
      </c>
      <c r="D552" s="32">
        <v>913858404</v>
      </c>
      <c r="E552" s="32">
        <v>489513910</v>
      </c>
      <c r="F552" s="32" t="s">
        <v>50</v>
      </c>
      <c r="G552" s="32" t="s">
        <v>46</v>
      </c>
      <c r="H552" s="32" t="s">
        <v>18</v>
      </c>
      <c r="I552" s="32">
        <v>139.37200000000001</v>
      </c>
      <c r="J552" s="32">
        <v>11.627000000000001</v>
      </c>
      <c r="K552" s="32" t="b">
        <v>1</v>
      </c>
      <c r="L552" s="32" t="s">
        <v>47</v>
      </c>
      <c r="M552" s="32" t="s">
        <v>48</v>
      </c>
      <c r="N552" s="32" t="s">
        <v>142</v>
      </c>
      <c r="O552" s="35" t="str">
        <f t="shared" si="2"/>
        <v>Trần Minh Tuấn2</v>
      </c>
    </row>
    <row r="553" spans="1:15">
      <c r="A553" s="32" t="s">
        <v>212</v>
      </c>
      <c r="B553" s="32" t="s">
        <v>44</v>
      </c>
      <c r="C553" s="33">
        <v>46030</v>
      </c>
      <c r="D553" s="32">
        <v>913858404</v>
      </c>
      <c r="E553" s="32">
        <v>489513910</v>
      </c>
      <c r="F553" s="32" t="s">
        <v>50</v>
      </c>
      <c r="G553" s="32" t="s">
        <v>46</v>
      </c>
      <c r="H553" s="32" t="s">
        <v>18</v>
      </c>
      <c r="I553" s="32">
        <v>140.85400000000001</v>
      </c>
      <c r="J553" s="32">
        <v>11.435</v>
      </c>
      <c r="K553" s="32" t="b">
        <v>1</v>
      </c>
      <c r="L553" s="32" t="s">
        <v>47</v>
      </c>
      <c r="M553" s="32" t="s">
        <v>48</v>
      </c>
      <c r="N553" s="34">
        <v>46285</v>
      </c>
      <c r="O553" s="35" t="str">
        <f t="shared" si="2"/>
        <v>Trần Minh Tuấn2</v>
      </c>
    </row>
    <row r="554" spans="1:15">
      <c r="A554" s="32" t="s">
        <v>212</v>
      </c>
      <c r="B554" s="32" t="s">
        <v>44</v>
      </c>
      <c r="C554" s="33">
        <v>46030</v>
      </c>
      <c r="D554" s="32">
        <v>913858404</v>
      </c>
      <c r="E554" s="32">
        <v>489513910</v>
      </c>
      <c r="F554" s="32" t="s">
        <v>50</v>
      </c>
      <c r="G554" s="32" t="s">
        <v>46</v>
      </c>
      <c r="H554" s="32" t="s">
        <v>18</v>
      </c>
      <c r="I554" s="32">
        <v>82.025999999999996</v>
      </c>
      <c r="J554" s="32">
        <v>11.419</v>
      </c>
      <c r="K554" s="32" t="b">
        <v>1</v>
      </c>
      <c r="L554" s="32" t="s">
        <v>47</v>
      </c>
      <c r="M554" s="32" t="s">
        <v>48</v>
      </c>
      <c r="N554" s="34">
        <v>46149</v>
      </c>
      <c r="O554" s="35" t="str">
        <f t="shared" si="2"/>
        <v>Trần Minh Tuấn2</v>
      </c>
    </row>
    <row r="555" spans="1:15">
      <c r="A555" s="32" t="s">
        <v>106</v>
      </c>
      <c r="B555" s="32" t="s">
        <v>44</v>
      </c>
      <c r="C555" s="33">
        <v>46030</v>
      </c>
      <c r="D555" s="32">
        <v>911039328</v>
      </c>
      <c r="E555" s="32">
        <v>404632975</v>
      </c>
      <c r="F555" s="32" t="s">
        <v>107</v>
      </c>
      <c r="G555" s="32" t="s">
        <v>46</v>
      </c>
      <c r="H555" s="32" t="s">
        <v>18</v>
      </c>
      <c r="I555" s="32">
        <v>93.343000000000004</v>
      </c>
      <c r="J555" s="32">
        <v>19.715</v>
      </c>
      <c r="K555" s="32" t="b">
        <v>1</v>
      </c>
      <c r="L555" s="32" t="s">
        <v>47</v>
      </c>
      <c r="M555" s="32" t="s">
        <v>48</v>
      </c>
      <c r="N555" s="34">
        <v>46025</v>
      </c>
      <c r="O555" s="35" t="str">
        <f t="shared" si="2"/>
        <v>Trương Vũ Hải</v>
      </c>
    </row>
    <row r="556" spans="1:15">
      <c r="A556" s="32" t="s">
        <v>106</v>
      </c>
      <c r="B556" s="32" t="s">
        <v>44</v>
      </c>
      <c r="C556" s="33">
        <v>46030</v>
      </c>
      <c r="D556" s="32">
        <v>911039328</v>
      </c>
      <c r="E556" s="32">
        <v>404632975</v>
      </c>
      <c r="F556" s="32" t="s">
        <v>107</v>
      </c>
      <c r="G556" s="32" t="s">
        <v>46</v>
      </c>
      <c r="H556" s="32" t="s">
        <v>18</v>
      </c>
      <c r="I556" s="32">
        <v>111.746</v>
      </c>
      <c r="J556" s="32">
        <v>19.664999999999999</v>
      </c>
      <c r="K556" s="32" t="b">
        <v>1</v>
      </c>
      <c r="L556" s="32" t="s">
        <v>47</v>
      </c>
      <c r="M556" s="32" t="s">
        <v>48</v>
      </c>
      <c r="N556" s="34">
        <v>46237</v>
      </c>
      <c r="O556" s="35" t="str">
        <f t="shared" si="2"/>
        <v>Trương Vũ Hải</v>
      </c>
    </row>
    <row r="557" spans="1:15">
      <c r="A557" s="32" t="s">
        <v>213</v>
      </c>
      <c r="B557" s="32" t="s">
        <v>44</v>
      </c>
      <c r="C557" s="33">
        <v>46030</v>
      </c>
      <c r="D557" s="32">
        <v>913602796</v>
      </c>
      <c r="E557" s="32">
        <v>408929125</v>
      </c>
      <c r="F557" s="32" t="s">
        <v>57</v>
      </c>
      <c r="G557" s="32" t="s">
        <v>46</v>
      </c>
      <c r="H557" s="32" t="s">
        <v>18</v>
      </c>
      <c r="I557" s="32">
        <v>97.063999999999993</v>
      </c>
      <c r="J557" s="32">
        <v>20.991</v>
      </c>
      <c r="K557" s="32" t="b">
        <v>1</v>
      </c>
      <c r="L557" s="32" t="s">
        <v>47</v>
      </c>
      <c r="M557" s="32" t="s">
        <v>48</v>
      </c>
      <c r="N557" s="34">
        <v>46214</v>
      </c>
      <c r="O557" s="35" t="str">
        <f t="shared" si="2"/>
        <v>Nguyễn Tấn Đạt</v>
      </c>
    </row>
    <row r="558" spans="1:15">
      <c r="A558" s="32" t="s">
        <v>213</v>
      </c>
      <c r="B558" s="32" t="s">
        <v>44</v>
      </c>
      <c r="C558" s="33">
        <v>46030</v>
      </c>
      <c r="D558" s="32">
        <v>913602796</v>
      </c>
      <c r="E558" s="32">
        <v>408929125</v>
      </c>
      <c r="F558" s="32" t="s">
        <v>57</v>
      </c>
      <c r="G558" s="32" t="s">
        <v>46</v>
      </c>
      <c r="H558" s="32" t="s">
        <v>18</v>
      </c>
      <c r="I558" s="32">
        <v>113.295</v>
      </c>
      <c r="J558" s="32">
        <v>47.225999999999999</v>
      </c>
      <c r="K558" s="32" t="b">
        <v>1</v>
      </c>
      <c r="L558" s="32" t="s">
        <v>47</v>
      </c>
      <c r="M558" s="32" t="s">
        <v>48</v>
      </c>
      <c r="N558" s="32" t="s">
        <v>123</v>
      </c>
      <c r="O558" s="35" t="str">
        <f t="shared" si="2"/>
        <v>Nguyễn Tấn Đạt</v>
      </c>
    </row>
    <row r="559" spans="1:15">
      <c r="A559" s="32" t="s">
        <v>213</v>
      </c>
      <c r="B559" s="32" t="s">
        <v>44</v>
      </c>
      <c r="C559" s="33">
        <v>46030</v>
      </c>
      <c r="D559" s="32">
        <v>913602796</v>
      </c>
      <c r="E559" s="32">
        <v>408929125</v>
      </c>
      <c r="F559" s="32" t="s">
        <v>57</v>
      </c>
      <c r="G559" s="32" t="s">
        <v>46</v>
      </c>
      <c r="H559" s="32" t="s">
        <v>18</v>
      </c>
      <c r="I559" s="32">
        <v>115.235</v>
      </c>
      <c r="J559" s="32">
        <v>55.951999999999998</v>
      </c>
      <c r="K559" s="32" t="b">
        <v>1</v>
      </c>
      <c r="L559" s="32" t="s">
        <v>47</v>
      </c>
      <c r="M559" s="32" t="s">
        <v>48</v>
      </c>
      <c r="N559" s="34">
        <v>46057</v>
      </c>
      <c r="O559" s="35" t="str">
        <f t="shared" si="2"/>
        <v>Nguyễn Tấn Đạt</v>
      </c>
    </row>
    <row r="560" spans="1:15">
      <c r="A560" s="32" t="s">
        <v>213</v>
      </c>
      <c r="B560" s="32" t="s">
        <v>44</v>
      </c>
      <c r="C560" s="33">
        <v>46030</v>
      </c>
      <c r="D560" s="32">
        <v>913602796</v>
      </c>
      <c r="E560" s="32">
        <v>408929125</v>
      </c>
      <c r="F560" s="32" t="s">
        <v>57</v>
      </c>
      <c r="G560" s="32" t="s">
        <v>46</v>
      </c>
      <c r="H560" s="32" t="s">
        <v>18</v>
      </c>
      <c r="I560" s="32">
        <v>115.078</v>
      </c>
      <c r="J560" s="32">
        <v>56.707999999999998</v>
      </c>
      <c r="K560" s="32" t="b">
        <v>1</v>
      </c>
      <c r="L560" s="32" t="s">
        <v>47</v>
      </c>
      <c r="M560" s="32" t="s">
        <v>48</v>
      </c>
      <c r="N560" s="34">
        <v>46178</v>
      </c>
      <c r="O560" s="35" t="str">
        <f t="shared" si="2"/>
        <v>Nguyễn Tấn Đạt</v>
      </c>
    </row>
    <row r="561" spans="1:15">
      <c r="A561" s="32" t="s">
        <v>148</v>
      </c>
      <c r="B561" s="32" t="s">
        <v>44</v>
      </c>
      <c r="C561" s="33">
        <v>46030</v>
      </c>
      <c r="D561" s="32">
        <v>917675757</v>
      </c>
      <c r="E561" s="32">
        <v>382295122</v>
      </c>
      <c r="F561" s="32" t="s">
        <v>149</v>
      </c>
      <c r="G561" s="32" t="s">
        <v>46</v>
      </c>
      <c r="H561" s="32" t="s">
        <v>18</v>
      </c>
      <c r="I561" s="32">
        <v>229.333</v>
      </c>
      <c r="J561" s="32">
        <v>58.640999999999998</v>
      </c>
      <c r="K561" s="32" t="b">
        <v>1</v>
      </c>
      <c r="L561" s="32" t="s">
        <v>63</v>
      </c>
      <c r="M561" s="32" t="s">
        <v>48</v>
      </c>
      <c r="N561" s="32" t="s">
        <v>214</v>
      </c>
      <c r="O561" s="35" t="str">
        <f t="shared" si="2"/>
        <v>Trần Hoài Vũ</v>
      </c>
    </row>
    <row r="562" spans="1:15">
      <c r="A562" s="32" t="s">
        <v>148</v>
      </c>
      <c r="B562" s="32" t="s">
        <v>44</v>
      </c>
      <c r="C562" s="33">
        <v>46030</v>
      </c>
      <c r="D562" s="32">
        <v>917675757</v>
      </c>
      <c r="E562" s="32">
        <v>382295122</v>
      </c>
      <c r="F562" s="32" t="s">
        <v>149</v>
      </c>
      <c r="G562" s="32" t="s">
        <v>46</v>
      </c>
      <c r="H562" s="32" t="s">
        <v>18</v>
      </c>
      <c r="I562" s="32">
        <v>233.226</v>
      </c>
      <c r="J562" s="32">
        <v>59.832000000000001</v>
      </c>
      <c r="K562" s="32" t="b">
        <v>1</v>
      </c>
      <c r="L562" s="32" t="s">
        <v>63</v>
      </c>
      <c r="M562" s="32" t="s">
        <v>48</v>
      </c>
      <c r="N562" s="34">
        <v>46035</v>
      </c>
      <c r="O562" s="35" t="str">
        <f t="shared" si="2"/>
        <v>Trần Hoài Vũ</v>
      </c>
    </row>
    <row r="563" spans="1:15">
      <c r="A563" s="32" t="s">
        <v>106</v>
      </c>
      <c r="B563" s="32" t="s">
        <v>44</v>
      </c>
      <c r="C563" s="33">
        <v>46030</v>
      </c>
      <c r="D563" s="32">
        <v>911039328</v>
      </c>
      <c r="E563" s="32">
        <v>404632975</v>
      </c>
      <c r="F563" s="32" t="s">
        <v>107</v>
      </c>
      <c r="G563" s="32" t="s">
        <v>46</v>
      </c>
      <c r="H563" s="32" t="s">
        <v>18</v>
      </c>
      <c r="I563" s="32">
        <v>122.916</v>
      </c>
      <c r="J563" s="32">
        <v>31.975000000000001</v>
      </c>
      <c r="K563" s="32" t="b">
        <v>1</v>
      </c>
      <c r="L563" s="32" t="s">
        <v>47</v>
      </c>
      <c r="M563" s="32" t="s">
        <v>48</v>
      </c>
      <c r="N563" s="34">
        <v>46118</v>
      </c>
      <c r="O563" s="35" t="str">
        <f t="shared" si="2"/>
        <v>Trương Vũ Hải</v>
      </c>
    </row>
    <row r="564" spans="1:15">
      <c r="A564" s="32" t="s">
        <v>148</v>
      </c>
      <c r="B564" s="32" t="s">
        <v>44</v>
      </c>
      <c r="C564" s="33">
        <v>46030</v>
      </c>
      <c r="D564" s="32">
        <v>917675757</v>
      </c>
      <c r="E564" s="32">
        <v>382295122</v>
      </c>
      <c r="F564" s="32" t="s">
        <v>149</v>
      </c>
      <c r="G564" s="32" t="s">
        <v>46</v>
      </c>
      <c r="H564" s="32" t="s">
        <v>18</v>
      </c>
      <c r="I564" s="32">
        <v>238.999</v>
      </c>
      <c r="J564" s="32">
        <v>57.506999999999998</v>
      </c>
      <c r="K564" s="32" t="b">
        <v>1</v>
      </c>
      <c r="L564" s="32" t="s">
        <v>63</v>
      </c>
      <c r="M564" s="32" t="s">
        <v>48</v>
      </c>
      <c r="N564" s="34">
        <v>46154</v>
      </c>
      <c r="O564" s="35" t="str">
        <f t="shared" si="2"/>
        <v>Trần Hoài Vũ</v>
      </c>
    </row>
    <row r="565" spans="1:15">
      <c r="A565" s="32" t="s">
        <v>106</v>
      </c>
      <c r="B565" s="32" t="s">
        <v>44</v>
      </c>
      <c r="C565" s="33">
        <v>46030</v>
      </c>
      <c r="D565" s="32">
        <v>911039328</v>
      </c>
      <c r="E565" s="32">
        <v>404632975</v>
      </c>
      <c r="F565" s="32" t="s">
        <v>107</v>
      </c>
      <c r="G565" s="32" t="s">
        <v>46</v>
      </c>
      <c r="H565" s="32" t="s">
        <v>18</v>
      </c>
      <c r="I565" s="32">
        <v>108.217</v>
      </c>
      <c r="J565" s="32">
        <v>30.923999999999999</v>
      </c>
      <c r="K565" s="32" t="b">
        <v>1</v>
      </c>
      <c r="L565" s="32" t="s">
        <v>47</v>
      </c>
      <c r="M565" s="32" t="s">
        <v>48</v>
      </c>
      <c r="N565" s="34">
        <v>46029</v>
      </c>
      <c r="O565" s="35" t="str">
        <f t="shared" si="2"/>
        <v>Trương Vũ Hải</v>
      </c>
    </row>
    <row r="566" spans="1:15">
      <c r="A566" s="32" t="s">
        <v>106</v>
      </c>
      <c r="B566" s="32" t="s">
        <v>44</v>
      </c>
      <c r="C566" s="33">
        <v>46030</v>
      </c>
      <c r="D566" s="32">
        <v>911039328</v>
      </c>
      <c r="E566" s="32">
        <v>404632975</v>
      </c>
      <c r="F566" s="32" t="s">
        <v>107</v>
      </c>
      <c r="G566" s="32" t="s">
        <v>46</v>
      </c>
      <c r="H566" s="32" t="s">
        <v>18</v>
      </c>
      <c r="I566" s="32">
        <v>100.13800000000001</v>
      </c>
      <c r="J566" s="32">
        <v>40.664999999999999</v>
      </c>
      <c r="K566" s="32" t="b">
        <v>1</v>
      </c>
      <c r="L566" s="32" t="s">
        <v>47</v>
      </c>
      <c r="M566" s="32" t="s">
        <v>48</v>
      </c>
      <c r="N566" s="34">
        <v>46238</v>
      </c>
      <c r="O566" s="35" t="str">
        <f t="shared" si="2"/>
        <v>Trương Vũ Hải</v>
      </c>
    </row>
    <row r="567" spans="1:15">
      <c r="A567" s="32" t="s">
        <v>136</v>
      </c>
      <c r="B567" s="32" t="s">
        <v>44</v>
      </c>
      <c r="C567" s="33">
        <v>46030</v>
      </c>
      <c r="D567" s="32">
        <v>917773898</v>
      </c>
      <c r="E567" s="32">
        <v>505313750</v>
      </c>
      <c r="F567" s="32" t="s">
        <v>122</v>
      </c>
      <c r="G567" s="32" t="s">
        <v>46</v>
      </c>
      <c r="H567" s="32" t="s">
        <v>58</v>
      </c>
      <c r="I567" s="32">
        <v>60.448999999999998</v>
      </c>
      <c r="J567" s="32">
        <v>44.143000000000001</v>
      </c>
      <c r="K567" s="32" t="b">
        <v>1</v>
      </c>
      <c r="L567" s="32" t="s">
        <v>47</v>
      </c>
      <c r="M567" s="32" t="s">
        <v>48</v>
      </c>
      <c r="N567" s="34">
        <v>46271</v>
      </c>
      <c r="O567" s="35" t="str">
        <f t="shared" si="2"/>
        <v>Lê Xuân Trình</v>
      </c>
    </row>
    <row r="568" spans="1:15">
      <c r="A568" s="32" t="s">
        <v>136</v>
      </c>
      <c r="B568" s="32" t="s">
        <v>44</v>
      </c>
      <c r="C568" s="33">
        <v>46030</v>
      </c>
      <c r="D568" s="32">
        <v>917773898</v>
      </c>
      <c r="E568" s="32">
        <v>505313750</v>
      </c>
      <c r="F568" s="32" t="s">
        <v>122</v>
      </c>
      <c r="G568" s="32" t="s">
        <v>46</v>
      </c>
      <c r="H568" s="32" t="s">
        <v>58</v>
      </c>
      <c r="I568" s="32">
        <v>111.813</v>
      </c>
      <c r="J568" s="32">
        <v>51.764000000000003</v>
      </c>
      <c r="K568" s="32" t="b">
        <v>1</v>
      </c>
      <c r="L568" s="32" t="s">
        <v>47</v>
      </c>
      <c r="M568" s="32" t="s">
        <v>48</v>
      </c>
      <c r="N568" s="34">
        <v>46267</v>
      </c>
      <c r="O568" s="35" t="str">
        <f t="shared" si="2"/>
        <v>Lê Xuân Trình</v>
      </c>
    </row>
    <row r="569" spans="1:15">
      <c r="A569" s="32" t="s">
        <v>129</v>
      </c>
      <c r="B569" s="32" t="s">
        <v>44</v>
      </c>
      <c r="C569" s="33">
        <v>46030</v>
      </c>
      <c r="D569" s="32">
        <v>919269115</v>
      </c>
      <c r="E569" s="32">
        <v>410479102</v>
      </c>
      <c r="F569" s="32" t="s">
        <v>130</v>
      </c>
      <c r="G569" s="32" t="s">
        <v>46</v>
      </c>
      <c r="H569" s="32" t="s">
        <v>18</v>
      </c>
      <c r="I569" s="32">
        <v>91.808999999999997</v>
      </c>
      <c r="J569" s="32">
        <v>45.316000000000003</v>
      </c>
      <c r="K569" s="32" t="b">
        <v>1</v>
      </c>
      <c r="L569" s="32" t="s">
        <v>63</v>
      </c>
      <c r="M569" s="32" t="s">
        <v>48</v>
      </c>
      <c r="N569" s="34">
        <v>46026</v>
      </c>
      <c r="O569" s="35" t="str">
        <f t="shared" si="2"/>
        <v>Thái Minh Phúc</v>
      </c>
    </row>
    <row r="570" spans="1:15">
      <c r="A570" s="32" t="s">
        <v>129</v>
      </c>
      <c r="B570" s="32" t="s">
        <v>44</v>
      </c>
      <c r="C570" s="33">
        <v>46030</v>
      </c>
      <c r="D570" s="32">
        <v>919269115</v>
      </c>
      <c r="E570" s="32">
        <v>410479102</v>
      </c>
      <c r="F570" s="32" t="s">
        <v>130</v>
      </c>
      <c r="G570" s="32" t="s">
        <v>46</v>
      </c>
      <c r="H570" s="32" t="s">
        <v>18</v>
      </c>
      <c r="I570" s="32">
        <v>81.608000000000004</v>
      </c>
      <c r="J570" s="32">
        <v>44.292000000000002</v>
      </c>
      <c r="K570" s="32" t="b">
        <v>1</v>
      </c>
      <c r="L570" s="32" t="s">
        <v>63</v>
      </c>
      <c r="M570" s="32" t="s">
        <v>48</v>
      </c>
      <c r="N570" s="34">
        <v>46180</v>
      </c>
      <c r="O570" s="35" t="str">
        <f t="shared" si="2"/>
        <v>Thái Minh Phúc</v>
      </c>
    </row>
    <row r="571" spans="1:15">
      <c r="A571" s="32" t="s">
        <v>129</v>
      </c>
      <c r="B571" s="32" t="s">
        <v>44</v>
      </c>
      <c r="C571" s="33">
        <v>46030</v>
      </c>
      <c r="D571" s="32">
        <v>919269115</v>
      </c>
      <c r="E571" s="32">
        <v>410479102</v>
      </c>
      <c r="F571" s="32" t="s">
        <v>130</v>
      </c>
      <c r="G571" s="32" t="s">
        <v>46</v>
      </c>
      <c r="H571" s="32" t="s">
        <v>18</v>
      </c>
      <c r="I571" s="32">
        <v>127.23</v>
      </c>
      <c r="J571" s="32">
        <v>45.728000000000002</v>
      </c>
      <c r="K571" s="32" t="b">
        <v>1</v>
      </c>
      <c r="L571" s="32" t="s">
        <v>63</v>
      </c>
      <c r="M571" s="32" t="s">
        <v>48</v>
      </c>
      <c r="N571" s="32" t="s">
        <v>158</v>
      </c>
      <c r="O571" s="35" t="str">
        <f t="shared" si="2"/>
        <v>Thái Minh Phúc</v>
      </c>
    </row>
    <row r="572" spans="1:15">
      <c r="A572" s="32" t="s">
        <v>129</v>
      </c>
      <c r="B572" s="32" t="s">
        <v>44</v>
      </c>
      <c r="C572" s="33">
        <v>46030</v>
      </c>
      <c r="D572" s="32">
        <v>919269115</v>
      </c>
      <c r="E572" s="32">
        <v>410479102</v>
      </c>
      <c r="F572" s="32" t="s">
        <v>130</v>
      </c>
      <c r="G572" s="32" t="s">
        <v>46</v>
      </c>
      <c r="H572" s="32" t="s">
        <v>18</v>
      </c>
      <c r="I572" s="32">
        <v>121.637</v>
      </c>
      <c r="J572" s="32">
        <v>45.145000000000003</v>
      </c>
      <c r="K572" s="32" t="b">
        <v>1</v>
      </c>
      <c r="L572" s="32" t="s">
        <v>63</v>
      </c>
      <c r="M572" s="32" t="s">
        <v>48</v>
      </c>
      <c r="N572" s="34">
        <v>46056</v>
      </c>
      <c r="O572" s="35" t="str">
        <f t="shared" si="2"/>
        <v>Thái Minh Phúc</v>
      </c>
    </row>
    <row r="573" spans="1:15">
      <c r="A573" s="32" t="s">
        <v>72</v>
      </c>
      <c r="B573" s="32" t="s">
        <v>44</v>
      </c>
      <c r="C573" s="33">
        <v>46030</v>
      </c>
      <c r="D573" s="32">
        <v>918955485</v>
      </c>
      <c r="E573" s="32">
        <v>463253403</v>
      </c>
      <c r="F573" s="32" t="s">
        <v>73</v>
      </c>
      <c r="G573" s="32" t="s">
        <v>46</v>
      </c>
      <c r="H573" s="32" t="s">
        <v>18</v>
      </c>
      <c r="I573" s="32">
        <v>670.51300000000003</v>
      </c>
      <c r="J573" s="32">
        <v>92.331000000000003</v>
      </c>
      <c r="K573" s="32" t="b">
        <v>1</v>
      </c>
      <c r="L573" s="32" t="s">
        <v>47</v>
      </c>
      <c r="M573" s="32" t="s">
        <v>48</v>
      </c>
      <c r="N573" s="34">
        <v>46275</v>
      </c>
      <c r="O573" s="35" t="str">
        <f t="shared" si="2"/>
        <v>Lê Thành Tài</v>
      </c>
    </row>
    <row r="574" spans="1:15">
      <c r="A574" s="32" t="s">
        <v>72</v>
      </c>
      <c r="B574" s="32" t="s">
        <v>44</v>
      </c>
      <c r="C574" s="33">
        <v>46030</v>
      </c>
      <c r="D574" s="32">
        <v>918955485</v>
      </c>
      <c r="E574" s="32">
        <v>463253403</v>
      </c>
      <c r="F574" s="32" t="s">
        <v>73</v>
      </c>
      <c r="G574" s="32" t="s">
        <v>46</v>
      </c>
      <c r="H574" s="32" t="s">
        <v>18</v>
      </c>
      <c r="I574" s="32">
        <v>687.04300000000001</v>
      </c>
      <c r="J574" s="32">
        <v>78.512</v>
      </c>
      <c r="K574" s="32" t="b">
        <v>1</v>
      </c>
      <c r="L574" s="32" t="s">
        <v>47</v>
      </c>
      <c r="M574" s="32" t="s">
        <v>48</v>
      </c>
      <c r="N574" s="34">
        <v>46241</v>
      </c>
      <c r="O574" s="35" t="str">
        <f t="shared" si="2"/>
        <v>Lê Thành Tài</v>
      </c>
    </row>
    <row r="575" spans="1:15">
      <c r="A575" s="32" t="s">
        <v>72</v>
      </c>
      <c r="B575" s="32" t="s">
        <v>44</v>
      </c>
      <c r="C575" s="33">
        <v>46030</v>
      </c>
      <c r="D575" s="32">
        <v>918955485</v>
      </c>
      <c r="E575" s="32">
        <v>463253403</v>
      </c>
      <c r="F575" s="32" t="s">
        <v>73</v>
      </c>
      <c r="G575" s="32" t="s">
        <v>46</v>
      </c>
      <c r="H575" s="32" t="s">
        <v>18</v>
      </c>
      <c r="I575" s="32">
        <v>486.20600000000002</v>
      </c>
      <c r="J575" s="32">
        <v>94.070999999999998</v>
      </c>
      <c r="K575" s="32" t="b">
        <v>1</v>
      </c>
      <c r="L575" s="32" t="s">
        <v>47</v>
      </c>
      <c r="M575" s="32" t="s">
        <v>48</v>
      </c>
      <c r="N575" s="34">
        <v>46155</v>
      </c>
      <c r="O575" s="35" t="str">
        <f t="shared" si="2"/>
        <v>Lê Thành Tài</v>
      </c>
    </row>
    <row r="576" spans="1:15">
      <c r="A576" s="32" t="s">
        <v>213</v>
      </c>
      <c r="B576" s="32" t="s">
        <v>44</v>
      </c>
      <c r="C576" s="33">
        <v>46030</v>
      </c>
      <c r="D576" s="32">
        <v>913602796</v>
      </c>
      <c r="E576" s="32">
        <v>408929125</v>
      </c>
      <c r="F576" s="32" t="s">
        <v>57</v>
      </c>
      <c r="G576" s="32" t="s">
        <v>46</v>
      </c>
      <c r="H576" s="32" t="s">
        <v>18</v>
      </c>
      <c r="I576" s="32">
        <v>101.99</v>
      </c>
      <c r="J576" s="32">
        <v>18.986999999999998</v>
      </c>
      <c r="K576" s="32" t="b">
        <v>1</v>
      </c>
      <c r="L576" s="32" t="s">
        <v>47</v>
      </c>
      <c r="M576" s="32" t="s">
        <v>48</v>
      </c>
      <c r="N576" s="34">
        <v>46026</v>
      </c>
      <c r="O576" s="35" t="str">
        <f t="shared" si="2"/>
        <v>Nguyễn Tấn Đạt</v>
      </c>
    </row>
    <row r="577" spans="1:15">
      <c r="A577" s="32" t="s">
        <v>213</v>
      </c>
      <c r="B577" s="32" t="s">
        <v>44</v>
      </c>
      <c r="C577" s="33">
        <v>46030</v>
      </c>
      <c r="D577" s="32">
        <v>913602796</v>
      </c>
      <c r="E577" s="32">
        <v>408929125</v>
      </c>
      <c r="F577" s="32" t="s">
        <v>57</v>
      </c>
      <c r="G577" s="32" t="s">
        <v>46</v>
      </c>
      <c r="H577" s="32" t="s">
        <v>18</v>
      </c>
      <c r="I577" s="32">
        <v>110.959</v>
      </c>
      <c r="J577" s="32">
        <v>25.89</v>
      </c>
      <c r="K577" s="32" t="b">
        <v>1</v>
      </c>
      <c r="L577" s="32" t="s">
        <v>47</v>
      </c>
      <c r="M577" s="32" t="s">
        <v>48</v>
      </c>
      <c r="N577" s="32" t="s">
        <v>201</v>
      </c>
      <c r="O577" s="35" t="str">
        <f t="shared" si="2"/>
        <v>Nguyễn Tấn Đạt</v>
      </c>
    </row>
    <row r="578" spans="1:15">
      <c r="A578" s="32" t="s">
        <v>59</v>
      </c>
      <c r="B578" s="32" t="s">
        <v>44</v>
      </c>
      <c r="C578" s="33">
        <v>46030</v>
      </c>
      <c r="D578" s="32">
        <v>918278345</v>
      </c>
      <c r="E578" s="32">
        <v>511526722</v>
      </c>
      <c r="F578" s="32" t="s">
        <v>60</v>
      </c>
      <c r="G578" s="32" t="s">
        <v>46</v>
      </c>
      <c r="H578" s="32" t="s">
        <v>58</v>
      </c>
      <c r="I578" s="32">
        <v>72.081000000000003</v>
      </c>
      <c r="J578" s="32">
        <v>29.599</v>
      </c>
      <c r="K578" s="32" t="b">
        <v>1</v>
      </c>
      <c r="L578" s="32" t="s">
        <v>47</v>
      </c>
      <c r="M578" s="32" t="s">
        <v>48</v>
      </c>
      <c r="N578" s="32" t="s">
        <v>215</v>
      </c>
      <c r="O578" s="35" t="str">
        <f t="shared" si="2"/>
        <v>Trịnh Minh Trí</v>
      </c>
    </row>
    <row r="579" spans="1:15">
      <c r="A579" s="32" t="s">
        <v>59</v>
      </c>
      <c r="B579" s="32" t="s">
        <v>44</v>
      </c>
      <c r="C579" s="33">
        <v>46030</v>
      </c>
      <c r="D579" s="32">
        <v>918278345</v>
      </c>
      <c r="E579" s="32">
        <v>511526722</v>
      </c>
      <c r="F579" s="32" t="s">
        <v>60</v>
      </c>
      <c r="G579" s="32" t="s">
        <v>46</v>
      </c>
      <c r="H579" s="32" t="s">
        <v>58</v>
      </c>
      <c r="I579" s="32">
        <v>90.167000000000002</v>
      </c>
      <c r="J579" s="32">
        <v>41.588000000000001</v>
      </c>
      <c r="K579" s="32" t="b">
        <v>1</v>
      </c>
      <c r="L579" s="32" t="s">
        <v>47</v>
      </c>
      <c r="M579" s="32" t="s">
        <v>48</v>
      </c>
      <c r="N579" s="34">
        <v>46116</v>
      </c>
      <c r="O579" s="35" t="str">
        <f t="shared" si="2"/>
        <v>Trịnh Minh Trí</v>
      </c>
    </row>
    <row r="580" spans="1:15">
      <c r="A580" s="32" t="s">
        <v>59</v>
      </c>
      <c r="B580" s="32" t="s">
        <v>44</v>
      </c>
      <c r="C580" s="33">
        <v>46030</v>
      </c>
      <c r="D580" s="32">
        <v>918278345</v>
      </c>
      <c r="E580" s="32">
        <v>511526722</v>
      </c>
      <c r="F580" s="32" t="s">
        <v>60</v>
      </c>
      <c r="G580" s="32" t="s">
        <v>46</v>
      </c>
      <c r="H580" s="32" t="s">
        <v>58</v>
      </c>
      <c r="I580" s="32">
        <v>81.998000000000005</v>
      </c>
      <c r="J580" s="32">
        <v>39.512</v>
      </c>
      <c r="K580" s="32" t="b">
        <v>1</v>
      </c>
      <c r="L580" s="32" t="s">
        <v>47</v>
      </c>
      <c r="M580" s="32" t="s">
        <v>48</v>
      </c>
      <c r="N580" s="34">
        <v>46205</v>
      </c>
      <c r="O580" s="35" t="str">
        <f t="shared" si="2"/>
        <v>Trịnh Minh Trí</v>
      </c>
    </row>
    <row r="581" spans="1:15">
      <c r="A581" s="32" t="s">
        <v>96</v>
      </c>
      <c r="B581" s="32" t="s">
        <v>44</v>
      </c>
      <c r="C581" s="33">
        <v>46030</v>
      </c>
      <c r="D581" s="32">
        <v>914390007</v>
      </c>
      <c r="E581" s="32">
        <v>504830634</v>
      </c>
      <c r="F581" s="32" t="s">
        <v>60</v>
      </c>
      <c r="G581" s="32" t="s">
        <v>46</v>
      </c>
      <c r="H581" s="32" t="s">
        <v>51</v>
      </c>
      <c r="I581" s="32">
        <v>101.416</v>
      </c>
      <c r="J581" s="32">
        <v>51.820999999999998</v>
      </c>
      <c r="K581" s="32" t="b">
        <v>1</v>
      </c>
      <c r="L581" s="32" t="s">
        <v>47</v>
      </c>
      <c r="M581" s="32" t="s">
        <v>48</v>
      </c>
      <c r="N581" s="34">
        <v>46147</v>
      </c>
      <c r="O581" s="35" t="str">
        <f t="shared" si="2"/>
        <v>Võ Quốc Huy</v>
      </c>
    </row>
    <row r="582" spans="1:15">
      <c r="A582" s="32" t="s">
        <v>136</v>
      </c>
      <c r="B582" s="32" t="s">
        <v>44</v>
      </c>
      <c r="C582" s="33">
        <v>46030</v>
      </c>
      <c r="D582" s="32">
        <v>917773898</v>
      </c>
      <c r="E582" s="32">
        <v>505313750</v>
      </c>
      <c r="F582" s="32" t="s">
        <v>122</v>
      </c>
      <c r="G582" s="32" t="s">
        <v>46</v>
      </c>
      <c r="H582" s="32" t="s">
        <v>58</v>
      </c>
      <c r="I582" s="32">
        <v>112.842</v>
      </c>
      <c r="J582" s="32">
        <v>44.640999999999998</v>
      </c>
      <c r="K582" s="32" t="b">
        <v>1</v>
      </c>
      <c r="L582" s="32" t="s">
        <v>47</v>
      </c>
      <c r="M582" s="32" t="s">
        <v>48</v>
      </c>
      <c r="N582" s="34">
        <v>46025</v>
      </c>
      <c r="O582" s="35" t="str">
        <f t="shared" si="2"/>
        <v>Lê Xuân Trình</v>
      </c>
    </row>
    <row r="583" spans="1:15">
      <c r="A583" s="32" t="s">
        <v>121</v>
      </c>
      <c r="B583" s="32" t="s">
        <v>44</v>
      </c>
      <c r="C583" s="33">
        <v>46030</v>
      </c>
      <c r="D583" s="32">
        <v>919619755</v>
      </c>
      <c r="E583" s="32">
        <v>513794281</v>
      </c>
      <c r="F583" s="32" t="s">
        <v>122</v>
      </c>
      <c r="G583" s="32" t="s">
        <v>46</v>
      </c>
      <c r="H583" s="32" t="s">
        <v>18</v>
      </c>
      <c r="I583" s="32">
        <v>88.784000000000006</v>
      </c>
      <c r="J583" s="32">
        <v>11.579000000000001</v>
      </c>
      <c r="K583" s="32" t="b">
        <v>1</v>
      </c>
      <c r="L583" s="32" t="s">
        <v>47</v>
      </c>
      <c r="M583" s="32" t="s">
        <v>48</v>
      </c>
      <c r="N583" s="34">
        <v>46117</v>
      </c>
      <c r="O583" s="35" t="str">
        <f t="shared" si="2"/>
        <v>Nguyễn Ngọc Thơ</v>
      </c>
    </row>
    <row r="584" spans="1:15">
      <c r="A584" s="32" t="s">
        <v>121</v>
      </c>
      <c r="B584" s="32" t="s">
        <v>44</v>
      </c>
      <c r="C584" s="33">
        <v>46030</v>
      </c>
      <c r="D584" s="32">
        <v>919619755</v>
      </c>
      <c r="E584" s="32">
        <v>513794281</v>
      </c>
      <c r="F584" s="32" t="s">
        <v>122</v>
      </c>
      <c r="G584" s="32" t="s">
        <v>46</v>
      </c>
      <c r="H584" s="32" t="s">
        <v>18</v>
      </c>
      <c r="I584" s="32">
        <v>73.876999999999995</v>
      </c>
      <c r="J584" s="32">
        <v>11.403</v>
      </c>
      <c r="K584" s="32" t="b">
        <v>1</v>
      </c>
      <c r="L584" s="32" t="s">
        <v>47</v>
      </c>
      <c r="M584" s="32" t="s">
        <v>48</v>
      </c>
      <c r="N584" s="34">
        <v>46272</v>
      </c>
      <c r="O584" s="35" t="str">
        <f t="shared" si="2"/>
        <v>Nguyễn Ngọc Thơ</v>
      </c>
    </row>
    <row r="585" spans="1:15">
      <c r="A585" s="32" t="s">
        <v>121</v>
      </c>
      <c r="B585" s="32" t="s">
        <v>44</v>
      </c>
      <c r="C585" s="33">
        <v>46030</v>
      </c>
      <c r="D585" s="32">
        <v>919619755</v>
      </c>
      <c r="E585" s="32">
        <v>513794281</v>
      </c>
      <c r="F585" s="32" t="s">
        <v>122</v>
      </c>
      <c r="G585" s="32" t="s">
        <v>46</v>
      </c>
      <c r="H585" s="32" t="s">
        <v>18</v>
      </c>
      <c r="I585" s="32">
        <v>113.84699999999999</v>
      </c>
      <c r="J585" s="32">
        <v>11.388</v>
      </c>
      <c r="K585" s="32" t="b">
        <v>1</v>
      </c>
      <c r="L585" s="32" t="s">
        <v>47</v>
      </c>
      <c r="M585" s="32" t="s">
        <v>48</v>
      </c>
      <c r="N585" s="34">
        <v>46184</v>
      </c>
      <c r="O585" s="35" t="str">
        <f t="shared" si="2"/>
        <v>Nguyễn Ngọc Thơ</v>
      </c>
    </row>
    <row r="586" spans="1:15">
      <c r="A586" s="32" t="s">
        <v>121</v>
      </c>
      <c r="B586" s="32" t="s">
        <v>44</v>
      </c>
      <c r="C586" s="33">
        <v>46030</v>
      </c>
      <c r="D586" s="32">
        <v>919619755</v>
      </c>
      <c r="E586" s="32">
        <v>513794281</v>
      </c>
      <c r="F586" s="32" t="s">
        <v>122</v>
      </c>
      <c r="G586" s="32" t="s">
        <v>46</v>
      </c>
      <c r="H586" s="32" t="s">
        <v>18</v>
      </c>
      <c r="I586" s="32">
        <v>39.942</v>
      </c>
      <c r="J586" s="32">
        <v>11.529</v>
      </c>
      <c r="K586" s="32" t="b">
        <v>1</v>
      </c>
      <c r="L586" s="32" t="s">
        <v>47</v>
      </c>
      <c r="M586" s="32" t="s">
        <v>48</v>
      </c>
      <c r="N586" s="34">
        <v>46277</v>
      </c>
      <c r="O586" s="35" t="str">
        <f t="shared" si="2"/>
        <v>Nguyễn Ngọc Thơ</v>
      </c>
    </row>
    <row r="587" spans="1:15">
      <c r="A587" s="32" t="s">
        <v>192</v>
      </c>
      <c r="B587" s="32" t="s">
        <v>44</v>
      </c>
      <c r="C587" s="33">
        <v>46030</v>
      </c>
      <c r="D587" s="32">
        <v>846528979</v>
      </c>
      <c r="E587" s="32">
        <v>489405039</v>
      </c>
      <c r="F587" s="32" t="s">
        <v>193</v>
      </c>
      <c r="G587" s="32" t="s">
        <v>46</v>
      </c>
      <c r="H587" s="32" t="s">
        <v>51</v>
      </c>
      <c r="I587" s="32">
        <v>88.665000000000006</v>
      </c>
      <c r="J587" s="32">
        <v>51.997999999999998</v>
      </c>
      <c r="K587" s="32" t="b">
        <v>1</v>
      </c>
      <c r="L587" s="32" t="s">
        <v>63</v>
      </c>
      <c r="M587" s="32" t="s">
        <v>48</v>
      </c>
      <c r="N587" s="34">
        <v>46208</v>
      </c>
      <c r="O587" s="35" t="str">
        <f t="shared" si="2"/>
        <v>Đinh Bộ Lĩnh</v>
      </c>
    </row>
    <row r="588" spans="1:15">
      <c r="A588" s="32" t="s">
        <v>61</v>
      </c>
      <c r="B588" s="32" t="s">
        <v>44</v>
      </c>
      <c r="C588" s="33">
        <v>46030</v>
      </c>
      <c r="D588" s="32">
        <v>949786476</v>
      </c>
      <c r="E588" s="32">
        <v>514815800</v>
      </c>
      <c r="F588" s="32" t="s">
        <v>62</v>
      </c>
      <c r="G588" s="32" t="s">
        <v>46</v>
      </c>
      <c r="H588" s="32" t="s">
        <v>58</v>
      </c>
      <c r="I588" s="32">
        <v>105.619</v>
      </c>
      <c r="J588" s="32">
        <v>57</v>
      </c>
      <c r="K588" s="32" t="b">
        <v>1</v>
      </c>
      <c r="L588" s="32" t="s">
        <v>63</v>
      </c>
      <c r="M588" s="32" t="s">
        <v>48</v>
      </c>
      <c r="N588" s="34">
        <v>46238</v>
      </c>
      <c r="O588" s="35" t="str">
        <f t="shared" si="2"/>
        <v>Đặng Ngọc Sơn</v>
      </c>
    </row>
    <row r="589" spans="1:15">
      <c r="A589" s="32" t="s">
        <v>74</v>
      </c>
      <c r="B589" s="32" t="s">
        <v>44</v>
      </c>
      <c r="C589" s="33">
        <v>46030</v>
      </c>
      <c r="D589" s="32">
        <v>945833826</v>
      </c>
      <c r="E589" s="32">
        <v>515016582</v>
      </c>
      <c r="F589" s="32" t="s">
        <v>75</v>
      </c>
      <c r="G589" s="32" t="s">
        <v>46</v>
      </c>
      <c r="H589" s="32" t="s">
        <v>51</v>
      </c>
      <c r="I589" s="32">
        <v>762.2</v>
      </c>
      <c r="J589" s="32">
        <v>57.798999999999999</v>
      </c>
      <c r="K589" s="32" t="b">
        <v>1</v>
      </c>
      <c r="L589" s="32" t="s">
        <v>47</v>
      </c>
      <c r="M589" s="32" t="s">
        <v>48</v>
      </c>
      <c r="N589" s="34">
        <v>46030</v>
      </c>
      <c r="O589" s="35" t="str">
        <f t="shared" si="2"/>
        <v>Võ Quang Duy</v>
      </c>
    </row>
    <row r="590" spans="1:15">
      <c r="A590" s="32" t="s">
        <v>216</v>
      </c>
      <c r="B590" s="32" t="s">
        <v>44</v>
      </c>
      <c r="C590" s="33">
        <v>46030</v>
      </c>
      <c r="D590" s="32">
        <v>835880097</v>
      </c>
      <c r="E590" s="32">
        <v>495019055</v>
      </c>
      <c r="F590" s="32" t="s">
        <v>98</v>
      </c>
      <c r="G590" s="32" t="s">
        <v>46</v>
      </c>
      <c r="H590" s="32" t="s">
        <v>51</v>
      </c>
      <c r="I590" s="32">
        <v>70.468000000000004</v>
      </c>
      <c r="J590" s="32">
        <v>41.710999999999999</v>
      </c>
      <c r="K590" s="32" t="b">
        <v>1</v>
      </c>
      <c r="L590" s="32" t="s">
        <v>63</v>
      </c>
      <c r="M590" s="32" t="s">
        <v>48</v>
      </c>
      <c r="N590" s="34">
        <v>46086</v>
      </c>
      <c r="O590" s="35" t="str">
        <f t="shared" si="2"/>
        <v>Mai Thiện Phương</v>
      </c>
    </row>
    <row r="591" spans="1:15">
      <c r="A591" s="32" t="s">
        <v>216</v>
      </c>
      <c r="B591" s="32" t="s">
        <v>44</v>
      </c>
      <c r="C591" s="33">
        <v>46030</v>
      </c>
      <c r="D591" s="32">
        <v>835880097</v>
      </c>
      <c r="E591" s="32">
        <v>495019055</v>
      </c>
      <c r="F591" s="32" t="s">
        <v>98</v>
      </c>
      <c r="G591" s="32" t="s">
        <v>46</v>
      </c>
      <c r="H591" s="32" t="s">
        <v>51</v>
      </c>
      <c r="I591" s="32">
        <v>70.468000000000004</v>
      </c>
      <c r="J591" s="32">
        <v>41.710999999999999</v>
      </c>
      <c r="K591" s="32" t="b">
        <v>1</v>
      </c>
      <c r="L591" s="32" t="s">
        <v>63</v>
      </c>
      <c r="M591" s="32" t="s">
        <v>48</v>
      </c>
      <c r="N591" s="34">
        <v>46086</v>
      </c>
      <c r="O591" s="35" t="str">
        <f t="shared" si="2"/>
        <v>Mai Thiện Phương</v>
      </c>
    </row>
    <row r="592" spans="1:15">
      <c r="A592" s="32" t="s">
        <v>74</v>
      </c>
      <c r="B592" s="32" t="s">
        <v>44</v>
      </c>
      <c r="C592" s="33">
        <v>46030</v>
      </c>
      <c r="D592" s="32">
        <v>945833826</v>
      </c>
      <c r="E592" s="32">
        <v>515016582</v>
      </c>
      <c r="F592" s="32" t="s">
        <v>75</v>
      </c>
      <c r="G592" s="32" t="s">
        <v>46</v>
      </c>
      <c r="H592" s="32" t="s">
        <v>51</v>
      </c>
      <c r="I592" s="32">
        <v>79.021000000000001</v>
      </c>
      <c r="J592" s="32">
        <v>23.791</v>
      </c>
      <c r="K592" s="32" t="b">
        <v>1</v>
      </c>
      <c r="L592" s="32" t="s">
        <v>47</v>
      </c>
      <c r="M592" s="32" t="s">
        <v>48</v>
      </c>
      <c r="N592" s="32" t="s">
        <v>105</v>
      </c>
      <c r="O592" s="35" t="str">
        <f t="shared" si="2"/>
        <v>Võ Quang Duy</v>
      </c>
    </row>
    <row r="593" spans="1:15">
      <c r="A593" s="32" t="s">
        <v>91</v>
      </c>
      <c r="B593" s="32" t="s">
        <v>44</v>
      </c>
      <c r="C593" s="33">
        <v>46030</v>
      </c>
      <c r="D593" s="32">
        <v>917714086</v>
      </c>
      <c r="E593" s="32">
        <v>514807788</v>
      </c>
      <c r="F593" s="32" t="s">
        <v>92</v>
      </c>
      <c r="G593" s="32" t="s">
        <v>46</v>
      </c>
      <c r="H593" s="32" t="s">
        <v>51</v>
      </c>
      <c r="I593" s="32">
        <v>85.733999999999995</v>
      </c>
      <c r="J593" s="32">
        <v>61.74</v>
      </c>
      <c r="K593" s="32" t="b">
        <v>1</v>
      </c>
      <c r="L593" s="32" t="s">
        <v>79</v>
      </c>
      <c r="M593" s="32" t="s">
        <v>48</v>
      </c>
      <c r="N593" s="34">
        <v>46237</v>
      </c>
      <c r="O593" s="35" t="str">
        <f t="shared" si="2"/>
        <v>Lê Hoàng Vinh</v>
      </c>
    </row>
    <row r="594" spans="1:15">
      <c r="A594" s="32" t="s">
        <v>49</v>
      </c>
      <c r="B594" s="32" t="s">
        <v>44</v>
      </c>
      <c r="C594" s="33">
        <v>46030</v>
      </c>
      <c r="D594" s="32">
        <v>947245878</v>
      </c>
      <c r="E594" s="32">
        <v>493854272</v>
      </c>
      <c r="F594" s="32" t="s">
        <v>50</v>
      </c>
      <c r="G594" s="32" t="s">
        <v>46</v>
      </c>
      <c r="H594" s="32" t="s">
        <v>58</v>
      </c>
      <c r="I594" s="32">
        <v>999.29100000000005</v>
      </c>
      <c r="J594" s="32">
        <v>146.17400000000001</v>
      </c>
      <c r="K594" s="32" t="b">
        <v>0</v>
      </c>
      <c r="L594" s="32" t="s">
        <v>47</v>
      </c>
      <c r="M594" s="32" t="s">
        <v>48</v>
      </c>
      <c r="N594" s="32" t="s">
        <v>150</v>
      </c>
      <c r="O594" s="35" t="str">
        <f t="shared" si="2"/>
        <v>Phạm Nguyễn Quang Huy</v>
      </c>
    </row>
    <row r="595" spans="1:15">
      <c r="A595" s="32" t="s">
        <v>49</v>
      </c>
      <c r="B595" s="32" t="s">
        <v>44</v>
      </c>
      <c r="C595" s="33">
        <v>46030</v>
      </c>
      <c r="D595" s="32">
        <v>828926567</v>
      </c>
      <c r="E595" s="32">
        <v>493854272</v>
      </c>
      <c r="F595" s="32" t="s">
        <v>50</v>
      </c>
      <c r="G595" s="32" t="s">
        <v>46</v>
      </c>
      <c r="H595" s="32" t="s">
        <v>58</v>
      </c>
      <c r="I595" s="32">
        <v>999.29100000000005</v>
      </c>
      <c r="J595" s="32">
        <v>146.17400000000001</v>
      </c>
      <c r="K595" s="32" t="b">
        <v>0</v>
      </c>
      <c r="L595" s="32" t="s">
        <v>47</v>
      </c>
      <c r="M595" s="32" t="s">
        <v>48</v>
      </c>
      <c r="N595" s="32" t="s">
        <v>150</v>
      </c>
      <c r="O595" s="35" t="str">
        <f t="shared" si="2"/>
        <v>Phạm Nguyễn Quang Huy</v>
      </c>
    </row>
    <row r="596" spans="1:15">
      <c r="A596" s="32" t="s">
        <v>52</v>
      </c>
      <c r="B596" s="32" t="s">
        <v>44</v>
      </c>
      <c r="C596" s="33">
        <v>46030</v>
      </c>
      <c r="D596" s="32">
        <v>915282271</v>
      </c>
      <c r="E596" s="32">
        <v>437354149</v>
      </c>
      <c r="F596" s="32" t="s">
        <v>53</v>
      </c>
      <c r="G596" s="32" t="s">
        <v>46</v>
      </c>
      <c r="H596" s="32" t="s">
        <v>51</v>
      </c>
      <c r="I596" s="32">
        <v>110.527</v>
      </c>
      <c r="J596" s="32">
        <v>60.234000000000002</v>
      </c>
      <c r="K596" s="32" t="b">
        <v>1</v>
      </c>
      <c r="L596" s="32" t="s">
        <v>47</v>
      </c>
      <c r="M596" s="32" t="s">
        <v>48</v>
      </c>
      <c r="N596" s="34">
        <v>46084</v>
      </c>
      <c r="O596" s="35" t="str">
        <f t="shared" si="2"/>
        <v>Nguyễn Hoàng Tuấn</v>
      </c>
    </row>
    <row r="597" spans="1:15">
      <c r="A597" s="32" t="s">
        <v>52</v>
      </c>
      <c r="B597" s="32" t="s">
        <v>44</v>
      </c>
      <c r="C597" s="33">
        <v>46030</v>
      </c>
      <c r="D597" s="32">
        <v>915282271</v>
      </c>
      <c r="E597" s="32">
        <v>437354149</v>
      </c>
      <c r="F597" s="32" t="s">
        <v>53</v>
      </c>
      <c r="G597" s="32" t="s">
        <v>46</v>
      </c>
      <c r="H597" s="32" t="s">
        <v>51</v>
      </c>
      <c r="I597" s="32">
        <v>110.527</v>
      </c>
      <c r="J597" s="32">
        <v>60.234000000000002</v>
      </c>
      <c r="K597" s="32" t="b">
        <v>1</v>
      </c>
      <c r="L597" s="32" t="s">
        <v>47</v>
      </c>
      <c r="M597" s="32" t="s">
        <v>48</v>
      </c>
      <c r="N597" s="34">
        <v>46084</v>
      </c>
      <c r="O597" s="35" t="str">
        <f t="shared" si="2"/>
        <v>Nguyễn Hoàng Tuấn</v>
      </c>
    </row>
    <row r="598" spans="1:15">
      <c r="A598" s="32" t="s">
        <v>111</v>
      </c>
      <c r="B598" s="32" t="s">
        <v>44</v>
      </c>
      <c r="C598" s="33">
        <v>46030</v>
      </c>
      <c r="D598" s="32">
        <v>945796839</v>
      </c>
      <c r="E598" s="32">
        <v>514818795</v>
      </c>
      <c r="F598" s="32" t="s">
        <v>112</v>
      </c>
      <c r="G598" s="32" t="s">
        <v>46</v>
      </c>
      <c r="H598" s="32" t="s">
        <v>51</v>
      </c>
      <c r="I598" s="32">
        <v>97.840999999999994</v>
      </c>
      <c r="J598" s="32">
        <v>81.772000000000006</v>
      </c>
      <c r="K598" s="32" t="b">
        <v>1</v>
      </c>
      <c r="L598" s="32" t="s">
        <v>79</v>
      </c>
      <c r="M598" s="32" t="s">
        <v>48</v>
      </c>
      <c r="N598" s="34">
        <v>46268</v>
      </c>
      <c r="O598" s="35" t="str">
        <f t="shared" si="2"/>
        <v>Nguyễn Hải Đăng</v>
      </c>
    </row>
    <row r="599" spans="1:15">
      <c r="A599" s="32" t="s">
        <v>96</v>
      </c>
      <c r="B599" s="32" t="s">
        <v>44</v>
      </c>
      <c r="C599" s="33">
        <v>46030</v>
      </c>
      <c r="D599" s="32">
        <v>914390007</v>
      </c>
      <c r="E599" s="32">
        <v>504830634</v>
      </c>
      <c r="F599" s="32" t="s">
        <v>60</v>
      </c>
      <c r="G599" s="32" t="s">
        <v>46</v>
      </c>
      <c r="H599" s="32" t="s">
        <v>51</v>
      </c>
      <c r="I599" s="32">
        <v>38.182000000000002</v>
      </c>
      <c r="J599" s="32">
        <v>13.375</v>
      </c>
      <c r="K599" s="32" t="b">
        <v>1</v>
      </c>
      <c r="L599" s="32" t="s">
        <v>47</v>
      </c>
      <c r="M599" s="32" t="s">
        <v>48</v>
      </c>
      <c r="N599" s="34">
        <v>46268</v>
      </c>
      <c r="O599" s="35" t="str">
        <f t="shared" si="2"/>
        <v>Võ Quốc Huy</v>
      </c>
    </row>
    <row r="600" spans="1:15">
      <c r="A600" s="32" t="s">
        <v>126</v>
      </c>
      <c r="B600" s="32" t="s">
        <v>44</v>
      </c>
      <c r="C600" s="33">
        <v>46030</v>
      </c>
      <c r="D600" s="32">
        <v>941328668</v>
      </c>
      <c r="E600" s="32">
        <v>474364867</v>
      </c>
      <c r="F600" s="32" t="s">
        <v>127</v>
      </c>
      <c r="G600" s="32" t="s">
        <v>46</v>
      </c>
      <c r="H600" s="32" t="s">
        <v>51</v>
      </c>
      <c r="I600" s="32">
        <v>74.680000000000007</v>
      </c>
      <c r="J600" s="32">
        <v>44.795000000000002</v>
      </c>
      <c r="K600" s="32" t="b">
        <v>1</v>
      </c>
      <c r="L600" s="32" t="s">
        <v>63</v>
      </c>
      <c r="M600" s="32" t="s">
        <v>48</v>
      </c>
      <c r="N600" s="34">
        <v>46028</v>
      </c>
      <c r="O600" s="35" t="str">
        <f t="shared" si="2"/>
        <v>Nguyễn Thành Phạm Trung</v>
      </c>
    </row>
    <row r="601" spans="1:15">
      <c r="A601" s="32" t="s">
        <v>64</v>
      </c>
      <c r="B601" s="32" t="s">
        <v>44</v>
      </c>
      <c r="C601" s="33">
        <v>46030</v>
      </c>
      <c r="D601" s="32">
        <v>917769763</v>
      </c>
      <c r="E601" s="32">
        <v>297808089</v>
      </c>
      <c r="F601" s="32" t="s">
        <v>65</v>
      </c>
      <c r="G601" s="32" t="s">
        <v>46</v>
      </c>
      <c r="H601" s="32" t="s">
        <v>51</v>
      </c>
      <c r="I601" s="32">
        <v>109.42100000000001</v>
      </c>
      <c r="J601" s="32">
        <v>51.066000000000003</v>
      </c>
      <c r="K601" s="32" t="b">
        <v>1</v>
      </c>
      <c r="L601" s="32" t="s">
        <v>47</v>
      </c>
      <c r="M601" s="32" t="s">
        <v>63</v>
      </c>
      <c r="N601" s="34">
        <v>46266</v>
      </c>
      <c r="O601" s="35" t="str">
        <f t="shared" si="2"/>
        <v>Đỗ Tấn Phát</v>
      </c>
    </row>
    <row r="602" spans="1:15">
      <c r="A602" s="32" t="s">
        <v>88</v>
      </c>
      <c r="B602" s="32" t="s">
        <v>44</v>
      </c>
      <c r="C602" s="33">
        <v>46030</v>
      </c>
      <c r="D602" s="32">
        <v>918611919</v>
      </c>
      <c r="E602" s="32">
        <v>321677895</v>
      </c>
      <c r="F602" s="32" t="s">
        <v>65</v>
      </c>
      <c r="G602" s="32" t="s">
        <v>46</v>
      </c>
      <c r="H602" s="32" t="s">
        <v>51</v>
      </c>
      <c r="I602" s="32">
        <v>96.808999999999997</v>
      </c>
      <c r="J602" s="32">
        <v>49.603000000000002</v>
      </c>
      <c r="K602" s="32" t="b">
        <v>1</v>
      </c>
      <c r="L602" s="32" t="s">
        <v>47</v>
      </c>
      <c r="M602" s="32" t="s">
        <v>63</v>
      </c>
      <c r="N602" s="34">
        <v>46027</v>
      </c>
      <c r="O602" s="35" t="str">
        <f t="shared" si="2"/>
        <v>Huỳnh Phước Yên</v>
      </c>
    </row>
    <row r="603" spans="1:15">
      <c r="A603" s="32" t="s">
        <v>81</v>
      </c>
      <c r="B603" s="32" t="s">
        <v>44</v>
      </c>
      <c r="C603" s="33">
        <v>46030</v>
      </c>
      <c r="D603" s="32">
        <v>832428439</v>
      </c>
      <c r="E603" s="32">
        <v>494036091</v>
      </c>
      <c r="F603" s="32" t="s">
        <v>82</v>
      </c>
      <c r="G603" s="32" t="s">
        <v>46</v>
      </c>
      <c r="H603" s="32" t="s">
        <v>51</v>
      </c>
      <c r="I603" s="32">
        <v>43.656999999999996</v>
      </c>
      <c r="J603" s="32">
        <v>22.664999999999999</v>
      </c>
      <c r="K603" s="32" t="b">
        <v>1</v>
      </c>
      <c r="L603" s="32" t="s">
        <v>79</v>
      </c>
      <c r="M603" s="32" t="s">
        <v>48</v>
      </c>
      <c r="N603" s="34">
        <v>46115</v>
      </c>
      <c r="O603" s="35" t="str">
        <f t="shared" si="2"/>
        <v>Phù Hoàng Thành</v>
      </c>
    </row>
    <row r="604" spans="1:15">
      <c r="A604" s="32" t="s">
        <v>81</v>
      </c>
      <c r="B604" s="32" t="s">
        <v>44</v>
      </c>
      <c r="C604" s="33">
        <v>46030</v>
      </c>
      <c r="D604" s="32">
        <v>852226484</v>
      </c>
      <c r="E604" s="32">
        <v>494036091</v>
      </c>
      <c r="F604" s="32" t="s">
        <v>82</v>
      </c>
      <c r="G604" s="32" t="s">
        <v>46</v>
      </c>
      <c r="H604" s="32" t="s">
        <v>51</v>
      </c>
      <c r="I604" s="32">
        <v>43.656999999999996</v>
      </c>
      <c r="J604" s="32">
        <v>22.664999999999999</v>
      </c>
      <c r="K604" s="32" t="b">
        <v>1</v>
      </c>
      <c r="L604" s="32" t="s">
        <v>79</v>
      </c>
      <c r="M604" s="32" t="s">
        <v>48</v>
      </c>
      <c r="N604" s="34">
        <v>46115</v>
      </c>
      <c r="O604" s="35" t="str">
        <f t="shared" si="2"/>
        <v>Phù Hoàng Thành</v>
      </c>
    </row>
    <row r="605" spans="1:15">
      <c r="A605" s="32" t="s">
        <v>217</v>
      </c>
      <c r="B605" s="32" t="s">
        <v>44</v>
      </c>
      <c r="C605" s="33">
        <v>46030</v>
      </c>
      <c r="D605" s="32">
        <v>834241286</v>
      </c>
      <c r="E605" s="32">
        <v>514812680</v>
      </c>
      <c r="F605" s="32" t="s">
        <v>45</v>
      </c>
      <c r="G605" s="32" t="s">
        <v>46</v>
      </c>
      <c r="H605" s="32" t="s">
        <v>18</v>
      </c>
      <c r="I605" s="32">
        <v>607.69799999999998</v>
      </c>
      <c r="J605" s="32">
        <v>101.261</v>
      </c>
      <c r="K605" s="32" t="b">
        <v>1</v>
      </c>
      <c r="L605" s="32" t="s">
        <v>47</v>
      </c>
      <c r="M605" s="32" t="s">
        <v>48</v>
      </c>
      <c r="N605" s="34">
        <v>46058</v>
      </c>
      <c r="O605" s="35" t="str">
        <f t="shared" si="2"/>
        <v>Ngô Trung Hiếu</v>
      </c>
    </row>
    <row r="606" spans="1:15">
      <c r="A606" s="32" t="s">
        <v>217</v>
      </c>
      <c r="B606" s="32" t="s">
        <v>44</v>
      </c>
      <c r="C606" s="33">
        <v>46030</v>
      </c>
      <c r="D606" s="32">
        <v>834241286</v>
      </c>
      <c r="E606" s="32">
        <v>514812680</v>
      </c>
      <c r="F606" s="32" t="s">
        <v>45</v>
      </c>
      <c r="G606" s="32" t="s">
        <v>46</v>
      </c>
      <c r="H606" s="32" t="s">
        <v>18</v>
      </c>
      <c r="I606" s="32">
        <v>452.62700000000001</v>
      </c>
      <c r="J606" s="32">
        <v>132.48599999999999</v>
      </c>
      <c r="K606" s="32" t="b">
        <v>1</v>
      </c>
      <c r="L606" s="32" t="s">
        <v>47</v>
      </c>
      <c r="M606" s="32" t="s">
        <v>48</v>
      </c>
      <c r="N606" s="32" t="s">
        <v>123</v>
      </c>
      <c r="O606" s="35" t="str">
        <f t="shared" si="2"/>
        <v>Ngô Trung Hiếu</v>
      </c>
    </row>
    <row r="607" spans="1:15">
      <c r="A607" s="32" t="s">
        <v>77</v>
      </c>
      <c r="B607" s="32" t="s">
        <v>44</v>
      </c>
      <c r="C607" s="33">
        <v>46030</v>
      </c>
      <c r="D607" s="32">
        <v>945663773</v>
      </c>
      <c r="E607" s="32">
        <v>507335872</v>
      </c>
      <c r="F607" s="32" t="s">
        <v>78</v>
      </c>
      <c r="G607" s="32" t="s">
        <v>46</v>
      </c>
      <c r="H607" s="32" t="s">
        <v>51</v>
      </c>
      <c r="I607" s="32">
        <v>64.382999999999996</v>
      </c>
      <c r="J607" s="32">
        <v>46.877000000000002</v>
      </c>
      <c r="K607" s="32" t="b">
        <v>1</v>
      </c>
      <c r="L607" s="32" t="s">
        <v>79</v>
      </c>
      <c r="M607" s="32" t="s">
        <v>80</v>
      </c>
      <c r="N607" s="32" t="s">
        <v>137</v>
      </c>
      <c r="O607" s="35" t="str">
        <f t="shared" si="2"/>
        <v>Nguyễn Hữu Tân</v>
      </c>
    </row>
    <row r="608" spans="1:15">
      <c r="A608" s="32" t="s">
        <v>217</v>
      </c>
      <c r="B608" s="32" t="s">
        <v>44</v>
      </c>
      <c r="C608" s="33">
        <v>46030</v>
      </c>
      <c r="D608" s="32">
        <v>834241286</v>
      </c>
      <c r="E608" s="32">
        <v>514812680</v>
      </c>
      <c r="F608" s="32" t="s">
        <v>45</v>
      </c>
      <c r="G608" s="32" t="s">
        <v>46</v>
      </c>
      <c r="H608" s="32" t="s">
        <v>18</v>
      </c>
      <c r="I608" s="32">
        <v>522.79700000000003</v>
      </c>
      <c r="J608" s="32">
        <v>131.791</v>
      </c>
      <c r="K608" s="32" t="b">
        <v>1</v>
      </c>
      <c r="L608" s="32" t="s">
        <v>47</v>
      </c>
      <c r="M608" s="32" t="s">
        <v>48</v>
      </c>
      <c r="N608" s="34">
        <v>46236</v>
      </c>
      <c r="O608" s="35" t="str">
        <f t="shared" si="2"/>
        <v>Ngô Trung Hiếu</v>
      </c>
    </row>
    <row r="609" spans="1:15">
      <c r="A609" s="32" t="s">
        <v>85</v>
      </c>
      <c r="B609" s="32" t="s">
        <v>44</v>
      </c>
      <c r="C609" s="33">
        <v>46030</v>
      </c>
      <c r="D609" s="32">
        <v>918128333</v>
      </c>
      <c r="E609" s="32">
        <v>362213178</v>
      </c>
      <c r="F609" s="32" t="s">
        <v>86</v>
      </c>
      <c r="G609" s="32" t="s">
        <v>46</v>
      </c>
      <c r="H609" s="32" t="s">
        <v>145</v>
      </c>
      <c r="I609" s="32">
        <v>134.76400000000001</v>
      </c>
      <c r="J609" s="32">
        <v>56.356000000000002</v>
      </c>
      <c r="K609" s="32" t="b">
        <v>1</v>
      </c>
      <c r="L609" s="32" t="s">
        <v>47</v>
      </c>
      <c r="M609" s="32" t="s">
        <v>48</v>
      </c>
      <c r="N609" s="34">
        <v>46032</v>
      </c>
      <c r="O609" s="35" t="str">
        <f t="shared" si="2"/>
        <v>Trần Minh Tuấn1</v>
      </c>
    </row>
    <row r="610" spans="1:15">
      <c r="A610" s="32" t="s">
        <v>217</v>
      </c>
      <c r="B610" s="32" t="s">
        <v>44</v>
      </c>
      <c r="C610" s="33">
        <v>46030</v>
      </c>
      <c r="D610" s="32">
        <v>834241286</v>
      </c>
      <c r="E610" s="32">
        <v>514812680</v>
      </c>
      <c r="F610" s="32" t="s">
        <v>45</v>
      </c>
      <c r="G610" s="32" t="s">
        <v>46</v>
      </c>
      <c r="H610" s="32" t="s">
        <v>18</v>
      </c>
      <c r="I610" s="32">
        <v>641.69399999999996</v>
      </c>
      <c r="J610" s="32">
        <v>128.59</v>
      </c>
      <c r="K610" s="32" t="b">
        <v>1</v>
      </c>
      <c r="L610" s="32" t="s">
        <v>47</v>
      </c>
      <c r="M610" s="32" t="s">
        <v>48</v>
      </c>
      <c r="N610" s="32" t="s">
        <v>214</v>
      </c>
      <c r="O610" s="35" t="str">
        <f t="shared" si="2"/>
        <v>Ngô Trung Hiếu</v>
      </c>
    </row>
    <row r="611" spans="1:15">
      <c r="A611" s="32" t="s">
        <v>217</v>
      </c>
      <c r="B611" s="32" t="s">
        <v>44</v>
      </c>
      <c r="C611" s="33">
        <v>46030</v>
      </c>
      <c r="D611" s="32">
        <v>834241286</v>
      </c>
      <c r="E611" s="32">
        <v>514812680</v>
      </c>
      <c r="F611" s="32" t="s">
        <v>45</v>
      </c>
      <c r="G611" s="32" t="s">
        <v>46</v>
      </c>
      <c r="H611" s="32" t="s">
        <v>18</v>
      </c>
      <c r="I611" s="32">
        <v>340.87</v>
      </c>
      <c r="J611" s="32">
        <v>105.239</v>
      </c>
      <c r="K611" s="32" t="b">
        <v>1</v>
      </c>
      <c r="L611" s="32" t="s">
        <v>47</v>
      </c>
      <c r="M611" s="32" t="s">
        <v>48</v>
      </c>
      <c r="N611" s="34">
        <v>46268</v>
      </c>
      <c r="O611" s="35" t="str">
        <f t="shared" si="2"/>
        <v>Ngô Trung Hiếu</v>
      </c>
    </row>
    <row r="612" spans="1:15">
      <c r="A612" s="32" t="s">
        <v>89</v>
      </c>
      <c r="B612" s="32" t="s">
        <v>44</v>
      </c>
      <c r="C612" s="33">
        <v>46030</v>
      </c>
      <c r="D612" s="32">
        <v>837012768</v>
      </c>
      <c r="E612" s="32">
        <v>276156622</v>
      </c>
      <c r="F612" s="32" t="s">
        <v>90</v>
      </c>
      <c r="G612" s="32" t="s">
        <v>46</v>
      </c>
      <c r="H612" s="32" t="s">
        <v>51</v>
      </c>
      <c r="I612" s="32">
        <v>188.995</v>
      </c>
      <c r="J612" s="32">
        <v>29.629000000000001</v>
      </c>
      <c r="K612" s="32" t="b">
        <v>1</v>
      </c>
      <c r="L612" s="32" t="s">
        <v>47</v>
      </c>
      <c r="M612" s="32" t="s">
        <v>63</v>
      </c>
      <c r="N612" s="32" t="s">
        <v>218</v>
      </c>
      <c r="O612" s="35" t="str">
        <f t="shared" si="2"/>
        <v>Nguyễn Thành Chí</v>
      </c>
    </row>
    <row r="613" spans="1:15">
      <c r="A613" s="32" t="s">
        <v>83</v>
      </c>
      <c r="B613" s="32" t="s">
        <v>44</v>
      </c>
      <c r="C613" s="33">
        <v>46030</v>
      </c>
      <c r="D613" s="32">
        <v>829669739</v>
      </c>
      <c r="E613" s="32">
        <v>408233038</v>
      </c>
      <c r="F613" s="32" t="s">
        <v>84</v>
      </c>
      <c r="G613" s="32" t="s">
        <v>46</v>
      </c>
      <c r="H613" s="32" t="s">
        <v>51</v>
      </c>
      <c r="I613" s="32">
        <v>206.08199999999999</v>
      </c>
      <c r="J613" s="32">
        <v>56.018999999999998</v>
      </c>
      <c r="K613" s="32" t="b">
        <v>0</v>
      </c>
      <c r="L613" s="32" t="s">
        <v>47</v>
      </c>
      <c r="M613" s="32" t="s">
        <v>48</v>
      </c>
      <c r="N613" s="34">
        <v>46270</v>
      </c>
      <c r="O613" s="35" t="str">
        <f t="shared" si="2"/>
        <v>Lê Minh Kha</v>
      </c>
    </row>
    <row r="614" spans="1:15">
      <c r="A614" s="32" t="s">
        <v>83</v>
      </c>
      <c r="B614" s="32" t="s">
        <v>44</v>
      </c>
      <c r="C614" s="33">
        <v>46030</v>
      </c>
      <c r="D614" s="32">
        <v>886313796</v>
      </c>
      <c r="E614" s="32">
        <v>408233038</v>
      </c>
      <c r="F614" s="32" t="s">
        <v>84</v>
      </c>
      <c r="G614" s="32" t="s">
        <v>46</v>
      </c>
      <c r="H614" s="32" t="s">
        <v>51</v>
      </c>
      <c r="I614" s="32">
        <v>206.08199999999999</v>
      </c>
      <c r="J614" s="32">
        <v>56.018999999999998</v>
      </c>
      <c r="K614" s="32" t="b">
        <v>0</v>
      </c>
      <c r="L614" s="32" t="s">
        <v>47</v>
      </c>
      <c r="M614" s="32" t="s">
        <v>48</v>
      </c>
      <c r="N614" s="34">
        <v>46270</v>
      </c>
      <c r="O614" s="35" t="str">
        <f t="shared" si="2"/>
        <v>Lê Minh Kha</v>
      </c>
    </row>
    <row r="615" spans="1:15">
      <c r="A615" s="32" t="s">
        <v>197</v>
      </c>
      <c r="B615" s="32" t="s">
        <v>44</v>
      </c>
      <c r="C615" s="33">
        <v>46030</v>
      </c>
      <c r="D615" s="32">
        <v>911685484</v>
      </c>
      <c r="E615" s="32">
        <v>514513531</v>
      </c>
      <c r="F615" s="32" t="s">
        <v>112</v>
      </c>
      <c r="G615" s="32" t="s">
        <v>46</v>
      </c>
      <c r="H615" s="32" t="s">
        <v>51</v>
      </c>
      <c r="I615" s="32">
        <v>66.322999999999993</v>
      </c>
      <c r="J615" s="32">
        <v>52.578000000000003</v>
      </c>
      <c r="K615" s="32" t="b">
        <v>1</v>
      </c>
      <c r="L615" s="32" t="s">
        <v>79</v>
      </c>
      <c r="M615" s="32" t="s">
        <v>48</v>
      </c>
      <c r="N615" s="34">
        <v>46208</v>
      </c>
      <c r="O615" s="35" t="str">
        <f t="shared" si="2"/>
        <v>Thiệu Thái An</v>
      </c>
    </row>
    <row r="616" spans="1:15">
      <c r="A616" s="32" t="s">
        <v>133</v>
      </c>
      <c r="B616" s="32" t="s">
        <v>44</v>
      </c>
      <c r="C616" s="33">
        <v>46028</v>
      </c>
      <c r="D616" s="32">
        <v>913632800</v>
      </c>
      <c r="E616" s="32">
        <v>487761475</v>
      </c>
      <c r="F616" s="32" t="s">
        <v>71</v>
      </c>
      <c r="G616" s="32" t="s">
        <v>46</v>
      </c>
      <c r="H616" s="32" t="s">
        <v>51</v>
      </c>
      <c r="I616" s="32">
        <v>1054.9839999999999</v>
      </c>
      <c r="J616" s="32">
        <v>101.491</v>
      </c>
      <c r="K616" s="32" t="b">
        <v>1</v>
      </c>
      <c r="L616" s="32" t="s">
        <v>47</v>
      </c>
      <c r="M616" s="32" t="s">
        <v>48</v>
      </c>
      <c r="N616" s="32" t="s">
        <v>158</v>
      </c>
      <c r="O616" s="35" t="str">
        <f t="shared" si="2"/>
        <v>Võ Quang Thìn</v>
      </c>
    </row>
    <row r="617" spans="1:15">
      <c r="A617" s="32" t="s">
        <v>96</v>
      </c>
      <c r="B617" s="32" t="s">
        <v>44</v>
      </c>
      <c r="C617" s="33">
        <v>46028</v>
      </c>
      <c r="D617" s="32">
        <v>914390007</v>
      </c>
      <c r="E617" s="32">
        <v>504830634</v>
      </c>
      <c r="F617" s="32" t="s">
        <v>60</v>
      </c>
      <c r="G617" s="32" t="s">
        <v>46</v>
      </c>
      <c r="H617" s="32" t="s">
        <v>51</v>
      </c>
      <c r="I617" s="32">
        <v>79.935000000000002</v>
      </c>
      <c r="J617" s="32">
        <v>26.701000000000001</v>
      </c>
      <c r="K617" s="32" t="b">
        <v>1</v>
      </c>
      <c r="L617" s="32" t="s">
        <v>47</v>
      </c>
      <c r="M617" s="32" t="s">
        <v>48</v>
      </c>
      <c r="N617" s="34">
        <v>46084</v>
      </c>
      <c r="O617" s="35" t="str">
        <f t="shared" si="2"/>
        <v>Võ Quốc Huy</v>
      </c>
    </row>
    <row r="618" spans="1:15">
      <c r="A618" s="32" t="s">
        <v>197</v>
      </c>
      <c r="B618" s="32" t="s">
        <v>44</v>
      </c>
      <c r="C618" s="33">
        <v>46028</v>
      </c>
      <c r="D618" s="32">
        <v>911685484</v>
      </c>
      <c r="E618" s="32">
        <v>514513531</v>
      </c>
      <c r="F618" s="32" t="s">
        <v>112</v>
      </c>
      <c r="G618" s="32" t="s">
        <v>46</v>
      </c>
      <c r="H618" s="32" t="s">
        <v>51</v>
      </c>
      <c r="I618" s="32">
        <v>65.721000000000004</v>
      </c>
      <c r="J618" s="32">
        <v>43.192999999999998</v>
      </c>
      <c r="K618" s="32" t="b">
        <v>1</v>
      </c>
      <c r="L618" s="32" t="s">
        <v>79</v>
      </c>
      <c r="M618" s="32" t="s">
        <v>48</v>
      </c>
      <c r="N618" s="34">
        <v>46236</v>
      </c>
      <c r="O618" s="35" t="str">
        <f t="shared" si="2"/>
        <v>Thiệu Thái An</v>
      </c>
    </row>
    <row r="619" spans="1:15">
      <c r="A619" s="32" t="s">
        <v>70</v>
      </c>
      <c r="B619" s="32" t="s">
        <v>44</v>
      </c>
      <c r="C619" s="33">
        <v>46028</v>
      </c>
      <c r="D619" s="32">
        <v>913352939</v>
      </c>
      <c r="E619" s="32">
        <v>511935418</v>
      </c>
      <c r="F619" s="32" t="s">
        <v>71</v>
      </c>
      <c r="G619" s="32" t="s">
        <v>46</v>
      </c>
      <c r="H619" s="32" t="s">
        <v>51</v>
      </c>
      <c r="I619" s="32">
        <v>931.53899999999999</v>
      </c>
      <c r="J619" s="32">
        <v>85.453000000000003</v>
      </c>
      <c r="K619" s="32" t="b">
        <v>1</v>
      </c>
      <c r="L619" s="32" t="s">
        <v>47</v>
      </c>
      <c r="M619" s="32" t="s">
        <v>48</v>
      </c>
      <c r="N619" s="34">
        <v>46210</v>
      </c>
      <c r="O619" s="35" t="str">
        <f t="shared" si="2"/>
        <v>Dương Nhật Phương</v>
      </c>
    </row>
    <row r="620" spans="1:15">
      <c r="A620" s="32" t="s">
        <v>197</v>
      </c>
      <c r="B620" s="32" t="s">
        <v>44</v>
      </c>
      <c r="C620" s="33">
        <v>46028</v>
      </c>
      <c r="D620" s="32">
        <v>911685484</v>
      </c>
      <c r="E620" s="32">
        <v>514513531</v>
      </c>
      <c r="F620" s="32" t="s">
        <v>112</v>
      </c>
      <c r="G620" s="32" t="s">
        <v>46</v>
      </c>
      <c r="H620" s="32" t="s">
        <v>51</v>
      </c>
      <c r="I620" s="32">
        <v>45.29</v>
      </c>
      <c r="J620" s="32">
        <v>49.411999999999999</v>
      </c>
      <c r="K620" s="32" t="b">
        <v>1</v>
      </c>
      <c r="L620" s="32" t="s">
        <v>79</v>
      </c>
      <c r="M620" s="32" t="s">
        <v>48</v>
      </c>
      <c r="N620" s="34">
        <v>46177</v>
      </c>
      <c r="O620" s="35" t="str">
        <f t="shared" si="2"/>
        <v>Thiệu Thái An</v>
      </c>
    </row>
    <row r="621" spans="1:15">
      <c r="A621" s="32" t="s">
        <v>91</v>
      </c>
      <c r="B621" s="32" t="s">
        <v>44</v>
      </c>
      <c r="C621" s="33">
        <v>46028</v>
      </c>
      <c r="D621" s="32">
        <v>917714086</v>
      </c>
      <c r="E621" s="32">
        <v>514807788</v>
      </c>
      <c r="F621" s="32" t="s">
        <v>92</v>
      </c>
      <c r="G621" s="32" t="s">
        <v>46</v>
      </c>
      <c r="H621" s="32" t="s">
        <v>51</v>
      </c>
      <c r="I621" s="32">
        <v>1078.3710000000001</v>
      </c>
      <c r="J621" s="32">
        <v>124.08</v>
      </c>
      <c r="K621" s="32" t="b">
        <v>1</v>
      </c>
      <c r="L621" s="32" t="s">
        <v>79</v>
      </c>
      <c r="M621" s="32" t="s">
        <v>48</v>
      </c>
      <c r="N621" s="34">
        <v>46172</v>
      </c>
      <c r="O621" s="35" t="str">
        <f t="shared" si="2"/>
        <v>Lê Hoàng Vinh</v>
      </c>
    </row>
    <row r="622" spans="1:15">
      <c r="A622" s="32" t="s">
        <v>94</v>
      </c>
      <c r="B622" s="32" t="s">
        <v>44</v>
      </c>
      <c r="C622" s="33">
        <v>46028</v>
      </c>
      <c r="D622" s="32">
        <v>943541776</v>
      </c>
      <c r="E622" s="32">
        <v>409462271</v>
      </c>
      <c r="F622" s="32" t="s">
        <v>95</v>
      </c>
      <c r="G622" s="32" t="s">
        <v>46</v>
      </c>
      <c r="H622" s="32" t="s">
        <v>87</v>
      </c>
      <c r="I622" s="32">
        <v>113.25</v>
      </c>
      <c r="J622" s="32">
        <v>31.094000000000001</v>
      </c>
      <c r="K622" s="32" t="b">
        <v>1</v>
      </c>
      <c r="L622" s="32" t="s">
        <v>47</v>
      </c>
      <c r="M622" s="32" t="s">
        <v>48</v>
      </c>
      <c r="N622" s="34">
        <v>46056</v>
      </c>
      <c r="O622" s="35" t="str">
        <f t="shared" si="2"/>
        <v>Đoàn Nguyễn Tuấn Anh</v>
      </c>
    </row>
    <row r="623" spans="1:15">
      <c r="A623" s="32" t="s">
        <v>94</v>
      </c>
      <c r="B623" s="32" t="s">
        <v>44</v>
      </c>
      <c r="C623" s="33">
        <v>46028</v>
      </c>
      <c r="D623" s="32">
        <v>943541776</v>
      </c>
      <c r="E623" s="32">
        <v>409462271</v>
      </c>
      <c r="F623" s="32" t="s">
        <v>95</v>
      </c>
      <c r="G623" s="32" t="s">
        <v>46</v>
      </c>
      <c r="H623" s="32" t="s">
        <v>87</v>
      </c>
      <c r="I623" s="32">
        <v>114.389</v>
      </c>
      <c r="J623" s="32">
        <v>30.236999999999998</v>
      </c>
      <c r="K623" s="32" t="b">
        <v>1</v>
      </c>
      <c r="L623" s="32" t="s">
        <v>47</v>
      </c>
      <c r="M623" s="32" t="s">
        <v>48</v>
      </c>
      <c r="N623" s="34">
        <v>46117</v>
      </c>
      <c r="O623" s="35" t="str">
        <f t="shared" si="2"/>
        <v>Đoàn Nguyễn Tuấn Anh</v>
      </c>
    </row>
    <row r="624" spans="1:15">
      <c r="A624" s="32" t="s">
        <v>219</v>
      </c>
      <c r="B624" s="32" t="s">
        <v>44</v>
      </c>
      <c r="C624" s="33">
        <v>46028</v>
      </c>
      <c r="D624" s="32">
        <v>828585258</v>
      </c>
      <c r="E624" s="32">
        <v>461061064</v>
      </c>
      <c r="F624" s="32" t="s">
        <v>220</v>
      </c>
      <c r="G624" s="32" t="s">
        <v>46</v>
      </c>
      <c r="H624" s="32" t="s">
        <v>18</v>
      </c>
      <c r="I624" s="32">
        <v>109.867</v>
      </c>
      <c r="J624" s="32">
        <v>66.016999999999996</v>
      </c>
      <c r="K624" s="32" t="b">
        <v>1</v>
      </c>
      <c r="L624" s="32" t="s">
        <v>63</v>
      </c>
      <c r="M624" s="32" t="s">
        <v>48</v>
      </c>
      <c r="N624" s="32" t="s">
        <v>100</v>
      </c>
      <c r="O624" s="35" t="str">
        <f t="shared" si="2"/>
        <v>Đặng Chí Hiếu</v>
      </c>
    </row>
    <row r="625" spans="1:15">
      <c r="A625" s="32" t="s">
        <v>219</v>
      </c>
      <c r="B625" s="32" t="s">
        <v>44</v>
      </c>
      <c r="C625" s="33">
        <v>46028</v>
      </c>
      <c r="D625" s="32">
        <v>828585258</v>
      </c>
      <c r="E625" s="32">
        <v>461061064</v>
      </c>
      <c r="F625" s="32" t="s">
        <v>220</v>
      </c>
      <c r="G625" s="32" t="s">
        <v>46</v>
      </c>
      <c r="H625" s="32" t="s">
        <v>18</v>
      </c>
      <c r="I625" s="32">
        <v>120.11499999999999</v>
      </c>
      <c r="J625" s="32">
        <v>60.96</v>
      </c>
      <c r="K625" s="32" t="b">
        <v>1</v>
      </c>
      <c r="L625" s="32" t="s">
        <v>63</v>
      </c>
      <c r="M625" s="32" t="s">
        <v>48</v>
      </c>
      <c r="N625" s="34">
        <v>46204</v>
      </c>
      <c r="O625" s="35" t="str">
        <f t="shared" si="2"/>
        <v>Đặng Chí Hiếu</v>
      </c>
    </row>
    <row r="626" spans="1:15">
      <c r="A626" s="32" t="s">
        <v>219</v>
      </c>
      <c r="B626" s="32" t="s">
        <v>44</v>
      </c>
      <c r="C626" s="33">
        <v>46028</v>
      </c>
      <c r="D626" s="32">
        <v>828585258</v>
      </c>
      <c r="E626" s="32">
        <v>461061064</v>
      </c>
      <c r="F626" s="32" t="s">
        <v>220</v>
      </c>
      <c r="G626" s="32" t="s">
        <v>46</v>
      </c>
      <c r="H626" s="32" t="s">
        <v>18</v>
      </c>
      <c r="I626" s="32">
        <v>98.918999999999997</v>
      </c>
      <c r="J626" s="32">
        <v>63.526000000000003</v>
      </c>
      <c r="K626" s="32" t="b">
        <v>1</v>
      </c>
      <c r="L626" s="32" t="s">
        <v>63</v>
      </c>
      <c r="M626" s="32" t="s">
        <v>48</v>
      </c>
      <c r="N626" s="34">
        <v>46204</v>
      </c>
      <c r="O626" s="35" t="str">
        <f t="shared" si="2"/>
        <v>Đặng Chí Hiếu</v>
      </c>
    </row>
    <row r="627" spans="1:15">
      <c r="A627" s="32" t="s">
        <v>219</v>
      </c>
      <c r="B627" s="32" t="s">
        <v>44</v>
      </c>
      <c r="C627" s="33">
        <v>46028</v>
      </c>
      <c r="D627" s="32">
        <v>828585258</v>
      </c>
      <c r="E627" s="32">
        <v>461061064</v>
      </c>
      <c r="F627" s="32" t="s">
        <v>220</v>
      </c>
      <c r="G627" s="32" t="s">
        <v>46</v>
      </c>
      <c r="H627" s="32" t="s">
        <v>18</v>
      </c>
      <c r="I627" s="32">
        <v>96.322999999999993</v>
      </c>
      <c r="J627" s="32">
        <v>61.14</v>
      </c>
      <c r="K627" s="32" t="b">
        <v>1</v>
      </c>
      <c r="L627" s="32" t="s">
        <v>63</v>
      </c>
      <c r="M627" s="32" t="s">
        <v>48</v>
      </c>
      <c r="N627" s="34">
        <v>46062</v>
      </c>
      <c r="O627" s="35" t="str">
        <f t="shared" si="2"/>
        <v>Đặng Chí Hiếu</v>
      </c>
    </row>
    <row r="628" spans="1:15">
      <c r="A628" s="32" t="s">
        <v>219</v>
      </c>
      <c r="B628" s="32" t="s">
        <v>44</v>
      </c>
      <c r="C628" s="33">
        <v>46028</v>
      </c>
      <c r="D628" s="32">
        <v>828585258</v>
      </c>
      <c r="E628" s="32">
        <v>461061064</v>
      </c>
      <c r="F628" s="32" t="s">
        <v>220</v>
      </c>
      <c r="G628" s="32" t="s">
        <v>46</v>
      </c>
      <c r="H628" s="32" t="s">
        <v>18</v>
      </c>
      <c r="I628" s="32">
        <v>108.95399999999999</v>
      </c>
      <c r="J628" s="32">
        <v>60.463999999999999</v>
      </c>
      <c r="K628" s="32" t="b">
        <v>1</v>
      </c>
      <c r="L628" s="32" t="s">
        <v>63</v>
      </c>
      <c r="M628" s="32" t="s">
        <v>48</v>
      </c>
      <c r="N628" s="34">
        <v>46147</v>
      </c>
      <c r="O628" s="35" t="str">
        <f t="shared" si="2"/>
        <v>Đặng Chí Hiếu</v>
      </c>
    </row>
    <row r="629" spans="1:15">
      <c r="A629" s="32" t="s">
        <v>219</v>
      </c>
      <c r="B629" s="32" t="s">
        <v>44</v>
      </c>
      <c r="C629" s="33">
        <v>46028</v>
      </c>
      <c r="D629" s="32">
        <v>828585258</v>
      </c>
      <c r="E629" s="32">
        <v>461061064</v>
      </c>
      <c r="F629" s="32" t="s">
        <v>220</v>
      </c>
      <c r="G629" s="32" t="s">
        <v>46</v>
      </c>
      <c r="H629" s="32" t="s">
        <v>18</v>
      </c>
      <c r="I629" s="32">
        <v>98.522000000000006</v>
      </c>
      <c r="J629" s="32">
        <v>62.563000000000002</v>
      </c>
      <c r="K629" s="32" t="b">
        <v>1</v>
      </c>
      <c r="L629" s="32" t="s">
        <v>63</v>
      </c>
      <c r="M629" s="32" t="s">
        <v>48</v>
      </c>
      <c r="N629" s="34">
        <v>46028</v>
      </c>
      <c r="O629" s="35" t="str">
        <f t="shared" si="2"/>
        <v>Đặng Chí Hiếu</v>
      </c>
    </row>
    <row r="630" spans="1:15">
      <c r="A630" s="32" t="s">
        <v>219</v>
      </c>
      <c r="B630" s="32" t="s">
        <v>44</v>
      </c>
      <c r="C630" s="33">
        <v>46028</v>
      </c>
      <c r="D630" s="32">
        <v>828585258</v>
      </c>
      <c r="E630" s="32">
        <v>461061064</v>
      </c>
      <c r="F630" s="32" t="s">
        <v>220</v>
      </c>
      <c r="G630" s="32" t="s">
        <v>46</v>
      </c>
      <c r="H630" s="32" t="s">
        <v>18</v>
      </c>
      <c r="I630" s="32">
        <v>114.75700000000001</v>
      </c>
      <c r="J630" s="32">
        <v>60.765000000000001</v>
      </c>
      <c r="K630" s="32" t="b">
        <v>1</v>
      </c>
      <c r="L630" s="32" t="s">
        <v>63</v>
      </c>
      <c r="M630" s="32" t="s">
        <v>48</v>
      </c>
      <c r="N630" s="34">
        <v>46027</v>
      </c>
      <c r="O630" s="35" t="str">
        <f t="shared" si="2"/>
        <v>Đặng Chí Hiếu</v>
      </c>
    </row>
    <row r="631" spans="1:15">
      <c r="A631" s="32" t="s">
        <v>219</v>
      </c>
      <c r="B631" s="32" t="s">
        <v>44</v>
      </c>
      <c r="C631" s="33">
        <v>46028</v>
      </c>
      <c r="D631" s="32">
        <v>828585258</v>
      </c>
      <c r="E631" s="32">
        <v>461061064</v>
      </c>
      <c r="F631" s="32" t="s">
        <v>220</v>
      </c>
      <c r="G631" s="32" t="s">
        <v>46</v>
      </c>
      <c r="H631" s="32" t="s">
        <v>18</v>
      </c>
      <c r="I631" s="32">
        <v>121.15</v>
      </c>
      <c r="J631" s="32">
        <v>59.918999999999997</v>
      </c>
      <c r="K631" s="32" t="b">
        <v>1</v>
      </c>
      <c r="L631" s="32" t="s">
        <v>63</v>
      </c>
      <c r="M631" s="32" t="s">
        <v>48</v>
      </c>
      <c r="N631" s="34">
        <v>46235</v>
      </c>
      <c r="O631" s="35" t="str">
        <f t="shared" si="2"/>
        <v>Đặng Chí Hiếu</v>
      </c>
    </row>
    <row r="632" spans="1:15">
      <c r="A632" s="32" t="s">
        <v>219</v>
      </c>
      <c r="B632" s="32" t="s">
        <v>44</v>
      </c>
      <c r="C632" s="33">
        <v>46028</v>
      </c>
      <c r="D632" s="32">
        <v>828585258</v>
      </c>
      <c r="E632" s="32">
        <v>461061064</v>
      </c>
      <c r="F632" s="32" t="s">
        <v>220</v>
      </c>
      <c r="G632" s="32" t="s">
        <v>46</v>
      </c>
      <c r="H632" s="32" t="s">
        <v>18</v>
      </c>
      <c r="I632" s="32">
        <v>109.325</v>
      </c>
      <c r="J632" s="32">
        <v>62.07</v>
      </c>
      <c r="K632" s="32" t="b">
        <v>1</v>
      </c>
      <c r="L632" s="32" t="s">
        <v>63</v>
      </c>
      <c r="M632" s="32" t="s">
        <v>48</v>
      </c>
      <c r="N632" s="34">
        <v>46057</v>
      </c>
      <c r="O632" s="35" t="str">
        <f t="shared" si="2"/>
        <v>Đặng Chí Hiếu</v>
      </c>
    </row>
    <row r="633" spans="1:15">
      <c r="A633" s="32" t="s">
        <v>219</v>
      </c>
      <c r="B633" s="32" t="s">
        <v>44</v>
      </c>
      <c r="C633" s="33">
        <v>46028</v>
      </c>
      <c r="D633" s="32">
        <v>828585258</v>
      </c>
      <c r="E633" s="32">
        <v>461061064</v>
      </c>
      <c r="F633" s="32" t="s">
        <v>220</v>
      </c>
      <c r="G633" s="32" t="s">
        <v>46</v>
      </c>
      <c r="H633" s="32" t="s">
        <v>18</v>
      </c>
      <c r="I633" s="32">
        <v>102.871</v>
      </c>
      <c r="J633" s="32">
        <v>61.832999999999998</v>
      </c>
      <c r="K633" s="32" t="b">
        <v>1</v>
      </c>
      <c r="L633" s="32" t="s">
        <v>63</v>
      </c>
      <c r="M633" s="32" t="s">
        <v>48</v>
      </c>
      <c r="N633" s="34">
        <v>46159</v>
      </c>
      <c r="O633" s="35" t="str">
        <f t="shared" si="2"/>
        <v>Đặng Chí Hiếu</v>
      </c>
    </row>
    <row r="634" spans="1:15">
      <c r="A634" s="32" t="s">
        <v>219</v>
      </c>
      <c r="B634" s="32" t="s">
        <v>44</v>
      </c>
      <c r="C634" s="33">
        <v>46028</v>
      </c>
      <c r="D634" s="32">
        <v>828585258</v>
      </c>
      <c r="E634" s="32">
        <v>461061064</v>
      </c>
      <c r="F634" s="32" t="s">
        <v>220</v>
      </c>
      <c r="G634" s="32" t="s">
        <v>46</v>
      </c>
      <c r="H634" s="32" t="s">
        <v>18</v>
      </c>
      <c r="I634" s="32">
        <v>96.272000000000006</v>
      </c>
      <c r="J634" s="32">
        <v>61.896000000000001</v>
      </c>
      <c r="K634" s="32" t="b">
        <v>1</v>
      </c>
      <c r="L634" s="32" t="s">
        <v>63</v>
      </c>
      <c r="M634" s="32" t="s">
        <v>48</v>
      </c>
      <c r="N634" s="34">
        <v>46144</v>
      </c>
      <c r="O634" s="35" t="str">
        <f t="shared" si="2"/>
        <v>Đặng Chí Hiếu</v>
      </c>
    </row>
    <row r="635" spans="1:15">
      <c r="A635" s="32" t="s">
        <v>219</v>
      </c>
      <c r="B635" s="32" t="s">
        <v>44</v>
      </c>
      <c r="C635" s="33">
        <v>46028</v>
      </c>
      <c r="D635" s="32">
        <v>828585258</v>
      </c>
      <c r="E635" s="32">
        <v>461061064</v>
      </c>
      <c r="F635" s="32" t="s">
        <v>220</v>
      </c>
      <c r="G635" s="32" t="s">
        <v>46</v>
      </c>
      <c r="H635" s="32" t="s">
        <v>18</v>
      </c>
      <c r="I635" s="32">
        <v>106.373</v>
      </c>
      <c r="J635" s="32">
        <v>42.985999999999997</v>
      </c>
      <c r="K635" s="32" t="b">
        <v>1</v>
      </c>
      <c r="L635" s="32" t="s">
        <v>63</v>
      </c>
      <c r="M635" s="32" t="s">
        <v>48</v>
      </c>
      <c r="N635" s="34">
        <v>46239</v>
      </c>
      <c r="O635" s="35" t="str">
        <f t="shared" si="2"/>
        <v>Đặng Chí Hiếu</v>
      </c>
    </row>
    <row r="636" spans="1:15">
      <c r="A636" s="32" t="s">
        <v>219</v>
      </c>
      <c r="B636" s="32" t="s">
        <v>44</v>
      </c>
      <c r="C636" s="33">
        <v>46028</v>
      </c>
      <c r="D636" s="32">
        <v>828585258</v>
      </c>
      <c r="E636" s="32">
        <v>461061064</v>
      </c>
      <c r="F636" s="32" t="s">
        <v>220</v>
      </c>
      <c r="G636" s="32" t="s">
        <v>46</v>
      </c>
      <c r="H636" s="32" t="s">
        <v>18</v>
      </c>
      <c r="I636" s="32">
        <v>124.104</v>
      </c>
      <c r="J636" s="32">
        <v>43.023000000000003</v>
      </c>
      <c r="K636" s="32" t="b">
        <v>1</v>
      </c>
      <c r="L636" s="32" t="s">
        <v>63</v>
      </c>
      <c r="M636" s="32" t="s">
        <v>48</v>
      </c>
      <c r="N636" s="34">
        <v>46210</v>
      </c>
      <c r="O636" s="35" t="str">
        <f t="shared" si="2"/>
        <v>Đặng Chí Hiếu</v>
      </c>
    </row>
    <row r="637" spans="1:15">
      <c r="A637" s="32" t="s">
        <v>221</v>
      </c>
      <c r="B637" s="32" t="s">
        <v>44</v>
      </c>
      <c r="C637" s="33">
        <v>46027</v>
      </c>
      <c r="D637" s="32">
        <v>949502705</v>
      </c>
      <c r="E637" s="32">
        <v>299066469</v>
      </c>
      <c r="F637" s="32" t="s">
        <v>222</v>
      </c>
      <c r="G637" s="32" t="s">
        <v>46</v>
      </c>
      <c r="H637" s="32" t="s">
        <v>18</v>
      </c>
      <c r="I637" s="32">
        <v>95.503</v>
      </c>
      <c r="J637" s="32">
        <v>58.695</v>
      </c>
      <c r="K637" s="32" t="b">
        <v>1</v>
      </c>
      <c r="L637" s="32" t="s">
        <v>47</v>
      </c>
      <c r="M637" s="32" t="s">
        <v>63</v>
      </c>
      <c r="N637" s="34">
        <v>46082</v>
      </c>
      <c r="O637" s="35" t="str">
        <f t="shared" si="2"/>
        <v>Lê Tấn Phong</v>
      </c>
    </row>
    <row r="638" spans="1:15">
      <c r="A638" s="32" t="s">
        <v>221</v>
      </c>
      <c r="B638" s="32" t="s">
        <v>44</v>
      </c>
      <c r="C638" s="33">
        <v>46027</v>
      </c>
      <c r="D638" s="32">
        <v>949502705</v>
      </c>
      <c r="E638" s="32">
        <v>299066469</v>
      </c>
      <c r="F638" s="32" t="s">
        <v>222</v>
      </c>
      <c r="G638" s="32" t="s">
        <v>46</v>
      </c>
      <c r="H638" s="32" t="s">
        <v>18</v>
      </c>
      <c r="I638" s="32">
        <v>74.278000000000006</v>
      </c>
      <c r="J638" s="32">
        <v>59.8</v>
      </c>
      <c r="K638" s="32" t="b">
        <v>1</v>
      </c>
      <c r="L638" s="32" t="s">
        <v>47</v>
      </c>
      <c r="M638" s="32" t="s">
        <v>63</v>
      </c>
      <c r="N638" s="34">
        <v>46061</v>
      </c>
      <c r="O638" s="35" t="str">
        <f t="shared" si="2"/>
        <v>Lê Tấn Phong</v>
      </c>
    </row>
    <row r="639" spans="1:15">
      <c r="A639" s="32" t="s">
        <v>221</v>
      </c>
      <c r="B639" s="32" t="s">
        <v>44</v>
      </c>
      <c r="C639" s="33">
        <v>46027</v>
      </c>
      <c r="D639" s="32">
        <v>949502705</v>
      </c>
      <c r="E639" s="32">
        <v>299066469</v>
      </c>
      <c r="F639" s="32" t="s">
        <v>222</v>
      </c>
      <c r="G639" s="32" t="s">
        <v>46</v>
      </c>
      <c r="H639" s="32" t="s">
        <v>18</v>
      </c>
      <c r="I639" s="32">
        <v>89.105999999999995</v>
      </c>
      <c r="J639" s="32">
        <v>61.55</v>
      </c>
      <c r="K639" s="32" t="b">
        <v>1</v>
      </c>
      <c r="L639" s="32" t="s">
        <v>47</v>
      </c>
      <c r="M639" s="32" t="s">
        <v>63</v>
      </c>
      <c r="N639" s="34">
        <v>46145</v>
      </c>
      <c r="O639" s="35" t="str">
        <f t="shared" si="2"/>
        <v>Lê Tấn Phong</v>
      </c>
    </row>
    <row r="640" spans="1:15">
      <c r="A640" s="32" t="s">
        <v>221</v>
      </c>
      <c r="B640" s="32" t="s">
        <v>44</v>
      </c>
      <c r="C640" s="33">
        <v>46027</v>
      </c>
      <c r="D640" s="32">
        <v>949502705</v>
      </c>
      <c r="E640" s="32">
        <v>299066469</v>
      </c>
      <c r="F640" s="32" t="s">
        <v>222</v>
      </c>
      <c r="G640" s="32" t="s">
        <v>46</v>
      </c>
      <c r="H640" s="32" t="s">
        <v>18</v>
      </c>
      <c r="I640" s="32">
        <v>93.287000000000006</v>
      </c>
      <c r="J640" s="32">
        <v>61.369</v>
      </c>
      <c r="K640" s="32" t="b">
        <v>1</v>
      </c>
      <c r="L640" s="32" t="s">
        <v>47</v>
      </c>
      <c r="M640" s="32" t="s">
        <v>63</v>
      </c>
      <c r="N640" s="32" t="s">
        <v>223</v>
      </c>
      <c r="O640" s="35" t="str">
        <f t="shared" si="2"/>
        <v>Lê Tấn Phong</v>
      </c>
    </row>
    <row r="641" spans="1:15">
      <c r="A641" s="32" t="s">
        <v>221</v>
      </c>
      <c r="B641" s="32" t="s">
        <v>44</v>
      </c>
      <c r="C641" s="33">
        <v>46027</v>
      </c>
      <c r="D641" s="32">
        <v>949502705</v>
      </c>
      <c r="E641" s="32">
        <v>299066469</v>
      </c>
      <c r="F641" s="32" t="s">
        <v>222</v>
      </c>
      <c r="G641" s="32" t="s">
        <v>46</v>
      </c>
      <c r="H641" s="32" t="s">
        <v>18</v>
      </c>
      <c r="I641" s="32">
        <v>88.215999999999994</v>
      </c>
      <c r="J641" s="32">
        <v>60.107999999999997</v>
      </c>
      <c r="K641" s="32" t="b">
        <v>1</v>
      </c>
      <c r="L641" s="32" t="s">
        <v>47</v>
      </c>
      <c r="M641" s="32" t="s">
        <v>63</v>
      </c>
      <c r="N641" s="32" t="s">
        <v>154</v>
      </c>
      <c r="O641" s="35" t="str">
        <f t="shared" si="2"/>
        <v>Lê Tấn Phong</v>
      </c>
    </row>
    <row r="642" spans="1:15">
      <c r="A642" s="32" t="s">
        <v>221</v>
      </c>
      <c r="B642" s="32" t="s">
        <v>44</v>
      </c>
      <c r="C642" s="33">
        <v>46027</v>
      </c>
      <c r="D642" s="32">
        <v>949502705</v>
      </c>
      <c r="E642" s="32">
        <v>299066469</v>
      </c>
      <c r="F642" s="32" t="s">
        <v>222</v>
      </c>
      <c r="G642" s="32" t="s">
        <v>46</v>
      </c>
      <c r="H642" s="32" t="s">
        <v>18</v>
      </c>
      <c r="I642" s="32">
        <v>84.174000000000007</v>
      </c>
      <c r="J642" s="32">
        <v>52.618000000000002</v>
      </c>
      <c r="K642" s="32" t="b">
        <v>1</v>
      </c>
      <c r="L642" s="32" t="s">
        <v>47</v>
      </c>
      <c r="M642" s="32" t="s">
        <v>63</v>
      </c>
      <c r="N642" s="32" t="s">
        <v>154</v>
      </c>
      <c r="O642" s="35" t="str">
        <f t="shared" si="2"/>
        <v>Lê Tấn Phong</v>
      </c>
    </row>
    <row r="643" spans="1:15">
      <c r="A643" s="32" t="s">
        <v>221</v>
      </c>
      <c r="B643" s="32" t="s">
        <v>44</v>
      </c>
      <c r="C643" s="33">
        <v>46027</v>
      </c>
      <c r="D643" s="32">
        <v>949502705</v>
      </c>
      <c r="E643" s="32">
        <v>299066469</v>
      </c>
      <c r="F643" s="32" t="s">
        <v>222</v>
      </c>
      <c r="G643" s="32" t="s">
        <v>46</v>
      </c>
      <c r="H643" s="32" t="s">
        <v>18</v>
      </c>
      <c r="I643" s="32">
        <v>84.828999999999994</v>
      </c>
      <c r="J643" s="32">
        <v>57.551000000000002</v>
      </c>
      <c r="K643" s="32" t="b">
        <v>1</v>
      </c>
      <c r="L643" s="32" t="s">
        <v>47</v>
      </c>
      <c r="M643" s="32" t="s">
        <v>63</v>
      </c>
      <c r="N643" s="34">
        <v>46023</v>
      </c>
      <c r="O643" s="35" t="str">
        <f t="shared" si="2"/>
        <v>Lê Tấn Phong</v>
      </c>
    </row>
    <row r="644" spans="1:15">
      <c r="A644" s="32" t="s">
        <v>221</v>
      </c>
      <c r="B644" s="32" t="s">
        <v>44</v>
      </c>
      <c r="C644" s="33">
        <v>46027</v>
      </c>
      <c r="D644" s="32">
        <v>949502705</v>
      </c>
      <c r="E644" s="32">
        <v>299066469</v>
      </c>
      <c r="F644" s="32" t="s">
        <v>222</v>
      </c>
      <c r="G644" s="32" t="s">
        <v>46</v>
      </c>
      <c r="H644" s="32" t="s">
        <v>18</v>
      </c>
      <c r="I644" s="32">
        <v>72.608000000000004</v>
      </c>
      <c r="J644" s="32">
        <v>58.091000000000001</v>
      </c>
      <c r="K644" s="32" t="b">
        <v>1</v>
      </c>
      <c r="L644" s="32" t="s">
        <v>47</v>
      </c>
      <c r="M644" s="32" t="s">
        <v>63</v>
      </c>
      <c r="N644" s="32" t="s">
        <v>153</v>
      </c>
      <c r="O644" s="35" t="str">
        <f t="shared" si="2"/>
        <v>Lê Tấn Phong</v>
      </c>
    </row>
    <row r="645" spans="1:15">
      <c r="A645" s="32" t="s">
        <v>117</v>
      </c>
      <c r="B645" s="32" t="s">
        <v>44</v>
      </c>
      <c r="C645" s="33">
        <v>46027</v>
      </c>
      <c r="D645" s="32">
        <v>919669378</v>
      </c>
      <c r="E645" s="32">
        <v>468081965</v>
      </c>
      <c r="F645" s="32" t="s">
        <v>98</v>
      </c>
      <c r="G645" s="32" t="s">
        <v>46</v>
      </c>
      <c r="H645" s="32" t="s">
        <v>18</v>
      </c>
      <c r="I645" s="32">
        <v>80.272999999999996</v>
      </c>
      <c r="J645" s="32">
        <v>61.283000000000001</v>
      </c>
      <c r="K645" s="32" t="b">
        <v>1</v>
      </c>
      <c r="L645" s="32" t="s">
        <v>63</v>
      </c>
      <c r="M645" s="32" t="s">
        <v>48</v>
      </c>
      <c r="N645" s="34">
        <v>46179</v>
      </c>
      <c r="O645" s="35" t="str">
        <f t="shared" si="2"/>
        <v>Nguyễn Văn Long</v>
      </c>
    </row>
    <row r="646" spans="1:15">
      <c r="A646" s="32" t="s">
        <v>221</v>
      </c>
      <c r="B646" s="32" t="s">
        <v>44</v>
      </c>
      <c r="C646" s="33">
        <v>46027</v>
      </c>
      <c r="D646" s="32">
        <v>949502705</v>
      </c>
      <c r="E646" s="32">
        <v>299066469</v>
      </c>
      <c r="F646" s="32" t="s">
        <v>222</v>
      </c>
      <c r="G646" s="32" t="s">
        <v>46</v>
      </c>
      <c r="H646" s="32" t="s">
        <v>18</v>
      </c>
      <c r="I646" s="32">
        <v>84.019000000000005</v>
      </c>
      <c r="J646" s="32">
        <v>56.683</v>
      </c>
      <c r="K646" s="32" t="b">
        <v>1</v>
      </c>
      <c r="L646" s="32" t="s">
        <v>47</v>
      </c>
      <c r="M646" s="32" t="s">
        <v>63</v>
      </c>
      <c r="N646" s="32" t="s">
        <v>153</v>
      </c>
      <c r="O646" s="35" t="str">
        <f t="shared" si="2"/>
        <v>Lê Tấn Phong</v>
      </c>
    </row>
    <row r="647" spans="1:15">
      <c r="A647" s="32" t="s">
        <v>117</v>
      </c>
      <c r="B647" s="32" t="s">
        <v>44</v>
      </c>
      <c r="C647" s="33">
        <v>46027</v>
      </c>
      <c r="D647" s="32">
        <v>919669378</v>
      </c>
      <c r="E647" s="32">
        <v>468081965</v>
      </c>
      <c r="F647" s="32" t="s">
        <v>98</v>
      </c>
      <c r="G647" s="32" t="s">
        <v>46</v>
      </c>
      <c r="H647" s="32" t="s">
        <v>18</v>
      </c>
      <c r="I647" s="32">
        <v>87.138000000000005</v>
      </c>
      <c r="J647" s="32">
        <v>61.901000000000003</v>
      </c>
      <c r="K647" s="32" t="b">
        <v>1</v>
      </c>
      <c r="L647" s="32" t="s">
        <v>63</v>
      </c>
      <c r="M647" s="32" t="s">
        <v>48</v>
      </c>
      <c r="N647" s="34">
        <v>46272</v>
      </c>
      <c r="O647" s="35" t="str">
        <f t="shared" si="2"/>
        <v>Nguyễn Văn Long</v>
      </c>
    </row>
    <row r="648" spans="1:15">
      <c r="A648" s="32" t="s">
        <v>221</v>
      </c>
      <c r="B648" s="32" t="s">
        <v>44</v>
      </c>
      <c r="C648" s="33">
        <v>46027</v>
      </c>
      <c r="D648" s="32">
        <v>949502705</v>
      </c>
      <c r="E648" s="32">
        <v>299066469</v>
      </c>
      <c r="F648" s="32" t="s">
        <v>222</v>
      </c>
      <c r="G648" s="32" t="s">
        <v>46</v>
      </c>
      <c r="H648" s="32" t="s">
        <v>18</v>
      </c>
      <c r="I648" s="32">
        <v>80.956999999999994</v>
      </c>
      <c r="J648" s="32">
        <v>59.536000000000001</v>
      </c>
      <c r="K648" s="32" t="b">
        <v>1</v>
      </c>
      <c r="L648" s="32" t="s">
        <v>47</v>
      </c>
      <c r="M648" s="32" t="s">
        <v>63</v>
      </c>
      <c r="N648" s="34">
        <v>46027</v>
      </c>
      <c r="O648" s="35" t="str">
        <f t="shared" si="2"/>
        <v>Lê Tấn Phong</v>
      </c>
    </row>
    <row r="649" spans="1:15">
      <c r="A649" s="32" t="s">
        <v>221</v>
      </c>
      <c r="B649" s="32" t="s">
        <v>44</v>
      </c>
      <c r="C649" s="33">
        <v>46027</v>
      </c>
      <c r="D649" s="32">
        <v>949502705</v>
      </c>
      <c r="E649" s="32">
        <v>299066469</v>
      </c>
      <c r="F649" s="32" t="s">
        <v>222</v>
      </c>
      <c r="G649" s="32" t="s">
        <v>46</v>
      </c>
      <c r="H649" s="32" t="s">
        <v>18</v>
      </c>
      <c r="I649" s="32">
        <v>79.272999999999996</v>
      </c>
      <c r="J649" s="32">
        <v>58.161999999999999</v>
      </c>
      <c r="K649" s="32" t="b">
        <v>1</v>
      </c>
      <c r="L649" s="32" t="s">
        <v>47</v>
      </c>
      <c r="M649" s="32" t="s">
        <v>63</v>
      </c>
      <c r="N649" s="34">
        <v>46235</v>
      </c>
      <c r="O649" s="35" t="str">
        <f t="shared" si="2"/>
        <v>Lê Tấn Phong</v>
      </c>
    </row>
    <row r="650" spans="1:15">
      <c r="A650" s="32" t="s">
        <v>221</v>
      </c>
      <c r="B650" s="32" t="s">
        <v>44</v>
      </c>
      <c r="C650" s="33">
        <v>46027</v>
      </c>
      <c r="D650" s="32">
        <v>949502705</v>
      </c>
      <c r="E650" s="32">
        <v>299066469</v>
      </c>
      <c r="F650" s="32" t="s">
        <v>222</v>
      </c>
      <c r="G650" s="32" t="s">
        <v>46</v>
      </c>
      <c r="H650" s="32" t="s">
        <v>18</v>
      </c>
      <c r="I650" s="32">
        <v>73.817999999999998</v>
      </c>
      <c r="J650" s="32">
        <v>59.41</v>
      </c>
      <c r="K650" s="32" t="b">
        <v>1</v>
      </c>
      <c r="L650" s="32" t="s">
        <v>47</v>
      </c>
      <c r="M650" s="32" t="s">
        <v>63</v>
      </c>
      <c r="N650" s="34">
        <v>46114</v>
      </c>
      <c r="O650" s="35" t="str">
        <f t="shared" si="2"/>
        <v>Lê Tấn Phong</v>
      </c>
    </row>
    <row r="651" spans="1:15">
      <c r="A651" s="32" t="s">
        <v>221</v>
      </c>
      <c r="B651" s="32" t="s">
        <v>44</v>
      </c>
      <c r="C651" s="33">
        <v>46027</v>
      </c>
      <c r="D651" s="32">
        <v>949502705</v>
      </c>
      <c r="E651" s="32">
        <v>299066469</v>
      </c>
      <c r="F651" s="32" t="s">
        <v>222</v>
      </c>
      <c r="G651" s="32" t="s">
        <v>46</v>
      </c>
      <c r="H651" s="32" t="s">
        <v>18</v>
      </c>
      <c r="I651" s="32">
        <v>80.519000000000005</v>
      </c>
      <c r="J651" s="32">
        <v>56.692999999999998</v>
      </c>
      <c r="K651" s="32" t="b">
        <v>1</v>
      </c>
      <c r="L651" s="32" t="s">
        <v>47</v>
      </c>
      <c r="M651" s="32" t="s">
        <v>63</v>
      </c>
      <c r="N651" s="34">
        <v>46237</v>
      </c>
      <c r="O651" s="35" t="str">
        <f t="shared" si="2"/>
        <v>Lê Tấn Phong</v>
      </c>
    </row>
    <row r="652" spans="1:15">
      <c r="A652" s="32" t="s">
        <v>221</v>
      </c>
      <c r="B652" s="32" t="s">
        <v>44</v>
      </c>
      <c r="C652" s="33">
        <v>46027</v>
      </c>
      <c r="D652" s="32">
        <v>949502705</v>
      </c>
      <c r="E652" s="32">
        <v>299066469</v>
      </c>
      <c r="F652" s="32" t="s">
        <v>222</v>
      </c>
      <c r="G652" s="32" t="s">
        <v>46</v>
      </c>
      <c r="H652" s="32" t="s">
        <v>18</v>
      </c>
      <c r="I652" s="32">
        <v>80.941999999999993</v>
      </c>
      <c r="J652" s="32">
        <v>60.279000000000003</v>
      </c>
      <c r="K652" s="32" t="b">
        <v>1</v>
      </c>
      <c r="L652" s="32" t="s">
        <v>47</v>
      </c>
      <c r="M652" s="32" t="s">
        <v>63</v>
      </c>
      <c r="N652" s="34">
        <v>46169</v>
      </c>
      <c r="O652" s="35" t="str">
        <f t="shared" si="2"/>
        <v>Lê Tấn Phong</v>
      </c>
    </row>
    <row r="653" spans="1:15">
      <c r="A653" s="32" t="s">
        <v>221</v>
      </c>
      <c r="B653" s="32" t="s">
        <v>44</v>
      </c>
      <c r="C653" s="33">
        <v>46027</v>
      </c>
      <c r="D653" s="32">
        <v>949502705</v>
      </c>
      <c r="E653" s="32">
        <v>299066469</v>
      </c>
      <c r="F653" s="32" t="s">
        <v>222</v>
      </c>
      <c r="G653" s="32" t="s">
        <v>46</v>
      </c>
      <c r="H653" s="32" t="s">
        <v>18</v>
      </c>
      <c r="I653" s="32">
        <v>77.072999999999993</v>
      </c>
      <c r="J653" s="32">
        <v>55.323</v>
      </c>
      <c r="K653" s="32" t="b">
        <v>1</v>
      </c>
      <c r="L653" s="32" t="s">
        <v>47</v>
      </c>
      <c r="M653" s="32" t="s">
        <v>63</v>
      </c>
      <c r="N653" s="34">
        <v>46027</v>
      </c>
      <c r="O653" s="35" t="str">
        <f t="shared" si="2"/>
        <v>Lê Tấn Phong</v>
      </c>
    </row>
    <row r="654" spans="1:15">
      <c r="A654" s="32" t="s">
        <v>221</v>
      </c>
      <c r="B654" s="32" t="s">
        <v>44</v>
      </c>
      <c r="C654" s="33">
        <v>46027</v>
      </c>
      <c r="D654" s="32">
        <v>949502705</v>
      </c>
      <c r="E654" s="32">
        <v>299066469</v>
      </c>
      <c r="F654" s="32" t="s">
        <v>222</v>
      </c>
      <c r="G654" s="32" t="s">
        <v>46</v>
      </c>
      <c r="H654" s="32" t="s">
        <v>18</v>
      </c>
      <c r="I654" s="32">
        <v>75.712999999999994</v>
      </c>
      <c r="J654" s="32">
        <v>59.497</v>
      </c>
      <c r="K654" s="32" t="b">
        <v>1</v>
      </c>
      <c r="L654" s="32" t="s">
        <v>47</v>
      </c>
      <c r="M654" s="32" t="s">
        <v>63</v>
      </c>
      <c r="N654" s="34">
        <v>46143</v>
      </c>
      <c r="O654" s="35" t="str">
        <f t="shared" si="2"/>
        <v>Lê Tấn Phong</v>
      </c>
    </row>
    <row r="655" spans="1:15">
      <c r="A655" s="32" t="s">
        <v>91</v>
      </c>
      <c r="B655" s="32" t="s">
        <v>44</v>
      </c>
      <c r="C655" s="33">
        <v>46027</v>
      </c>
      <c r="D655" s="32">
        <v>917714086</v>
      </c>
      <c r="E655" s="32">
        <v>514807788</v>
      </c>
      <c r="F655" s="32" t="s">
        <v>92</v>
      </c>
      <c r="G655" s="32" t="s">
        <v>46</v>
      </c>
      <c r="H655" s="32" t="s">
        <v>51</v>
      </c>
      <c r="I655" s="32">
        <v>563.77800000000002</v>
      </c>
      <c r="J655" s="32">
        <v>41.962000000000003</v>
      </c>
      <c r="K655" s="32" t="b">
        <v>1</v>
      </c>
      <c r="L655" s="32" t="s">
        <v>79</v>
      </c>
      <c r="M655" s="32" t="s">
        <v>48</v>
      </c>
      <c r="N655" s="34">
        <v>46192</v>
      </c>
      <c r="O655" s="35" t="str">
        <f t="shared" si="2"/>
        <v>Lê Hoàng Vinh</v>
      </c>
    </row>
    <row r="656" spans="1:15">
      <c r="A656" s="32" t="s">
        <v>189</v>
      </c>
      <c r="B656" s="32" t="s">
        <v>44</v>
      </c>
      <c r="C656" s="33">
        <v>46027</v>
      </c>
      <c r="D656" s="32">
        <v>919684007</v>
      </c>
      <c r="E656" s="32">
        <v>467590112</v>
      </c>
      <c r="F656" s="32" t="s">
        <v>190</v>
      </c>
      <c r="G656" s="32" t="s">
        <v>46</v>
      </c>
      <c r="H656" s="32" t="s">
        <v>58</v>
      </c>
      <c r="I656" s="32">
        <v>38.055999999999997</v>
      </c>
      <c r="J656" s="32">
        <v>28.138999999999999</v>
      </c>
      <c r="K656" s="32" t="b">
        <v>0</v>
      </c>
      <c r="L656" s="32" t="s">
        <v>47</v>
      </c>
      <c r="M656" s="32" t="s">
        <v>48</v>
      </c>
      <c r="N656" s="34">
        <v>46089</v>
      </c>
      <c r="O656" s="35" t="str">
        <f t="shared" si="2"/>
        <v>Lê Minh Hòa</v>
      </c>
    </row>
    <row r="657" spans="1:15">
      <c r="A657" s="32" t="s">
        <v>189</v>
      </c>
      <c r="B657" s="32" t="s">
        <v>44</v>
      </c>
      <c r="C657" s="33">
        <v>46027</v>
      </c>
      <c r="D657" s="32">
        <v>836886007</v>
      </c>
      <c r="E657" s="32">
        <v>467590112</v>
      </c>
      <c r="F657" s="32" t="s">
        <v>190</v>
      </c>
      <c r="G657" s="32" t="s">
        <v>46</v>
      </c>
      <c r="H657" s="32" t="s">
        <v>58</v>
      </c>
      <c r="I657" s="32">
        <v>38.055999999999997</v>
      </c>
      <c r="J657" s="32">
        <v>28.138999999999999</v>
      </c>
      <c r="K657" s="32" t="b">
        <v>0</v>
      </c>
      <c r="L657" s="32" t="s">
        <v>47</v>
      </c>
      <c r="M657" s="32" t="s">
        <v>48</v>
      </c>
      <c r="N657" s="34">
        <v>46089</v>
      </c>
      <c r="O657" s="35" t="str">
        <f t="shared" si="2"/>
        <v>Lê Minh Hòa</v>
      </c>
    </row>
    <row r="658" spans="1:15">
      <c r="A658" s="32" t="s">
        <v>182</v>
      </c>
      <c r="B658" s="32" t="s">
        <v>44</v>
      </c>
      <c r="C658" s="33">
        <v>46027</v>
      </c>
      <c r="D658" s="32">
        <v>918760639</v>
      </c>
      <c r="E658" s="32">
        <v>493881845</v>
      </c>
      <c r="F658" s="32" t="s">
        <v>183</v>
      </c>
      <c r="G658" s="32" t="s">
        <v>46</v>
      </c>
      <c r="H658" s="32" t="s">
        <v>58</v>
      </c>
      <c r="I658" s="32">
        <v>74.084000000000003</v>
      </c>
      <c r="J658" s="32">
        <v>36.857999999999997</v>
      </c>
      <c r="K658" s="32" t="b">
        <v>1</v>
      </c>
      <c r="L658" s="32" t="s">
        <v>47</v>
      </c>
      <c r="M658" s="32" t="s">
        <v>48</v>
      </c>
      <c r="N658" s="34">
        <v>46205</v>
      </c>
      <c r="O658" s="35" t="str">
        <f t="shared" si="2"/>
        <v>Bùi Tấn Bảo</v>
      </c>
    </row>
    <row r="659" spans="1:15">
      <c r="A659" s="32" t="s">
        <v>182</v>
      </c>
      <c r="B659" s="32" t="s">
        <v>44</v>
      </c>
      <c r="C659" s="33">
        <v>46027</v>
      </c>
      <c r="D659" s="32">
        <v>918760639</v>
      </c>
      <c r="E659" s="32">
        <v>493881845</v>
      </c>
      <c r="F659" s="32" t="s">
        <v>183</v>
      </c>
      <c r="G659" s="32" t="s">
        <v>46</v>
      </c>
      <c r="H659" s="32" t="s">
        <v>58</v>
      </c>
      <c r="I659" s="32">
        <v>74.084000000000003</v>
      </c>
      <c r="J659" s="32">
        <v>36.857999999999997</v>
      </c>
      <c r="K659" s="32" t="b">
        <v>1</v>
      </c>
      <c r="L659" s="32" t="s">
        <v>47</v>
      </c>
      <c r="M659" s="32" t="s">
        <v>48</v>
      </c>
      <c r="N659" s="34">
        <v>46205</v>
      </c>
      <c r="O659" s="35" t="str">
        <f t="shared" si="2"/>
        <v>Bùi Tấn Bảo</v>
      </c>
    </row>
    <row r="660" spans="1:15">
      <c r="A660" s="32" t="s">
        <v>216</v>
      </c>
      <c r="B660" s="32" t="s">
        <v>44</v>
      </c>
      <c r="C660" s="33">
        <v>46027</v>
      </c>
      <c r="D660" s="32">
        <v>835880097</v>
      </c>
      <c r="E660" s="32">
        <v>495019055</v>
      </c>
      <c r="F660" s="32" t="s">
        <v>98</v>
      </c>
      <c r="G660" s="32" t="s">
        <v>46</v>
      </c>
      <c r="H660" s="32" t="s">
        <v>58</v>
      </c>
      <c r="I660" s="32">
        <v>16.079000000000001</v>
      </c>
      <c r="J660" s="32">
        <v>21.428999999999998</v>
      </c>
      <c r="K660" s="32" t="b">
        <v>1</v>
      </c>
      <c r="L660" s="32" t="s">
        <v>63</v>
      </c>
      <c r="M660" s="32" t="s">
        <v>48</v>
      </c>
      <c r="N660" s="34">
        <v>46241</v>
      </c>
      <c r="O660" s="35" t="str">
        <f t="shared" si="2"/>
        <v>Mai Thiện Phương</v>
      </c>
    </row>
    <row r="661" spans="1:15">
      <c r="A661" s="32" t="s">
        <v>216</v>
      </c>
      <c r="B661" s="32" t="s">
        <v>44</v>
      </c>
      <c r="C661" s="33">
        <v>46027</v>
      </c>
      <c r="D661" s="32">
        <v>835880097</v>
      </c>
      <c r="E661" s="32">
        <v>495019055</v>
      </c>
      <c r="F661" s="32" t="s">
        <v>98</v>
      </c>
      <c r="G661" s="32" t="s">
        <v>46</v>
      </c>
      <c r="H661" s="32" t="s">
        <v>58</v>
      </c>
      <c r="I661" s="32">
        <v>16.079000000000001</v>
      </c>
      <c r="J661" s="32">
        <v>21.428999999999998</v>
      </c>
      <c r="K661" s="32" t="b">
        <v>1</v>
      </c>
      <c r="L661" s="32" t="s">
        <v>63</v>
      </c>
      <c r="M661" s="32" t="s">
        <v>48</v>
      </c>
      <c r="N661" s="34">
        <v>46241</v>
      </c>
      <c r="O661" s="35" t="str">
        <f t="shared" si="2"/>
        <v>Mai Thiện Phương</v>
      </c>
    </row>
    <row r="662" spans="1:15">
      <c r="A662" s="32" t="s">
        <v>182</v>
      </c>
      <c r="B662" s="32" t="s">
        <v>44</v>
      </c>
      <c r="C662" s="33">
        <v>46027</v>
      </c>
      <c r="D662" s="32">
        <v>918760639</v>
      </c>
      <c r="E662" s="32">
        <v>493881845</v>
      </c>
      <c r="F662" s="32" t="s">
        <v>183</v>
      </c>
      <c r="G662" s="32" t="s">
        <v>46</v>
      </c>
      <c r="H662" s="32" t="s">
        <v>58</v>
      </c>
      <c r="I662" s="32">
        <v>180.05099999999999</v>
      </c>
      <c r="J662" s="32">
        <v>74.492999999999995</v>
      </c>
      <c r="K662" s="32" t="b">
        <v>1</v>
      </c>
      <c r="L662" s="32" t="s">
        <v>47</v>
      </c>
      <c r="M662" s="32" t="s">
        <v>48</v>
      </c>
      <c r="N662" s="34">
        <v>46242</v>
      </c>
      <c r="O662" s="35" t="str">
        <f t="shared" si="2"/>
        <v>Bùi Tấn Bảo</v>
      </c>
    </row>
    <row r="663" spans="1:15">
      <c r="A663" s="32" t="s">
        <v>182</v>
      </c>
      <c r="B663" s="32" t="s">
        <v>44</v>
      </c>
      <c r="C663" s="33">
        <v>46027</v>
      </c>
      <c r="D663" s="32">
        <v>918760639</v>
      </c>
      <c r="E663" s="32">
        <v>493881845</v>
      </c>
      <c r="F663" s="32" t="s">
        <v>183</v>
      </c>
      <c r="G663" s="32" t="s">
        <v>46</v>
      </c>
      <c r="H663" s="32" t="s">
        <v>58</v>
      </c>
      <c r="I663" s="32">
        <v>180.05099999999999</v>
      </c>
      <c r="J663" s="32">
        <v>74.492999999999995</v>
      </c>
      <c r="K663" s="32" t="b">
        <v>1</v>
      </c>
      <c r="L663" s="32" t="s">
        <v>47</v>
      </c>
      <c r="M663" s="32" t="s">
        <v>48</v>
      </c>
      <c r="N663" s="34">
        <v>46242</v>
      </c>
      <c r="O663" s="35" t="str">
        <f t="shared" si="2"/>
        <v>Bùi Tấn Bảo</v>
      </c>
    </row>
    <row r="664" spans="1:15">
      <c r="A664" s="32" t="s">
        <v>133</v>
      </c>
      <c r="B664" s="32" t="s">
        <v>44</v>
      </c>
      <c r="C664" s="33">
        <v>46027</v>
      </c>
      <c r="D664" s="32">
        <v>913632800</v>
      </c>
      <c r="E664" s="32">
        <v>487761475</v>
      </c>
      <c r="F664" s="32" t="s">
        <v>71</v>
      </c>
      <c r="G664" s="32" t="s">
        <v>46</v>
      </c>
      <c r="H664" s="32" t="s">
        <v>51</v>
      </c>
      <c r="I664" s="32">
        <v>1425.492</v>
      </c>
      <c r="J664" s="32">
        <v>155.10300000000001</v>
      </c>
      <c r="K664" s="32" t="b">
        <v>1</v>
      </c>
      <c r="L664" s="32" t="s">
        <v>47</v>
      </c>
      <c r="M664" s="32" t="s">
        <v>48</v>
      </c>
      <c r="N664" s="34">
        <v>46253</v>
      </c>
      <c r="O664" s="35" t="str">
        <f t="shared" si="2"/>
        <v>Võ Quang Thìn</v>
      </c>
    </row>
    <row r="665" spans="1:15">
      <c r="A665" s="32" t="s">
        <v>224</v>
      </c>
      <c r="B665" s="32" t="s">
        <v>44</v>
      </c>
      <c r="C665" s="33">
        <v>46027</v>
      </c>
      <c r="D665" s="32">
        <v>919542919</v>
      </c>
      <c r="E665" s="32">
        <v>468383676</v>
      </c>
      <c r="F665" s="32" t="s">
        <v>62</v>
      </c>
      <c r="G665" s="32" t="s">
        <v>46</v>
      </c>
      <c r="H665" s="32" t="s">
        <v>18</v>
      </c>
      <c r="I665" s="32">
        <v>82.444000000000003</v>
      </c>
      <c r="J665" s="32">
        <v>59.759</v>
      </c>
      <c r="K665" s="32" t="b">
        <v>0</v>
      </c>
      <c r="L665" s="32" t="s">
        <v>63</v>
      </c>
      <c r="M665" s="32" t="s">
        <v>48</v>
      </c>
      <c r="N665" s="32" t="s">
        <v>214</v>
      </c>
      <c r="O665" s="35" t="str">
        <f t="shared" si="2"/>
        <v>Võ Thế Minh</v>
      </c>
    </row>
    <row r="666" spans="1:15">
      <c r="A666" s="32" t="s">
        <v>224</v>
      </c>
      <c r="B666" s="32" t="s">
        <v>44</v>
      </c>
      <c r="C666" s="33">
        <v>46027</v>
      </c>
      <c r="D666" s="32">
        <v>919542919</v>
      </c>
      <c r="E666" s="32">
        <v>468383676</v>
      </c>
      <c r="F666" s="32" t="s">
        <v>62</v>
      </c>
      <c r="G666" s="32" t="s">
        <v>46</v>
      </c>
      <c r="H666" s="32" t="s">
        <v>18</v>
      </c>
      <c r="I666" s="32">
        <v>70.587000000000003</v>
      </c>
      <c r="J666" s="32">
        <v>59.591000000000001</v>
      </c>
      <c r="K666" s="32" t="b">
        <v>0</v>
      </c>
      <c r="L666" s="32" t="s">
        <v>63</v>
      </c>
      <c r="M666" s="32" t="s">
        <v>48</v>
      </c>
      <c r="N666" s="34">
        <v>46237</v>
      </c>
      <c r="O666" s="35" t="str">
        <f t="shared" si="2"/>
        <v>Võ Thế Minh</v>
      </c>
    </row>
    <row r="667" spans="1:15">
      <c r="A667" s="32" t="s">
        <v>224</v>
      </c>
      <c r="B667" s="32" t="s">
        <v>44</v>
      </c>
      <c r="C667" s="33">
        <v>46027</v>
      </c>
      <c r="D667" s="32">
        <v>919542919</v>
      </c>
      <c r="E667" s="32">
        <v>468383676</v>
      </c>
      <c r="F667" s="32" t="s">
        <v>62</v>
      </c>
      <c r="G667" s="32" t="s">
        <v>46</v>
      </c>
      <c r="H667" s="32" t="s">
        <v>18</v>
      </c>
      <c r="I667" s="32">
        <v>81.805000000000007</v>
      </c>
      <c r="J667" s="32">
        <v>58.938000000000002</v>
      </c>
      <c r="K667" s="32" t="b">
        <v>0</v>
      </c>
      <c r="L667" s="32" t="s">
        <v>63</v>
      </c>
      <c r="M667" s="32" t="s">
        <v>48</v>
      </c>
      <c r="N667" s="34">
        <v>46241</v>
      </c>
      <c r="O667" s="35" t="str">
        <f t="shared" si="2"/>
        <v>Võ Thế Minh</v>
      </c>
    </row>
    <row r="668" spans="1:15">
      <c r="A668" s="32" t="s">
        <v>224</v>
      </c>
      <c r="B668" s="32" t="s">
        <v>44</v>
      </c>
      <c r="C668" s="33">
        <v>46027</v>
      </c>
      <c r="D668" s="32">
        <v>919542919</v>
      </c>
      <c r="E668" s="32">
        <v>468383676</v>
      </c>
      <c r="F668" s="32" t="s">
        <v>62</v>
      </c>
      <c r="G668" s="32" t="s">
        <v>46</v>
      </c>
      <c r="H668" s="32" t="s">
        <v>18</v>
      </c>
      <c r="I668" s="32">
        <v>79.430000000000007</v>
      </c>
      <c r="J668" s="32">
        <v>56.838000000000001</v>
      </c>
      <c r="K668" s="32" t="b">
        <v>0</v>
      </c>
      <c r="L668" s="32" t="s">
        <v>63</v>
      </c>
      <c r="M668" s="32" t="s">
        <v>48</v>
      </c>
      <c r="N668" s="32" t="s">
        <v>105</v>
      </c>
      <c r="O668" s="35" t="str">
        <f t="shared" si="2"/>
        <v>Võ Thế Minh</v>
      </c>
    </row>
    <row r="669" spans="1:15">
      <c r="A669" s="32" t="s">
        <v>224</v>
      </c>
      <c r="B669" s="32" t="s">
        <v>44</v>
      </c>
      <c r="C669" s="33">
        <v>46027</v>
      </c>
      <c r="D669" s="32">
        <v>919542919</v>
      </c>
      <c r="E669" s="32">
        <v>468383676</v>
      </c>
      <c r="F669" s="32" t="s">
        <v>62</v>
      </c>
      <c r="G669" s="32" t="s">
        <v>46</v>
      </c>
      <c r="H669" s="32" t="s">
        <v>18</v>
      </c>
      <c r="I669" s="32">
        <v>72.391999999999996</v>
      </c>
      <c r="J669" s="32">
        <v>54.048000000000002</v>
      </c>
      <c r="K669" s="32" t="b">
        <v>0</v>
      </c>
      <c r="L669" s="32" t="s">
        <v>63</v>
      </c>
      <c r="M669" s="32" t="s">
        <v>48</v>
      </c>
      <c r="N669" s="34">
        <v>46061</v>
      </c>
      <c r="O669" s="35" t="str">
        <f t="shared" si="2"/>
        <v>Võ Thế Minh</v>
      </c>
    </row>
    <row r="670" spans="1:15">
      <c r="A670" s="32" t="s">
        <v>224</v>
      </c>
      <c r="B670" s="32" t="s">
        <v>44</v>
      </c>
      <c r="C670" s="33">
        <v>46027</v>
      </c>
      <c r="D670" s="32">
        <v>919542919</v>
      </c>
      <c r="E670" s="32">
        <v>468383676</v>
      </c>
      <c r="F670" s="32" t="s">
        <v>62</v>
      </c>
      <c r="G670" s="32" t="s">
        <v>46</v>
      </c>
      <c r="H670" s="32" t="s">
        <v>18</v>
      </c>
      <c r="I670" s="32">
        <v>79.695999999999998</v>
      </c>
      <c r="J670" s="32">
        <v>35.529000000000003</v>
      </c>
      <c r="K670" s="32" t="b">
        <v>0</v>
      </c>
      <c r="L670" s="32" t="s">
        <v>63</v>
      </c>
      <c r="M670" s="32" t="s">
        <v>48</v>
      </c>
      <c r="N670" s="34">
        <v>46028</v>
      </c>
      <c r="O670" s="35" t="str">
        <f t="shared" si="2"/>
        <v>Võ Thế Minh</v>
      </c>
    </row>
    <row r="671" spans="1:15">
      <c r="A671" s="32" t="s">
        <v>225</v>
      </c>
      <c r="B671" s="32" t="s">
        <v>44</v>
      </c>
      <c r="C671" s="33">
        <v>46027</v>
      </c>
      <c r="D671" s="32">
        <v>852038869</v>
      </c>
      <c r="E671" s="32">
        <v>514128872</v>
      </c>
      <c r="F671" s="32" t="s">
        <v>226</v>
      </c>
      <c r="G671" s="32" t="s">
        <v>46</v>
      </c>
      <c r="H671" s="32" t="s">
        <v>58</v>
      </c>
      <c r="I671" s="32">
        <v>96.063000000000002</v>
      </c>
      <c r="J671" s="32">
        <v>50.281999999999996</v>
      </c>
      <c r="K671" s="32" t="b">
        <v>1</v>
      </c>
      <c r="L671" s="32" t="s">
        <v>63</v>
      </c>
      <c r="M671" s="32" t="s">
        <v>48</v>
      </c>
      <c r="N671" s="34">
        <v>46084</v>
      </c>
      <c r="O671" s="35" t="str">
        <f t="shared" si="2"/>
        <v>Nguyễn Hoàng Sang</v>
      </c>
    </row>
    <row r="672" spans="1:15">
      <c r="A672" s="32" t="s">
        <v>225</v>
      </c>
      <c r="B672" s="32" t="s">
        <v>44</v>
      </c>
      <c r="C672" s="33">
        <v>46027</v>
      </c>
      <c r="D672" s="32">
        <v>852038869</v>
      </c>
      <c r="E672" s="32">
        <v>514128872</v>
      </c>
      <c r="F672" s="32" t="s">
        <v>226</v>
      </c>
      <c r="G672" s="32" t="s">
        <v>46</v>
      </c>
      <c r="H672" s="32" t="s">
        <v>58</v>
      </c>
      <c r="I672" s="32">
        <v>115.011</v>
      </c>
      <c r="J672" s="32">
        <v>48.350999999999999</v>
      </c>
      <c r="K672" s="32" t="b">
        <v>1</v>
      </c>
      <c r="L672" s="32" t="s">
        <v>63</v>
      </c>
      <c r="M672" s="32" t="s">
        <v>48</v>
      </c>
      <c r="N672" s="34">
        <v>46208</v>
      </c>
      <c r="O672" s="35" t="str">
        <f t="shared" si="2"/>
        <v>Nguyễn Hoàng Sang</v>
      </c>
    </row>
    <row r="673" spans="1:15">
      <c r="A673" s="32" t="s">
        <v>224</v>
      </c>
      <c r="B673" s="32" t="s">
        <v>44</v>
      </c>
      <c r="C673" s="33">
        <v>46027</v>
      </c>
      <c r="D673" s="32">
        <v>919542919</v>
      </c>
      <c r="E673" s="32">
        <v>468383676</v>
      </c>
      <c r="F673" s="32" t="s">
        <v>62</v>
      </c>
      <c r="G673" s="32" t="s">
        <v>46</v>
      </c>
      <c r="H673" s="32" t="s">
        <v>18</v>
      </c>
      <c r="I673" s="32">
        <v>80.37</v>
      </c>
      <c r="J673" s="32">
        <v>56.152000000000001</v>
      </c>
      <c r="K673" s="32" t="b">
        <v>0</v>
      </c>
      <c r="L673" s="32" t="s">
        <v>63</v>
      </c>
      <c r="M673" s="32" t="s">
        <v>48</v>
      </c>
      <c r="N673" s="34">
        <v>46055</v>
      </c>
      <c r="O673" s="35" t="str">
        <f t="shared" si="2"/>
        <v>Võ Thế Minh</v>
      </c>
    </row>
    <row r="674" spans="1:15">
      <c r="A674" s="32" t="s">
        <v>225</v>
      </c>
      <c r="B674" s="32" t="s">
        <v>44</v>
      </c>
      <c r="C674" s="33">
        <v>46027</v>
      </c>
      <c r="D674" s="32">
        <v>852038869</v>
      </c>
      <c r="E674" s="32">
        <v>514128872</v>
      </c>
      <c r="F674" s="32" t="s">
        <v>226</v>
      </c>
      <c r="G674" s="32" t="s">
        <v>46</v>
      </c>
      <c r="H674" s="32" t="s">
        <v>58</v>
      </c>
      <c r="I674" s="32">
        <v>117.11</v>
      </c>
      <c r="J674" s="32">
        <v>52.689</v>
      </c>
      <c r="K674" s="32" t="b">
        <v>1</v>
      </c>
      <c r="L674" s="32" t="s">
        <v>63</v>
      </c>
      <c r="M674" s="32" t="s">
        <v>48</v>
      </c>
      <c r="N674" s="34">
        <v>46209</v>
      </c>
      <c r="O674" s="35" t="str">
        <f t="shared" si="2"/>
        <v>Nguyễn Hoàng Sang</v>
      </c>
    </row>
    <row r="675" spans="1:15">
      <c r="A675" s="32" t="s">
        <v>224</v>
      </c>
      <c r="B675" s="32" t="s">
        <v>44</v>
      </c>
      <c r="C675" s="33">
        <v>46027</v>
      </c>
      <c r="D675" s="32">
        <v>919542919</v>
      </c>
      <c r="E675" s="32">
        <v>468383676</v>
      </c>
      <c r="F675" s="32" t="s">
        <v>62</v>
      </c>
      <c r="G675" s="32" t="s">
        <v>46</v>
      </c>
      <c r="H675" s="32" t="s">
        <v>18</v>
      </c>
      <c r="I675" s="32">
        <v>79.536000000000001</v>
      </c>
      <c r="J675" s="32">
        <v>58.697000000000003</v>
      </c>
      <c r="K675" s="32" t="b">
        <v>0</v>
      </c>
      <c r="L675" s="32" t="s">
        <v>63</v>
      </c>
      <c r="M675" s="32" t="s">
        <v>48</v>
      </c>
      <c r="N675" s="34">
        <v>46268</v>
      </c>
      <c r="O675" s="35" t="str">
        <f t="shared" si="2"/>
        <v>Võ Thế Minh</v>
      </c>
    </row>
    <row r="676" spans="1:15">
      <c r="A676" s="32" t="s">
        <v>225</v>
      </c>
      <c r="B676" s="32" t="s">
        <v>44</v>
      </c>
      <c r="C676" s="33">
        <v>46027</v>
      </c>
      <c r="D676" s="32">
        <v>852038869</v>
      </c>
      <c r="E676" s="32">
        <v>514128872</v>
      </c>
      <c r="F676" s="32" t="s">
        <v>226</v>
      </c>
      <c r="G676" s="32" t="s">
        <v>46</v>
      </c>
      <c r="H676" s="32" t="s">
        <v>58</v>
      </c>
      <c r="I676" s="32">
        <v>128.798</v>
      </c>
      <c r="J676" s="32">
        <v>49.238999999999997</v>
      </c>
      <c r="K676" s="32" t="b">
        <v>1</v>
      </c>
      <c r="L676" s="32" t="s">
        <v>63</v>
      </c>
      <c r="M676" s="32" t="s">
        <v>48</v>
      </c>
      <c r="N676" s="34">
        <v>46268</v>
      </c>
      <c r="O676" s="35" t="str">
        <f t="shared" si="2"/>
        <v>Nguyễn Hoàng Sang</v>
      </c>
    </row>
    <row r="677" spans="1:15">
      <c r="A677" s="32" t="s">
        <v>225</v>
      </c>
      <c r="B677" s="32" t="s">
        <v>44</v>
      </c>
      <c r="C677" s="33">
        <v>46027</v>
      </c>
      <c r="D677" s="32">
        <v>852038869</v>
      </c>
      <c r="E677" s="32">
        <v>514128872</v>
      </c>
      <c r="F677" s="32" t="s">
        <v>226</v>
      </c>
      <c r="G677" s="32" t="s">
        <v>46</v>
      </c>
      <c r="H677" s="32" t="s">
        <v>58</v>
      </c>
      <c r="I677" s="32">
        <v>131.292</v>
      </c>
      <c r="J677" s="32">
        <v>47.365000000000002</v>
      </c>
      <c r="K677" s="32" t="b">
        <v>1</v>
      </c>
      <c r="L677" s="32" t="s">
        <v>63</v>
      </c>
      <c r="M677" s="32" t="s">
        <v>48</v>
      </c>
      <c r="N677" s="34">
        <v>46237</v>
      </c>
      <c r="O677" s="35" t="str">
        <f t="shared" si="2"/>
        <v>Nguyễn Hoàng Sang</v>
      </c>
    </row>
    <row r="678" spans="1:15">
      <c r="A678" s="32" t="s">
        <v>224</v>
      </c>
      <c r="B678" s="32" t="s">
        <v>44</v>
      </c>
      <c r="C678" s="33">
        <v>46027</v>
      </c>
      <c r="D678" s="32">
        <v>919542919</v>
      </c>
      <c r="E678" s="32">
        <v>468383676</v>
      </c>
      <c r="F678" s="32" t="s">
        <v>62</v>
      </c>
      <c r="G678" s="32" t="s">
        <v>46</v>
      </c>
      <c r="H678" s="32" t="s">
        <v>18</v>
      </c>
      <c r="I678" s="32">
        <v>70.108000000000004</v>
      </c>
      <c r="J678" s="32">
        <v>56.131</v>
      </c>
      <c r="K678" s="32" t="b">
        <v>0</v>
      </c>
      <c r="L678" s="32" t="s">
        <v>63</v>
      </c>
      <c r="M678" s="32" t="s">
        <v>48</v>
      </c>
      <c r="N678" s="32" t="s">
        <v>100</v>
      </c>
      <c r="O678" s="35" t="str">
        <f t="shared" si="2"/>
        <v>Võ Thế Minh</v>
      </c>
    </row>
    <row r="679" spans="1:15">
      <c r="A679" s="32" t="s">
        <v>225</v>
      </c>
      <c r="B679" s="32" t="s">
        <v>44</v>
      </c>
      <c r="C679" s="33">
        <v>46027</v>
      </c>
      <c r="D679" s="32">
        <v>852038869</v>
      </c>
      <c r="E679" s="32">
        <v>514128872</v>
      </c>
      <c r="F679" s="32" t="s">
        <v>226</v>
      </c>
      <c r="G679" s="32" t="s">
        <v>46</v>
      </c>
      <c r="H679" s="32" t="s">
        <v>58</v>
      </c>
      <c r="I679" s="32">
        <v>113.236</v>
      </c>
      <c r="J679" s="32">
        <v>46.378999999999998</v>
      </c>
      <c r="K679" s="32" t="b">
        <v>1</v>
      </c>
      <c r="L679" s="32" t="s">
        <v>63</v>
      </c>
      <c r="M679" s="32" t="s">
        <v>48</v>
      </c>
      <c r="N679" s="34">
        <v>46116</v>
      </c>
      <c r="O679" s="35" t="str">
        <f t="shared" si="2"/>
        <v>Nguyễn Hoàng Sang</v>
      </c>
    </row>
    <row r="680" spans="1:15">
      <c r="A680" s="32" t="s">
        <v>225</v>
      </c>
      <c r="B680" s="32" t="s">
        <v>44</v>
      </c>
      <c r="C680" s="33">
        <v>46027</v>
      </c>
      <c r="D680" s="32">
        <v>852038869</v>
      </c>
      <c r="E680" s="32">
        <v>514128872</v>
      </c>
      <c r="F680" s="32" t="s">
        <v>226</v>
      </c>
      <c r="G680" s="32" t="s">
        <v>46</v>
      </c>
      <c r="H680" s="32" t="s">
        <v>58</v>
      </c>
      <c r="I680" s="32">
        <v>68.545000000000002</v>
      </c>
      <c r="J680" s="32">
        <v>45.890999999999998</v>
      </c>
      <c r="K680" s="32" t="b">
        <v>1</v>
      </c>
      <c r="L680" s="32" t="s">
        <v>63</v>
      </c>
      <c r="M680" s="32" t="s">
        <v>48</v>
      </c>
      <c r="N680" s="34">
        <v>46145</v>
      </c>
      <c r="O680" s="35" t="str">
        <f t="shared" si="2"/>
        <v>Nguyễn Hoàng Sang</v>
      </c>
    </row>
    <row r="681" spans="1:15">
      <c r="A681" s="32" t="s">
        <v>225</v>
      </c>
      <c r="B681" s="32" t="s">
        <v>44</v>
      </c>
      <c r="C681" s="33">
        <v>46027</v>
      </c>
      <c r="D681" s="32">
        <v>852038869</v>
      </c>
      <c r="E681" s="32">
        <v>514128872</v>
      </c>
      <c r="F681" s="32" t="s">
        <v>226</v>
      </c>
      <c r="G681" s="32" t="s">
        <v>46</v>
      </c>
      <c r="H681" s="32" t="s">
        <v>58</v>
      </c>
      <c r="I681" s="32">
        <v>35.454000000000001</v>
      </c>
      <c r="J681" s="32">
        <v>43.234999999999999</v>
      </c>
      <c r="K681" s="32" t="b">
        <v>1</v>
      </c>
      <c r="L681" s="32" t="s">
        <v>63</v>
      </c>
      <c r="M681" s="32" t="s">
        <v>48</v>
      </c>
      <c r="N681" s="34">
        <v>46237</v>
      </c>
      <c r="O681" s="35" t="str">
        <f t="shared" si="2"/>
        <v>Nguyễn Hoàng Sang</v>
      </c>
    </row>
    <row r="682" spans="1:15">
      <c r="A682" s="32" t="s">
        <v>203</v>
      </c>
      <c r="B682" s="32" t="s">
        <v>44</v>
      </c>
      <c r="C682" s="33">
        <v>46027</v>
      </c>
      <c r="D682" s="32">
        <v>916659889</v>
      </c>
      <c r="E682" s="32">
        <v>516858755</v>
      </c>
      <c r="F682" s="32" t="s">
        <v>204</v>
      </c>
      <c r="G682" s="32" t="s">
        <v>46</v>
      </c>
      <c r="H682" s="32" t="s">
        <v>51</v>
      </c>
      <c r="I682" s="32">
        <v>80.567999999999998</v>
      </c>
      <c r="J682" s="32">
        <v>26.786000000000001</v>
      </c>
      <c r="K682" s="32" t="b">
        <v>1</v>
      </c>
      <c r="L682" s="32" t="s">
        <v>63</v>
      </c>
      <c r="M682" s="32" t="s">
        <v>48</v>
      </c>
      <c r="N682" s="34">
        <v>46155</v>
      </c>
      <c r="O682" s="35" t="str">
        <f t="shared" si="2"/>
        <v>Bùi Hoàng Tường</v>
      </c>
    </row>
    <row r="683" spans="1:15">
      <c r="A683" s="32" t="s">
        <v>224</v>
      </c>
      <c r="B683" s="32" t="s">
        <v>44</v>
      </c>
      <c r="C683" s="33">
        <v>46027</v>
      </c>
      <c r="D683" s="32">
        <v>919542919</v>
      </c>
      <c r="E683" s="32">
        <v>468383676</v>
      </c>
      <c r="F683" s="32" t="s">
        <v>62</v>
      </c>
      <c r="G683" s="32" t="s">
        <v>46</v>
      </c>
      <c r="H683" s="32" t="s">
        <v>18</v>
      </c>
      <c r="I683" s="32">
        <v>92.022999999999996</v>
      </c>
      <c r="J683" s="32">
        <v>49.906999999999996</v>
      </c>
      <c r="K683" s="32" t="b">
        <v>0</v>
      </c>
      <c r="L683" s="32" t="s">
        <v>63</v>
      </c>
      <c r="M683" s="32" t="s">
        <v>48</v>
      </c>
      <c r="N683" s="34">
        <v>46116</v>
      </c>
      <c r="O683" s="35" t="str">
        <f t="shared" si="2"/>
        <v>Võ Thế Minh</v>
      </c>
    </row>
    <row r="684" spans="1:15">
      <c r="A684" s="32" t="s">
        <v>192</v>
      </c>
      <c r="B684" s="32" t="s">
        <v>44</v>
      </c>
      <c r="C684" s="33">
        <v>46027</v>
      </c>
      <c r="D684" s="32">
        <v>846528979</v>
      </c>
      <c r="E684" s="32">
        <v>489405039</v>
      </c>
      <c r="F684" s="32" t="s">
        <v>193</v>
      </c>
      <c r="G684" s="32" t="s">
        <v>46</v>
      </c>
      <c r="H684" s="32" t="s">
        <v>58</v>
      </c>
      <c r="I684" s="32">
        <v>103.80500000000001</v>
      </c>
      <c r="J684" s="32">
        <v>48.948999999999998</v>
      </c>
      <c r="K684" s="32" t="b">
        <v>1</v>
      </c>
      <c r="L684" s="32" t="s">
        <v>63</v>
      </c>
      <c r="M684" s="32" t="s">
        <v>48</v>
      </c>
      <c r="N684" s="34">
        <v>46149</v>
      </c>
      <c r="O684" s="35" t="str">
        <f t="shared" si="2"/>
        <v>Đinh Bộ Lĩnh</v>
      </c>
    </row>
    <row r="685" spans="1:15">
      <c r="A685" s="32" t="s">
        <v>59</v>
      </c>
      <c r="B685" s="32" t="s">
        <v>44</v>
      </c>
      <c r="C685" s="33">
        <v>46027</v>
      </c>
      <c r="D685" s="32">
        <v>918278345</v>
      </c>
      <c r="E685" s="32">
        <v>511526722</v>
      </c>
      <c r="F685" s="32" t="s">
        <v>60</v>
      </c>
      <c r="G685" s="32" t="s">
        <v>46</v>
      </c>
      <c r="H685" s="32" t="s">
        <v>58</v>
      </c>
      <c r="I685" s="32">
        <v>106.71899999999999</v>
      </c>
      <c r="J685" s="32">
        <v>42.707999999999998</v>
      </c>
      <c r="K685" s="32" t="b">
        <v>1</v>
      </c>
      <c r="L685" s="32" t="s">
        <v>47</v>
      </c>
      <c r="M685" s="32" t="s">
        <v>48</v>
      </c>
      <c r="N685" s="34">
        <v>46024</v>
      </c>
      <c r="O685" s="35" t="str">
        <f t="shared" si="2"/>
        <v>Trịnh Minh Trí</v>
      </c>
    </row>
    <row r="686" spans="1:15">
      <c r="A686" s="32" t="s">
        <v>59</v>
      </c>
      <c r="B686" s="32" t="s">
        <v>44</v>
      </c>
      <c r="C686" s="33">
        <v>46027</v>
      </c>
      <c r="D686" s="32">
        <v>918278345</v>
      </c>
      <c r="E686" s="32">
        <v>511526722</v>
      </c>
      <c r="F686" s="32" t="s">
        <v>60</v>
      </c>
      <c r="G686" s="32" t="s">
        <v>46</v>
      </c>
      <c r="H686" s="32" t="s">
        <v>58</v>
      </c>
      <c r="I686" s="32">
        <v>117.56699999999999</v>
      </c>
      <c r="J686" s="32">
        <v>44.228000000000002</v>
      </c>
      <c r="K686" s="32" t="b">
        <v>1</v>
      </c>
      <c r="L686" s="32" t="s">
        <v>47</v>
      </c>
      <c r="M686" s="32" t="s">
        <v>48</v>
      </c>
      <c r="N686" s="32" t="s">
        <v>158</v>
      </c>
      <c r="O686" s="35" t="str">
        <f t="shared" si="2"/>
        <v>Trịnh Minh Trí</v>
      </c>
    </row>
    <row r="687" spans="1:15">
      <c r="A687" s="32" t="s">
        <v>59</v>
      </c>
      <c r="B687" s="32" t="s">
        <v>44</v>
      </c>
      <c r="C687" s="33">
        <v>46027</v>
      </c>
      <c r="D687" s="32">
        <v>918278345</v>
      </c>
      <c r="E687" s="32">
        <v>511526722</v>
      </c>
      <c r="F687" s="32" t="s">
        <v>60</v>
      </c>
      <c r="G687" s="32" t="s">
        <v>46</v>
      </c>
      <c r="H687" s="32" t="s">
        <v>58</v>
      </c>
      <c r="I687" s="32">
        <v>109.892</v>
      </c>
      <c r="J687" s="32">
        <v>40.302</v>
      </c>
      <c r="K687" s="32" t="b">
        <v>1</v>
      </c>
      <c r="L687" s="32" t="s">
        <v>47</v>
      </c>
      <c r="M687" s="32" t="s">
        <v>48</v>
      </c>
      <c r="N687" s="32" t="s">
        <v>214</v>
      </c>
      <c r="O687" s="35" t="str">
        <f t="shared" si="2"/>
        <v>Trịnh Minh Trí</v>
      </c>
    </row>
    <row r="688" spans="1:15">
      <c r="A688" s="32" t="s">
        <v>227</v>
      </c>
      <c r="B688" s="32" t="s">
        <v>44</v>
      </c>
      <c r="C688" s="33">
        <v>46027</v>
      </c>
      <c r="D688" s="32">
        <v>917052852</v>
      </c>
      <c r="E688" s="32">
        <v>324096031</v>
      </c>
      <c r="F688" s="32" t="s">
        <v>90</v>
      </c>
      <c r="G688" s="32" t="s">
        <v>46</v>
      </c>
      <c r="H688" s="32" t="s">
        <v>18</v>
      </c>
      <c r="I688" s="32">
        <v>399.54700000000003</v>
      </c>
      <c r="J688" s="32">
        <v>118.575</v>
      </c>
      <c r="K688" s="32" t="b">
        <v>0</v>
      </c>
      <c r="L688" s="32" t="s">
        <v>47</v>
      </c>
      <c r="M688" s="32" t="s">
        <v>63</v>
      </c>
      <c r="N688" s="32" t="s">
        <v>158</v>
      </c>
      <c r="O688" s="35" t="str">
        <f t="shared" si="2"/>
        <v>Trần Thái Hòa</v>
      </c>
    </row>
    <row r="689" spans="1:15">
      <c r="A689" s="32" t="s">
        <v>227</v>
      </c>
      <c r="B689" s="32" t="s">
        <v>44</v>
      </c>
      <c r="C689" s="33">
        <v>46027</v>
      </c>
      <c r="D689" s="32">
        <v>917052852</v>
      </c>
      <c r="E689" s="32">
        <v>324096031</v>
      </c>
      <c r="F689" s="32" t="s">
        <v>90</v>
      </c>
      <c r="G689" s="32" t="s">
        <v>46</v>
      </c>
      <c r="H689" s="32" t="s">
        <v>18</v>
      </c>
      <c r="I689" s="32">
        <v>445.29199999999997</v>
      </c>
      <c r="J689" s="32">
        <v>118.995</v>
      </c>
      <c r="K689" s="32" t="b">
        <v>0</v>
      </c>
      <c r="L689" s="32" t="s">
        <v>47</v>
      </c>
      <c r="M689" s="32" t="s">
        <v>63</v>
      </c>
      <c r="N689" s="34">
        <v>46270</v>
      </c>
      <c r="O689" s="35" t="str">
        <f t="shared" si="2"/>
        <v>Trần Thái Hòa</v>
      </c>
    </row>
    <row r="690" spans="1:15">
      <c r="A690" s="32" t="s">
        <v>227</v>
      </c>
      <c r="B690" s="32" t="s">
        <v>44</v>
      </c>
      <c r="C690" s="33">
        <v>46027</v>
      </c>
      <c r="D690" s="32">
        <v>917052852</v>
      </c>
      <c r="E690" s="32">
        <v>324096031</v>
      </c>
      <c r="F690" s="32" t="s">
        <v>90</v>
      </c>
      <c r="G690" s="32" t="s">
        <v>46</v>
      </c>
      <c r="H690" s="32" t="s">
        <v>18</v>
      </c>
      <c r="I690" s="32">
        <v>413.822</v>
      </c>
      <c r="J690" s="32">
        <v>110.871</v>
      </c>
      <c r="K690" s="32" t="b">
        <v>0</v>
      </c>
      <c r="L690" s="32" t="s">
        <v>47</v>
      </c>
      <c r="M690" s="32" t="s">
        <v>63</v>
      </c>
      <c r="N690" s="34">
        <v>46207</v>
      </c>
      <c r="O690" s="35" t="str">
        <f t="shared" si="2"/>
        <v>Trần Thái Hòa</v>
      </c>
    </row>
    <row r="691" spans="1:15">
      <c r="A691" s="32" t="s">
        <v>227</v>
      </c>
      <c r="B691" s="32" t="s">
        <v>44</v>
      </c>
      <c r="C691" s="33">
        <v>46027</v>
      </c>
      <c r="D691" s="32">
        <v>917052852</v>
      </c>
      <c r="E691" s="32">
        <v>324096031</v>
      </c>
      <c r="F691" s="32" t="s">
        <v>90</v>
      </c>
      <c r="G691" s="32" t="s">
        <v>46</v>
      </c>
      <c r="H691" s="32" t="s">
        <v>18</v>
      </c>
      <c r="I691" s="32">
        <v>492.10199999999998</v>
      </c>
      <c r="J691" s="32">
        <v>127.736</v>
      </c>
      <c r="K691" s="32" t="b">
        <v>0</v>
      </c>
      <c r="L691" s="32" t="s">
        <v>47</v>
      </c>
      <c r="M691" s="32" t="s">
        <v>63</v>
      </c>
      <c r="N691" s="34">
        <v>46217</v>
      </c>
      <c r="O691" s="35" t="str">
        <f t="shared" si="2"/>
        <v>Trần Thái Hòa</v>
      </c>
    </row>
    <row r="692" spans="1:15">
      <c r="A692" s="32" t="s">
        <v>227</v>
      </c>
      <c r="B692" s="32" t="s">
        <v>44</v>
      </c>
      <c r="C692" s="33">
        <v>46027</v>
      </c>
      <c r="D692" s="32">
        <v>917052852</v>
      </c>
      <c r="E692" s="32">
        <v>324096031</v>
      </c>
      <c r="F692" s="32" t="s">
        <v>90</v>
      </c>
      <c r="G692" s="32" t="s">
        <v>46</v>
      </c>
      <c r="H692" s="32" t="s">
        <v>18</v>
      </c>
      <c r="I692" s="32">
        <v>514.07500000000005</v>
      </c>
      <c r="J692" s="32">
        <v>38.101999999999997</v>
      </c>
      <c r="K692" s="32" t="b">
        <v>0</v>
      </c>
      <c r="L692" s="32" t="s">
        <v>47</v>
      </c>
      <c r="M692" s="32" t="s">
        <v>63</v>
      </c>
      <c r="N692" s="34">
        <v>46118</v>
      </c>
      <c r="O692" s="35" t="str">
        <f t="shared" si="2"/>
        <v>Trần Thái Hòa</v>
      </c>
    </row>
    <row r="693" spans="1:15">
      <c r="A693" s="32" t="s">
        <v>227</v>
      </c>
      <c r="B693" s="32" t="s">
        <v>44</v>
      </c>
      <c r="C693" s="33">
        <v>46027</v>
      </c>
      <c r="D693" s="32">
        <v>917052852</v>
      </c>
      <c r="E693" s="32">
        <v>324096031</v>
      </c>
      <c r="F693" s="32" t="s">
        <v>90</v>
      </c>
      <c r="G693" s="32" t="s">
        <v>46</v>
      </c>
      <c r="H693" s="32" t="s">
        <v>18</v>
      </c>
      <c r="I693" s="32">
        <v>498.928</v>
      </c>
      <c r="J693" s="32">
        <v>109.541</v>
      </c>
      <c r="K693" s="32" t="b">
        <v>0</v>
      </c>
      <c r="L693" s="32" t="s">
        <v>47</v>
      </c>
      <c r="M693" s="32" t="s">
        <v>63</v>
      </c>
      <c r="N693" s="34">
        <v>46146</v>
      </c>
      <c r="O693" s="35" t="str">
        <f t="shared" si="2"/>
        <v>Trần Thái Hòa</v>
      </c>
    </row>
    <row r="694" spans="1:15">
      <c r="A694" s="32" t="s">
        <v>227</v>
      </c>
      <c r="B694" s="32" t="s">
        <v>44</v>
      </c>
      <c r="C694" s="33">
        <v>46027</v>
      </c>
      <c r="D694" s="32">
        <v>917052852</v>
      </c>
      <c r="E694" s="32">
        <v>324096031</v>
      </c>
      <c r="F694" s="32" t="s">
        <v>90</v>
      </c>
      <c r="G694" s="32" t="s">
        <v>46</v>
      </c>
      <c r="H694" s="32" t="s">
        <v>18</v>
      </c>
      <c r="I694" s="32">
        <v>450.637</v>
      </c>
      <c r="J694" s="32">
        <v>113.09699999999999</v>
      </c>
      <c r="K694" s="32" t="b">
        <v>0</v>
      </c>
      <c r="L694" s="32" t="s">
        <v>47</v>
      </c>
      <c r="M694" s="32" t="s">
        <v>63</v>
      </c>
      <c r="N694" s="34">
        <v>46155</v>
      </c>
      <c r="O694" s="35" t="str">
        <f t="shared" si="2"/>
        <v>Trần Thái Hòa</v>
      </c>
    </row>
    <row r="695" spans="1:15">
      <c r="A695" s="32" t="s">
        <v>227</v>
      </c>
      <c r="B695" s="32" t="s">
        <v>44</v>
      </c>
      <c r="C695" s="33">
        <v>46027</v>
      </c>
      <c r="D695" s="32">
        <v>917052852</v>
      </c>
      <c r="E695" s="32">
        <v>324096031</v>
      </c>
      <c r="F695" s="32" t="s">
        <v>90</v>
      </c>
      <c r="G695" s="32" t="s">
        <v>46</v>
      </c>
      <c r="H695" s="32" t="s">
        <v>18</v>
      </c>
      <c r="I695" s="32">
        <v>320.57499999999999</v>
      </c>
      <c r="J695" s="32">
        <v>37.216999999999999</v>
      </c>
      <c r="K695" s="32" t="b">
        <v>1</v>
      </c>
      <c r="L695" s="32" t="s">
        <v>47</v>
      </c>
      <c r="M695" s="32" t="s">
        <v>63</v>
      </c>
      <c r="N695" s="34">
        <v>46117</v>
      </c>
      <c r="O695" s="35" t="str">
        <f t="shared" si="2"/>
        <v>Trần Thái Hòa</v>
      </c>
    </row>
    <row r="696" spans="1:15">
      <c r="A696" s="32" t="s">
        <v>227</v>
      </c>
      <c r="B696" s="32" t="s">
        <v>44</v>
      </c>
      <c r="C696" s="33">
        <v>46027</v>
      </c>
      <c r="D696" s="32">
        <v>917052852</v>
      </c>
      <c r="E696" s="32">
        <v>324096031</v>
      </c>
      <c r="F696" s="32" t="s">
        <v>90</v>
      </c>
      <c r="G696" s="32" t="s">
        <v>46</v>
      </c>
      <c r="H696" s="32" t="s">
        <v>18</v>
      </c>
      <c r="I696" s="32">
        <v>338.12799999999999</v>
      </c>
      <c r="J696" s="32">
        <v>104.943</v>
      </c>
      <c r="K696" s="32" t="b">
        <v>1</v>
      </c>
      <c r="L696" s="32" t="s">
        <v>47</v>
      </c>
      <c r="M696" s="32" t="s">
        <v>63</v>
      </c>
      <c r="N696" s="34">
        <v>46115</v>
      </c>
      <c r="O696" s="35" t="str">
        <f t="shared" si="2"/>
        <v>Trần Thái Hòa</v>
      </c>
    </row>
    <row r="697" spans="1:15">
      <c r="A697" s="32" t="s">
        <v>192</v>
      </c>
      <c r="B697" s="32" t="s">
        <v>44</v>
      </c>
      <c r="C697" s="33">
        <v>46027</v>
      </c>
      <c r="D697" s="32">
        <v>846528979</v>
      </c>
      <c r="E697" s="32">
        <v>489405039</v>
      </c>
      <c r="F697" s="32" t="s">
        <v>193</v>
      </c>
      <c r="G697" s="32" t="s">
        <v>46</v>
      </c>
      <c r="H697" s="32" t="s">
        <v>51</v>
      </c>
      <c r="I697" s="32">
        <v>87.322000000000003</v>
      </c>
      <c r="J697" s="32">
        <v>44.279000000000003</v>
      </c>
      <c r="K697" s="32" t="b">
        <v>0</v>
      </c>
      <c r="L697" s="32" t="s">
        <v>63</v>
      </c>
      <c r="M697" s="32" t="s">
        <v>48</v>
      </c>
      <c r="N697" s="34">
        <v>46114</v>
      </c>
      <c r="O697" s="35" t="str">
        <f t="shared" si="2"/>
        <v>Đinh Bộ Lĩnh</v>
      </c>
    </row>
    <row r="698" spans="1:15">
      <c r="A698" s="32" t="s">
        <v>227</v>
      </c>
      <c r="B698" s="32" t="s">
        <v>44</v>
      </c>
      <c r="C698" s="33">
        <v>46027</v>
      </c>
      <c r="D698" s="32">
        <v>917052852</v>
      </c>
      <c r="E698" s="32">
        <v>324096031</v>
      </c>
      <c r="F698" s="32" t="s">
        <v>90</v>
      </c>
      <c r="G698" s="32" t="s">
        <v>46</v>
      </c>
      <c r="H698" s="32" t="s">
        <v>18</v>
      </c>
      <c r="I698" s="32">
        <v>416.952</v>
      </c>
      <c r="J698" s="32">
        <v>62.287999999999997</v>
      </c>
      <c r="K698" s="32" t="b">
        <v>1</v>
      </c>
      <c r="L698" s="32" t="s">
        <v>47</v>
      </c>
      <c r="M698" s="32" t="s">
        <v>63</v>
      </c>
      <c r="N698" s="34">
        <v>46177</v>
      </c>
      <c r="O698" s="35" t="str">
        <f t="shared" si="2"/>
        <v>Trần Thái Hòa</v>
      </c>
    </row>
    <row r="699" spans="1:15">
      <c r="A699" s="32" t="s">
        <v>192</v>
      </c>
      <c r="B699" s="32" t="s">
        <v>44</v>
      </c>
      <c r="C699" s="33">
        <v>46027</v>
      </c>
      <c r="D699" s="32">
        <v>846528979</v>
      </c>
      <c r="E699" s="32">
        <v>489405039</v>
      </c>
      <c r="F699" s="32" t="s">
        <v>193</v>
      </c>
      <c r="G699" s="32" t="s">
        <v>46</v>
      </c>
      <c r="H699" s="32" t="s">
        <v>51</v>
      </c>
      <c r="I699" s="32">
        <v>59.874000000000002</v>
      </c>
      <c r="J699" s="32">
        <v>50.137</v>
      </c>
      <c r="K699" s="32" t="b">
        <v>0</v>
      </c>
      <c r="L699" s="32" t="s">
        <v>63</v>
      </c>
      <c r="M699" s="32" t="s">
        <v>48</v>
      </c>
      <c r="N699" s="34">
        <v>46145</v>
      </c>
      <c r="O699" s="35" t="str">
        <f t="shared" si="2"/>
        <v>Đinh Bộ Lĩnh</v>
      </c>
    </row>
    <row r="700" spans="1:15">
      <c r="A700" s="32" t="s">
        <v>228</v>
      </c>
      <c r="B700" s="32" t="s">
        <v>44</v>
      </c>
      <c r="C700" s="33">
        <v>46027</v>
      </c>
      <c r="D700" s="32">
        <v>918701313</v>
      </c>
      <c r="E700" s="32">
        <v>405001166</v>
      </c>
      <c r="F700" s="32" t="s">
        <v>107</v>
      </c>
      <c r="G700" s="32" t="s">
        <v>46</v>
      </c>
      <c r="H700" s="32" t="s">
        <v>51</v>
      </c>
      <c r="I700" s="32">
        <v>110.35</v>
      </c>
      <c r="J700" s="32">
        <v>34.021000000000001</v>
      </c>
      <c r="K700" s="32" t="b">
        <v>1</v>
      </c>
      <c r="L700" s="32" t="s">
        <v>47</v>
      </c>
      <c r="M700" s="32" t="s">
        <v>48</v>
      </c>
      <c r="N700" s="34">
        <v>46028</v>
      </c>
      <c r="O700" s="35" t="str">
        <f t="shared" si="2"/>
        <v>Lê Công Thoại</v>
      </c>
    </row>
    <row r="701" spans="1:15">
      <c r="A701" s="32" t="s">
        <v>203</v>
      </c>
      <c r="B701" s="32" t="s">
        <v>44</v>
      </c>
      <c r="C701" s="33">
        <v>46027</v>
      </c>
      <c r="D701" s="32">
        <v>916659889</v>
      </c>
      <c r="E701" s="32">
        <v>516858755</v>
      </c>
      <c r="F701" s="32" t="s">
        <v>204</v>
      </c>
      <c r="G701" s="32" t="s">
        <v>46</v>
      </c>
      <c r="H701" s="32" t="s">
        <v>51</v>
      </c>
      <c r="I701" s="32">
        <v>72.009</v>
      </c>
      <c r="J701" s="32">
        <v>26.619</v>
      </c>
      <c r="K701" s="32" t="b">
        <v>1</v>
      </c>
      <c r="L701" s="32" t="s">
        <v>63</v>
      </c>
      <c r="M701" s="32" t="s">
        <v>48</v>
      </c>
      <c r="N701" s="34">
        <v>46179</v>
      </c>
      <c r="O701" s="35" t="str">
        <f t="shared" si="2"/>
        <v>Bùi Hoàng Tường</v>
      </c>
    </row>
    <row r="702" spans="1:15">
      <c r="A702" s="32" t="s">
        <v>61</v>
      </c>
      <c r="B702" s="32" t="s">
        <v>44</v>
      </c>
      <c r="C702" s="33">
        <v>46027</v>
      </c>
      <c r="D702" s="32">
        <v>949786476</v>
      </c>
      <c r="E702" s="32">
        <v>514815800</v>
      </c>
      <c r="F702" s="32" t="s">
        <v>62</v>
      </c>
      <c r="G702" s="32" t="s">
        <v>46</v>
      </c>
      <c r="H702" s="32" t="s">
        <v>58</v>
      </c>
      <c r="I702" s="32">
        <v>17.920999999999999</v>
      </c>
      <c r="J702" s="32">
        <v>15.105</v>
      </c>
      <c r="K702" s="32" t="b">
        <v>1</v>
      </c>
      <c r="L702" s="32" t="s">
        <v>63</v>
      </c>
      <c r="M702" s="32" t="s">
        <v>48</v>
      </c>
      <c r="N702" s="34">
        <v>46125</v>
      </c>
      <c r="O702" s="35" t="str">
        <f t="shared" si="2"/>
        <v>Đặng Ngọc Sơn</v>
      </c>
    </row>
    <row r="703" spans="1:15">
      <c r="A703" s="32" t="s">
        <v>138</v>
      </c>
      <c r="B703" s="32" t="s">
        <v>44</v>
      </c>
      <c r="C703" s="33">
        <v>46027</v>
      </c>
      <c r="D703" s="32">
        <v>914403881</v>
      </c>
      <c r="E703" s="32">
        <v>407766951</v>
      </c>
      <c r="F703" s="32" t="s">
        <v>139</v>
      </c>
      <c r="G703" s="32" t="s">
        <v>46</v>
      </c>
      <c r="H703" s="32" t="s">
        <v>58</v>
      </c>
      <c r="I703" s="32">
        <v>44.387999999999998</v>
      </c>
      <c r="J703" s="32">
        <v>49.216999999999999</v>
      </c>
      <c r="K703" s="32" t="b">
        <v>1</v>
      </c>
      <c r="L703" s="32" t="s">
        <v>63</v>
      </c>
      <c r="M703" s="32" t="s">
        <v>48</v>
      </c>
      <c r="N703" s="34">
        <v>46083</v>
      </c>
      <c r="O703" s="35" t="str">
        <f t="shared" si="2"/>
        <v>Trần Xuân Toại</v>
      </c>
    </row>
    <row r="704" spans="1:15">
      <c r="A704" s="32" t="s">
        <v>138</v>
      </c>
      <c r="B704" s="32" t="s">
        <v>44</v>
      </c>
      <c r="C704" s="33">
        <v>46027</v>
      </c>
      <c r="D704" s="32">
        <v>914403881</v>
      </c>
      <c r="E704" s="32">
        <v>407766951</v>
      </c>
      <c r="F704" s="32" t="s">
        <v>139</v>
      </c>
      <c r="G704" s="32" t="s">
        <v>46</v>
      </c>
      <c r="H704" s="32" t="s">
        <v>58</v>
      </c>
      <c r="I704" s="32">
        <v>44.387999999999998</v>
      </c>
      <c r="J704" s="32">
        <v>49.216999999999999</v>
      </c>
      <c r="K704" s="32" t="b">
        <v>1</v>
      </c>
      <c r="L704" s="32" t="s">
        <v>63</v>
      </c>
      <c r="M704" s="32" t="s">
        <v>48</v>
      </c>
      <c r="N704" s="34">
        <v>46083</v>
      </c>
      <c r="O704" s="35" t="str">
        <f t="shared" si="2"/>
        <v>Trần Xuân Toại</v>
      </c>
    </row>
    <row r="705" spans="1:15">
      <c r="A705" s="32" t="s">
        <v>203</v>
      </c>
      <c r="B705" s="32" t="s">
        <v>44</v>
      </c>
      <c r="C705" s="33">
        <v>46027</v>
      </c>
      <c r="D705" s="32">
        <v>916659889</v>
      </c>
      <c r="E705" s="32">
        <v>516858755</v>
      </c>
      <c r="F705" s="32" t="s">
        <v>204</v>
      </c>
      <c r="G705" s="32" t="s">
        <v>46</v>
      </c>
      <c r="H705" s="32" t="s">
        <v>58</v>
      </c>
      <c r="I705" s="32">
        <v>78.576999999999998</v>
      </c>
      <c r="J705" s="32">
        <v>41.531999999999996</v>
      </c>
      <c r="K705" s="32" t="b">
        <v>1</v>
      </c>
      <c r="L705" s="32" t="s">
        <v>63</v>
      </c>
      <c r="M705" s="32" t="s">
        <v>48</v>
      </c>
      <c r="N705" s="32" t="s">
        <v>150</v>
      </c>
      <c r="O705" s="35" t="str">
        <f t="shared" si="2"/>
        <v>Bùi Hoàng Tường</v>
      </c>
    </row>
    <row r="706" spans="1:15">
      <c r="A706" s="32" t="s">
        <v>197</v>
      </c>
      <c r="B706" s="32" t="s">
        <v>44</v>
      </c>
      <c r="C706" s="33">
        <v>46027</v>
      </c>
      <c r="D706" s="32">
        <v>911685484</v>
      </c>
      <c r="E706" s="32">
        <v>514513531</v>
      </c>
      <c r="F706" s="32" t="s">
        <v>112</v>
      </c>
      <c r="G706" s="32" t="s">
        <v>46</v>
      </c>
      <c r="H706" s="32" t="s">
        <v>58</v>
      </c>
      <c r="I706" s="32">
        <v>129.39099999999999</v>
      </c>
      <c r="J706" s="32">
        <v>40.015000000000001</v>
      </c>
      <c r="K706" s="32" t="b">
        <v>1</v>
      </c>
      <c r="L706" s="32" t="s">
        <v>79</v>
      </c>
      <c r="M706" s="32" t="s">
        <v>48</v>
      </c>
      <c r="N706" s="32" t="s">
        <v>105</v>
      </c>
      <c r="O706" s="35" t="str">
        <f t="shared" si="2"/>
        <v>Thiệu Thái An</v>
      </c>
    </row>
    <row r="707" spans="1:15">
      <c r="A707" s="32" t="s">
        <v>197</v>
      </c>
      <c r="B707" s="32" t="s">
        <v>44</v>
      </c>
      <c r="C707" s="33">
        <v>46027</v>
      </c>
      <c r="D707" s="32">
        <v>911685484</v>
      </c>
      <c r="E707" s="32">
        <v>514513531</v>
      </c>
      <c r="F707" s="32" t="s">
        <v>112</v>
      </c>
      <c r="G707" s="32" t="s">
        <v>46</v>
      </c>
      <c r="H707" s="32" t="s">
        <v>58</v>
      </c>
      <c r="I707" s="32">
        <v>100.42100000000001</v>
      </c>
      <c r="J707" s="32">
        <v>39.798999999999999</v>
      </c>
      <c r="K707" s="32" t="b">
        <v>1</v>
      </c>
      <c r="L707" s="32" t="s">
        <v>79</v>
      </c>
      <c r="M707" s="32" t="s">
        <v>48</v>
      </c>
      <c r="N707" s="34">
        <v>46176</v>
      </c>
      <c r="O707" s="35" t="str">
        <f t="shared" si="2"/>
        <v>Thiệu Thái An</v>
      </c>
    </row>
    <row r="708" spans="1:15">
      <c r="A708" s="32" t="s">
        <v>197</v>
      </c>
      <c r="B708" s="32" t="s">
        <v>44</v>
      </c>
      <c r="C708" s="33">
        <v>46027</v>
      </c>
      <c r="D708" s="32">
        <v>911685484</v>
      </c>
      <c r="E708" s="32">
        <v>514513531</v>
      </c>
      <c r="F708" s="32" t="s">
        <v>112</v>
      </c>
      <c r="G708" s="32" t="s">
        <v>46</v>
      </c>
      <c r="H708" s="32" t="s">
        <v>58</v>
      </c>
      <c r="I708" s="32">
        <v>134.13499999999999</v>
      </c>
      <c r="J708" s="32">
        <v>41.923999999999999</v>
      </c>
      <c r="K708" s="32" t="b">
        <v>1</v>
      </c>
      <c r="L708" s="32" t="s">
        <v>79</v>
      </c>
      <c r="M708" s="32" t="s">
        <v>48</v>
      </c>
      <c r="N708" s="34">
        <v>46114</v>
      </c>
      <c r="O708" s="35" t="str">
        <f t="shared" si="2"/>
        <v>Thiệu Thái An</v>
      </c>
    </row>
    <row r="709" spans="1:15">
      <c r="A709" s="32" t="s">
        <v>197</v>
      </c>
      <c r="B709" s="32" t="s">
        <v>44</v>
      </c>
      <c r="C709" s="33">
        <v>46027</v>
      </c>
      <c r="D709" s="32">
        <v>911685484</v>
      </c>
      <c r="E709" s="32">
        <v>514513531</v>
      </c>
      <c r="F709" s="32" t="s">
        <v>112</v>
      </c>
      <c r="G709" s="32" t="s">
        <v>46</v>
      </c>
      <c r="H709" s="32" t="s">
        <v>58</v>
      </c>
      <c r="I709" s="32">
        <v>115.70699999999999</v>
      </c>
      <c r="J709" s="32">
        <v>40.659999999999997</v>
      </c>
      <c r="K709" s="32" t="b">
        <v>1</v>
      </c>
      <c r="L709" s="32" t="s">
        <v>79</v>
      </c>
      <c r="M709" s="32" t="s">
        <v>48</v>
      </c>
      <c r="N709" s="34">
        <v>46266</v>
      </c>
      <c r="O709" s="35" t="str">
        <f t="shared" si="2"/>
        <v>Thiệu Thái An</v>
      </c>
    </row>
    <row r="710" spans="1:15">
      <c r="A710" s="32" t="s">
        <v>197</v>
      </c>
      <c r="B710" s="32" t="s">
        <v>44</v>
      </c>
      <c r="C710" s="33">
        <v>46027</v>
      </c>
      <c r="D710" s="32">
        <v>911685484</v>
      </c>
      <c r="E710" s="32">
        <v>514513531</v>
      </c>
      <c r="F710" s="32" t="s">
        <v>112</v>
      </c>
      <c r="G710" s="32" t="s">
        <v>46</v>
      </c>
      <c r="H710" s="32" t="s">
        <v>58</v>
      </c>
      <c r="I710" s="32">
        <v>117.699</v>
      </c>
      <c r="J710" s="32">
        <v>40.616</v>
      </c>
      <c r="K710" s="32" t="b">
        <v>1</v>
      </c>
      <c r="L710" s="32" t="s">
        <v>79</v>
      </c>
      <c r="M710" s="32" t="s">
        <v>48</v>
      </c>
      <c r="N710" s="34">
        <v>46146</v>
      </c>
      <c r="O710" s="35" t="str">
        <f t="shared" si="2"/>
        <v>Thiệu Thái An</v>
      </c>
    </row>
    <row r="711" spans="1:15">
      <c r="A711" s="32" t="s">
        <v>203</v>
      </c>
      <c r="B711" s="32" t="s">
        <v>44</v>
      </c>
      <c r="C711" s="33">
        <v>46027</v>
      </c>
      <c r="D711" s="32">
        <v>916659889</v>
      </c>
      <c r="E711" s="32">
        <v>516858755</v>
      </c>
      <c r="F711" s="32" t="s">
        <v>204</v>
      </c>
      <c r="G711" s="32" t="s">
        <v>46</v>
      </c>
      <c r="H711" s="32" t="s">
        <v>58</v>
      </c>
      <c r="I711" s="32">
        <v>82.852000000000004</v>
      </c>
      <c r="J711" s="32">
        <v>36.9</v>
      </c>
      <c r="K711" s="32" t="b">
        <v>1</v>
      </c>
      <c r="L711" s="32" t="s">
        <v>63</v>
      </c>
      <c r="M711" s="32" t="s">
        <v>48</v>
      </c>
      <c r="N711" s="32" t="s">
        <v>158</v>
      </c>
      <c r="O711" s="35" t="str">
        <f t="shared" si="2"/>
        <v>Bùi Hoàng Tường</v>
      </c>
    </row>
    <row r="712" spans="1:15">
      <c r="A712" s="32" t="s">
        <v>192</v>
      </c>
      <c r="B712" s="32" t="s">
        <v>44</v>
      </c>
      <c r="C712" s="33">
        <v>46027</v>
      </c>
      <c r="D712" s="32">
        <v>846528979</v>
      </c>
      <c r="E712" s="32">
        <v>489405039</v>
      </c>
      <c r="F712" s="32" t="s">
        <v>193</v>
      </c>
      <c r="G712" s="32" t="s">
        <v>46</v>
      </c>
      <c r="H712" s="32" t="s">
        <v>51</v>
      </c>
      <c r="I712" s="32">
        <v>90.93</v>
      </c>
      <c r="J712" s="32">
        <v>56.454000000000001</v>
      </c>
      <c r="K712" s="32" t="b">
        <v>0</v>
      </c>
      <c r="L712" s="32" t="s">
        <v>63</v>
      </c>
      <c r="M712" s="32" t="s">
        <v>48</v>
      </c>
      <c r="N712" s="34">
        <v>46060</v>
      </c>
      <c r="O712" s="35" t="str">
        <f t="shared" si="2"/>
        <v>Đinh Bộ Lĩnh</v>
      </c>
    </row>
    <row r="713" spans="1:15">
      <c r="A713" s="32" t="s">
        <v>203</v>
      </c>
      <c r="B713" s="32" t="s">
        <v>44</v>
      </c>
      <c r="C713" s="33">
        <v>46027</v>
      </c>
      <c r="D713" s="32">
        <v>916659889</v>
      </c>
      <c r="E713" s="32">
        <v>516858755</v>
      </c>
      <c r="F713" s="32" t="s">
        <v>204</v>
      </c>
      <c r="G713" s="32" t="s">
        <v>46</v>
      </c>
      <c r="H713" s="32" t="s">
        <v>51</v>
      </c>
      <c r="I713" s="32">
        <v>44.881</v>
      </c>
      <c r="J713" s="32">
        <v>28.978999999999999</v>
      </c>
      <c r="K713" s="32" t="b">
        <v>1</v>
      </c>
      <c r="L713" s="32" t="s">
        <v>63</v>
      </c>
      <c r="M713" s="32" t="s">
        <v>48</v>
      </c>
      <c r="N713" s="34">
        <v>46290</v>
      </c>
      <c r="O713" s="35" t="str">
        <f t="shared" si="2"/>
        <v>Bùi Hoàng Tường</v>
      </c>
    </row>
    <row r="714" spans="1:15">
      <c r="A714" s="32" t="s">
        <v>203</v>
      </c>
      <c r="B714" s="32" t="s">
        <v>44</v>
      </c>
      <c r="C714" s="33">
        <v>46027</v>
      </c>
      <c r="D714" s="32">
        <v>916659889</v>
      </c>
      <c r="E714" s="32">
        <v>516858755</v>
      </c>
      <c r="F714" s="32" t="s">
        <v>204</v>
      </c>
      <c r="G714" s="32" t="s">
        <v>46</v>
      </c>
      <c r="H714" s="32" t="s">
        <v>51</v>
      </c>
      <c r="I714" s="32">
        <v>16.454999999999998</v>
      </c>
      <c r="J714" s="32">
        <v>23.506</v>
      </c>
      <c r="K714" s="32" t="b">
        <v>1</v>
      </c>
      <c r="L714" s="32" t="s">
        <v>63</v>
      </c>
      <c r="M714" s="32" t="s">
        <v>48</v>
      </c>
      <c r="N714" s="34">
        <v>46056</v>
      </c>
      <c r="O714" s="35" t="str">
        <f t="shared" si="2"/>
        <v>Bùi Hoàng Tường</v>
      </c>
    </row>
    <row r="715" spans="1:15">
      <c r="A715" s="32" t="s">
        <v>192</v>
      </c>
      <c r="B715" s="32" t="s">
        <v>44</v>
      </c>
      <c r="C715" s="33">
        <v>46027</v>
      </c>
      <c r="D715" s="32">
        <v>846528979</v>
      </c>
      <c r="E715" s="32">
        <v>489405039</v>
      </c>
      <c r="F715" s="32" t="s">
        <v>193</v>
      </c>
      <c r="G715" s="32" t="s">
        <v>46</v>
      </c>
      <c r="H715" s="32" t="s">
        <v>58</v>
      </c>
      <c r="I715" s="32">
        <v>92.671999999999997</v>
      </c>
      <c r="J715" s="32">
        <v>25.756</v>
      </c>
      <c r="K715" s="32" t="b">
        <v>0</v>
      </c>
      <c r="L715" s="32" t="s">
        <v>63</v>
      </c>
      <c r="M715" s="32" t="s">
        <v>48</v>
      </c>
      <c r="N715" s="32" t="s">
        <v>201</v>
      </c>
      <c r="O715" s="35" t="str">
        <f t="shared" si="2"/>
        <v>Đinh Bộ Lĩnh</v>
      </c>
    </row>
    <row r="716" spans="1:15">
      <c r="A716" s="32" t="s">
        <v>192</v>
      </c>
      <c r="B716" s="32" t="s">
        <v>44</v>
      </c>
      <c r="C716" s="33">
        <v>46027</v>
      </c>
      <c r="D716" s="32">
        <v>846528979</v>
      </c>
      <c r="E716" s="32">
        <v>489405039</v>
      </c>
      <c r="F716" s="32" t="s">
        <v>193</v>
      </c>
      <c r="G716" s="32" t="s">
        <v>46</v>
      </c>
      <c r="H716" s="32" t="s">
        <v>58</v>
      </c>
      <c r="I716" s="32">
        <v>119.032</v>
      </c>
      <c r="J716" s="32">
        <v>27.657</v>
      </c>
      <c r="K716" s="32" t="b">
        <v>1</v>
      </c>
      <c r="L716" s="32" t="s">
        <v>63</v>
      </c>
      <c r="M716" s="32" t="s">
        <v>48</v>
      </c>
      <c r="N716" s="34">
        <v>46146</v>
      </c>
      <c r="O716" s="35" t="str">
        <f t="shared" si="2"/>
        <v>Đinh Bộ Lĩnh</v>
      </c>
    </row>
    <row r="717" spans="1:15">
      <c r="A717" s="32" t="s">
        <v>61</v>
      </c>
      <c r="B717" s="32" t="s">
        <v>44</v>
      </c>
      <c r="C717" s="33">
        <v>46027</v>
      </c>
      <c r="D717" s="32">
        <v>949786476</v>
      </c>
      <c r="E717" s="32">
        <v>514815800</v>
      </c>
      <c r="F717" s="32" t="s">
        <v>62</v>
      </c>
      <c r="G717" s="32" t="s">
        <v>46</v>
      </c>
      <c r="H717" s="32" t="s">
        <v>58</v>
      </c>
      <c r="I717" s="32">
        <v>133.86500000000001</v>
      </c>
      <c r="J717" s="32">
        <v>42.381999999999998</v>
      </c>
      <c r="K717" s="32" t="b">
        <v>1</v>
      </c>
      <c r="L717" s="32" t="s">
        <v>63</v>
      </c>
      <c r="M717" s="32" t="s">
        <v>48</v>
      </c>
      <c r="N717" s="34">
        <v>46149</v>
      </c>
      <c r="O717" s="35" t="str">
        <f t="shared" si="2"/>
        <v>Đặng Ngọc Sơn</v>
      </c>
    </row>
    <row r="718" spans="1:15">
      <c r="A718" s="32" t="s">
        <v>203</v>
      </c>
      <c r="B718" s="32" t="s">
        <v>44</v>
      </c>
      <c r="C718" s="33">
        <v>46027</v>
      </c>
      <c r="D718" s="32">
        <v>916659889</v>
      </c>
      <c r="E718" s="32">
        <v>516858755</v>
      </c>
      <c r="F718" s="32" t="s">
        <v>204</v>
      </c>
      <c r="G718" s="32" t="s">
        <v>46</v>
      </c>
      <c r="H718" s="32" t="s">
        <v>51</v>
      </c>
      <c r="I718" s="32">
        <v>115.443</v>
      </c>
      <c r="J718" s="32">
        <v>35.537999999999997</v>
      </c>
      <c r="K718" s="32" t="b">
        <v>1</v>
      </c>
      <c r="L718" s="32" t="s">
        <v>63</v>
      </c>
      <c r="M718" s="32" t="s">
        <v>48</v>
      </c>
      <c r="N718" s="34">
        <v>46266</v>
      </c>
      <c r="O718" s="35" t="str">
        <f t="shared" si="2"/>
        <v>Bùi Hoàng Tường</v>
      </c>
    </row>
    <row r="719" spans="1:15">
      <c r="A719" s="32" t="s">
        <v>229</v>
      </c>
      <c r="B719" s="32" t="s">
        <v>44</v>
      </c>
      <c r="C719" s="33">
        <v>46027</v>
      </c>
      <c r="D719" s="32">
        <v>917088072</v>
      </c>
      <c r="E719" s="32">
        <v>300060439</v>
      </c>
      <c r="F719" s="32" t="s">
        <v>230</v>
      </c>
      <c r="G719" s="32" t="s">
        <v>46</v>
      </c>
      <c r="H719" s="32" t="s">
        <v>87</v>
      </c>
      <c r="I719" s="32">
        <v>168.33799999999999</v>
      </c>
      <c r="J719" s="32">
        <v>101.182</v>
      </c>
      <c r="K719" s="32" t="b">
        <v>1</v>
      </c>
      <c r="L719" s="32" t="s">
        <v>63</v>
      </c>
      <c r="M719" s="32" t="s">
        <v>63</v>
      </c>
      <c r="N719" s="34">
        <v>46083</v>
      </c>
      <c r="O719" s="35" t="str">
        <f t="shared" si="2"/>
        <v>Lê Kỷ Dậu</v>
      </c>
    </row>
    <row r="720" spans="1:15">
      <c r="A720" s="32" t="s">
        <v>229</v>
      </c>
      <c r="B720" s="32" t="s">
        <v>44</v>
      </c>
      <c r="C720" s="33">
        <v>46027</v>
      </c>
      <c r="D720" s="32">
        <v>917088072</v>
      </c>
      <c r="E720" s="32">
        <v>300060439</v>
      </c>
      <c r="F720" s="32" t="s">
        <v>230</v>
      </c>
      <c r="G720" s="32" t="s">
        <v>46</v>
      </c>
      <c r="H720" s="32" t="s">
        <v>87</v>
      </c>
      <c r="I720" s="32">
        <v>161.74199999999999</v>
      </c>
      <c r="J720" s="32">
        <v>43.817999999999998</v>
      </c>
      <c r="K720" s="32" t="b">
        <v>1</v>
      </c>
      <c r="L720" s="32" t="s">
        <v>63</v>
      </c>
      <c r="M720" s="32" t="s">
        <v>63</v>
      </c>
      <c r="N720" s="34">
        <v>46175</v>
      </c>
      <c r="O720" s="35" t="str">
        <f t="shared" si="2"/>
        <v>Lê Kỷ Dậu</v>
      </c>
    </row>
    <row r="721" spans="1:15">
      <c r="A721" s="32" t="s">
        <v>229</v>
      </c>
      <c r="B721" s="32" t="s">
        <v>44</v>
      </c>
      <c r="C721" s="33">
        <v>46027</v>
      </c>
      <c r="D721" s="32">
        <v>917088072</v>
      </c>
      <c r="E721" s="32">
        <v>300060439</v>
      </c>
      <c r="F721" s="32" t="s">
        <v>230</v>
      </c>
      <c r="G721" s="32" t="s">
        <v>46</v>
      </c>
      <c r="H721" s="32" t="s">
        <v>87</v>
      </c>
      <c r="I721" s="32">
        <v>166.42500000000001</v>
      </c>
      <c r="J721" s="32">
        <v>35.679000000000002</v>
      </c>
      <c r="K721" s="32" t="b">
        <v>1</v>
      </c>
      <c r="L721" s="32" t="s">
        <v>63</v>
      </c>
      <c r="M721" s="32" t="s">
        <v>63</v>
      </c>
      <c r="N721" s="34">
        <v>46267</v>
      </c>
      <c r="O721" s="35" t="str">
        <f t="shared" si="2"/>
        <v>Lê Kỷ Dậu</v>
      </c>
    </row>
    <row r="722" spans="1:15">
      <c r="A722" s="32" t="s">
        <v>229</v>
      </c>
      <c r="B722" s="32" t="s">
        <v>44</v>
      </c>
      <c r="C722" s="33">
        <v>46027</v>
      </c>
      <c r="D722" s="32">
        <v>917088072</v>
      </c>
      <c r="E722" s="32">
        <v>300060439</v>
      </c>
      <c r="F722" s="32" t="s">
        <v>230</v>
      </c>
      <c r="G722" s="32" t="s">
        <v>46</v>
      </c>
      <c r="H722" s="32" t="s">
        <v>87</v>
      </c>
      <c r="I722" s="32">
        <v>165.03299999999999</v>
      </c>
      <c r="J722" s="32">
        <v>50.820999999999998</v>
      </c>
      <c r="K722" s="32" t="b">
        <v>1</v>
      </c>
      <c r="L722" s="32" t="s">
        <v>63</v>
      </c>
      <c r="M722" s="32" t="s">
        <v>63</v>
      </c>
      <c r="N722" s="34">
        <v>46237</v>
      </c>
      <c r="O722" s="35" t="str">
        <f t="shared" si="2"/>
        <v>Lê Kỷ Dậu</v>
      </c>
    </row>
    <row r="723" spans="1:15">
      <c r="A723" s="32" t="s">
        <v>229</v>
      </c>
      <c r="B723" s="32" t="s">
        <v>44</v>
      </c>
      <c r="C723" s="33">
        <v>46027</v>
      </c>
      <c r="D723" s="32">
        <v>917088072</v>
      </c>
      <c r="E723" s="32">
        <v>300060439</v>
      </c>
      <c r="F723" s="32" t="s">
        <v>230</v>
      </c>
      <c r="G723" s="32" t="s">
        <v>46</v>
      </c>
      <c r="H723" s="32" t="s">
        <v>87</v>
      </c>
      <c r="I723" s="32">
        <v>161.58699999999999</v>
      </c>
      <c r="J723" s="32">
        <v>79.738</v>
      </c>
      <c r="K723" s="32" t="b">
        <v>1</v>
      </c>
      <c r="L723" s="32" t="s">
        <v>63</v>
      </c>
      <c r="M723" s="32" t="s">
        <v>63</v>
      </c>
      <c r="N723" s="32" t="s">
        <v>152</v>
      </c>
      <c r="O723" s="35" t="str">
        <f t="shared" si="2"/>
        <v>Lê Kỷ Dậu</v>
      </c>
    </row>
    <row r="724" spans="1:15">
      <c r="A724" s="32" t="s">
        <v>229</v>
      </c>
      <c r="B724" s="32" t="s">
        <v>44</v>
      </c>
      <c r="C724" s="33">
        <v>46027</v>
      </c>
      <c r="D724" s="32">
        <v>917088072</v>
      </c>
      <c r="E724" s="32">
        <v>300060439</v>
      </c>
      <c r="F724" s="32" t="s">
        <v>230</v>
      </c>
      <c r="G724" s="32" t="s">
        <v>46</v>
      </c>
      <c r="H724" s="32" t="s">
        <v>87</v>
      </c>
      <c r="I724" s="32">
        <v>158.45400000000001</v>
      </c>
      <c r="J724" s="32">
        <v>46.216000000000001</v>
      </c>
      <c r="K724" s="32" t="b">
        <v>1</v>
      </c>
      <c r="L724" s="32" t="s">
        <v>63</v>
      </c>
      <c r="M724" s="32" t="s">
        <v>63</v>
      </c>
      <c r="N724" s="34">
        <v>46149</v>
      </c>
      <c r="O724" s="35" t="str">
        <f t="shared" si="2"/>
        <v>Lê Kỷ Dậu</v>
      </c>
    </row>
    <row r="725" spans="1:15">
      <c r="A725" s="32" t="s">
        <v>229</v>
      </c>
      <c r="B725" s="32" t="s">
        <v>44</v>
      </c>
      <c r="C725" s="33">
        <v>46027</v>
      </c>
      <c r="D725" s="32">
        <v>917088072</v>
      </c>
      <c r="E725" s="32">
        <v>300060439</v>
      </c>
      <c r="F725" s="32" t="s">
        <v>230</v>
      </c>
      <c r="G725" s="32" t="s">
        <v>46</v>
      </c>
      <c r="H725" s="32" t="s">
        <v>87</v>
      </c>
      <c r="I725" s="32">
        <v>171.185</v>
      </c>
      <c r="J725" s="32">
        <v>35.408999999999999</v>
      </c>
      <c r="K725" s="32" t="b">
        <v>1</v>
      </c>
      <c r="L725" s="32" t="s">
        <v>63</v>
      </c>
      <c r="M725" s="32" t="s">
        <v>63</v>
      </c>
      <c r="N725" s="34">
        <v>46031</v>
      </c>
      <c r="O725" s="35" t="str">
        <f t="shared" si="2"/>
        <v>Lê Kỷ Dậu</v>
      </c>
    </row>
    <row r="726" spans="1:15">
      <c r="A726" s="32" t="s">
        <v>229</v>
      </c>
      <c r="B726" s="32" t="s">
        <v>44</v>
      </c>
      <c r="C726" s="33">
        <v>46027</v>
      </c>
      <c r="D726" s="32">
        <v>917088072</v>
      </c>
      <c r="E726" s="32">
        <v>300060439</v>
      </c>
      <c r="F726" s="32" t="s">
        <v>230</v>
      </c>
      <c r="G726" s="32" t="s">
        <v>46</v>
      </c>
      <c r="H726" s="32" t="s">
        <v>87</v>
      </c>
      <c r="I726" s="32">
        <v>160.666</v>
      </c>
      <c r="J726" s="32">
        <v>49.155999999999999</v>
      </c>
      <c r="K726" s="32" t="b">
        <v>1</v>
      </c>
      <c r="L726" s="32" t="s">
        <v>63</v>
      </c>
      <c r="M726" s="32" t="s">
        <v>63</v>
      </c>
      <c r="N726" s="32" t="s">
        <v>147</v>
      </c>
      <c r="O726" s="35" t="str">
        <f t="shared" si="2"/>
        <v>Lê Kỷ Dậu</v>
      </c>
    </row>
    <row r="727" spans="1:15">
      <c r="A727" s="32" t="s">
        <v>229</v>
      </c>
      <c r="B727" s="32" t="s">
        <v>44</v>
      </c>
      <c r="C727" s="33">
        <v>46027</v>
      </c>
      <c r="D727" s="32">
        <v>917088072</v>
      </c>
      <c r="E727" s="32">
        <v>300060439</v>
      </c>
      <c r="F727" s="32" t="s">
        <v>230</v>
      </c>
      <c r="G727" s="32" t="s">
        <v>46</v>
      </c>
      <c r="H727" s="32" t="s">
        <v>87</v>
      </c>
      <c r="I727" s="32">
        <v>160.18</v>
      </c>
      <c r="J727" s="32">
        <v>41.99</v>
      </c>
      <c r="K727" s="32" t="b">
        <v>1</v>
      </c>
      <c r="L727" s="32" t="s">
        <v>63</v>
      </c>
      <c r="M727" s="32" t="s">
        <v>63</v>
      </c>
      <c r="N727" s="34">
        <v>46115</v>
      </c>
      <c r="O727" s="35" t="str">
        <f t="shared" si="2"/>
        <v>Lê Kỷ Dậu</v>
      </c>
    </row>
    <row r="728" spans="1:15">
      <c r="A728" s="32" t="s">
        <v>229</v>
      </c>
      <c r="B728" s="32" t="s">
        <v>44</v>
      </c>
      <c r="C728" s="33">
        <v>46027</v>
      </c>
      <c r="D728" s="32">
        <v>917088072</v>
      </c>
      <c r="E728" s="32">
        <v>300060439</v>
      </c>
      <c r="F728" s="32" t="s">
        <v>230</v>
      </c>
      <c r="G728" s="32" t="s">
        <v>46</v>
      </c>
      <c r="H728" s="32" t="s">
        <v>87</v>
      </c>
      <c r="I728" s="32">
        <v>166.95599999999999</v>
      </c>
      <c r="J728" s="32">
        <v>61.457999999999998</v>
      </c>
      <c r="K728" s="32" t="b">
        <v>1</v>
      </c>
      <c r="L728" s="32" t="s">
        <v>63</v>
      </c>
      <c r="M728" s="32" t="s">
        <v>63</v>
      </c>
      <c r="N728" s="32" t="s">
        <v>175</v>
      </c>
      <c r="O728" s="35" t="str">
        <f t="shared" si="2"/>
        <v>Lê Kỷ Dậu</v>
      </c>
    </row>
    <row r="729" spans="1:15">
      <c r="A729" s="32" t="s">
        <v>229</v>
      </c>
      <c r="B729" s="32" t="s">
        <v>44</v>
      </c>
      <c r="C729" s="33">
        <v>46027</v>
      </c>
      <c r="D729" s="32">
        <v>917088072</v>
      </c>
      <c r="E729" s="32">
        <v>300060439</v>
      </c>
      <c r="F729" s="32" t="s">
        <v>230</v>
      </c>
      <c r="G729" s="32" t="s">
        <v>46</v>
      </c>
      <c r="H729" s="32" t="s">
        <v>87</v>
      </c>
      <c r="I729" s="32">
        <v>163.875</v>
      </c>
      <c r="J729" s="32">
        <v>33.320999999999998</v>
      </c>
      <c r="K729" s="32" t="b">
        <v>1</v>
      </c>
      <c r="L729" s="32" t="s">
        <v>63</v>
      </c>
      <c r="M729" s="32" t="s">
        <v>63</v>
      </c>
      <c r="N729" s="34">
        <v>46144</v>
      </c>
      <c r="O729" s="35" t="str">
        <f t="shared" si="2"/>
        <v>Lê Kỷ Dậu</v>
      </c>
    </row>
    <row r="730" spans="1:15">
      <c r="A730" s="32" t="s">
        <v>229</v>
      </c>
      <c r="B730" s="32" t="s">
        <v>44</v>
      </c>
      <c r="C730" s="33">
        <v>46027</v>
      </c>
      <c r="D730" s="32">
        <v>917088072</v>
      </c>
      <c r="E730" s="32">
        <v>300060439</v>
      </c>
      <c r="F730" s="32" t="s">
        <v>230</v>
      </c>
      <c r="G730" s="32" t="s">
        <v>46</v>
      </c>
      <c r="H730" s="32" t="s">
        <v>87</v>
      </c>
      <c r="I730" s="32">
        <v>159.11799999999999</v>
      </c>
      <c r="J730" s="32">
        <v>40.091999999999999</v>
      </c>
      <c r="K730" s="32" t="b">
        <v>1</v>
      </c>
      <c r="L730" s="32" t="s">
        <v>63</v>
      </c>
      <c r="M730" s="32" t="s">
        <v>63</v>
      </c>
      <c r="N730" s="34">
        <v>46179</v>
      </c>
      <c r="O730" s="35" t="str">
        <f t="shared" si="2"/>
        <v>Lê Kỷ Dậu</v>
      </c>
    </row>
    <row r="731" spans="1:15">
      <c r="A731" s="32" t="s">
        <v>231</v>
      </c>
      <c r="B731" s="32" t="s">
        <v>44</v>
      </c>
      <c r="C731" s="33">
        <v>46027</v>
      </c>
      <c r="D731" s="32">
        <v>812456561</v>
      </c>
      <c r="E731" s="32">
        <v>478598648</v>
      </c>
      <c r="F731" s="32" t="s">
        <v>232</v>
      </c>
      <c r="G731" s="32" t="s">
        <v>46</v>
      </c>
      <c r="H731" s="32" t="s">
        <v>18</v>
      </c>
      <c r="I731" s="32">
        <v>280.00599999999997</v>
      </c>
      <c r="J731" s="32">
        <v>100.521</v>
      </c>
      <c r="K731" s="32" t="b">
        <v>1</v>
      </c>
      <c r="L731" s="32" t="s">
        <v>47</v>
      </c>
      <c r="M731" s="32" t="s">
        <v>48</v>
      </c>
      <c r="N731" s="34">
        <v>46153</v>
      </c>
      <c r="O731" s="35" t="str">
        <f t="shared" si="2"/>
        <v>Nguyễn Văn Minh</v>
      </c>
    </row>
    <row r="732" spans="1:15">
      <c r="A732" s="32" t="s">
        <v>233</v>
      </c>
      <c r="B732" s="32" t="s">
        <v>44</v>
      </c>
      <c r="C732" s="33">
        <v>46027</v>
      </c>
      <c r="D732" s="32">
        <v>912172101</v>
      </c>
      <c r="E732" s="32">
        <v>522316600</v>
      </c>
      <c r="F732" s="32" t="s">
        <v>234</v>
      </c>
      <c r="G732" s="32" t="s">
        <v>46</v>
      </c>
      <c r="H732" s="32" t="s">
        <v>87</v>
      </c>
      <c r="I732" s="32">
        <v>132.203</v>
      </c>
      <c r="J732" s="32">
        <v>63.841000000000001</v>
      </c>
      <c r="K732" s="32" t="b">
        <v>1</v>
      </c>
      <c r="L732" s="32" t="s">
        <v>47</v>
      </c>
      <c r="M732" s="32" t="s">
        <v>48</v>
      </c>
      <c r="N732" s="34">
        <v>46026</v>
      </c>
      <c r="O732" s="35" t="str">
        <f t="shared" si="2"/>
        <v>Nguyễn Hữu</v>
      </c>
    </row>
    <row r="733" spans="1:15">
      <c r="A733" s="32" t="s">
        <v>233</v>
      </c>
      <c r="B733" s="32" t="s">
        <v>44</v>
      </c>
      <c r="C733" s="33">
        <v>46027</v>
      </c>
      <c r="D733" s="32">
        <v>912172101</v>
      </c>
      <c r="E733" s="32">
        <v>522316600</v>
      </c>
      <c r="F733" s="32" t="s">
        <v>234</v>
      </c>
      <c r="G733" s="32" t="s">
        <v>46</v>
      </c>
      <c r="H733" s="32" t="s">
        <v>87</v>
      </c>
      <c r="I733" s="32">
        <v>111.849</v>
      </c>
      <c r="J733" s="32">
        <v>61.561999999999998</v>
      </c>
      <c r="K733" s="32" t="b">
        <v>1</v>
      </c>
      <c r="L733" s="32" t="s">
        <v>47</v>
      </c>
      <c r="M733" s="32" t="s">
        <v>48</v>
      </c>
      <c r="N733" s="32" t="s">
        <v>113</v>
      </c>
      <c r="O733" s="35" t="str">
        <f t="shared" si="2"/>
        <v>Nguyễn Hữu</v>
      </c>
    </row>
    <row r="734" spans="1:15">
      <c r="A734" s="32" t="s">
        <v>233</v>
      </c>
      <c r="B734" s="32" t="s">
        <v>44</v>
      </c>
      <c r="C734" s="33">
        <v>46027</v>
      </c>
      <c r="D734" s="32">
        <v>912172101</v>
      </c>
      <c r="E734" s="32">
        <v>522316600</v>
      </c>
      <c r="F734" s="32" t="s">
        <v>234</v>
      </c>
      <c r="G734" s="32" t="s">
        <v>46</v>
      </c>
      <c r="H734" s="32" t="s">
        <v>87</v>
      </c>
      <c r="I734" s="32">
        <v>128.5</v>
      </c>
      <c r="J734" s="32">
        <v>62.316000000000003</v>
      </c>
      <c r="K734" s="32" t="b">
        <v>1</v>
      </c>
      <c r="L734" s="32" t="s">
        <v>47</v>
      </c>
      <c r="M734" s="32" t="s">
        <v>48</v>
      </c>
      <c r="N734" s="32" t="s">
        <v>201</v>
      </c>
      <c r="O734" s="35" t="str">
        <f t="shared" si="2"/>
        <v>Nguyễn Hữu</v>
      </c>
    </row>
    <row r="735" spans="1:15">
      <c r="A735" s="32" t="s">
        <v>233</v>
      </c>
      <c r="B735" s="32" t="s">
        <v>44</v>
      </c>
      <c r="C735" s="33">
        <v>46027</v>
      </c>
      <c r="D735" s="32">
        <v>912172101</v>
      </c>
      <c r="E735" s="32">
        <v>522316600</v>
      </c>
      <c r="F735" s="32" t="s">
        <v>234</v>
      </c>
      <c r="G735" s="32" t="s">
        <v>46</v>
      </c>
      <c r="H735" s="32" t="s">
        <v>87</v>
      </c>
      <c r="I735" s="32">
        <v>118.371</v>
      </c>
      <c r="J735" s="32">
        <v>60.448</v>
      </c>
      <c r="K735" s="32" t="b">
        <v>1</v>
      </c>
      <c r="L735" s="32" t="s">
        <v>47</v>
      </c>
      <c r="M735" s="32" t="s">
        <v>48</v>
      </c>
      <c r="N735" s="34">
        <v>46244</v>
      </c>
      <c r="O735" s="35" t="str">
        <f t="shared" si="2"/>
        <v>Nguyễn Hữu</v>
      </c>
    </row>
    <row r="736" spans="1:15">
      <c r="A736" s="32" t="s">
        <v>233</v>
      </c>
      <c r="B736" s="32" t="s">
        <v>44</v>
      </c>
      <c r="C736" s="33">
        <v>46027</v>
      </c>
      <c r="D736" s="32">
        <v>912172101</v>
      </c>
      <c r="E736" s="32">
        <v>522316600</v>
      </c>
      <c r="F736" s="32" t="s">
        <v>234</v>
      </c>
      <c r="G736" s="32" t="s">
        <v>46</v>
      </c>
      <c r="H736" s="32" t="s">
        <v>87</v>
      </c>
      <c r="I736" s="32">
        <v>127.611</v>
      </c>
      <c r="J736" s="32">
        <v>61.048000000000002</v>
      </c>
      <c r="K736" s="32" t="b">
        <v>1</v>
      </c>
      <c r="L736" s="32" t="s">
        <v>47</v>
      </c>
      <c r="M736" s="32" t="s">
        <v>48</v>
      </c>
      <c r="N736" s="34">
        <v>46150</v>
      </c>
      <c r="O736" s="35" t="str">
        <f t="shared" si="2"/>
        <v>Nguyễn Hữu</v>
      </c>
    </row>
    <row r="737" spans="1:15">
      <c r="A737" s="32" t="s">
        <v>233</v>
      </c>
      <c r="B737" s="32" t="s">
        <v>44</v>
      </c>
      <c r="C737" s="33">
        <v>46027</v>
      </c>
      <c r="D737" s="32">
        <v>912172101</v>
      </c>
      <c r="E737" s="32">
        <v>522316600</v>
      </c>
      <c r="F737" s="32" t="s">
        <v>234</v>
      </c>
      <c r="G737" s="32" t="s">
        <v>46</v>
      </c>
      <c r="H737" s="32" t="s">
        <v>87</v>
      </c>
      <c r="I737" s="32">
        <v>129.995</v>
      </c>
      <c r="J737" s="32">
        <v>59.094999999999999</v>
      </c>
      <c r="K737" s="32" t="b">
        <v>1</v>
      </c>
      <c r="L737" s="32" t="s">
        <v>47</v>
      </c>
      <c r="M737" s="32" t="s">
        <v>48</v>
      </c>
      <c r="N737" s="34">
        <v>46121</v>
      </c>
      <c r="O737" s="35" t="str">
        <f t="shared" si="2"/>
        <v>Nguyễn Hữu</v>
      </c>
    </row>
    <row r="738" spans="1:15">
      <c r="A738" s="32" t="s">
        <v>235</v>
      </c>
      <c r="B738" s="32" t="s">
        <v>44</v>
      </c>
      <c r="C738" s="33">
        <v>46027</v>
      </c>
      <c r="D738" s="32">
        <v>912223973</v>
      </c>
      <c r="E738" s="32">
        <v>427392630</v>
      </c>
      <c r="F738" s="32" t="s">
        <v>95</v>
      </c>
      <c r="G738" s="32" t="s">
        <v>46</v>
      </c>
      <c r="H738" s="32" t="s">
        <v>58</v>
      </c>
      <c r="I738" s="32">
        <v>61.326999999999998</v>
      </c>
      <c r="J738" s="32">
        <v>20.038</v>
      </c>
      <c r="K738" s="32" t="b">
        <v>1</v>
      </c>
      <c r="L738" s="32" t="s">
        <v>47</v>
      </c>
      <c r="M738" s="32" t="s">
        <v>48</v>
      </c>
      <c r="N738" s="34">
        <v>46121</v>
      </c>
      <c r="O738" s="35" t="str">
        <f t="shared" si="2"/>
        <v>Lại Quang Vinh</v>
      </c>
    </row>
    <row r="739" spans="1:15">
      <c r="A739" s="32" t="s">
        <v>233</v>
      </c>
      <c r="B739" s="32" t="s">
        <v>44</v>
      </c>
      <c r="C739" s="33">
        <v>46027</v>
      </c>
      <c r="D739" s="32">
        <v>912172101</v>
      </c>
      <c r="E739" s="32">
        <v>522316600</v>
      </c>
      <c r="F739" s="32" t="s">
        <v>234</v>
      </c>
      <c r="G739" s="32" t="s">
        <v>46</v>
      </c>
      <c r="H739" s="32" t="s">
        <v>87</v>
      </c>
      <c r="I739" s="32">
        <v>134.733</v>
      </c>
      <c r="J739" s="32">
        <v>63.692</v>
      </c>
      <c r="K739" s="32" t="b">
        <v>1</v>
      </c>
      <c r="L739" s="32" t="s">
        <v>47</v>
      </c>
      <c r="M739" s="32" t="s">
        <v>48</v>
      </c>
      <c r="N739" s="34">
        <v>46214</v>
      </c>
      <c r="O739" s="35" t="str">
        <f t="shared" si="2"/>
        <v>Nguyễn Hữu</v>
      </c>
    </row>
    <row r="740" spans="1:15">
      <c r="A740" s="32" t="s">
        <v>235</v>
      </c>
      <c r="B740" s="32" t="s">
        <v>44</v>
      </c>
      <c r="C740" s="33">
        <v>46027</v>
      </c>
      <c r="D740" s="32">
        <v>912223973</v>
      </c>
      <c r="E740" s="32">
        <v>427392630</v>
      </c>
      <c r="F740" s="32" t="s">
        <v>95</v>
      </c>
      <c r="G740" s="32" t="s">
        <v>46</v>
      </c>
      <c r="H740" s="32" t="s">
        <v>58</v>
      </c>
      <c r="I740" s="32">
        <v>77.022999999999996</v>
      </c>
      <c r="J740" s="32">
        <v>22.329000000000001</v>
      </c>
      <c r="K740" s="32" t="b">
        <v>1</v>
      </c>
      <c r="L740" s="32" t="s">
        <v>47</v>
      </c>
      <c r="M740" s="32" t="s">
        <v>48</v>
      </c>
      <c r="N740" s="34">
        <v>46055</v>
      </c>
      <c r="O740" s="35" t="str">
        <f t="shared" si="2"/>
        <v>Lại Quang Vinh</v>
      </c>
    </row>
    <row r="741" spans="1:15">
      <c r="A741" s="32" t="s">
        <v>233</v>
      </c>
      <c r="B741" s="32" t="s">
        <v>44</v>
      </c>
      <c r="C741" s="33">
        <v>46027</v>
      </c>
      <c r="D741" s="32">
        <v>912172101</v>
      </c>
      <c r="E741" s="32">
        <v>522316600</v>
      </c>
      <c r="F741" s="32" t="s">
        <v>234</v>
      </c>
      <c r="G741" s="32" t="s">
        <v>46</v>
      </c>
      <c r="H741" s="32" t="s">
        <v>87</v>
      </c>
      <c r="I741" s="32">
        <v>142.65600000000001</v>
      </c>
      <c r="J741" s="32">
        <v>62.396000000000001</v>
      </c>
      <c r="K741" s="32" t="b">
        <v>1</v>
      </c>
      <c r="L741" s="32" t="s">
        <v>47</v>
      </c>
      <c r="M741" s="32" t="s">
        <v>48</v>
      </c>
      <c r="N741" s="32" t="s">
        <v>105</v>
      </c>
      <c r="O741" s="35" t="str">
        <f t="shared" si="2"/>
        <v>Nguyễn Hữu</v>
      </c>
    </row>
    <row r="742" spans="1:15">
      <c r="A742" s="32" t="s">
        <v>235</v>
      </c>
      <c r="B742" s="32" t="s">
        <v>44</v>
      </c>
      <c r="C742" s="33">
        <v>46027</v>
      </c>
      <c r="D742" s="32">
        <v>912223973</v>
      </c>
      <c r="E742" s="32">
        <v>427392630</v>
      </c>
      <c r="F742" s="32" t="s">
        <v>95</v>
      </c>
      <c r="G742" s="32" t="s">
        <v>46</v>
      </c>
      <c r="H742" s="32" t="s">
        <v>58</v>
      </c>
      <c r="I742" s="32">
        <v>703.16600000000005</v>
      </c>
      <c r="J742" s="32">
        <v>28.32</v>
      </c>
      <c r="K742" s="32" t="b">
        <v>1</v>
      </c>
      <c r="L742" s="32" t="s">
        <v>47</v>
      </c>
      <c r="M742" s="32" t="s">
        <v>48</v>
      </c>
      <c r="N742" s="34">
        <v>46122</v>
      </c>
      <c r="O742" s="35" t="str">
        <f t="shared" si="2"/>
        <v>Lại Quang Vinh</v>
      </c>
    </row>
    <row r="743" spans="1:15">
      <c r="A743" s="32" t="s">
        <v>233</v>
      </c>
      <c r="B743" s="32" t="s">
        <v>44</v>
      </c>
      <c r="C743" s="33">
        <v>46027</v>
      </c>
      <c r="D743" s="32">
        <v>912172101</v>
      </c>
      <c r="E743" s="32">
        <v>522316600</v>
      </c>
      <c r="F743" s="32" t="s">
        <v>234</v>
      </c>
      <c r="G743" s="32" t="s">
        <v>46</v>
      </c>
      <c r="H743" s="32" t="s">
        <v>87</v>
      </c>
      <c r="I743" s="32">
        <v>139.08000000000001</v>
      </c>
      <c r="J743" s="32">
        <v>61.075000000000003</v>
      </c>
      <c r="K743" s="32" t="b">
        <v>1</v>
      </c>
      <c r="L743" s="32" t="s">
        <v>47</v>
      </c>
      <c r="M743" s="32" t="s">
        <v>48</v>
      </c>
      <c r="N743" s="34">
        <v>46184</v>
      </c>
      <c r="O743" s="35" t="str">
        <f t="shared" si="2"/>
        <v>Nguyễn Hữu</v>
      </c>
    </row>
    <row r="744" spans="1:15">
      <c r="A744" s="32" t="s">
        <v>235</v>
      </c>
      <c r="B744" s="32" t="s">
        <v>44</v>
      </c>
      <c r="C744" s="33">
        <v>46027</v>
      </c>
      <c r="D744" s="32">
        <v>912223973</v>
      </c>
      <c r="E744" s="32">
        <v>427392630</v>
      </c>
      <c r="F744" s="32" t="s">
        <v>95</v>
      </c>
      <c r="G744" s="32" t="s">
        <v>46</v>
      </c>
      <c r="H744" s="32" t="s">
        <v>58</v>
      </c>
      <c r="I744" s="32">
        <v>765.30499999999995</v>
      </c>
      <c r="J744" s="32">
        <v>29.478999999999999</v>
      </c>
      <c r="K744" s="32" t="b">
        <v>1</v>
      </c>
      <c r="L744" s="32" t="s">
        <v>47</v>
      </c>
      <c r="M744" s="32" t="s">
        <v>48</v>
      </c>
      <c r="N744" s="34">
        <v>46221</v>
      </c>
      <c r="O744" s="35" t="str">
        <f t="shared" si="2"/>
        <v>Lại Quang Vinh</v>
      </c>
    </row>
    <row r="745" spans="1:15">
      <c r="A745" s="32" t="s">
        <v>233</v>
      </c>
      <c r="B745" s="32" t="s">
        <v>44</v>
      </c>
      <c r="C745" s="33">
        <v>46027</v>
      </c>
      <c r="D745" s="32">
        <v>912172101</v>
      </c>
      <c r="E745" s="32">
        <v>522316600</v>
      </c>
      <c r="F745" s="32" t="s">
        <v>234</v>
      </c>
      <c r="G745" s="32" t="s">
        <v>46</v>
      </c>
      <c r="H745" s="32" t="s">
        <v>87</v>
      </c>
      <c r="I745" s="32">
        <v>114.345</v>
      </c>
      <c r="J745" s="32">
        <v>61.197000000000003</v>
      </c>
      <c r="K745" s="32" t="b">
        <v>1</v>
      </c>
      <c r="L745" s="32" t="s">
        <v>47</v>
      </c>
      <c r="M745" s="32" t="s">
        <v>48</v>
      </c>
      <c r="N745" s="32" t="s">
        <v>113</v>
      </c>
      <c r="O745" s="35" t="str">
        <f t="shared" si="2"/>
        <v>Nguyễn Hữu</v>
      </c>
    </row>
    <row r="746" spans="1:15">
      <c r="A746" s="32" t="s">
        <v>233</v>
      </c>
      <c r="B746" s="32" t="s">
        <v>44</v>
      </c>
      <c r="C746" s="33">
        <v>46027</v>
      </c>
      <c r="D746" s="32">
        <v>912172101</v>
      </c>
      <c r="E746" s="32">
        <v>522316600</v>
      </c>
      <c r="F746" s="32" t="s">
        <v>234</v>
      </c>
      <c r="G746" s="32" t="s">
        <v>46</v>
      </c>
      <c r="H746" s="32" t="s">
        <v>87</v>
      </c>
      <c r="I746" s="32">
        <v>105.267</v>
      </c>
      <c r="J746" s="32">
        <v>61.767000000000003</v>
      </c>
      <c r="K746" s="32" t="b">
        <v>1</v>
      </c>
      <c r="L746" s="32" t="s">
        <v>47</v>
      </c>
      <c r="M746" s="32" t="s">
        <v>48</v>
      </c>
      <c r="N746" s="34">
        <v>46246</v>
      </c>
      <c r="O746" s="35" t="str">
        <f t="shared" si="2"/>
        <v>Nguyễn Hữu</v>
      </c>
    </row>
    <row r="747" spans="1:15">
      <c r="A747" s="32" t="s">
        <v>233</v>
      </c>
      <c r="B747" s="32" t="s">
        <v>44</v>
      </c>
      <c r="C747" s="33">
        <v>46027</v>
      </c>
      <c r="D747" s="32">
        <v>912172101</v>
      </c>
      <c r="E747" s="32">
        <v>522316600</v>
      </c>
      <c r="F747" s="32" t="s">
        <v>234</v>
      </c>
      <c r="G747" s="32" t="s">
        <v>46</v>
      </c>
      <c r="H747" s="32" t="s">
        <v>87</v>
      </c>
      <c r="I747" s="32">
        <v>126.39</v>
      </c>
      <c r="J747" s="32">
        <v>63.448</v>
      </c>
      <c r="K747" s="32" t="b">
        <v>1</v>
      </c>
      <c r="L747" s="32" t="s">
        <v>47</v>
      </c>
      <c r="M747" s="32" t="s">
        <v>48</v>
      </c>
      <c r="N747" s="34">
        <v>46120</v>
      </c>
      <c r="O747" s="35" t="str">
        <f t="shared" si="2"/>
        <v>Nguyễn Hữu</v>
      </c>
    </row>
    <row r="748" spans="1:15">
      <c r="A748" s="32" t="s">
        <v>233</v>
      </c>
      <c r="B748" s="32" t="s">
        <v>44</v>
      </c>
      <c r="C748" s="33">
        <v>46027</v>
      </c>
      <c r="D748" s="32">
        <v>912172101</v>
      </c>
      <c r="E748" s="32">
        <v>522316600</v>
      </c>
      <c r="F748" s="32" t="s">
        <v>234</v>
      </c>
      <c r="G748" s="32" t="s">
        <v>46</v>
      </c>
      <c r="H748" s="32" t="s">
        <v>87</v>
      </c>
      <c r="I748" s="32">
        <v>114.072</v>
      </c>
      <c r="J748" s="32">
        <v>62.661000000000001</v>
      </c>
      <c r="K748" s="32" t="b">
        <v>1</v>
      </c>
      <c r="L748" s="32" t="s">
        <v>47</v>
      </c>
      <c r="M748" s="32" t="s">
        <v>48</v>
      </c>
      <c r="N748" s="34">
        <v>46065</v>
      </c>
      <c r="O748" s="35" t="str">
        <f t="shared" si="2"/>
        <v>Nguyễn Hữu</v>
      </c>
    </row>
    <row r="749" spans="1:15">
      <c r="A749" s="32" t="s">
        <v>233</v>
      </c>
      <c r="B749" s="32" t="s">
        <v>44</v>
      </c>
      <c r="C749" s="33">
        <v>46027</v>
      </c>
      <c r="D749" s="32">
        <v>912172101</v>
      </c>
      <c r="E749" s="32">
        <v>522316600</v>
      </c>
      <c r="F749" s="32" t="s">
        <v>234</v>
      </c>
      <c r="G749" s="32" t="s">
        <v>46</v>
      </c>
      <c r="H749" s="32" t="s">
        <v>87</v>
      </c>
      <c r="I749" s="32">
        <v>120.02800000000001</v>
      </c>
      <c r="J749" s="32">
        <v>60.750999999999998</v>
      </c>
      <c r="K749" s="32" t="b">
        <v>1</v>
      </c>
      <c r="L749" s="32" t="s">
        <v>47</v>
      </c>
      <c r="M749" s="32" t="s">
        <v>48</v>
      </c>
      <c r="N749" s="34">
        <v>46244</v>
      </c>
      <c r="O749" s="35" t="str">
        <f t="shared" si="2"/>
        <v>Nguyễn Hữu</v>
      </c>
    </row>
    <row r="750" spans="1:15">
      <c r="A750" s="32" t="s">
        <v>233</v>
      </c>
      <c r="B750" s="32" t="s">
        <v>44</v>
      </c>
      <c r="C750" s="33">
        <v>46027</v>
      </c>
      <c r="D750" s="32">
        <v>912172101</v>
      </c>
      <c r="E750" s="32">
        <v>522316600</v>
      </c>
      <c r="F750" s="32" t="s">
        <v>234</v>
      </c>
      <c r="G750" s="32" t="s">
        <v>46</v>
      </c>
      <c r="H750" s="32" t="s">
        <v>87</v>
      </c>
      <c r="I750" s="32">
        <v>124.709</v>
      </c>
      <c r="J750" s="32">
        <v>63.499000000000002</v>
      </c>
      <c r="K750" s="32" t="b">
        <v>1</v>
      </c>
      <c r="L750" s="32" t="s">
        <v>47</v>
      </c>
      <c r="M750" s="32" t="s">
        <v>48</v>
      </c>
      <c r="N750" s="34">
        <v>46275</v>
      </c>
      <c r="O750" s="35" t="str">
        <f t="shared" si="2"/>
        <v>Nguyễn Hữu</v>
      </c>
    </row>
    <row r="751" spans="1:15">
      <c r="A751" s="32" t="s">
        <v>69</v>
      </c>
      <c r="B751" s="32" t="s">
        <v>44</v>
      </c>
      <c r="C751" s="33">
        <v>46027</v>
      </c>
      <c r="D751" s="32">
        <v>918616787</v>
      </c>
      <c r="E751" s="32">
        <v>302371366</v>
      </c>
      <c r="F751" s="32" t="s">
        <v>65</v>
      </c>
      <c r="G751" s="32" t="s">
        <v>46</v>
      </c>
      <c r="H751" s="32" t="s">
        <v>58</v>
      </c>
      <c r="I751" s="32">
        <v>61.319000000000003</v>
      </c>
      <c r="J751" s="32">
        <v>42.119</v>
      </c>
      <c r="K751" s="32" t="b">
        <v>1</v>
      </c>
      <c r="L751" s="32" t="s">
        <v>47</v>
      </c>
      <c r="M751" s="32" t="s">
        <v>63</v>
      </c>
      <c r="N751" s="34">
        <v>46118</v>
      </c>
      <c r="O751" s="35" t="str">
        <f t="shared" si="2"/>
        <v>Đặng Hoàng Vũ</v>
      </c>
    </row>
    <row r="752" spans="1:15">
      <c r="A752" s="32" t="s">
        <v>68</v>
      </c>
      <c r="B752" s="32" t="s">
        <v>44</v>
      </c>
      <c r="C752" s="33">
        <v>46027</v>
      </c>
      <c r="D752" s="32">
        <v>918616787</v>
      </c>
      <c r="E752" s="32">
        <v>302371366</v>
      </c>
      <c r="F752" s="32" t="s">
        <v>65</v>
      </c>
      <c r="G752" s="32" t="s">
        <v>46</v>
      </c>
      <c r="H752" s="32" t="s">
        <v>58</v>
      </c>
      <c r="I752" s="32">
        <v>61.319000000000003</v>
      </c>
      <c r="J752" s="32">
        <v>42.119</v>
      </c>
      <c r="K752" s="32" t="b">
        <v>1</v>
      </c>
      <c r="L752" s="32" t="s">
        <v>47</v>
      </c>
      <c r="M752" s="32" t="s">
        <v>63</v>
      </c>
      <c r="N752" s="34">
        <v>46118</v>
      </c>
      <c r="O752" s="35" t="str">
        <f t="shared" si="2"/>
        <v>Đặng Hoàng Vũ</v>
      </c>
    </row>
    <row r="753" spans="1:15">
      <c r="A753" s="32" t="s">
        <v>225</v>
      </c>
      <c r="B753" s="32" t="s">
        <v>44</v>
      </c>
      <c r="C753" s="33">
        <v>46027</v>
      </c>
      <c r="D753" s="32">
        <v>852038869</v>
      </c>
      <c r="E753" s="32">
        <v>514128872</v>
      </c>
      <c r="F753" s="32" t="s">
        <v>226</v>
      </c>
      <c r="G753" s="32" t="s">
        <v>46</v>
      </c>
      <c r="H753" s="32" t="s">
        <v>51</v>
      </c>
      <c r="I753" s="32">
        <v>62.228999999999999</v>
      </c>
      <c r="J753" s="32">
        <v>37.856999999999999</v>
      </c>
      <c r="K753" s="32" t="b">
        <v>1</v>
      </c>
      <c r="L753" s="32" t="s">
        <v>63</v>
      </c>
      <c r="M753" s="32" t="s">
        <v>48</v>
      </c>
      <c r="N753" s="34">
        <v>46029</v>
      </c>
      <c r="O753" s="35" t="str">
        <f t="shared" si="2"/>
        <v>Nguyễn Hoàng Sang</v>
      </c>
    </row>
    <row r="754" spans="1:15">
      <c r="A754" s="32" t="s">
        <v>225</v>
      </c>
      <c r="B754" s="32" t="s">
        <v>44</v>
      </c>
      <c r="C754" s="33">
        <v>46027</v>
      </c>
      <c r="D754" s="32">
        <v>852038869</v>
      </c>
      <c r="E754" s="32">
        <v>514128872</v>
      </c>
      <c r="F754" s="32" t="s">
        <v>226</v>
      </c>
      <c r="G754" s="32" t="s">
        <v>46</v>
      </c>
      <c r="H754" s="32" t="s">
        <v>51</v>
      </c>
      <c r="I754" s="32">
        <v>48.61</v>
      </c>
      <c r="J754" s="32">
        <v>36.146000000000001</v>
      </c>
      <c r="K754" s="32" t="b">
        <v>1</v>
      </c>
      <c r="L754" s="32" t="s">
        <v>63</v>
      </c>
      <c r="M754" s="32" t="s">
        <v>48</v>
      </c>
      <c r="N754" s="34">
        <v>46210</v>
      </c>
      <c r="O754" s="35" t="str">
        <f t="shared" si="2"/>
        <v>Nguyễn Hoàng Sang</v>
      </c>
    </row>
    <row r="755" spans="1:15">
      <c r="A755" s="32" t="s">
        <v>70</v>
      </c>
      <c r="B755" s="32" t="s">
        <v>44</v>
      </c>
      <c r="C755" s="33">
        <v>46027</v>
      </c>
      <c r="D755" s="32">
        <v>913352939</v>
      </c>
      <c r="E755" s="32">
        <v>511935418</v>
      </c>
      <c r="F755" s="32" t="s">
        <v>71</v>
      </c>
      <c r="G755" s="32" t="s">
        <v>46</v>
      </c>
      <c r="H755" s="32" t="s">
        <v>51</v>
      </c>
      <c r="I755" s="32">
        <v>1188.472</v>
      </c>
      <c r="J755" s="32">
        <v>117.559</v>
      </c>
      <c r="K755" s="32" t="b">
        <v>1</v>
      </c>
      <c r="L755" s="32" t="s">
        <v>47</v>
      </c>
      <c r="M755" s="32" t="s">
        <v>48</v>
      </c>
      <c r="N755" s="34">
        <v>46204</v>
      </c>
      <c r="O755" s="35" t="str">
        <f t="shared" si="2"/>
        <v>Dương Nhật Phương</v>
      </c>
    </row>
    <row r="756" spans="1:15">
      <c r="A756" s="32" t="s">
        <v>225</v>
      </c>
      <c r="B756" s="32" t="s">
        <v>44</v>
      </c>
      <c r="C756" s="33">
        <v>46027</v>
      </c>
      <c r="D756" s="32">
        <v>852038869</v>
      </c>
      <c r="E756" s="32">
        <v>514128872</v>
      </c>
      <c r="F756" s="32" t="s">
        <v>226</v>
      </c>
      <c r="G756" s="32" t="s">
        <v>46</v>
      </c>
      <c r="H756" s="32" t="s">
        <v>51</v>
      </c>
      <c r="I756" s="32">
        <v>36.920999999999999</v>
      </c>
      <c r="J756" s="32">
        <v>51.87</v>
      </c>
      <c r="K756" s="32" t="b">
        <v>1</v>
      </c>
      <c r="L756" s="32" t="s">
        <v>63</v>
      </c>
      <c r="M756" s="32" t="s">
        <v>48</v>
      </c>
      <c r="N756" s="34">
        <v>46237</v>
      </c>
      <c r="O756" s="35" t="str">
        <f t="shared" si="2"/>
        <v>Nguyễn Hoàng Sang</v>
      </c>
    </row>
    <row r="757" spans="1:15">
      <c r="A757" s="32" t="s">
        <v>203</v>
      </c>
      <c r="B757" s="32" t="s">
        <v>44</v>
      </c>
      <c r="C757" s="33">
        <v>46027</v>
      </c>
      <c r="D757" s="32">
        <v>916659889</v>
      </c>
      <c r="E757" s="32">
        <v>516858755</v>
      </c>
      <c r="F757" s="32" t="s">
        <v>204</v>
      </c>
      <c r="G757" s="32" t="s">
        <v>46</v>
      </c>
      <c r="H757" s="32" t="s">
        <v>58</v>
      </c>
      <c r="I757" s="32">
        <v>73.361000000000004</v>
      </c>
      <c r="J757" s="32">
        <v>29.998000000000001</v>
      </c>
      <c r="K757" s="32" t="b">
        <v>1</v>
      </c>
      <c r="L757" s="32" t="s">
        <v>63</v>
      </c>
      <c r="M757" s="32" t="s">
        <v>48</v>
      </c>
      <c r="N757" s="34">
        <v>46026</v>
      </c>
      <c r="O757" s="35" t="str">
        <f t="shared" si="2"/>
        <v>Bùi Hoàng Tường</v>
      </c>
    </row>
    <row r="758" spans="1:15">
      <c r="A758" s="32" t="s">
        <v>70</v>
      </c>
      <c r="B758" s="32" t="s">
        <v>44</v>
      </c>
      <c r="C758" s="33">
        <v>46027</v>
      </c>
      <c r="D758" s="32">
        <v>913352939</v>
      </c>
      <c r="E758" s="32">
        <v>511935418</v>
      </c>
      <c r="F758" s="32" t="s">
        <v>71</v>
      </c>
      <c r="G758" s="32" t="s">
        <v>46</v>
      </c>
      <c r="H758" s="32" t="s">
        <v>87</v>
      </c>
      <c r="I758" s="32">
        <v>1008.062</v>
      </c>
      <c r="J758" s="32">
        <v>18.71</v>
      </c>
      <c r="K758" s="32" t="b">
        <v>1</v>
      </c>
      <c r="L758" s="32" t="s">
        <v>47</v>
      </c>
      <c r="M758" s="32" t="s">
        <v>48</v>
      </c>
      <c r="N758" s="34">
        <v>46269</v>
      </c>
      <c r="O758" s="35" t="str">
        <f t="shared" si="2"/>
        <v>Dương Nhật Phương</v>
      </c>
    </row>
    <row r="759" spans="1:15">
      <c r="A759" s="32" t="s">
        <v>203</v>
      </c>
      <c r="B759" s="32" t="s">
        <v>44</v>
      </c>
      <c r="C759" s="33">
        <v>46027</v>
      </c>
      <c r="D759" s="32">
        <v>916659889</v>
      </c>
      <c r="E759" s="32">
        <v>516858755</v>
      </c>
      <c r="F759" s="32" t="s">
        <v>204</v>
      </c>
      <c r="G759" s="32" t="s">
        <v>46</v>
      </c>
      <c r="H759" s="32" t="s">
        <v>58</v>
      </c>
      <c r="I759" s="32">
        <v>81.668000000000006</v>
      </c>
      <c r="J759" s="32">
        <v>21.603000000000002</v>
      </c>
      <c r="K759" s="32" t="b">
        <v>1</v>
      </c>
      <c r="L759" s="32" t="s">
        <v>63</v>
      </c>
      <c r="M759" s="32" t="s">
        <v>48</v>
      </c>
      <c r="N759" s="34">
        <v>46058</v>
      </c>
      <c r="O759" s="35" t="str">
        <f t="shared" si="2"/>
        <v>Bùi Hoàng Tường</v>
      </c>
    </row>
    <row r="760" spans="1:15">
      <c r="A760" s="32" t="s">
        <v>91</v>
      </c>
      <c r="B760" s="32" t="s">
        <v>44</v>
      </c>
      <c r="C760" s="33">
        <v>46027</v>
      </c>
      <c r="D760" s="32">
        <v>917714086</v>
      </c>
      <c r="E760" s="32">
        <v>514807788</v>
      </c>
      <c r="F760" s="32" t="s">
        <v>92</v>
      </c>
      <c r="G760" s="32" t="s">
        <v>46</v>
      </c>
      <c r="H760" s="32" t="s">
        <v>51</v>
      </c>
      <c r="I760" s="32">
        <v>169.19800000000001</v>
      </c>
      <c r="J760" s="32">
        <v>4.0629999999999997</v>
      </c>
      <c r="K760" s="32" t="b">
        <v>0</v>
      </c>
      <c r="L760" s="32" t="s">
        <v>79</v>
      </c>
      <c r="M760" s="32" t="s">
        <v>48</v>
      </c>
      <c r="N760" s="34">
        <v>46293</v>
      </c>
      <c r="O760" s="35" t="str">
        <f t="shared" si="2"/>
        <v>Lê Hoàng Vinh</v>
      </c>
    </row>
    <row r="761" spans="1:15">
      <c r="A761" s="32" t="s">
        <v>61</v>
      </c>
      <c r="B761" s="32" t="s">
        <v>44</v>
      </c>
      <c r="C761" s="33">
        <v>46027</v>
      </c>
      <c r="D761" s="32">
        <v>949786476</v>
      </c>
      <c r="E761" s="32">
        <v>514815800</v>
      </c>
      <c r="F761" s="32" t="s">
        <v>62</v>
      </c>
      <c r="G761" s="32" t="s">
        <v>46</v>
      </c>
      <c r="H761" s="32" t="s">
        <v>58</v>
      </c>
      <c r="I761" s="32">
        <v>169.346</v>
      </c>
      <c r="J761" s="32">
        <v>59.469000000000001</v>
      </c>
      <c r="K761" s="32" t="b">
        <v>1</v>
      </c>
      <c r="L761" s="32" t="s">
        <v>63</v>
      </c>
      <c r="M761" s="32" t="s">
        <v>48</v>
      </c>
      <c r="N761" s="32" t="s">
        <v>123</v>
      </c>
      <c r="O761" s="35" t="str">
        <f t="shared" si="2"/>
        <v>Đặng Ngọc Sơn</v>
      </c>
    </row>
    <row r="762" spans="1:15">
      <c r="A762" s="32" t="s">
        <v>136</v>
      </c>
      <c r="B762" s="32" t="s">
        <v>44</v>
      </c>
      <c r="C762" s="33">
        <v>46027</v>
      </c>
      <c r="D762" s="32">
        <v>917773898</v>
      </c>
      <c r="E762" s="32">
        <v>505313750</v>
      </c>
      <c r="F762" s="32" t="s">
        <v>122</v>
      </c>
      <c r="G762" s="32" t="s">
        <v>46</v>
      </c>
      <c r="H762" s="32" t="s">
        <v>58</v>
      </c>
      <c r="I762" s="32">
        <v>71.531999999999996</v>
      </c>
      <c r="J762" s="32">
        <v>29.167999999999999</v>
      </c>
      <c r="K762" s="32" t="b">
        <v>1</v>
      </c>
      <c r="L762" s="32" t="s">
        <v>47</v>
      </c>
      <c r="M762" s="32" t="s">
        <v>48</v>
      </c>
      <c r="N762" s="34">
        <v>46086</v>
      </c>
      <c r="O762" s="35" t="str">
        <f t="shared" si="2"/>
        <v>Lê Xuân Trình</v>
      </c>
    </row>
    <row r="763" spans="1:15">
      <c r="A763" s="32" t="s">
        <v>59</v>
      </c>
      <c r="B763" s="32" t="s">
        <v>44</v>
      </c>
      <c r="C763" s="33">
        <v>46027</v>
      </c>
      <c r="D763" s="32">
        <v>918278345</v>
      </c>
      <c r="E763" s="32">
        <v>511526722</v>
      </c>
      <c r="F763" s="32" t="s">
        <v>60</v>
      </c>
      <c r="G763" s="32" t="s">
        <v>46</v>
      </c>
      <c r="H763" s="32" t="s">
        <v>58</v>
      </c>
      <c r="I763" s="32">
        <v>111.76600000000001</v>
      </c>
      <c r="J763" s="32">
        <v>41.107999999999997</v>
      </c>
      <c r="K763" s="32" t="b">
        <v>1</v>
      </c>
      <c r="L763" s="32" t="s">
        <v>47</v>
      </c>
      <c r="M763" s="32" t="s">
        <v>48</v>
      </c>
      <c r="N763" s="34">
        <v>46086</v>
      </c>
      <c r="O763" s="35" t="str">
        <f t="shared" si="2"/>
        <v>Trịnh Minh Trí</v>
      </c>
    </row>
    <row r="764" spans="1:15">
      <c r="A764" s="32" t="s">
        <v>59</v>
      </c>
      <c r="B764" s="32" t="s">
        <v>44</v>
      </c>
      <c r="C764" s="33">
        <v>46027</v>
      </c>
      <c r="D764" s="32">
        <v>918278345</v>
      </c>
      <c r="E764" s="32">
        <v>511526722</v>
      </c>
      <c r="F764" s="32" t="s">
        <v>60</v>
      </c>
      <c r="G764" s="32" t="s">
        <v>46</v>
      </c>
      <c r="H764" s="32" t="s">
        <v>58</v>
      </c>
      <c r="I764" s="32">
        <v>116.253</v>
      </c>
      <c r="J764" s="32">
        <v>34.965000000000003</v>
      </c>
      <c r="K764" s="32" t="b">
        <v>1</v>
      </c>
      <c r="L764" s="32" t="s">
        <v>47</v>
      </c>
      <c r="M764" s="32" t="s">
        <v>48</v>
      </c>
      <c r="N764" s="34">
        <v>46061</v>
      </c>
      <c r="O764" s="35" t="str">
        <f t="shared" si="2"/>
        <v>Trịnh Minh Trí</v>
      </c>
    </row>
    <row r="765" spans="1:15">
      <c r="A765" s="32" t="s">
        <v>187</v>
      </c>
      <c r="B765" s="32" t="s">
        <v>44</v>
      </c>
      <c r="C765" s="33">
        <v>46027</v>
      </c>
      <c r="D765" s="32">
        <v>946174436</v>
      </c>
      <c r="E765" s="32">
        <v>475924886</v>
      </c>
      <c r="F765" s="32" t="s">
        <v>188</v>
      </c>
      <c r="G765" s="32" t="s">
        <v>46</v>
      </c>
      <c r="H765" s="32" t="s">
        <v>58</v>
      </c>
      <c r="I765" s="32">
        <v>34.813000000000002</v>
      </c>
      <c r="J765" s="32">
        <v>17.661000000000001</v>
      </c>
      <c r="K765" s="32" t="b">
        <v>1</v>
      </c>
      <c r="L765" s="32" t="s">
        <v>47</v>
      </c>
      <c r="M765" s="32" t="s">
        <v>48</v>
      </c>
      <c r="N765" s="34">
        <v>46207</v>
      </c>
      <c r="O765" s="35" t="str">
        <f t="shared" si="2"/>
        <v>Trương Đình Minh Tân</v>
      </c>
    </row>
    <row r="766" spans="1:15">
      <c r="A766" s="32" t="s">
        <v>59</v>
      </c>
      <c r="B766" s="32" t="s">
        <v>44</v>
      </c>
      <c r="C766" s="33">
        <v>46027</v>
      </c>
      <c r="D766" s="32">
        <v>918278345</v>
      </c>
      <c r="E766" s="32">
        <v>511526722</v>
      </c>
      <c r="F766" s="32" t="s">
        <v>60</v>
      </c>
      <c r="G766" s="32" t="s">
        <v>46</v>
      </c>
      <c r="H766" s="32" t="s">
        <v>58</v>
      </c>
      <c r="I766" s="32">
        <v>145.679</v>
      </c>
      <c r="J766" s="32">
        <v>52.08</v>
      </c>
      <c r="K766" s="32" t="b">
        <v>1</v>
      </c>
      <c r="L766" s="32" t="s">
        <v>47</v>
      </c>
      <c r="M766" s="32" t="s">
        <v>48</v>
      </c>
      <c r="N766" s="34">
        <v>46028</v>
      </c>
      <c r="O766" s="35" t="str">
        <f t="shared" si="2"/>
        <v>Trịnh Minh Trí</v>
      </c>
    </row>
    <row r="767" spans="1:15">
      <c r="A767" s="32" t="s">
        <v>85</v>
      </c>
      <c r="B767" s="32" t="s">
        <v>44</v>
      </c>
      <c r="C767" s="33">
        <v>46027</v>
      </c>
      <c r="D767" s="32">
        <v>918128333</v>
      </c>
      <c r="E767" s="32">
        <v>362213178</v>
      </c>
      <c r="F767" s="32" t="s">
        <v>86</v>
      </c>
      <c r="G767" s="32" t="s">
        <v>46</v>
      </c>
      <c r="H767" s="32" t="s">
        <v>51</v>
      </c>
      <c r="I767" s="32">
        <v>879.22900000000004</v>
      </c>
      <c r="J767" s="32">
        <v>98.89</v>
      </c>
      <c r="K767" s="32" t="b">
        <v>1</v>
      </c>
      <c r="L767" s="32" t="s">
        <v>47</v>
      </c>
      <c r="M767" s="32" t="s">
        <v>48</v>
      </c>
      <c r="N767" s="34">
        <v>46197</v>
      </c>
      <c r="O767" s="35" t="str">
        <f t="shared" ref="O767:O1021" si="3">LEFT(A767, LEN(A767) - 4)</f>
        <v>Trần Minh Tuấn1</v>
      </c>
    </row>
    <row r="768" spans="1:15">
      <c r="A768" s="32" t="s">
        <v>74</v>
      </c>
      <c r="B768" s="32" t="s">
        <v>44</v>
      </c>
      <c r="C768" s="33">
        <v>46027</v>
      </c>
      <c r="D768" s="32">
        <v>945833826</v>
      </c>
      <c r="E768" s="32">
        <v>515016582</v>
      </c>
      <c r="F768" s="32" t="s">
        <v>75</v>
      </c>
      <c r="G768" s="32" t="s">
        <v>46</v>
      </c>
      <c r="H768" s="32" t="s">
        <v>51</v>
      </c>
      <c r="I768" s="32">
        <v>710.95399999999995</v>
      </c>
      <c r="J768" s="32">
        <v>89.992000000000004</v>
      </c>
      <c r="K768" s="32" t="b">
        <v>1</v>
      </c>
      <c r="L768" s="32" t="s">
        <v>47</v>
      </c>
      <c r="M768" s="32" t="s">
        <v>48</v>
      </c>
      <c r="N768" s="34">
        <v>46219</v>
      </c>
      <c r="O768" s="35" t="str">
        <f t="shared" si="3"/>
        <v>Võ Quang Duy</v>
      </c>
    </row>
    <row r="769" spans="1:15">
      <c r="A769" s="32" t="s">
        <v>85</v>
      </c>
      <c r="B769" s="32" t="s">
        <v>44</v>
      </c>
      <c r="C769" s="33">
        <v>46027</v>
      </c>
      <c r="D769" s="32">
        <v>918128333</v>
      </c>
      <c r="E769" s="32">
        <v>362213178</v>
      </c>
      <c r="F769" s="32" t="s">
        <v>86</v>
      </c>
      <c r="G769" s="32" t="s">
        <v>46</v>
      </c>
      <c r="H769" s="32" t="s">
        <v>51</v>
      </c>
      <c r="I769" s="32">
        <v>31.143999999999998</v>
      </c>
      <c r="J769" s="32">
        <v>16.143999999999998</v>
      </c>
      <c r="K769" s="32" t="b">
        <v>1</v>
      </c>
      <c r="L769" s="32" t="s">
        <v>47</v>
      </c>
      <c r="M769" s="32" t="s">
        <v>48</v>
      </c>
      <c r="N769" s="32" t="s">
        <v>201</v>
      </c>
      <c r="O769" s="35" t="str">
        <f t="shared" si="3"/>
        <v>Trần Minh Tuấn1</v>
      </c>
    </row>
    <row r="770" spans="1:15">
      <c r="A770" s="32" t="s">
        <v>74</v>
      </c>
      <c r="B770" s="32" t="s">
        <v>44</v>
      </c>
      <c r="C770" s="33">
        <v>46027</v>
      </c>
      <c r="D770" s="32">
        <v>945833826</v>
      </c>
      <c r="E770" s="32">
        <v>515016582</v>
      </c>
      <c r="F770" s="32" t="s">
        <v>75</v>
      </c>
      <c r="G770" s="32" t="s">
        <v>46</v>
      </c>
      <c r="H770" s="32" t="s">
        <v>51</v>
      </c>
      <c r="I770" s="32">
        <v>691.49599999999998</v>
      </c>
      <c r="J770" s="32">
        <v>98.905000000000001</v>
      </c>
      <c r="K770" s="32" t="b">
        <v>1</v>
      </c>
      <c r="L770" s="32" t="s">
        <v>47</v>
      </c>
      <c r="M770" s="32" t="s">
        <v>48</v>
      </c>
      <c r="N770" s="34">
        <v>46169</v>
      </c>
      <c r="O770" s="35" t="str">
        <f t="shared" si="3"/>
        <v>Võ Quang Duy</v>
      </c>
    </row>
    <row r="771" spans="1:15">
      <c r="A771" s="32" t="s">
        <v>61</v>
      </c>
      <c r="B771" s="32" t="s">
        <v>44</v>
      </c>
      <c r="C771" s="33">
        <v>46027</v>
      </c>
      <c r="D771" s="32">
        <v>949786476</v>
      </c>
      <c r="E771" s="32">
        <v>514815800</v>
      </c>
      <c r="F771" s="32" t="s">
        <v>62</v>
      </c>
      <c r="G771" s="32" t="s">
        <v>46</v>
      </c>
      <c r="H771" s="32" t="s">
        <v>58</v>
      </c>
      <c r="I771" s="32">
        <v>136.458</v>
      </c>
      <c r="J771" s="32">
        <v>54.533999999999999</v>
      </c>
      <c r="K771" s="32" t="b">
        <v>1</v>
      </c>
      <c r="L771" s="32" t="s">
        <v>63</v>
      </c>
      <c r="M771" s="32" t="s">
        <v>48</v>
      </c>
      <c r="N771" s="34">
        <v>46115</v>
      </c>
      <c r="O771" s="35" t="str">
        <f t="shared" si="3"/>
        <v>Đặng Ngọc Sơn</v>
      </c>
    </row>
    <row r="772" spans="1:15">
      <c r="A772" s="32" t="s">
        <v>85</v>
      </c>
      <c r="B772" s="32" t="s">
        <v>44</v>
      </c>
      <c r="C772" s="33">
        <v>46027</v>
      </c>
      <c r="D772" s="32">
        <v>918128333</v>
      </c>
      <c r="E772" s="32">
        <v>362213178</v>
      </c>
      <c r="F772" s="32" t="s">
        <v>86</v>
      </c>
      <c r="G772" s="32" t="s">
        <v>46</v>
      </c>
      <c r="H772" s="32" t="s">
        <v>51</v>
      </c>
      <c r="I772" s="32">
        <v>93.356999999999999</v>
      </c>
      <c r="J772" s="32">
        <v>43.58</v>
      </c>
      <c r="K772" s="32" t="b">
        <v>1</v>
      </c>
      <c r="L772" s="32" t="s">
        <v>47</v>
      </c>
      <c r="M772" s="32" t="s">
        <v>48</v>
      </c>
      <c r="N772" s="34">
        <v>46086</v>
      </c>
      <c r="O772" s="35" t="str">
        <f t="shared" si="3"/>
        <v>Trần Minh Tuấn1</v>
      </c>
    </row>
    <row r="773" spans="1:15">
      <c r="A773" s="32" t="s">
        <v>61</v>
      </c>
      <c r="B773" s="32" t="s">
        <v>44</v>
      </c>
      <c r="C773" s="33">
        <v>46027</v>
      </c>
      <c r="D773" s="32">
        <v>949786476</v>
      </c>
      <c r="E773" s="32">
        <v>514815800</v>
      </c>
      <c r="F773" s="32" t="s">
        <v>62</v>
      </c>
      <c r="G773" s="32" t="s">
        <v>46</v>
      </c>
      <c r="H773" s="32" t="s">
        <v>58</v>
      </c>
      <c r="I773" s="32">
        <v>126.294</v>
      </c>
      <c r="J773" s="32">
        <v>30.305</v>
      </c>
      <c r="K773" s="32" t="b">
        <v>1</v>
      </c>
      <c r="L773" s="32" t="s">
        <v>63</v>
      </c>
      <c r="M773" s="32" t="s">
        <v>48</v>
      </c>
      <c r="N773" s="34">
        <v>46267</v>
      </c>
      <c r="O773" s="35" t="str">
        <f t="shared" si="3"/>
        <v>Đặng Ngọc Sơn</v>
      </c>
    </row>
    <row r="774" spans="1:15">
      <c r="A774" s="32" t="s">
        <v>236</v>
      </c>
      <c r="B774" s="32" t="s">
        <v>44</v>
      </c>
      <c r="C774" s="33">
        <v>46027</v>
      </c>
      <c r="D774" s="32">
        <v>886545828</v>
      </c>
      <c r="E774" s="32">
        <v>408242948</v>
      </c>
      <c r="F774" s="32" t="s">
        <v>60</v>
      </c>
      <c r="G774" s="32" t="s">
        <v>46</v>
      </c>
      <c r="H774" s="32" t="s">
        <v>51</v>
      </c>
      <c r="I774" s="32">
        <v>11.741</v>
      </c>
      <c r="J774" s="32">
        <v>1.9390000000000001</v>
      </c>
      <c r="K774" s="32" t="b">
        <v>0</v>
      </c>
      <c r="L774" s="32" t="s">
        <v>47</v>
      </c>
      <c r="M774" s="32" t="s">
        <v>48</v>
      </c>
      <c r="N774" s="32" t="s">
        <v>237</v>
      </c>
      <c r="O774" s="35" t="str">
        <f t="shared" si="3"/>
        <v>Nguyễn Trung Thắng</v>
      </c>
    </row>
    <row r="775" spans="1:15">
      <c r="A775" s="32" t="s">
        <v>61</v>
      </c>
      <c r="B775" s="32" t="s">
        <v>44</v>
      </c>
      <c r="C775" s="33">
        <v>46027</v>
      </c>
      <c r="D775" s="32">
        <v>949786476</v>
      </c>
      <c r="E775" s="32">
        <v>514815800</v>
      </c>
      <c r="F775" s="32" t="s">
        <v>62</v>
      </c>
      <c r="G775" s="32" t="s">
        <v>46</v>
      </c>
      <c r="H775" s="32" t="s">
        <v>58</v>
      </c>
      <c r="I775" s="32">
        <v>151.72399999999999</v>
      </c>
      <c r="J775" s="32">
        <v>61.15</v>
      </c>
      <c r="K775" s="32" t="b">
        <v>1</v>
      </c>
      <c r="L775" s="32" t="s">
        <v>63</v>
      </c>
      <c r="M775" s="32" t="s">
        <v>48</v>
      </c>
      <c r="N775" s="34">
        <v>46146</v>
      </c>
      <c r="O775" s="35" t="str">
        <f t="shared" si="3"/>
        <v>Đặng Ngọc Sơn</v>
      </c>
    </row>
    <row r="776" spans="1:15">
      <c r="A776" s="32" t="s">
        <v>49</v>
      </c>
      <c r="B776" s="32" t="s">
        <v>44</v>
      </c>
      <c r="C776" s="33">
        <v>46027</v>
      </c>
      <c r="D776" s="32">
        <v>828926567</v>
      </c>
      <c r="E776" s="32">
        <v>493854272</v>
      </c>
      <c r="F776" s="32" t="s">
        <v>50</v>
      </c>
      <c r="G776" s="32" t="s">
        <v>46</v>
      </c>
      <c r="H776" s="32" t="s">
        <v>58</v>
      </c>
      <c r="I776" s="32">
        <v>1162.356</v>
      </c>
      <c r="J776" s="32">
        <v>156.828</v>
      </c>
      <c r="K776" s="32" t="b">
        <v>0</v>
      </c>
      <c r="L776" s="32" t="s">
        <v>47</v>
      </c>
      <c r="M776" s="32" t="s">
        <v>48</v>
      </c>
      <c r="N776" s="34">
        <v>46178</v>
      </c>
      <c r="O776" s="35" t="str">
        <f t="shared" si="3"/>
        <v>Phạm Nguyễn Quang Huy</v>
      </c>
    </row>
    <row r="777" spans="1:15">
      <c r="A777" s="32" t="s">
        <v>49</v>
      </c>
      <c r="B777" s="32" t="s">
        <v>44</v>
      </c>
      <c r="C777" s="33">
        <v>46027</v>
      </c>
      <c r="D777" s="32">
        <v>947245878</v>
      </c>
      <c r="E777" s="32">
        <v>493854272</v>
      </c>
      <c r="F777" s="32" t="s">
        <v>50</v>
      </c>
      <c r="G777" s="32" t="s">
        <v>46</v>
      </c>
      <c r="H777" s="32" t="s">
        <v>58</v>
      </c>
      <c r="I777" s="32">
        <v>1162.356</v>
      </c>
      <c r="J777" s="32">
        <v>156.828</v>
      </c>
      <c r="K777" s="32" t="b">
        <v>0</v>
      </c>
      <c r="L777" s="32" t="s">
        <v>47</v>
      </c>
      <c r="M777" s="32" t="s">
        <v>48</v>
      </c>
      <c r="N777" s="34">
        <v>46178</v>
      </c>
      <c r="O777" s="35" t="str">
        <f t="shared" si="3"/>
        <v>Phạm Nguyễn Quang Huy</v>
      </c>
    </row>
    <row r="778" spans="1:15">
      <c r="A778" s="32" t="s">
        <v>61</v>
      </c>
      <c r="B778" s="32" t="s">
        <v>44</v>
      </c>
      <c r="C778" s="33">
        <v>46027</v>
      </c>
      <c r="D778" s="32">
        <v>949786476</v>
      </c>
      <c r="E778" s="32">
        <v>514815800</v>
      </c>
      <c r="F778" s="32" t="s">
        <v>62</v>
      </c>
      <c r="G778" s="32" t="s">
        <v>46</v>
      </c>
      <c r="H778" s="32" t="s">
        <v>58</v>
      </c>
      <c r="I778" s="32">
        <v>62.896999999999998</v>
      </c>
      <c r="J778" s="32">
        <v>26.863</v>
      </c>
      <c r="K778" s="32" t="b">
        <v>1</v>
      </c>
      <c r="L778" s="32" t="s">
        <v>63</v>
      </c>
      <c r="M778" s="32" t="s">
        <v>48</v>
      </c>
      <c r="N778" s="34">
        <v>46236</v>
      </c>
      <c r="O778" s="35" t="str">
        <f t="shared" si="3"/>
        <v>Đặng Ngọc Sơn</v>
      </c>
    </row>
    <row r="779" spans="1:15">
      <c r="A779" s="32" t="s">
        <v>85</v>
      </c>
      <c r="B779" s="32" t="s">
        <v>44</v>
      </c>
      <c r="C779" s="33">
        <v>46027</v>
      </c>
      <c r="D779" s="32">
        <v>918128333</v>
      </c>
      <c r="E779" s="32">
        <v>362213178</v>
      </c>
      <c r="F779" s="32" t="s">
        <v>86</v>
      </c>
      <c r="G779" s="32" t="s">
        <v>46</v>
      </c>
      <c r="H779" s="32" t="s">
        <v>51</v>
      </c>
      <c r="I779" s="32">
        <v>240.62</v>
      </c>
      <c r="J779" s="32">
        <v>24.802</v>
      </c>
      <c r="K779" s="32" t="b">
        <v>1</v>
      </c>
      <c r="L779" s="32" t="s">
        <v>47</v>
      </c>
      <c r="M779" s="32" t="s">
        <v>48</v>
      </c>
      <c r="N779" s="34">
        <v>46260</v>
      </c>
      <c r="O779" s="35" t="str">
        <f t="shared" si="3"/>
        <v>Trần Minh Tuấn1</v>
      </c>
    </row>
    <row r="780" spans="1:15">
      <c r="A780" s="32" t="s">
        <v>61</v>
      </c>
      <c r="B780" s="32" t="s">
        <v>44</v>
      </c>
      <c r="C780" s="33">
        <v>46027</v>
      </c>
      <c r="D780" s="32">
        <v>949786476</v>
      </c>
      <c r="E780" s="32">
        <v>514815800</v>
      </c>
      <c r="F780" s="32" t="s">
        <v>62</v>
      </c>
      <c r="G780" s="32" t="s">
        <v>46</v>
      </c>
      <c r="H780" s="32" t="s">
        <v>58</v>
      </c>
      <c r="I780" s="32">
        <v>63.860999999999997</v>
      </c>
      <c r="J780" s="32">
        <v>27.802</v>
      </c>
      <c r="K780" s="32" t="b">
        <v>1</v>
      </c>
      <c r="L780" s="32" t="s">
        <v>63</v>
      </c>
      <c r="M780" s="32" t="s">
        <v>48</v>
      </c>
      <c r="N780" s="34">
        <v>46116</v>
      </c>
      <c r="O780" s="35" t="str">
        <f t="shared" si="3"/>
        <v>Đặng Ngọc Sơn</v>
      </c>
    </row>
    <row r="781" spans="1:15">
      <c r="A781" s="32" t="s">
        <v>52</v>
      </c>
      <c r="B781" s="32" t="s">
        <v>44</v>
      </c>
      <c r="C781" s="33">
        <v>46027</v>
      </c>
      <c r="D781" s="32">
        <v>915282271</v>
      </c>
      <c r="E781" s="32">
        <v>437354149</v>
      </c>
      <c r="F781" s="32" t="s">
        <v>53</v>
      </c>
      <c r="G781" s="32" t="s">
        <v>46</v>
      </c>
      <c r="H781" s="32" t="s">
        <v>58</v>
      </c>
      <c r="I781" s="32">
        <v>104.68600000000001</v>
      </c>
      <c r="J781" s="32">
        <v>35.006</v>
      </c>
      <c r="K781" s="32" t="b">
        <v>1</v>
      </c>
      <c r="L781" s="32" t="s">
        <v>47</v>
      </c>
      <c r="M781" s="32" t="s">
        <v>48</v>
      </c>
      <c r="N781" s="34">
        <v>46120</v>
      </c>
      <c r="O781" s="35" t="str">
        <f t="shared" si="3"/>
        <v>Nguyễn Hoàng Tuấn</v>
      </c>
    </row>
    <row r="782" spans="1:15">
      <c r="A782" s="32" t="s">
        <v>52</v>
      </c>
      <c r="B782" s="32" t="s">
        <v>44</v>
      </c>
      <c r="C782" s="33">
        <v>46027</v>
      </c>
      <c r="D782" s="32">
        <v>915282271</v>
      </c>
      <c r="E782" s="32">
        <v>437354149</v>
      </c>
      <c r="F782" s="32" t="s">
        <v>53</v>
      </c>
      <c r="G782" s="32" t="s">
        <v>46</v>
      </c>
      <c r="H782" s="32" t="s">
        <v>58</v>
      </c>
      <c r="I782" s="32">
        <v>104.68600000000001</v>
      </c>
      <c r="J782" s="32">
        <v>35.006</v>
      </c>
      <c r="K782" s="32" t="b">
        <v>1</v>
      </c>
      <c r="L782" s="32" t="s">
        <v>47</v>
      </c>
      <c r="M782" s="32" t="s">
        <v>48</v>
      </c>
      <c r="N782" s="34">
        <v>46120</v>
      </c>
      <c r="O782" s="35" t="str">
        <f t="shared" si="3"/>
        <v>Nguyễn Hoàng Tuấn</v>
      </c>
    </row>
    <row r="783" spans="1:15">
      <c r="A783" s="32" t="s">
        <v>83</v>
      </c>
      <c r="B783" s="32" t="s">
        <v>44</v>
      </c>
      <c r="C783" s="33">
        <v>46027</v>
      </c>
      <c r="D783" s="32">
        <v>886313796</v>
      </c>
      <c r="E783" s="32">
        <v>408233038</v>
      </c>
      <c r="F783" s="32" t="s">
        <v>84</v>
      </c>
      <c r="G783" s="32" t="s">
        <v>46</v>
      </c>
      <c r="H783" s="32" t="s">
        <v>51</v>
      </c>
      <c r="I783" s="32">
        <v>86.516999999999996</v>
      </c>
      <c r="J783" s="32">
        <v>9.0980000000000008</v>
      </c>
      <c r="K783" s="32" t="b">
        <v>0</v>
      </c>
      <c r="L783" s="32" t="s">
        <v>47</v>
      </c>
      <c r="M783" s="32" t="s">
        <v>48</v>
      </c>
      <c r="N783" s="34">
        <v>46086</v>
      </c>
      <c r="O783" s="35" t="str">
        <f t="shared" si="3"/>
        <v>Lê Minh Kha</v>
      </c>
    </row>
    <row r="784" spans="1:15">
      <c r="A784" s="32" t="s">
        <v>83</v>
      </c>
      <c r="B784" s="32" t="s">
        <v>44</v>
      </c>
      <c r="C784" s="33">
        <v>46027</v>
      </c>
      <c r="D784" s="32">
        <v>829669739</v>
      </c>
      <c r="E784" s="32">
        <v>408233038</v>
      </c>
      <c r="F784" s="32" t="s">
        <v>84</v>
      </c>
      <c r="G784" s="32" t="s">
        <v>46</v>
      </c>
      <c r="H784" s="32" t="s">
        <v>51</v>
      </c>
      <c r="I784" s="32">
        <v>86.516999999999996</v>
      </c>
      <c r="J784" s="32">
        <v>9.0980000000000008</v>
      </c>
      <c r="K784" s="32" t="b">
        <v>0</v>
      </c>
      <c r="L784" s="32" t="s">
        <v>47</v>
      </c>
      <c r="M784" s="32" t="s">
        <v>48</v>
      </c>
      <c r="N784" s="34">
        <v>46086</v>
      </c>
      <c r="O784" s="35" t="str">
        <f t="shared" si="3"/>
        <v>Lê Minh Kha</v>
      </c>
    </row>
    <row r="785" spans="1:15">
      <c r="A785" s="32" t="s">
        <v>83</v>
      </c>
      <c r="B785" s="32" t="s">
        <v>44</v>
      </c>
      <c r="C785" s="33">
        <v>46027</v>
      </c>
      <c r="D785" s="32">
        <v>886313796</v>
      </c>
      <c r="E785" s="32">
        <v>408233038</v>
      </c>
      <c r="F785" s="32" t="s">
        <v>84</v>
      </c>
      <c r="G785" s="32" t="s">
        <v>46</v>
      </c>
      <c r="H785" s="32" t="s">
        <v>51</v>
      </c>
      <c r="I785" s="32">
        <v>68.736999999999995</v>
      </c>
      <c r="J785" s="32">
        <v>9.7309999999999999</v>
      </c>
      <c r="K785" s="32" t="b">
        <v>0</v>
      </c>
      <c r="L785" s="32" t="s">
        <v>47</v>
      </c>
      <c r="M785" s="32" t="s">
        <v>48</v>
      </c>
      <c r="N785" s="34">
        <v>46148</v>
      </c>
      <c r="O785" s="35" t="str">
        <f t="shared" si="3"/>
        <v>Lê Minh Kha</v>
      </c>
    </row>
    <row r="786" spans="1:15">
      <c r="A786" s="32" t="s">
        <v>83</v>
      </c>
      <c r="B786" s="32" t="s">
        <v>44</v>
      </c>
      <c r="C786" s="33">
        <v>46027</v>
      </c>
      <c r="D786" s="32">
        <v>829669739</v>
      </c>
      <c r="E786" s="32">
        <v>408233038</v>
      </c>
      <c r="F786" s="32" t="s">
        <v>84</v>
      </c>
      <c r="G786" s="32" t="s">
        <v>46</v>
      </c>
      <c r="H786" s="32" t="s">
        <v>51</v>
      </c>
      <c r="I786" s="32">
        <v>68.736999999999995</v>
      </c>
      <c r="J786" s="32">
        <v>9.7309999999999999</v>
      </c>
      <c r="K786" s="32" t="b">
        <v>0</v>
      </c>
      <c r="L786" s="32" t="s">
        <v>47</v>
      </c>
      <c r="M786" s="32" t="s">
        <v>48</v>
      </c>
      <c r="N786" s="34">
        <v>46148</v>
      </c>
      <c r="O786" s="35" t="str">
        <f t="shared" si="3"/>
        <v>Lê Minh Kha</v>
      </c>
    </row>
    <row r="787" spans="1:15">
      <c r="A787" s="32" t="s">
        <v>83</v>
      </c>
      <c r="B787" s="32" t="s">
        <v>44</v>
      </c>
      <c r="C787" s="33">
        <v>46027</v>
      </c>
      <c r="D787" s="32">
        <v>886313796</v>
      </c>
      <c r="E787" s="32">
        <v>408233038</v>
      </c>
      <c r="F787" s="32" t="s">
        <v>84</v>
      </c>
      <c r="G787" s="32" t="s">
        <v>46</v>
      </c>
      <c r="H787" s="32" t="s">
        <v>51</v>
      </c>
      <c r="I787" s="32">
        <v>96.305000000000007</v>
      </c>
      <c r="J787" s="32">
        <v>27.216000000000001</v>
      </c>
      <c r="K787" s="32" t="b">
        <v>0</v>
      </c>
      <c r="L787" s="32" t="s">
        <v>47</v>
      </c>
      <c r="M787" s="32" t="s">
        <v>48</v>
      </c>
      <c r="N787" s="34">
        <v>46207</v>
      </c>
      <c r="O787" s="35" t="str">
        <f t="shared" si="3"/>
        <v>Lê Minh Kha</v>
      </c>
    </row>
    <row r="788" spans="1:15">
      <c r="A788" s="32" t="s">
        <v>83</v>
      </c>
      <c r="B788" s="32" t="s">
        <v>44</v>
      </c>
      <c r="C788" s="33">
        <v>46027</v>
      </c>
      <c r="D788" s="32">
        <v>829669739</v>
      </c>
      <c r="E788" s="32">
        <v>408233038</v>
      </c>
      <c r="F788" s="32" t="s">
        <v>84</v>
      </c>
      <c r="G788" s="32" t="s">
        <v>46</v>
      </c>
      <c r="H788" s="32" t="s">
        <v>51</v>
      </c>
      <c r="I788" s="32">
        <v>96.305000000000007</v>
      </c>
      <c r="J788" s="32">
        <v>27.216000000000001</v>
      </c>
      <c r="K788" s="32" t="b">
        <v>0</v>
      </c>
      <c r="L788" s="32" t="s">
        <v>47</v>
      </c>
      <c r="M788" s="32" t="s">
        <v>48</v>
      </c>
      <c r="N788" s="34">
        <v>46207</v>
      </c>
      <c r="O788" s="35" t="str">
        <f t="shared" si="3"/>
        <v>Lê Minh Kha</v>
      </c>
    </row>
    <row r="789" spans="1:15">
      <c r="A789" s="32" t="s">
        <v>81</v>
      </c>
      <c r="B789" s="32" t="s">
        <v>44</v>
      </c>
      <c r="C789" s="33">
        <v>46027</v>
      </c>
      <c r="D789" s="32">
        <v>832428439</v>
      </c>
      <c r="E789" s="32">
        <v>494036091</v>
      </c>
      <c r="F789" s="32" t="s">
        <v>82</v>
      </c>
      <c r="G789" s="32" t="s">
        <v>46</v>
      </c>
      <c r="H789" s="32" t="s">
        <v>145</v>
      </c>
      <c r="I789" s="32">
        <v>89.391999999999996</v>
      </c>
      <c r="J789" s="32">
        <v>36.393999999999998</v>
      </c>
      <c r="K789" s="32" t="b">
        <v>1</v>
      </c>
      <c r="L789" s="32" t="s">
        <v>79</v>
      </c>
      <c r="M789" s="32" t="s">
        <v>48</v>
      </c>
      <c r="N789" s="34">
        <v>46047</v>
      </c>
      <c r="O789" s="35" t="str">
        <f t="shared" si="3"/>
        <v>Phù Hoàng Thành</v>
      </c>
    </row>
    <row r="790" spans="1:15">
      <c r="A790" s="32" t="s">
        <v>81</v>
      </c>
      <c r="B790" s="32" t="s">
        <v>44</v>
      </c>
      <c r="C790" s="33">
        <v>46027</v>
      </c>
      <c r="D790" s="32">
        <v>852226484</v>
      </c>
      <c r="E790" s="32">
        <v>494036091</v>
      </c>
      <c r="F790" s="32" t="s">
        <v>82</v>
      </c>
      <c r="G790" s="32" t="s">
        <v>46</v>
      </c>
      <c r="H790" s="32" t="s">
        <v>145</v>
      </c>
      <c r="I790" s="32">
        <v>89.391999999999996</v>
      </c>
      <c r="J790" s="32">
        <v>36.393999999999998</v>
      </c>
      <c r="K790" s="32" t="b">
        <v>1</v>
      </c>
      <c r="L790" s="32" t="s">
        <v>79</v>
      </c>
      <c r="M790" s="32" t="s">
        <v>48</v>
      </c>
      <c r="N790" s="34">
        <v>46047</v>
      </c>
      <c r="O790" s="35" t="str">
        <f t="shared" si="3"/>
        <v>Phù Hoàng Thành</v>
      </c>
    </row>
    <row r="791" spans="1:15">
      <c r="A791" s="32" t="s">
        <v>77</v>
      </c>
      <c r="B791" s="32" t="s">
        <v>44</v>
      </c>
      <c r="C791" s="33">
        <v>46027</v>
      </c>
      <c r="D791" s="32">
        <v>945663773</v>
      </c>
      <c r="E791" s="32">
        <v>507335872</v>
      </c>
      <c r="F791" s="32" t="s">
        <v>78</v>
      </c>
      <c r="G791" s="32" t="s">
        <v>46</v>
      </c>
      <c r="H791" s="32" t="s">
        <v>51</v>
      </c>
      <c r="I791" s="32">
        <v>70.322999999999993</v>
      </c>
      <c r="J791" s="32">
        <v>26.489000000000001</v>
      </c>
      <c r="K791" s="32" t="b">
        <v>1</v>
      </c>
      <c r="L791" s="32" t="s">
        <v>79</v>
      </c>
      <c r="M791" s="32" t="s">
        <v>80</v>
      </c>
      <c r="N791" s="34">
        <v>46147</v>
      </c>
      <c r="O791" s="35" t="str">
        <f t="shared" si="3"/>
        <v>Nguyễn Hữu Tân</v>
      </c>
    </row>
    <row r="792" spans="1:15">
      <c r="A792" s="32" t="s">
        <v>64</v>
      </c>
      <c r="B792" s="32" t="s">
        <v>44</v>
      </c>
      <c r="C792" s="33">
        <v>46027</v>
      </c>
      <c r="D792" s="32">
        <v>917769763</v>
      </c>
      <c r="E792" s="32">
        <v>297808089</v>
      </c>
      <c r="F792" s="32" t="s">
        <v>65</v>
      </c>
      <c r="G792" s="32" t="s">
        <v>46</v>
      </c>
      <c r="H792" s="32" t="s">
        <v>58</v>
      </c>
      <c r="I792" s="32">
        <v>737.10299999999995</v>
      </c>
      <c r="J792" s="32">
        <v>100.801</v>
      </c>
      <c r="K792" s="32" t="b">
        <v>1</v>
      </c>
      <c r="L792" s="32" t="s">
        <v>47</v>
      </c>
      <c r="M792" s="32" t="s">
        <v>63</v>
      </c>
      <c r="N792" s="32" t="s">
        <v>238</v>
      </c>
      <c r="O792" s="35" t="str">
        <f t="shared" si="3"/>
        <v>Đỗ Tấn Phát</v>
      </c>
    </row>
    <row r="793" spans="1:15">
      <c r="A793" s="32" t="s">
        <v>64</v>
      </c>
      <c r="B793" s="32" t="s">
        <v>44</v>
      </c>
      <c r="C793" s="33">
        <v>46027</v>
      </c>
      <c r="D793" s="32">
        <v>917769763</v>
      </c>
      <c r="E793" s="32">
        <v>297808089</v>
      </c>
      <c r="F793" s="32" t="s">
        <v>65</v>
      </c>
      <c r="G793" s="32" t="s">
        <v>46</v>
      </c>
      <c r="H793" s="32" t="s">
        <v>58</v>
      </c>
      <c r="I793" s="32">
        <v>744.53499999999997</v>
      </c>
      <c r="J793" s="32">
        <v>70.203000000000003</v>
      </c>
      <c r="K793" s="32" t="b">
        <v>1</v>
      </c>
      <c r="L793" s="32" t="s">
        <v>47</v>
      </c>
      <c r="M793" s="32" t="s">
        <v>63</v>
      </c>
      <c r="N793" s="32" t="s">
        <v>239</v>
      </c>
      <c r="O793" s="35" t="str">
        <f t="shared" si="3"/>
        <v>Đỗ Tấn Phát</v>
      </c>
    </row>
    <row r="794" spans="1:15">
      <c r="A794" s="32" t="s">
        <v>64</v>
      </c>
      <c r="B794" s="32" t="s">
        <v>44</v>
      </c>
      <c r="C794" s="33">
        <v>46027</v>
      </c>
      <c r="D794" s="32">
        <v>917769763</v>
      </c>
      <c r="E794" s="32">
        <v>297808089</v>
      </c>
      <c r="F794" s="32" t="s">
        <v>65</v>
      </c>
      <c r="G794" s="32" t="s">
        <v>46</v>
      </c>
      <c r="H794" s="32" t="s">
        <v>58</v>
      </c>
      <c r="I794" s="32">
        <v>738.08699999999999</v>
      </c>
      <c r="J794" s="32">
        <v>70.995999999999995</v>
      </c>
      <c r="K794" s="32" t="b">
        <v>1</v>
      </c>
      <c r="L794" s="32" t="s">
        <v>47</v>
      </c>
      <c r="M794" s="32" t="s">
        <v>63</v>
      </c>
      <c r="N794" s="34">
        <v>46261</v>
      </c>
      <c r="O794" s="35" t="str">
        <f t="shared" si="3"/>
        <v>Đỗ Tấn Phát</v>
      </c>
    </row>
    <row r="795" spans="1:15">
      <c r="A795" s="32" t="s">
        <v>64</v>
      </c>
      <c r="B795" s="32" t="s">
        <v>44</v>
      </c>
      <c r="C795" s="33">
        <v>46027</v>
      </c>
      <c r="D795" s="32">
        <v>917769763</v>
      </c>
      <c r="E795" s="32">
        <v>297808089</v>
      </c>
      <c r="F795" s="32" t="s">
        <v>65</v>
      </c>
      <c r="G795" s="32" t="s">
        <v>46</v>
      </c>
      <c r="H795" s="32" t="s">
        <v>58</v>
      </c>
      <c r="I795" s="32">
        <v>736.29</v>
      </c>
      <c r="J795" s="32">
        <v>96.962999999999994</v>
      </c>
      <c r="K795" s="32" t="b">
        <v>1</v>
      </c>
      <c r="L795" s="32" t="s">
        <v>47</v>
      </c>
      <c r="M795" s="32" t="s">
        <v>63</v>
      </c>
      <c r="N795" s="34">
        <v>46199</v>
      </c>
      <c r="O795" s="35" t="str">
        <f t="shared" si="3"/>
        <v>Đỗ Tấn Phát</v>
      </c>
    </row>
    <row r="796" spans="1:15">
      <c r="A796" s="32" t="s">
        <v>89</v>
      </c>
      <c r="B796" s="32" t="s">
        <v>44</v>
      </c>
      <c r="C796" s="33">
        <v>46027</v>
      </c>
      <c r="D796" s="32">
        <v>837012768</v>
      </c>
      <c r="E796" s="32">
        <v>276156622</v>
      </c>
      <c r="F796" s="32" t="s">
        <v>90</v>
      </c>
      <c r="G796" s="32" t="s">
        <v>46</v>
      </c>
      <c r="H796" s="32" t="s">
        <v>51</v>
      </c>
      <c r="I796" s="32">
        <v>858.17100000000005</v>
      </c>
      <c r="J796" s="32">
        <v>95.837000000000003</v>
      </c>
      <c r="K796" s="32" t="b">
        <v>1</v>
      </c>
      <c r="L796" s="32" t="s">
        <v>47</v>
      </c>
      <c r="M796" s="32" t="s">
        <v>63</v>
      </c>
      <c r="N796" s="34">
        <v>46214</v>
      </c>
      <c r="O796" s="35" t="str">
        <f t="shared" si="3"/>
        <v>Nguyễn Thành Chí</v>
      </c>
    </row>
    <row r="797" spans="1:15">
      <c r="A797" s="32" t="s">
        <v>88</v>
      </c>
      <c r="B797" s="32" t="s">
        <v>44</v>
      </c>
      <c r="C797" s="33">
        <v>46027</v>
      </c>
      <c r="D797" s="32">
        <v>918611919</v>
      </c>
      <c r="E797" s="32">
        <v>321677895</v>
      </c>
      <c r="F797" s="32" t="s">
        <v>65</v>
      </c>
      <c r="G797" s="32" t="s">
        <v>46</v>
      </c>
      <c r="H797" s="32" t="s">
        <v>51</v>
      </c>
      <c r="I797" s="32">
        <v>684.39200000000005</v>
      </c>
      <c r="J797" s="32">
        <v>164.52600000000001</v>
      </c>
      <c r="K797" s="32" t="b">
        <v>1</v>
      </c>
      <c r="L797" s="32" t="s">
        <v>47</v>
      </c>
      <c r="M797" s="32" t="s">
        <v>63</v>
      </c>
      <c r="N797" s="34">
        <v>46140</v>
      </c>
      <c r="O797" s="35" t="str">
        <f t="shared" si="3"/>
        <v>Huỳnh Phước Yên</v>
      </c>
    </row>
    <row r="798" spans="1:15">
      <c r="A798" s="32" t="s">
        <v>88</v>
      </c>
      <c r="B798" s="32" t="s">
        <v>44</v>
      </c>
      <c r="C798" s="33">
        <v>46027</v>
      </c>
      <c r="D798" s="32">
        <v>918611919</v>
      </c>
      <c r="E798" s="32">
        <v>321677895</v>
      </c>
      <c r="F798" s="32" t="s">
        <v>65</v>
      </c>
      <c r="G798" s="32" t="s">
        <v>46</v>
      </c>
      <c r="H798" s="32" t="s">
        <v>51</v>
      </c>
      <c r="I798" s="32">
        <v>1063.0039999999999</v>
      </c>
      <c r="J798" s="32">
        <v>147.83099999999999</v>
      </c>
      <c r="K798" s="32" t="b">
        <v>1</v>
      </c>
      <c r="L798" s="32" t="s">
        <v>47</v>
      </c>
      <c r="M798" s="32" t="s">
        <v>63</v>
      </c>
      <c r="N798" s="32" t="s">
        <v>240</v>
      </c>
      <c r="O798" s="35" t="str">
        <f t="shared" si="3"/>
        <v>Huỳnh Phước Yên</v>
      </c>
    </row>
    <row r="799" spans="1:15">
      <c r="A799" s="32" t="s">
        <v>85</v>
      </c>
      <c r="B799" s="32" t="s">
        <v>44</v>
      </c>
      <c r="C799" s="33">
        <v>46027</v>
      </c>
      <c r="D799" s="32">
        <v>918128333</v>
      </c>
      <c r="E799" s="32">
        <v>362213178</v>
      </c>
      <c r="F799" s="32" t="s">
        <v>86</v>
      </c>
      <c r="G799" s="32" t="s">
        <v>46</v>
      </c>
      <c r="H799" s="32" t="s">
        <v>51</v>
      </c>
      <c r="I799" s="32">
        <v>153.88</v>
      </c>
      <c r="J799" s="32">
        <v>55.325000000000003</v>
      </c>
      <c r="K799" s="32" t="b">
        <v>1</v>
      </c>
      <c r="L799" s="32" t="s">
        <v>47</v>
      </c>
      <c r="M799" s="32" t="s">
        <v>48</v>
      </c>
      <c r="N799" s="34">
        <v>46083</v>
      </c>
      <c r="O799" s="35" t="str">
        <f t="shared" si="3"/>
        <v>Trần Minh Tuấn1</v>
      </c>
    </row>
    <row r="800" spans="1:15">
      <c r="A800" s="32" t="s">
        <v>126</v>
      </c>
      <c r="B800" s="32" t="s">
        <v>44</v>
      </c>
      <c r="C800" s="33">
        <v>46027</v>
      </c>
      <c r="D800" s="32">
        <v>941328668</v>
      </c>
      <c r="E800" s="32">
        <v>474364867</v>
      </c>
      <c r="F800" s="32" t="s">
        <v>127</v>
      </c>
      <c r="G800" s="32" t="s">
        <v>46</v>
      </c>
      <c r="H800" s="32" t="s">
        <v>58</v>
      </c>
      <c r="I800" s="32">
        <v>109.408</v>
      </c>
      <c r="J800" s="32">
        <v>35.725000000000001</v>
      </c>
      <c r="K800" s="32" t="b">
        <v>1</v>
      </c>
      <c r="L800" s="32" t="s">
        <v>63</v>
      </c>
      <c r="M800" s="32" t="s">
        <v>48</v>
      </c>
      <c r="N800" s="34">
        <v>46148</v>
      </c>
      <c r="O800" s="35" t="str">
        <f t="shared" si="3"/>
        <v>Nguyễn Thành Phạm Trung</v>
      </c>
    </row>
    <row r="801" spans="1:15">
      <c r="A801" s="32" t="s">
        <v>126</v>
      </c>
      <c r="B801" s="32" t="s">
        <v>44</v>
      </c>
      <c r="C801" s="33">
        <v>46027</v>
      </c>
      <c r="D801" s="32">
        <v>941328668</v>
      </c>
      <c r="E801" s="32">
        <v>474364867</v>
      </c>
      <c r="F801" s="32" t="s">
        <v>127</v>
      </c>
      <c r="G801" s="32" t="s">
        <v>46</v>
      </c>
      <c r="H801" s="32" t="s">
        <v>58</v>
      </c>
      <c r="I801" s="32">
        <v>116.77500000000001</v>
      </c>
      <c r="J801" s="32">
        <v>39.957999999999998</v>
      </c>
      <c r="K801" s="32" t="b">
        <v>1</v>
      </c>
      <c r="L801" s="32" t="s">
        <v>63</v>
      </c>
      <c r="M801" s="32" t="s">
        <v>48</v>
      </c>
      <c r="N801" s="34">
        <v>46028</v>
      </c>
      <c r="O801" s="35" t="str">
        <f t="shared" si="3"/>
        <v>Nguyễn Thành Phạm Trung</v>
      </c>
    </row>
    <row r="802" spans="1:15">
      <c r="A802" s="32" t="s">
        <v>192</v>
      </c>
      <c r="B802" s="32" t="s">
        <v>44</v>
      </c>
      <c r="C802" s="33">
        <v>46027</v>
      </c>
      <c r="D802" s="32">
        <v>846528979</v>
      </c>
      <c r="E802" s="32">
        <v>489405039</v>
      </c>
      <c r="F802" s="32" t="s">
        <v>193</v>
      </c>
      <c r="G802" s="32" t="s">
        <v>46</v>
      </c>
      <c r="H802" s="32" t="s">
        <v>58</v>
      </c>
      <c r="I802" s="32">
        <v>105.605</v>
      </c>
      <c r="J802" s="32">
        <v>54.654000000000003</v>
      </c>
      <c r="K802" s="32" t="b">
        <v>1</v>
      </c>
      <c r="L802" s="32" t="s">
        <v>63</v>
      </c>
      <c r="M802" s="32" t="s">
        <v>48</v>
      </c>
      <c r="N802" s="34">
        <v>46030</v>
      </c>
      <c r="O802" s="35" t="str">
        <f t="shared" si="3"/>
        <v>Đinh Bộ Lĩnh</v>
      </c>
    </row>
    <row r="803" spans="1:15">
      <c r="A803" s="32" t="s">
        <v>126</v>
      </c>
      <c r="B803" s="32" t="s">
        <v>44</v>
      </c>
      <c r="C803" s="33">
        <v>46027</v>
      </c>
      <c r="D803" s="32">
        <v>941328668</v>
      </c>
      <c r="E803" s="32">
        <v>474364867</v>
      </c>
      <c r="F803" s="32" t="s">
        <v>127</v>
      </c>
      <c r="G803" s="32" t="s">
        <v>46</v>
      </c>
      <c r="H803" s="32" t="s">
        <v>58</v>
      </c>
      <c r="I803" s="32">
        <v>118.83199999999999</v>
      </c>
      <c r="J803" s="32">
        <v>38.784999999999997</v>
      </c>
      <c r="K803" s="32" t="b">
        <v>1</v>
      </c>
      <c r="L803" s="32" t="s">
        <v>63</v>
      </c>
      <c r="M803" s="32" t="s">
        <v>48</v>
      </c>
      <c r="N803" s="34">
        <v>46223</v>
      </c>
      <c r="O803" s="35" t="str">
        <f t="shared" si="3"/>
        <v>Nguyễn Thành Phạm Trung</v>
      </c>
    </row>
    <row r="804" spans="1:15">
      <c r="A804" s="32" t="s">
        <v>241</v>
      </c>
      <c r="B804" s="32" t="s">
        <v>44</v>
      </c>
      <c r="C804" s="33">
        <v>46027</v>
      </c>
      <c r="D804" s="32">
        <v>913443091</v>
      </c>
      <c r="E804" s="32">
        <v>497825954</v>
      </c>
      <c r="F804" s="32" t="s">
        <v>50</v>
      </c>
      <c r="G804" s="32" t="s">
        <v>46</v>
      </c>
      <c r="H804" s="32" t="s">
        <v>58</v>
      </c>
      <c r="I804" s="32">
        <v>86.66</v>
      </c>
      <c r="J804" s="32">
        <v>11.012</v>
      </c>
      <c r="K804" s="32" t="b">
        <v>1</v>
      </c>
      <c r="L804" s="32" t="s">
        <v>47</v>
      </c>
      <c r="M804" s="32" t="s">
        <v>48</v>
      </c>
      <c r="N804" s="34">
        <v>46200</v>
      </c>
      <c r="O804" s="35" t="str">
        <f t="shared" si="3"/>
        <v>Nguyễn Khương Minh</v>
      </c>
    </row>
    <row r="805" spans="1:15">
      <c r="A805" s="32" t="s">
        <v>241</v>
      </c>
      <c r="B805" s="32" t="s">
        <v>44</v>
      </c>
      <c r="C805" s="33">
        <v>46027</v>
      </c>
      <c r="D805" s="32">
        <v>913443091</v>
      </c>
      <c r="E805" s="32">
        <v>497825954</v>
      </c>
      <c r="F805" s="32" t="s">
        <v>50</v>
      </c>
      <c r="G805" s="32" t="s">
        <v>46</v>
      </c>
      <c r="H805" s="32" t="s">
        <v>58</v>
      </c>
      <c r="I805" s="32">
        <v>86.66</v>
      </c>
      <c r="J805" s="32">
        <v>11.012</v>
      </c>
      <c r="K805" s="32" t="b">
        <v>1</v>
      </c>
      <c r="L805" s="32" t="s">
        <v>47</v>
      </c>
      <c r="M805" s="32" t="s">
        <v>48</v>
      </c>
      <c r="N805" s="34">
        <v>46200</v>
      </c>
      <c r="O805" s="35" t="str">
        <f t="shared" si="3"/>
        <v>Nguyễn Khương Minh</v>
      </c>
    </row>
    <row r="806" spans="1:15">
      <c r="A806" s="32" t="s">
        <v>126</v>
      </c>
      <c r="B806" s="32" t="s">
        <v>44</v>
      </c>
      <c r="C806" s="33">
        <v>46027</v>
      </c>
      <c r="D806" s="32">
        <v>941328668</v>
      </c>
      <c r="E806" s="32">
        <v>474364867</v>
      </c>
      <c r="F806" s="32" t="s">
        <v>127</v>
      </c>
      <c r="G806" s="32" t="s">
        <v>46</v>
      </c>
      <c r="H806" s="32" t="s">
        <v>58</v>
      </c>
      <c r="I806" s="32">
        <v>116.935</v>
      </c>
      <c r="J806" s="32">
        <v>32.271999999999998</v>
      </c>
      <c r="K806" s="32" t="b">
        <v>1</v>
      </c>
      <c r="L806" s="32" t="s">
        <v>63</v>
      </c>
      <c r="M806" s="32" t="s">
        <v>48</v>
      </c>
      <c r="N806" s="34">
        <v>46025</v>
      </c>
      <c r="O806" s="35" t="str">
        <f t="shared" si="3"/>
        <v>Nguyễn Thành Phạm Trung</v>
      </c>
    </row>
    <row r="807" spans="1:15">
      <c r="A807" s="32" t="s">
        <v>81</v>
      </c>
      <c r="B807" s="32" t="s">
        <v>44</v>
      </c>
      <c r="C807" s="33">
        <v>46027</v>
      </c>
      <c r="D807" s="32">
        <v>852226484</v>
      </c>
      <c r="E807" s="32">
        <v>494036091</v>
      </c>
      <c r="F807" s="32" t="s">
        <v>82</v>
      </c>
      <c r="G807" s="32" t="s">
        <v>46</v>
      </c>
      <c r="H807" s="32" t="s">
        <v>145</v>
      </c>
      <c r="I807" s="32">
        <v>107.464</v>
      </c>
      <c r="J807" s="32">
        <v>20.026</v>
      </c>
      <c r="K807" s="32" t="b">
        <v>1</v>
      </c>
      <c r="L807" s="32" t="s">
        <v>79</v>
      </c>
      <c r="M807" s="32" t="s">
        <v>48</v>
      </c>
      <c r="N807" s="34">
        <v>46080</v>
      </c>
      <c r="O807" s="35" t="str">
        <f t="shared" si="3"/>
        <v>Phù Hoàng Thành</v>
      </c>
    </row>
    <row r="808" spans="1:15">
      <c r="A808" s="32" t="s">
        <v>81</v>
      </c>
      <c r="B808" s="32" t="s">
        <v>44</v>
      </c>
      <c r="C808" s="33">
        <v>46027</v>
      </c>
      <c r="D808" s="32">
        <v>832428439</v>
      </c>
      <c r="E808" s="32">
        <v>494036091</v>
      </c>
      <c r="F808" s="32" t="s">
        <v>82</v>
      </c>
      <c r="G808" s="32" t="s">
        <v>46</v>
      </c>
      <c r="H808" s="32" t="s">
        <v>145</v>
      </c>
      <c r="I808" s="32">
        <v>107.464</v>
      </c>
      <c r="J808" s="32">
        <v>20.026</v>
      </c>
      <c r="K808" s="32" t="b">
        <v>1</v>
      </c>
      <c r="L808" s="32" t="s">
        <v>79</v>
      </c>
      <c r="M808" s="32" t="s">
        <v>48</v>
      </c>
      <c r="N808" s="34">
        <v>46080</v>
      </c>
      <c r="O808" s="35" t="str">
        <f t="shared" si="3"/>
        <v>Phù Hoàng Thành</v>
      </c>
    </row>
    <row r="809" spans="1:15">
      <c r="A809" s="32" t="s">
        <v>182</v>
      </c>
      <c r="B809" s="32" t="s">
        <v>44</v>
      </c>
      <c r="C809" s="33">
        <v>46027</v>
      </c>
      <c r="D809" s="32">
        <v>918760639</v>
      </c>
      <c r="E809" s="32">
        <v>493881845</v>
      </c>
      <c r="F809" s="32" t="s">
        <v>183</v>
      </c>
      <c r="G809" s="32" t="s">
        <v>46</v>
      </c>
      <c r="H809" s="32" t="s">
        <v>51</v>
      </c>
      <c r="I809" s="32">
        <v>736.99199999999996</v>
      </c>
      <c r="J809" s="32">
        <v>119.044</v>
      </c>
      <c r="K809" s="32" t="b">
        <v>1</v>
      </c>
      <c r="L809" s="32" t="s">
        <v>47</v>
      </c>
      <c r="M809" s="32" t="s">
        <v>48</v>
      </c>
      <c r="N809" s="34">
        <v>46241</v>
      </c>
      <c r="O809" s="35" t="str">
        <f t="shared" si="3"/>
        <v>Bùi Tấn Bảo</v>
      </c>
    </row>
    <row r="810" spans="1:15">
      <c r="A810" s="32" t="s">
        <v>182</v>
      </c>
      <c r="B810" s="32" t="s">
        <v>44</v>
      </c>
      <c r="C810" s="33">
        <v>46027</v>
      </c>
      <c r="D810" s="32">
        <v>918760639</v>
      </c>
      <c r="E810" s="32">
        <v>493881845</v>
      </c>
      <c r="F810" s="32" t="s">
        <v>183</v>
      </c>
      <c r="G810" s="32" t="s">
        <v>46</v>
      </c>
      <c r="H810" s="32" t="s">
        <v>51</v>
      </c>
      <c r="I810" s="32">
        <v>736.99199999999996</v>
      </c>
      <c r="J810" s="32">
        <v>119.044</v>
      </c>
      <c r="K810" s="32" t="b">
        <v>1</v>
      </c>
      <c r="L810" s="32" t="s">
        <v>47</v>
      </c>
      <c r="M810" s="32" t="s">
        <v>48</v>
      </c>
      <c r="N810" s="34">
        <v>46241</v>
      </c>
      <c r="O810" s="35" t="str">
        <f t="shared" si="3"/>
        <v>Bùi Tấn Bảo</v>
      </c>
    </row>
    <row r="811" spans="1:15">
      <c r="A811" s="32" t="s">
        <v>182</v>
      </c>
      <c r="B811" s="32" t="s">
        <v>44</v>
      </c>
      <c r="C811" s="33">
        <v>46027</v>
      </c>
      <c r="D811" s="32">
        <v>918760639</v>
      </c>
      <c r="E811" s="32">
        <v>493881845</v>
      </c>
      <c r="F811" s="32" t="s">
        <v>183</v>
      </c>
      <c r="G811" s="32" t="s">
        <v>46</v>
      </c>
      <c r="H811" s="32" t="s">
        <v>51</v>
      </c>
      <c r="I811" s="32">
        <v>94.653000000000006</v>
      </c>
      <c r="J811" s="32">
        <v>29.402999999999999</v>
      </c>
      <c r="K811" s="32" t="b">
        <v>1</v>
      </c>
      <c r="L811" s="32" t="s">
        <v>47</v>
      </c>
      <c r="M811" s="32" t="s">
        <v>48</v>
      </c>
      <c r="N811" s="34">
        <v>46282</v>
      </c>
      <c r="O811" s="35" t="str">
        <f t="shared" si="3"/>
        <v>Bùi Tấn Bảo</v>
      </c>
    </row>
    <row r="812" spans="1:15">
      <c r="A812" s="32" t="s">
        <v>182</v>
      </c>
      <c r="B812" s="32" t="s">
        <v>44</v>
      </c>
      <c r="C812" s="33">
        <v>46027</v>
      </c>
      <c r="D812" s="32">
        <v>918760639</v>
      </c>
      <c r="E812" s="32">
        <v>493881845</v>
      </c>
      <c r="F812" s="32" t="s">
        <v>183</v>
      </c>
      <c r="G812" s="32" t="s">
        <v>46</v>
      </c>
      <c r="H812" s="32" t="s">
        <v>51</v>
      </c>
      <c r="I812" s="32">
        <v>94.653000000000006</v>
      </c>
      <c r="J812" s="32">
        <v>29.402999999999999</v>
      </c>
      <c r="K812" s="32" t="b">
        <v>1</v>
      </c>
      <c r="L812" s="32" t="s">
        <v>47</v>
      </c>
      <c r="M812" s="32" t="s">
        <v>48</v>
      </c>
      <c r="N812" s="34">
        <v>46282</v>
      </c>
      <c r="O812" s="35" t="str">
        <f t="shared" si="3"/>
        <v>Bùi Tấn Bảo</v>
      </c>
    </row>
    <row r="813" spans="1:15">
      <c r="A813" s="32" t="s">
        <v>170</v>
      </c>
      <c r="B813" s="32" t="s">
        <v>44</v>
      </c>
      <c r="C813" s="33">
        <v>46027</v>
      </c>
      <c r="D813" s="32">
        <v>888193957</v>
      </c>
      <c r="E813" s="32">
        <v>278129190</v>
      </c>
      <c r="F813" s="32" t="s">
        <v>171</v>
      </c>
      <c r="G813" s="32" t="s">
        <v>46</v>
      </c>
      <c r="H813" s="32" t="s">
        <v>18</v>
      </c>
      <c r="I813" s="32">
        <v>453.93200000000002</v>
      </c>
      <c r="J813" s="32">
        <v>61.145000000000003</v>
      </c>
      <c r="K813" s="32" t="b">
        <v>1</v>
      </c>
      <c r="L813" s="32" t="s">
        <v>47</v>
      </c>
      <c r="M813" s="32" t="s">
        <v>63</v>
      </c>
      <c r="N813" s="34">
        <v>46123</v>
      </c>
      <c r="O813" s="35" t="str">
        <f t="shared" si="3"/>
        <v>Nguyễn Trường Quang</v>
      </c>
    </row>
    <row r="814" spans="1:15">
      <c r="A814" s="32" t="s">
        <v>170</v>
      </c>
      <c r="B814" s="32" t="s">
        <v>44</v>
      </c>
      <c r="C814" s="33">
        <v>46027</v>
      </c>
      <c r="D814" s="32">
        <v>888193957</v>
      </c>
      <c r="E814" s="32">
        <v>278129190</v>
      </c>
      <c r="F814" s="32" t="s">
        <v>171</v>
      </c>
      <c r="G814" s="32" t="s">
        <v>46</v>
      </c>
      <c r="H814" s="32" t="s">
        <v>18</v>
      </c>
      <c r="I814" s="32">
        <v>360.25200000000001</v>
      </c>
      <c r="J814" s="32">
        <v>59.228000000000002</v>
      </c>
      <c r="K814" s="32" t="b">
        <v>1</v>
      </c>
      <c r="L814" s="32" t="s">
        <v>47</v>
      </c>
      <c r="M814" s="32" t="s">
        <v>63</v>
      </c>
      <c r="N814" s="34">
        <v>46029</v>
      </c>
      <c r="O814" s="35" t="str">
        <f t="shared" si="3"/>
        <v>Nguyễn Trường Quang</v>
      </c>
    </row>
    <row r="815" spans="1:15">
      <c r="A815" s="32" t="s">
        <v>170</v>
      </c>
      <c r="B815" s="32" t="s">
        <v>44</v>
      </c>
      <c r="C815" s="33">
        <v>46027</v>
      </c>
      <c r="D815" s="32">
        <v>888193957</v>
      </c>
      <c r="E815" s="32">
        <v>278129190</v>
      </c>
      <c r="F815" s="32" t="s">
        <v>171</v>
      </c>
      <c r="G815" s="32" t="s">
        <v>46</v>
      </c>
      <c r="H815" s="32" t="s">
        <v>18</v>
      </c>
      <c r="I815" s="32">
        <v>371.40199999999999</v>
      </c>
      <c r="J815" s="32">
        <v>65.075999999999993</v>
      </c>
      <c r="K815" s="32" t="b">
        <v>1</v>
      </c>
      <c r="L815" s="32" t="s">
        <v>47</v>
      </c>
      <c r="M815" s="32" t="s">
        <v>63</v>
      </c>
      <c r="N815" s="34">
        <v>46179</v>
      </c>
      <c r="O815" s="35" t="str">
        <f t="shared" si="3"/>
        <v>Nguyễn Trường Quang</v>
      </c>
    </row>
    <row r="816" spans="1:15">
      <c r="A816" s="32" t="s">
        <v>43</v>
      </c>
      <c r="B816" s="32" t="s">
        <v>44</v>
      </c>
      <c r="C816" s="33">
        <v>46027</v>
      </c>
      <c r="D816" s="32">
        <v>914163199</v>
      </c>
      <c r="E816" s="32">
        <v>467432229</v>
      </c>
      <c r="F816" s="32" t="s">
        <v>45</v>
      </c>
      <c r="G816" s="32" t="s">
        <v>46</v>
      </c>
      <c r="H816" s="32" t="s">
        <v>18</v>
      </c>
      <c r="I816" s="32">
        <v>494.75599999999997</v>
      </c>
      <c r="J816" s="32">
        <v>86.37</v>
      </c>
      <c r="K816" s="32" t="b">
        <v>1</v>
      </c>
      <c r="L816" s="32" t="s">
        <v>47</v>
      </c>
      <c r="M816" s="32" t="s">
        <v>48</v>
      </c>
      <c r="N816" s="34">
        <v>46086</v>
      </c>
      <c r="O816" s="35" t="str">
        <f t="shared" si="3"/>
        <v>Trương Đình Lợi</v>
      </c>
    </row>
    <row r="817" spans="1:15">
      <c r="A817" s="32" t="s">
        <v>242</v>
      </c>
      <c r="B817" s="32" t="s">
        <v>44</v>
      </c>
      <c r="C817" s="33">
        <v>46027</v>
      </c>
      <c r="D817" s="32">
        <v>919990052</v>
      </c>
      <c r="E817" s="32">
        <v>473395439</v>
      </c>
      <c r="F817" s="32" t="s">
        <v>243</v>
      </c>
      <c r="G817" s="32" t="s">
        <v>46</v>
      </c>
      <c r="H817" s="32" t="s">
        <v>18</v>
      </c>
      <c r="I817" s="32">
        <v>151.125</v>
      </c>
      <c r="J817" s="32">
        <v>19.571000000000002</v>
      </c>
      <c r="K817" s="32" t="b">
        <v>1</v>
      </c>
      <c r="L817" s="32" t="s">
        <v>47</v>
      </c>
      <c r="M817" s="32" t="s">
        <v>48</v>
      </c>
      <c r="N817" s="32" t="s">
        <v>244</v>
      </c>
      <c r="O817" s="35" t="str">
        <f t="shared" si="3"/>
        <v>Nguyễn Thế Sự</v>
      </c>
    </row>
    <row r="818" spans="1:15">
      <c r="A818" s="32" t="s">
        <v>89</v>
      </c>
      <c r="B818" s="32" t="s">
        <v>44</v>
      </c>
      <c r="C818" s="33">
        <v>46027</v>
      </c>
      <c r="D818" s="32">
        <v>837012768</v>
      </c>
      <c r="E818" s="32">
        <v>276156622</v>
      </c>
      <c r="F818" s="32" t="s">
        <v>90</v>
      </c>
      <c r="G818" s="32" t="s">
        <v>46</v>
      </c>
      <c r="H818" s="32" t="s">
        <v>51</v>
      </c>
      <c r="I818" s="32">
        <v>827.79600000000005</v>
      </c>
      <c r="J818" s="32">
        <v>119.661</v>
      </c>
      <c r="K818" s="32" t="b">
        <v>1</v>
      </c>
      <c r="L818" s="32" t="s">
        <v>47</v>
      </c>
      <c r="M818" s="32" t="s">
        <v>63</v>
      </c>
      <c r="N818" s="34">
        <v>46072</v>
      </c>
      <c r="O818" s="35" t="str">
        <f t="shared" si="3"/>
        <v>Nguyễn Thành Chí</v>
      </c>
    </row>
    <row r="819" spans="1:15">
      <c r="A819" s="32" t="s">
        <v>70</v>
      </c>
      <c r="B819" s="32" t="s">
        <v>44</v>
      </c>
      <c r="C819" s="33">
        <v>46027</v>
      </c>
      <c r="D819" s="32">
        <v>913352939</v>
      </c>
      <c r="E819" s="32">
        <v>511935418</v>
      </c>
      <c r="F819" s="32" t="s">
        <v>71</v>
      </c>
      <c r="G819" s="32" t="s">
        <v>46</v>
      </c>
      <c r="H819" s="32" t="s">
        <v>87</v>
      </c>
      <c r="I819" s="32">
        <v>1087.3420000000001</v>
      </c>
      <c r="J819" s="32">
        <v>97.68</v>
      </c>
      <c r="K819" s="32" t="b">
        <v>1</v>
      </c>
      <c r="L819" s="32" t="s">
        <v>47</v>
      </c>
      <c r="M819" s="32" t="s">
        <v>48</v>
      </c>
      <c r="N819" s="34">
        <v>46065</v>
      </c>
      <c r="O819" s="35" t="str">
        <f t="shared" si="3"/>
        <v>Dương Nhật Phương</v>
      </c>
    </row>
    <row r="820" spans="1:15">
      <c r="A820" s="32" t="s">
        <v>242</v>
      </c>
      <c r="B820" s="32" t="s">
        <v>44</v>
      </c>
      <c r="C820" s="33">
        <v>46027</v>
      </c>
      <c r="D820" s="32">
        <v>919990052</v>
      </c>
      <c r="E820" s="32">
        <v>473395439</v>
      </c>
      <c r="F820" s="32" t="s">
        <v>243</v>
      </c>
      <c r="G820" s="32" t="s">
        <v>46</v>
      </c>
      <c r="H820" s="32" t="s">
        <v>18</v>
      </c>
      <c r="I820" s="32">
        <v>554.09900000000005</v>
      </c>
      <c r="J820" s="32">
        <v>133.923</v>
      </c>
      <c r="K820" s="32" t="b">
        <v>1</v>
      </c>
      <c r="L820" s="32" t="s">
        <v>47</v>
      </c>
      <c r="M820" s="32" t="s">
        <v>48</v>
      </c>
      <c r="N820" s="34">
        <v>46268</v>
      </c>
      <c r="O820" s="35" t="str">
        <f t="shared" si="3"/>
        <v>Nguyễn Thế Sự</v>
      </c>
    </row>
    <row r="821" spans="1:15">
      <c r="A821" s="32" t="s">
        <v>242</v>
      </c>
      <c r="B821" s="32" t="s">
        <v>44</v>
      </c>
      <c r="C821" s="33">
        <v>46027</v>
      </c>
      <c r="D821" s="32">
        <v>919990052</v>
      </c>
      <c r="E821" s="32">
        <v>473395439</v>
      </c>
      <c r="F821" s="32" t="s">
        <v>243</v>
      </c>
      <c r="G821" s="32" t="s">
        <v>46</v>
      </c>
      <c r="H821" s="32" t="s">
        <v>18</v>
      </c>
      <c r="I821" s="32">
        <v>739.43899999999996</v>
      </c>
      <c r="J821" s="32">
        <v>147.91999999999999</v>
      </c>
      <c r="K821" s="32" t="b">
        <v>1</v>
      </c>
      <c r="L821" s="32" t="s">
        <v>47</v>
      </c>
      <c r="M821" s="32" t="s">
        <v>48</v>
      </c>
      <c r="N821" s="34">
        <v>46182</v>
      </c>
      <c r="O821" s="35" t="str">
        <f t="shared" si="3"/>
        <v>Nguyễn Thế Sự</v>
      </c>
    </row>
    <row r="822" spans="1:15">
      <c r="A822" s="32" t="s">
        <v>242</v>
      </c>
      <c r="B822" s="32" t="s">
        <v>44</v>
      </c>
      <c r="C822" s="33">
        <v>46027</v>
      </c>
      <c r="D822" s="32">
        <v>919990052</v>
      </c>
      <c r="E822" s="32">
        <v>473395439</v>
      </c>
      <c r="F822" s="32" t="s">
        <v>243</v>
      </c>
      <c r="G822" s="32" t="s">
        <v>46</v>
      </c>
      <c r="H822" s="32" t="s">
        <v>18</v>
      </c>
      <c r="I822" s="32">
        <v>563.20299999999997</v>
      </c>
      <c r="J822" s="32">
        <v>146.31200000000001</v>
      </c>
      <c r="K822" s="32" t="b">
        <v>1</v>
      </c>
      <c r="L822" s="32" t="s">
        <v>47</v>
      </c>
      <c r="M822" s="32" t="s">
        <v>48</v>
      </c>
      <c r="N822" s="34">
        <v>46254</v>
      </c>
      <c r="O822" s="35" t="str">
        <f t="shared" si="3"/>
        <v>Nguyễn Thế Sự</v>
      </c>
    </row>
    <row r="823" spans="1:15">
      <c r="A823" s="32" t="s">
        <v>242</v>
      </c>
      <c r="B823" s="32" t="s">
        <v>44</v>
      </c>
      <c r="C823" s="33">
        <v>46027</v>
      </c>
      <c r="D823" s="32">
        <v>919990052</v>
      </c>
      <c r="E823" s="32">
        <v>473395439</v>
      </c>
      <c r="F823" s="32" t="s">
        <v>243</v>
      </c>
      <c r="G823" s="32" t="s">
        <v>46</v>
      </c>
      <c r="H823" s="32" t="s">
        <v>18</v>
      </c>
      <c r="I823" s="32">
        <v>784.67600000000004</v>
      </c>
      <c r="J823" s="32">
        <v>26.49</v>
      </c>
      <c r="K823" s="32" t="b">
        <v>1</v>
      </c>
      <c r="L823" s="32" t="s">
        <v>47</v>
      </c>
      <c r="M823" s="32" t="s">
        <v>48</v>
      </c>
      <c r="N823" s="34">
        <v>46143</v>
      </c>
      <c r="O823" s="35" t="str">
        <f t="shared" si="3"/>
        <v>Nguyễn Thế Sự</v>
      </c>
    </row>
    <row r="824" spans="1:15">
      <c r="A824" s="32" t="s">
        <v>242</v>
      </c>
      <c r="B824" s="32" t="s">
        <v>44</v>
      </c>
      <c r="C824" s="33">
        <v>46027</v>
      </c>
      <c r="D824" s="32">
        <v>919990052</v>
      </c>
      <c r="E824" s="32">
        <v>473395439</v>
      </c>
      <c r="F824" s="32" t="s">
        <v>243</v>
      </c>
      <c r="G824" s="32" t="s">
        <v>46</v>
      </c>
      <c r="H824" s="32" t="s">
        <v>18</v>
      </c>
      <c r="I824" s="32">
        <v>813.41600000000005</v>
      </c>
      <c r="J824" s="32">
        <v>130.96299999999999</v>
      </c>
      <c r="K824" s="32" t="b">
        <v>1</v>
      </c>
      <c r="L824" s="32" t="s">
        <v>47</v>
      </c>
      <c r="M824" s="32" t="s">
        <v>48</v>
      </c>
      <c r="N824" s="34">
        <v>46271</v>
      </c>
      <c r="O824" s="35" t="str">
        <f t="shared" si="3"/>
        <v>Nguyễn Thế Sự</v>
      </c>
    </row>
    <row r="825" spans="1:15">
      <c r="A825" s="32" t="s">
        <v>242</v>
      </c>
      <c r="B825" s="32" t="s">
        <v>44</v>
      </c>
      <c r="C825" s="33">
        <v>46027</v>
      </c>
      <c r="D825" s="32">
        <v>919990052</v>
      </c>
      <c r="E825" s="32">
        <v>473395439</v>
      </c>
      <c r="F825" s="32" t="s">
        <v>243</v>
      </c>
      <c r="G825" s="32" t="s">
        <v>46</v>
      </c>
      <c r="H825" s="32" t="s">
        <v>18</v>
      </c>
      <c r="I825" s="32">
        <v>705.61</v>
      </c>
      <c r="J825" s="32">
        <v>124.163</v>
      </c>
      <c r="K825" s="32" t="b">
        <v>1</v>
      </c>
      <c r="L825" s="32" t="s">
        <v>47</v>
      </c>
      <c r="M825" s="32" t="s">
        <v>48</v>
      </c>
      <c r="N825" s="34">
        <v>46030</v>
      </c>
      <c r="O825" s="35" t="str">
        <f t="shared" si="3"/>
        <v>Nguyễn Thế Sự</v>
      </c>
    </row>
    <row r="826" spans="1:15">
      <c r="A826" s="32" t="s">
        <v>242</v>
      </c>
      <c r="B826" s="32" t="s">
        <v>44</v>
      </c>
      <c r="C826" s="33">
        <v>46027</v>
      </c>
      <c r="D826" s="32">
        <v>919990052</v>
      </c>
      <c r="E826" s="32">
        <v>473395439</v>
      </c>
      <c r="F826" s="32" t="s">
        <v>243</v>
      </c>
      <c r="G826" s="32" t="s">
        <v>46</v>
      </c>
      <c r="H826" s="32" t="s">
        <v>18</v>
      </c>
      <c r="I826" s="32">
        <v>766.56799999999998</v>
      </c>
      <c r="J826" s="32">
        <v>101.44</v>
      </c>
      <c r="K826" s="32" t="b">
        <v>1</v>
      </c>
      <c r="L826" s="32" t="s">
        <v>47</v>
      </c>
      <c r="M826" s="32" t="s">
        <v>48</v>
      </c>
      <c r="N826" s="34">
        <v>46269</v>
      </c>
      <c r="O826" s="35" t="str">
        <f t="shared" si="3"/>
        <v>Nguyễn Thế Sự</v>
      </c>
    </row>
    <row r="827" spans="1:15">
      <c r="A827" s="32" t="s">
        <v>242</v>
      </c>
      <c r="B827" s="32" t="s">
        <v>44</v>
      </c>
      <c r="C827" s="33">
        <v>46027</v>
      </c>
      <c r="D827" s="32">
        <v>919990052</v>
      </c>
      <c r="E827" s="32">
        <v>473395439</v>
      </c>
      <c r="F827" s="32" t="s">
        <v>243</v>
      </c>
      <c r="G827" s="32" t="s">
        <v>46</v>
      </c>
      <c r="H827" s="32" t="s">
        <v>18</v>
      </c>
      <c r="I827" s="32">
        <v>809.91</v>
      </c>
      <c r="J827" s="32">
        <v>153.40199999999999</v>
      </c>
      <c r="K827" s="32" t="b">
        <v>1</v>
      </c>
      <c r="L827" s="32" t="s">
        <v>47</v>
      </c>
      <c r="M827" s="32" t="s">
        <v>48</v>
      </c>
      <c r="N827" s="34">
        <v>46184</v>
      </c>
      <c r="O827" s="35" t="str">
        <f t="shared" si="3"/>
        <v>Nguyễn Thế Sự</v>
      </c>
    </row>
    <row r="828" spans="1:15">
      <c r="A828" s="32" t="s">
        <v>242</v>
      </c>
      <c r="B828" s="32" t="s">
        <v>44</v>
      </c>
      <c r="C828" s="33">
        <v>46027</v>
      </c>
      <c r="D828" s="32">
        <v>919990052</v>
      </c>
      <c r="E828" s="32">
        <v>473395439</v>
      </c>
      <c r="F828" s="32" t="s">
        <v>243</v>
      </c>
      <c r="G828" s="32" t="s">
        <v>46</v>
      </c>
      <c r="H828" s="32" t="s">
        <v>18</v>
      </c>
      <c r="I828" s="32">
        <v>695.33</v>
      </c>
      <c r="J828" s="32">
        <v>149.96299999999999</v>
      </c>
      <c r="K828" s="32" t="b">
        <v>1</v>
      </c>
      <c r="L828" s="32" t="s">
        <v>47</v>
      </c>
      <c r="M828" s="32" t="s">
        <v>48</v>
      </c>
      <c r="N828" s="32" t="s">
        <v>153</v>
      </c>
      <c r="O828" s="35" t="str">
        <f t="shared" si="3"/>
        <v>Nguyễn Thế Sự</v>
      </c>
    </row>
    <row r="829" spans="1:15">
      <c r="A829" s="32" t="s">
        <v>133</v>
      </c>
      <c r="B829" s="32" t="s">
        <v>44</v>
      </c>
      <c r="C829" s="33">
        <v>46027</v>
      </c>
      <c r="D829" s="32">
        <v>913632800</v>
      </c>
      <c r="E829" s="32">
        <v>487761475</v>
      </c>
      <c r="F829" s="32" t="s">
        <v>71</v>
      </c>
      <c r="G829" s="32" t="s">
        <v>46</v>
      </c>
      <c r="H829" s="32" t="s">
        <v>51</v>
      </c>
      <c r="I829" s="32">
        <v>1088.1590000000001</v>
      </c>
      <c r="J829" s="32">
        <v>96.614000000000004</v>
      </c>
      <c r="K829" s="32" t="b">
        <v>1</v>
      </c>
      <c r="L829" s="32" t="s">
        <v>47</v>
      </c>
      <c r="M829" s="32" t="s">
        <v>48</v>
      </c>
      <c r="N829" s="34">
        <v>46071</v>
      </c>
      <c r="O829" s="35" t="str">
        <f t="shared" si="3"/>
        <v>Võ Quang Thìn</v>
      </c>
    </row>
    <row r="830" spans="1:15">
      <c r="A830" s="32" t="s">
        <v>242</v>
      </c>
      <c r="B830" s="32" t="s">
        <v>44</v>
      </c>
      <c r="C830" s="33">
        <v>46027</v>
      </c>
      <c r="D830" s="32">
        <v>919990052</v>
      </c>
      <c r="E830" s="32">
        <v>473395439</v>
      </c>
      <c r="F830" s="32" t="s">
        <v>243</v>
      </c>
      <c r="G830" s="32" t="s">
        <v>46</v>
      </c>
      <c r="H830" s="32" t="s">
        <v>18</v>
      </c>
      <c r="I830" s="32">
        <v>702.68899999999996</v>
      </c>
      <c r="J830" s="32">
        <v>119.508</v>
      </c>
      <c r="K830" s="32" t="b">
        <v>1</v>
      </c>
      <c r="L830" s="32" t="s">
        <v>47</v>
      </c>
      <c r="M830" s="32" t="s">
        <v>48</v>
      </c>
      <c r="N830" s="34">
        <v>46237</v>
      </c>
      <c r="O830" s="35" t="str">
        <f t="shared" si="3"/>
        <v>Nguyễn Thế Sự</v>
      </c>
    </row>
    <row r="831" spans="1:15">
      <c r="A831" s="32" t="s">
        <v>242</v>
      </c>
      <c r="B831" s="32" t="s">
        <v>44</v>
      </c>
      <c r="C831" s="33">
        <v>46027</v>
      </c>
      <c r="D831" s="32">
        <v>919990052</v>
      </c>
      <c r="E831" s="32">
        <v>473395439</v>
      </c>
      <c r="F831" s="32" t="s">
        <v>243</v>
      </c>
      <c r="G831" s="32" t="s">
        <v>46</v>
      </c>
      <c r="H831" s="32" t="s">
        <v>18</v>
      </c>
      <c r="I831" s="32">
        <v>644.25800000000004</v>
      </c>
      <c r="J831" s="32">
        <v>127.629</v>
      </c>
      <c r="K831" s="32" t="b">
        <v>1</v>
      </c>
      <c r="L831" s="32" t="s">
        <v>47</v>
      </c>
      <c r="M831" s="32" t="s">
        <v>48</v>
      </c>
      <c r="N831" s="34">
        <v>46028</v>
      </c>
      <c r="O831" s="35" t="str">
        <f t="shared" si="3"/>
        <v>Nguyễn Thế Sự</v>
      </c>
    </row>
    <row r="832" spans="1:15">
      <c r="A832" s="32" t="s">
        <v>242</v>
      </c>
      <c r="B832" s="32" t="s">
        <v>44</v>
      </c>
      <c r="C832" s="33">
        <v>46027</v>
      </c>
      <c r="D832" s="32">
        <v>919990052</v>
      </c>
      <c r="E832" s="32">
        <v>473395439</v>
      </c>
      <c r="F832" s="32" t="s">
        <v>243</v>
      </c>
      <c r="G832" s="32" t="s">
        <v>46</v>
      </c>
      <c r="H832" s="32" t="s">
        <v>18</v>
      </c>
      <c r="I832" s="32">
        <v>605.322</v>
      </c>
      <c r="J832" s="32">
        <v>78.319999999999993</v>
      </c>
      <c r="K832" s="32" t="b">
        <v>1</v>
      </c>
      <c r="L832" s="32" t="s">
        <v>47</v>
      </c>
      <c r="M832" s="32" t="s">
        <v>48</v>
      </c>
      <c r="N832" s="34">
        <v>46208</v>
      </c>
      <c r="O832" s="35" t="str">
        <f t="shared" si="3"/>
        <v>Nguyễn Thế Sự</v>
      </c>
    </row>
    <row r="833" spans="1:15">
      <c r="A833" s="32" t="s">
        <v>245</v>
      </c>
      <c r="B833" s="32" t="s">
        <v>44</v>
      </c>
      <c r="C833" s="33">
        <v>46027</v>
      </c>
      <c r="D833" s="32">
        <v>824903077</v>
      </c>
      <c r="E833" s="32">
        <v>504261715</v>
      </c>
      <c r="F833" s="32" t="s">
        <v>112</v>
      </c>
      <c r="G833" s="32" t="s">
        <v>46</v>
      </c>
      <c r="H833" s="32" t="s">
        <v>87</v>
      </c>
      <c r="I833" s="32">
        <v>125.846</v>
      </c>
      <c r="J833" s="32">
        <v>63.476999999999997</v>
      </c>
      <c r="K833" s="32" t="b">
        <v>1</v>
      </c>
      <c r="L833" s="32" t="s">
        <v>79</v>
      </c>
      <c r="M833" s="32" t="s">
        <v>48</v>
      </c>
      <c r="N833" s="32" t="s">
        <v>246</v>
      </c>
      <c r="O833" s="35" t="str">
        <f t="shared" si="3"/>
        <v>Phạm Đình Thái</v>
      </c>
    </row>
    <row r="834" spans="1:15">
      <c r="A834" s="32" t="s">
        <v>245</v>
      </c>
      <c r="B834" s="32" t="s">
        <v>44</v>
      </c>
      <c r="C834" s="33">
        <v>46027</v>
      </c>
      <c r="D834" s="32">
        <v>824903077</v>
      </c>
      <c r="E834" s="32">
        <v>504261715</v>
      </c>
      <c r="F834" s="32" t="s">
        <v>112</v>
      </c>
      <c r="G834" s="32" t="s">
        <v>46</v>
      </c>
      <c r="H834" s="32" t="s">
        <v>87</v>
      </c>
      <c r="I834" s="32">
        <v>123.07899999999999</v>
      </c>
      <c r="J834" s="32">
        <v>62.594999999999999</v>
      </c>
      <c r="K834" s="32" t="b">
        <v>1</v>
      </c>
      <c r="L834" s="32" t="s">
        <v>79</v>
      </c>
      <c r="M834" s="32" t="s">
        <v>48</v>
      </c>
      <c r="N834" s="34">
        <v>46241</v>
      </c>
      <c r="O834" s="35" t="str">
        <f t="shared" si="3"/>
        <v>Phạm Đình Thái</v>
      </c>
    </row>
    <row r="835" spans="1:15">
      <c r="A835" s="32" t="s">
        <v>245</v>
      </c>
      <c r="B835" s="32" t="s">
        <v>44</v>
      </c>
      <c r="C835" s="33">
        <v>46027</v>
      </c>
      <c r="D835" s="32">
        <v>824903077</v>
      </c>
      <c r="E835" s="32">
        <v>504261715</v>
      </c>
      <c r="F835" s="32" t="s">
        <v>112</v>
      </c>
      <c r="G835" s="32" t="s">
        <v>46</v>
      </c>
      <c r="H835" s="32" t="s">
        <v>87</v>
      </c>
      <c r="I835" s="32">
        <v>120.812</v>
      </c>
      <c r="J835" s="32">
        <v>63.332000000000001</v>
      </c>
      <c r="K835" s="32" t="b">
        <v>1</v>
      </c>
      <c r="L835" s="32" t="s">
        <v>79</v>
      </c>
      <c r="M835" s="32" t="s">
        <v>48</v>
      </c>
      <c r="N835" s="34">
        <v>46118</v>
      </c>
      <c r="O835" s="35" t="str">
        <f t="shared" si="3"/>
        <v>Phạm Đình Thái</v>
      </c>
    </row>
    <row r="836" spans="1:15">
      <c r="A836" s="32" t="s">
        <v>245</v>
      </c>
      <c r="B836" s="32" t="s">
        <v>44</v>
      </c>
      <c r="C836" s="33">
        <v>46027</v>
      </c>
      <c r="D836" s="32">
        <v>824903077</v>
      </c>
      <c r="E836" s="32">
        <v>504261715</v>
      </c>
      <c r="F836" s="32" t="s">
        <v>112</v>
      </c>
      <c r="G836" s="32" t="s">
        <v>46</v>
      </c>
      <c r="H836" s="32" t="s">
        <v>87</v>
      </c>
      <c r="I836" s="32">
        <v>103.961</v>
      </c>
      <c r="J836" s="32">
        <v>64.268000000000001</v>
      </c>
      <c r="K836" s="32" t="b">
        <v>1</v>
      </c>
      <c r="L836" s="32" t="s">
        <v>79</v>
      </c>
      <c r="M836" s="32" t="s">
        <v>48</v>
      </c>
      <c r="N836" s="34">
        <v>46273</v>
      </c>
      <c r="O836" s="35" t="str">
        <f t="shared" si="3"/>
        <v>Phạm Đình Thái</v>
      </c>
    </row>
    <row r="837" spans="1:15">
      <c r="A837" s="32" t="s">
        <v>245</v>
      </c>
      <c r="B837" s="32" t="s">
        <v>44</v>
      </c>
      <c r="C837" s="33">
        <v>46027</v>
      </c>
      <c r="D837" s="32">
        <v>824903077</v>
      </c>
      <c r="E837" s="32">
        <v>504261715</v>
      </c>
      <c r="F837" s="32" t="s">
        <v>112</v>
      </c>
      <c r="G837" s="32" t="s">
        <v>46</v>
      </c>
      <c r="H837" s="32" t="s">
        <v>87</v>
      </c>
      <c r="I837" s="32">
        <v>90.822000000000003</v>
      </c>
      <c r="J837" s="32">
        <v>64.206000000000003</v>
      </c>
      <c r="K837" s="32" t="b">
        <v>1</v>
      </c>
      <c r="L837" s="32" t="s">
        <v>79</v>
      </c>
      <c r="M837" s="32" t="s">
        <v>48</v>
      </c>
      <c r="N837" s="32" t="s">
        <v>105</v>
      </c>
      <c r="O837" s="35" t="str">
        <f t="shared" si="3"/>
        <v>Phạm Đình Thái</v>
      </c>
    </row>
    <row r="838" spans="1:15">
      <c r="A838" s="32" t="s">
        <v>245</v>
      </c>
      <c r="B838" s="32" t="s">
        <v>44</v>
      </c>
      <c r="C838" s="33">
        <v>46027</v>
      </c>
      <c r="D838" s="32">
        <v>824903077</v>
      </c>
      <c r="E838" s="32">
        <v>504261715</v>
      </c>
      <c r="F838" s="32" t="s">
        <v>112</v>
      </c>
      <c r="G838" s="32" t="s">
        <v>46</v>
      </c>
      <c r="H838" s="32" t="s">
        <v>87</v>
      </c>
      <c r="I838" s="32">
        <v>114.664</v>
      </c>
      <c r="J838" s="32">
        <v>63.215000000000003</v>
      </c>
      <c r="K838" s="32" t="b">
        <v>1</v>
      </c>
      <c r="L838" s="32" t="s">
        <v>79</v>
      </c>
      <c r="M838" s="32" t="s">
        <v>48</v>
      </c>
      <c r="N838" s="34">
        <v>46117</v>
      </c>
      <c r="O838" s="35" t="str">
        <f t="shared" si="3"/>
        <v>Phạm Đình Thái</v>
      </c>
    </row>
    <row r="839" spans="1:15">
      <c r="A839" s="32" t="s">
        <v>245</v>
      </c>
      <c r="B839" s="32" t="s">
        <v>44</v>
      </c>
      <c r="C839" s="33">
        <v>46027</v>
      </c>
      <c r="D839" s="32">
        <v>824903077</v>
      </c>
      <c r="E839" s="32">
        <v>504261715</v>
      </c>
      <c r="F839" s="32" t="s">
        <v>112</v>
      </c>
      <c r="G839" s="32" t="s">
        <v>46</v>
      </c>
      <c r="H839" s="32" t="s">
        <v>87</v>
      </c>
      <c r="I839" s="32">
        <v>108.553</v>
      </c>
      <c r="J839" s="32">
        <v>63.886000000000003</v>
      </c>
      <c r="K839" s="32" t="b">
        <v>1</v>
      </c>
      <c r="L839" s="32" t="s">
        <v>79</v>
      </c>
      <c r="M839" s="32" t="s">
        <v>48</v>
      </c>
      <c r="N839" s="34">
        <v>46238</v>
      </c>
      <c r="O839" s="35" t="str">
        <f t="shared" si="3"/>
        <v>Phạm Đình Thái</v>
      </c>
    </row>
    <row r="840" spans="1:15">
      <c r="A840" s="32" t="s">
        <v>245</v>
      </c>
      <c r="B840" s="32" t="s">
        <v>44</v>
      </c>
      <c r="C840" s="33">
        <v>46027</v>
      </c>
      <c r="D840" s="32">
        <v>824903077</v>
      </c>
      <c r="E840" s="32">
        <v>504261715</v>
      </c>
      <c r="F840" s="32" t="s">
        <v>112</v>
      </c>
      <c r="G840" s="32" t="s">
        <v>46</v>
      </c>
      <c r="H840" s="32" t="s">
        <v>87</v>
      </c>
      <c r="I840" s="32">
        <v>105.357</v>
      </c>
      <c r="J840" s="32">
        <v>64.298000000000002</v>
      </c>
      <c r="K840" s="32" t="b">
        <v>1</v>
      </c>
      <c r="L840" s="32" t="s">
        <v>79</v>
      </c>
      <c r="M840" s="32" t="s">
        <v>48</v>
      </c>
      <c r="N840" s="34">
        <v>46184</v>
      </c>
      <c r="O840" s="35" t="str">
        <f t="shared" si="3"/>
        <v>Phạm Đình Thái</v>
      </c>
    </row>
    <row r="841" spans="1:15">
      <c r="A841" s="32" t="s">
        <v>245</v>
      </c>
      <c r="B841" s="32" t="s">
        <v>44</v>
      </c>
      <c r="C841" s="33">
        <v>46027</v>
      </c>
      <c r="D841" s="32">
        <v>824903077</v>
      </c>
      <c r="E841" s="32">
        <v>504261715</v>
      </c>
      <c r="F841" s="32" t="s">
        <v>112</v>
      </c>
      <c r="G841" s="32" t="s">
        <v>46</v>
      </c>
      <c r="H841" s="32" t="s">
        <v>87</v>
      </c>
      <c r="I841" s="32">
        <v>108.14700000000001</v>
      </c>
      <c r="J841" s="32">
        <v>63.704999999999998</v>
      </c>
      <c r="K841" s="32" t="b">
        <v>1</v>
      </c>
      <c r="L841" s="32" t="s">
        <v>79</v>
      </c>
      <c r="M841" s="32" t="s">
        <v>48</v>
      </c>
      <c r="N841" s="34">
        <v>46060</v>
      </c>
      <c r="O841" s="35" t="str">
        <f t="shared" si="3"/>
        <v>Phạm Đình Thái</v>
      </c>
    </row>
    <row r="842" spans="1:15">
      <c r="A842" s="32" t="s">
        <v>245</v>
      </c>
      <c r="B842" s="32" t="s">
        <v>44</v>
      </c>
      <c r="C842" s="33">
        <v>46027</v>
      </c>
      <c r="D842" s="32">
        <v>824903077</v>
      </c>
      <c r="E842" s="32">
        <v>504261715</v>
      </c>
      <c r="F842" s="32" t="s">
        <v>112</v>
      </c>
      <c r="G842" s="32" t="s">
        <v>46</v>
      </c>
      <c r="H842" s="32" t="s">
        <v>87</v>
      </c>
      <c r="I842" s="32">
        <v>107.23699999999999</v>
      </c>
      <c r="J842" s="32">
        <v>61.365000000000002</v>
      </c>
      <c r="K842" s="32" t="b">
        <v>1</v>
      </c>
      <c r="L842" s="32" t="s">
        <v>79</v>
      </c>
      <c r="M842" s="32" t="s">
        <v>48</v>
      </c>
      <c r="N842" s="34">
        <v>46151</v>
      </c>
      <c r="O842" s="35" t="str">
        <f t="shared" si="3"/>
        <v>Phạm Đình Thái</v>
      </c>
    </row>
    <row r="843" spans="1:15">
      <c r="A843" s="32" t="s">
        <v>245</v>
      </c>
      <c r="B843" s="32" t="s">
        <v>44</v>
      </c>
      <c r="C843" s="33">
        <v>46027</v>
      </c>
      <c r="D843" s="32">
        <v>824903077</v>
      </c>
      <c r="E843" s="32">
        <v>504261715</v>
      </c>
      <c r="F843" s="32" t="s">
        <v>112</v>
      </c>
      <c r="G843" s="32" t="s">
        <v>46</v>
      </c>
      <c r="H843" s="32" t="s">
        <v>87</v>
      </c>
      <c r="I843" s="32">
        <v>117.717</v>
      </c>
      <c r="J843" s="32">
        <v>63.505000000000003</v>
      </c>
      <c r="K843" s="32" t="b">
        <v>1</v>
      </c>
      <c r="L843" s="32" t="s">
        <v>79</v>
      </c>
      <c r="M843" s="32" t="s">
        <v>48</v>
      </c>
      <c r="N843" s="34">
        <v>46238</v>
      </c>
      <c r="O843" s="35" t="str">
        <f t="shared" si="3"/>
        <v>Phạm Đình Thái</v>
      </c>
    </row>
    <row r="844" spans="1:15">
      <c r="A844" s="32" t="s">
        <v>245</v>
      </c>
      <c r="B844" s="32" t="s">
        <v>44</v>
      </c>
      <c r="C844" s="33">
        <v>46027</v>
      </c>
      <c r="D844" s="32">
        <v>824903077</v>
      </c>
      <c r="E844" s="32">
        <v>504261715</v>
      </c>
      <c r="F844" s="32" t="s">
        <v>112</v>
      </c>
      <c r="G844" s="32" t="s">
        <v>46</v>
      </c>
      <c r="H844" s="32" t="s">
        <v>87</v>
      </c>
      <c r="I844" s="32">
        <v>106.12</v>
      </c>
      <c r="J844" s="32">
        <v>63.37</v>
      </c>
      <c r="K844" s="32" t="b">
        <v>1</v>
      </c>
      <c r="L844" s="32" t="s">
        <v>79</v>
      </c>
      <c r="M844" s="32" t="s">
        <v>48</v>
      </c>
      <c r="N844" s="34">
        <v>46183</v>
      </c>
      <c r="O844" s="35" t="str">
        <f t="shared" si="3"/>
        <v>Phạm Đình Thái</v>
      </c>
    </row>
    <row r="845" spans="1:15">
      <c r="A845" s="32" t="s">
        <v>245</v>
      </c>
      <c r="B845" s="32" t="s">
        <v>44</v>
      </c>
      <c r="C845" s="33">
        <v>46027</v>
      </c>
      <c r="D845" s="32">
        <v>824903077</v>
      </c>
      <c r="E845" s="32">
        <v>504261715</v>
      </c>
      <c r="F845" s="32" t="s">
        <v>112</v>
      </c>
      <c r="G845" s="32" t="s">
        <v>46</v>
      </c>
      <c r="H845" s="32" t="s">
        <v>87</v>
      </c>
      <c r="I845" s="32">
        <v>112.57</v>
      </c>
      <c r="J845" s="32">
        <v>60.414000000000001</v>
      </c>
      <c r="K845" s="32" t="b">
        <v>1</v>
      </c>
      <c r="L845" s="32" t="s">
        <v>79</v>
      </c>
      <c r="M845" s="32" t="s">
        <v>48</v>
      </c>
      <c r="N845" s="34">
        <v>46123</v>
      </c>
      <c r="O845" s="35" t="str">
        <f t="shared" si="3"/>
        <v>Phạm Đình Thái</v>
      </c>
    </row>
    <row r="846" spans="1:15">
      <c r="A846" s="32" t="s">
        <v>245</v>
      </c>
      <c r="B846" s="32" t="s">
        <v>44</v>
      </c>
      <c r="C846" s="33">
        <v>46027</v>
      </c>
      <c r="D846" s="32">
        <v>824903077</v>
      </c>
      <c r="E846" s="32">
        <v>504261715</v>
      </c>
      <c r="F846" s="32" t="s">
        <v>112</v>
      </c>
      <c r="G846" s="32" t="s">
        <v>46</v>
      </c>
      <c r="H846" s="32" t="s">
        <v>87</v>
      </c>
      <c r="I846" s="32">
        <v>127.19199999999999</v>
      </c>
      <c r="J846" s="32">
        <v>62.686999999999998</v>
      </c>
      <c r="K846" s="32" t="b">
        <v>1</v>
      </c>
      <c r="L846" s="32" t="s">
        <v>79</v>
      </c>
      <c r="M846" s="32" t="s">
        <v>48</v>
      </c>
      <c r="N846" s="34">
        <v>46274</v>
      </c>
      <c r="O846" s="35" t="str">
        <f t="shared" si="3"/>
        <v>Phạm Đình Thái</v>
      </c>
    </row>
    <row r="847" spans="1:15">
      <c r="A847" s="32" t="s">
        <v>245</v>
      </c>
      <c r="B847" s="32" t="s">
        <v>44</v>
      </c>
      <c r="C847" s="33">
        <v>46027</v>
      </c>
      <c r="D847" s="32">
        <v>824903077</v>
      </c>
      <c r="E847" s="32">
        <v>504261715</v>
      </c>
      <c r="F847" s="32" t="s">
        <v>112</v>
      </c>
      <c r="G847" s="32" t="s">
        <v>46</v>
      </c>
      <c r="H847" s="32" t="s">
        <v>87</v>
      </c>
      <c r="I847" s="32">
        <v>100.44799999999999</v>
      </c>
      <c r="J847" s="32">
        <v>63.058</v>
      </c>
      <c r="K847" s="32" t="b">
        <v>1</v>
      </c>
      <c r="L847" s="32" t="s">
        <v>79</v>
      </c>
      <c r="M847" s="32" t="s">
        <v>48</v>
      </c>
      <c r="N847" s="34">
        <v>46088</v>
      </c>
      <c r="O847" s="35" t="str">
        <f t="shared" si="3"/>
        <v>Phạm Đình Thái</v>
      </c>
    </row>
    <row r="848" spans="1:15">
      <c r="A848" s="32" t="s">
        <v>96</v>
      </c>
      <c r="B848" s="32" t="s">
        <v>44</v>
      </c>
      <c r="C848" s="33">
        <v>46027</v>
      </c>
      <c r="D848" s="32">
        <v>914390007</v>
      </c>
      <c r="E848" s="32">
        <v>504830634</v>
      </c>
      <c r="F848" s="32" t="s">
        <v>60</v>
      </c>
      <c r="G848" s="32" t="s">
        <v>46</v>
      </c>
      <c r="H848" s="32" t="s">
        <v>51</v>
      </c>
      <c r="I848" s="32">
        <v>75.588999999999999</v>
      </c>
      <c r="J848" s="32">
        <v>37.237000000000002</v>
      </c>
      <c r="K848" s="32" t="b">
        <v>1</v>
      </c>
      <c r="L848" s="32" t="s">
        <v>47</v>
      </c>
      <c r="M848" s="32" t="s">
        <v>48</v>
      </c>
      <c r="N848" s="34">
        <v>46082</v>
      </c>
      <c r="O848" s="35" t="str">
        <f t="shared" si="3"/>
        <v>Võ Quốc Huy</v>
      </c>
    </row>
    <row r="849" spans="1:15">
      <c r="A849" s="32" t="s">
        <v>235</v>
      </c>
      <c r="B849" s="32" t="s">
        <v>44</v>
      </c>
      <c r="C849" s="33">
        <v>46027</v>
      </c>
      <c r="D849" s="32">
        <v>912223973</v>
      </c>
      <c r="E849" s="32">
        <v>427392630</v>
      </c>
      <c r="F849" s="32" t="s">
        <v>95</v>
      </c>
      <c r="G849" s="32" t="s">
        <v>46</v>
      </c>
      <c r="H849" s="32" t="s">
        <v>51</v>
      </c>
      <c r="I849" s="32">
        <v>78.159000000000006</v>
      </c>
      <c r="J849" s="32">
        <v>11.015000000000001</v>
      </c>
      <c r="K849" s="32" t="b">
        <v>1</v>
      </c>
      <c r="L849" s="32" t="s">
        <v>47</v>
      </c>
      <c r="M849" s="32" t="s">
        <v>48</v>
      </c>
      <c r="N849" s="34">
        <v>46267</v>
      </c>
      <c r="O849" s="35" t="str">
        <f t="shared" si="3"/>
        <v>Lại Quang Vinh</v>
      </c>
    </row>
    <row r="850" spans="1:15">
      <c r="A850" s="32" t="s">
        <v>235</v>
      </c>
      <c r="B850" s="32" t="s">
        <v>44</v>
      </c>
      <c r="C850" s="33">
        <v>46027</v>
      </c>
      <c r="D850" s="32">
        <v>912223973</v>
      </c>
      <c r="E850" s="32">
        <v>427392630</v>
      </c>
      <c r="F850" s="32" t="s">
        <v>95</v>
      </c>
      <c r="G850" s="32" t="s">
        <v>46</v>
      </c>
      <c r="H850" s="32" t="s">
        <v>51</v>
      </c>
      <c r="I850" s="32">
        <v>76.265000000000001</v>
      </c>
      <c r="J850" s="32">
        <v>18.591000000000001</v>
      </c>
      <c r="K850" s="32" t="b">
        <v>1</v>
      </c>
      <c r="L850" s="32" t="s">
        <v>47</v>
      </c>
      <c r="M850" s="32" t="s">
        <v>48</v>
      </c>
      <c r="N850" s="34">
        <v>46147</v>
      </c>
      <c r="O850" s="35" t="str">
        <f t="shared" si="3"/>
        <v>Lại Quang Vinh</v>
      </c>
    </row>
    <row r="851" spans="1:15">
      <c r="A851" s="32" t="s">
        <v>235</v>
      </c>
      <c r="B851" s="32" t="s">
        <v>44</v>
      </c>
      <c r="C851" s="33">
        <v>46027</v>
      </c>
      <c r="D851" s="32">
        <v>912223973</v>
      </c>
      <c r="E851" s="32">
        <v>427392630</v>
      </c>
      <c r="F851" s="32" t="s">
        <v>95</v>
      </c>
      <c r="G851" s="32" t="s">
        <v>46</v>
      </c>
      <c r="H851" s="32" t="s">
        <v>51</v>
      </c>
      <c r="I851" s="32">
        <v>82.373999999999995</v>
      </c>
      <c r="J851" s="32">
        <v>20.271000000000001</v>
      </c>
      <c r="K851" s="32" t="b">
        <v>1</v>
      </c>
      <c r="L851" s="32" t="s">
        <v>47</v>
      </c>
      <c r="M851" s="32" t="s">
        <v>48</v>
      </c>
      <c r="N851" s="34">
        <v>46057</v>
      </c>
      <c r="O851" s="35" t="str">
        <f t="shared" si="3"/>
        <v>Lại Quang Vinh</v>
      </c>
    </row>
    <row r="852" spans="1:15">
      <c r="A852" s="32" t="s">
        <v>235</v>
      </c>
      <c r="B852" s="32" t="s">
        <v>44</v>
      </c>
      <c r="C852" s="33">
        <v>46027</v>
      </c>
      <c r="D852" s="32">
        <v>912223973</v>
      </c>
      <c r="E852" s="32">
        <v>427392630</v>
      </c>
      <c r="F852" s="32" t="s">
        <v>95</v>
      </c>
      <c r="G852" s="32" t="s">
        <v>46</v>
      </c>
      <c r="H852" s="32" t="s">
        <v>51</v>
      </c>
      <c r="I852" s="32">
        <v>84.046000000000006</v>
      </c>
      <c r="J852" s="32">
        <v>21.376000000000001</v>
      </c>
      <c r="K852" s="32" t="b">
        <v>1</v>
      </c>
      <c r="L852" s="32" t="s">
        <v>47</v>
      </c>
      <c r="M852" s="32" t="s">
        <v>48</v>
      </c>
      <c r="N852" s="34">
        <v>46086</v>
      </c>
      <c r="O852" s="35" t="str">
        <f t="shared" si="3"/>
        <v>Lại Quang Vinh</v>
      </c>
    </row>
    <row r="853" spans="1:15">
      <c r="A853" s="32" t="s">
        <v>235</v>
      </c>
      <c r="B853" s="32" t="s">
        <v>44</v>
      </c>
      <c r="C853" s="33">
        <v>46027</v>
      </c>
      <c r="D853" s="32">
        <v>912223973</v>
      </c>
      <c r="E853" s="32">
        <v>427392630</v>
      </c>
      <c r="F853" s="32" t="s">
        <v>95</v>
      </c>
      <c r="G853" s="32" t="s">
        <v>46</v>
      </c>
      <c r="H853" s="32" t="s">
        <v>51</v>
      </c>
      <c r="I853" s="32">
        <v>75.283000000000001</v>
      </c>
      <c r="J853" s="32">
        <v>12.989000000000001</v>
      </c>
      <c r="K853" s="32" t="b">
        <v>1</v>
      </c>
      <c r="L853" s="32" t="s">
        <v>47</v>
      </c>
      <c r="M853" s="32" t="s">
        <v>48</v>
      </c>
      <c r="N853" s="32" t="s">
        <v>191</v>
      </c>
      <c r="O853" s="35" t="str">
        <f t="shared" si="3"/>
        <v>Lại Quang Vinh</v>
      </c>
    </row>
    <row r="854" spans="1:15">
      <c r="A854" s="32" t="s">
        <v>52</v>
      </c>
      <c r="B854" s="32" t="s">
        <v>44</v>
      </c>
      <c r="C854" s="33">
        <v>46027</v>
      </c>
      <c r="D854" s="32">
        <v>915282271</v>
      </c>
      <c r="E854" s="32">
        <v>437354149</v>
      </c>
      <c r="F854" s="32" t="s">
        <v>53</v>
      </c>
      <c r="G854" s="32" t="s">
        <v>46</v>
      </c>
      <c r="H854" s="32" t="s">
        <v>58</v>
      </c>
      <c r="I854" s="32">
        <v>1079.8910000000001</v>
      </c>
      <c r="J854" s="32">
        <v>164.75399999999999</v>
      </c>
      <c r="K854" s="32" t="b">
        <v>1</v>
      </c>
      <c r="L854" s="32" t="s">
        <v>47</v>
      </c>
      <c r="M854" s="32" t="s">
        <v>48</v>
      </c>
      <c r="N854" s="34">
        <v>46084</v>
      </c>
      <c r="O854" s="35" t="str">
        <f t="shared" si="3"/>
        <v>Nguyễn Hoàng Tuấn</v>
      </c>
    </row>
    <row r="855" spans="1:15">
      <c r="A855" s="32" t="s">
        <v>52</v>
      </c>
      <c r="B855" s="32" t="s">
        <v>44</v>
      </c>
      <c r="C855" s="33">
        <v>46027</v>
      </c>
      <c r="D855" s="32">
        <v>915282271</v>
      </c>
      <c r="E855" s="32">
        <v>437354149</v>
      </c>
      <c r="F855" s="32" t="s">
        <v>53</v>
      </c>
      <c r="G855" s="32" t="s">
        <v>46</v>
      </c>
      <c r="H855" s="32" t="s">
        <v>58</v>
      </c>
      <c r="I855" s="32">
        <v>1079.8910000000001</v>
      </c>
      <c r="J855" s="32">
        <v>164.75399999999999</v>
      </c>
      <c r="K855" s="32" t="b">
        <v>1</v>
      </c>
      <c r="L855" s="32" t="s">
        <v>47</v>
      </c>
      <c r="M855" s="32" t="s">
        <v>48</v>
      </c>
      <c r="N855" s="34">
        <v>46084</v>
      </c>
      <c r="O855" s="35" t="str">
        <f t="shared" si="3"/>
        <v>Nguyễn Hoàng Tuấn</v>
      </c>
    </row>
    <row r="856" spans="1:15">
      <c r="A856" s="32" t="s">
        <v>247</v>
      </c>
      <c r="B856" s="32" t="s">
        <v>44</v>
      </c>
      <c r="C856" s="33">
        <v>46026</v>
      </c>
      <c r="D856" s="32">
        <v>919256783</v>
      </c>
      <c r="E856" s="32">
        <v>358567066</v>
      </c>
      <c r="F856" s="32" t="s">
        <v>248</v>
      </c>
      <c r="G856" s="32" t="s">
        <v>46</v>
      </c>
      <c r="H856" s="32" t="s">
        <v>18</v>
      </c>
      <c r="I856" s="32">
        <v>71.858000000000004</v>
      </c>
      <c r="J856" s="32">
        <v>15.927</v>
      </c>
      <c r="K856" s="32" t="b">
        <v>0</v>
      </c>
      <c r="L856" s="32" t="s">
        <v>79</v>
      </c>
      <c r="M856" s="32" t="s">
        <v>48</v>
      </c>
      <c r="N856" s="34">
        <v>46061</v>
      </c>
      <c r="O856" s="35" t="str">
        <f t="shared" si="3"/>
        <v>Nguyễn Văn Cường</v>
      </c>
    </row>
    <row r="857" spans="1:15">
      <c r="A857" s="32" t="s">
        <v>247</v>
      </c>
      <c r="B857" s="32" t="s">
        <v>44</v>
      </c>
      <c r="C857" s="33">
        <v>46026</v>
      </c>
      <c r="D857" s="32">
        <v>919256783</v>
      </c>
      <c r="E857" s="32">
        <v>358567066</v>
      </c>
      <c r="F857" s="32" t="s">
        <v>248</v>
      </c>
      <c r="G857" s="32" t="s">
        <v>46</v>
      </c>
      <c r="H857" s="32" t="s">
        <v>18</v>
      </c>
      <c r="I857" s="32">
        <v>103.873</v>
      </c>
      <c r="J857" s="32">
        <v>21.085999999999999</v>
      </c>
      <c r="K857" s="32" t="b">
        <v>0</v>
      </c>
      <c r="L857" s="32" t="s">
        <v>79</v>
      </c>
      <c r="M857" s="32" t="s">
        <v>48</v>
      </c>
      <c r="N857" s="34">
        <v>46151</v>
      </c>
      <c r="O857" s="35" t="str">
        <f t="shared" si="3"/>
        <v>Nguyễn Văn Cường</v>
      </c>
    </row>
    <row r="858" spans="1:15">
      <c r="A858" s="32" t="s">
        <v>247</v>
      </c>
      <c r="B858" s="32" t="s">
        <v>44</v>
      </c>
      <c r="C858" s="33">
        <v>46026</v>
      </c>
      <c r="D858" s="32">
        <v>919256783</v>
      </c>
      <c r="E858" s="32">
        <v>358567066</v>
      </c>
      <c r="F858" s="32" t="s">
        <v>248</v>
      </c>
      <c r="G858" s="32" t="s">
        <v>46</v>
      </c>
      <c r="H858" s="32" t="s">
        <v>18</v>
      </c>
      <c r="I858" s="32">
        <v>102.414</v>
      </c>
      <c r="J858" s="32">
        <v>27.452999999999999</v>
      </c>
      <c r="K858" s="32" t="b">
        <v>0</v>
      </c>
      <c r="L858" s="32" t="s">
        <v>79</v>
      </c>
      <c r="M858" s="32" t="s">
        <v>48</v>
      </c>
      <c r="N858" s="32" t="s">
        <v>123</v>
      </c>
      <c r="O858" s="35" t="str">
        <f t="shared" si="3"/>
        <v>Nguyễn Văn Cường</v>
      </c>
    </row>
    <row r="859" spans="1:15">
      <c r="A859" s="32" t="s">
        <v>247</v>
      </c>
      <c r="B859" s="32" t="s">
        <v>44</v>
      </c>
      <c r="C859" s="33">
        <v>46026</v>
      </c>
      <c r="D859" s="32">
        <v>919256783</v>
      </c>
      <c r="E859" s="32">
        <v>358567066</v>
      </c>
      <c r="F859" s="32" t="s">
        <v>248</v>
      </c>
      <c r="G859" s="32" t="s">
        <v>46</v>
      </c>
      <c r="H859" s="32" t="s">
        <v>18</v>
      </c>
      <c r="I859" s="32">
        <v>78.988</v>
      </c>
      <c r="J859" s="32">
        <v>20.61</v>
      </c>
      <c r="K859" s="32" t="b">
        <v>0</v>
      </c>
      <c r="L859" s="32" t="s">
        <v>79</v>
      </c>
      <c r="M859" s="32" t="s">
        <v>48</v>
      </c>
      <c r="N859" s="34">
        <v>46149</v>
      </c>
      <c r="O859" s="35" t="str">
        <f t="shared" si="3"/>
        <v>Nguyễn Văn Cường</v>
      </c>
    </row>
    <row r="860" spans="1:15">
      <c r="A860" s="32" t="s">
        <v>247</v>
      </c>
      <c r="B860" s="32" t="s">
        <v>44</v>
      </c>
      <c r="C860" s="33">
        <v>46026</v>
      </c>
      <c r="D860" s="32">
        <v>919256783</v>
      </c>
      <c r="E860" s="32">
        <v>358567066</v>
      </c>
      <c r="F860" s="32" t="s">
        <v>248</v>
      </c>
      <c r="G860" s="32" t="s">
        <v>46</v>
      </c>
      <c r="H860" s="32" t="s">
        <v>18</v>
      </c>
      <c r="I860" s="32">
        <v>87.814999999999998</v>
      </c>
      <c r="J860" s="32">
        <v>29.812999999999999</v>
      </c>
      <c r="K860" s="32" t="b">
        <v>0</v>
      </c>
      <c r="L860" s="32" t="s">
        <v>79</v>
      </c>
      <c r="M860" s="32" t="s">
        <v>48</v>
      </c>
      <c r="N860" s="34">
        <v>46176</v>
      </c>
      <c r="O860" s="35" t="str">
        <f t="shared" si="3"/>
        <v>Nguyễn Văn Cường</v>
      </c>
    </row>
    <row r="861" spans="1:15">
      <c r="A861" s="32" t="s">
        <v>247</v>
      </c>
      <c r="B861" s="32" t="s">
        <v>44</v>
      </c>
      <c r="C861" s="33">
        <v>46026</v>
      </c>
      <c r="D861" s="32">
        <v>919256783</v>
      </c>
      <c r="E861" s="32">
        <v>358567066</v>
      </c>
      <c r="F861" s="32" t="s">
        <v>248</v>
      </c>
      <c r="G861" s="32" t="s">
        <v>46</v>
      </c>
      <c r="H861" s="32" t="s">
        <v>18</v>
      </c>
      <c r="I861" s="32">
        <v>87.228999999999999</v>
      </c>
      <c r="J861" s="32">
        <v>25.04</v>
      </c>
      <c r="K861" s="32" t="b">
        <v>0</v>
      </c>
      <c r="L861" s="32" t="s">
        <v>79</v>
      </c>
      <c r="M861" s="32" t="s">
        <v>48</v>
      </c>
      <c r="N861" s="32" t="s">
        <v>105</v>
      </c>
      <c r="O861" s="35" t="str">
        <f t="shared" si="3"/>
        <v>Nguyễn Văn Cường</v>
      </c>
    </row>
    <row r="862" spans="1:15">
      <c r="A862" s="32" t="s">
        <v>247</v>
      </c>
      <c r="B862" s="32" t="s">
        <v>44</v>
      </c>
      <c r="C862" s="33">
        <v>46026</v>
      </c>
      <c r="D862" s="32">
        <v>919256783</v>
      </c>
      <c r="E862" s="32">
        <v>358567066</v>
      </c>
      <c r="F862" s="32" t="s">
        <v>248</v>
      </c>
      <c r="G862" s="32" t="s">
        <v>46</v>
      </c>
      <c r="H862" s="32" t="s">
        <v>18</v>
      </c>
      <c r="I862" s="32">
        <v>90.055999999999997</v>
      </c>
      <c r="J862" s="32">
        <v>20.972000000000001</v>
      </c>
      <c r="K862" s="32" t="b">
        <v>0</v>
      </c>
      <c r="L862" s="32" t="s">
        <v>79</v>
      </c>
      <c r="M862" s="32" t="s">
        <v>48</v>
      </c>
      <c r="N862" s="34">
        <v>46269</v>
      </c>
      <c r="O862" s="35" t="str">
        <f t="shared" si="3"/>
        <v>Nguyễn Văn Cường</v>
      </c>
    </row>
    <row r="863" spans="1:15">
      <c r="A863" s="32" t="s">
        <v>247</v>
      </c>
      <c r="B863" s="32" t="s">
        <v>44</v>
      </c>
      <c r="C863" s="33">
        <v>46026</v>
      </c>
      <c r="D863" s="32">
        <v>919256783</v>
      </c>
      <c r="E863" s="32">
        <v>358567066</v>
      </c>
      <c r="F863" s="32" t="s">
        <v>248</v>
      </c>
      <c r="G863" s="32" t="s">
        <v>46</v>
      </c>
      <c r="H863" s="32" t="s">
        <v>18</v>
      </c>
      <c r="I863" s="32">
        <v>85.037000000000006</v>
      </c>
      <c r="J863" s="32">
        <v>29.9</v>
      </c>
      <c r="K863" s="32" t="b">
        <v>0</v>
      </c>
      <c r="L863" s="32" t="s">
        <v>79</v>
      </c>
      <c r="M863" s="32" t="s">
        <v>48</v>
      </c>
      <c r="N863" s="34">
        <v>46090</v>
      </c>
      <c r="O863" s="35" t="str">
        <f t="shared" si="3"/>
        <v>Nguyễn Văn Cường</v>
      </c>
    </row>
    <row r="864" spans="1:15">
      <c r="A864" s="32" t="s">
        <v>247</v>
      </c>
      <c r="B864" s="32" t="s">
        <v>44</v>
      </c>
      <c r="C864" s="33">
        <v>46026</v>
      </c>
      <c r="D864" s="32">
        <v>919256783</v>
      </c>
      <c r="E864" s="32">
        <v>358567066</v>
      </c>
      <c r="F864" s="32" t="s">
        <v>248</v>
      </c>
      <c r="G864" s="32" t="s">
        <v>46</v>
      </c>
      <c r="H864" s="32" t="s">
        <v>18</v>
      </c>
      <c r="I864" s="32">
        <v>72.986000000000004</v>
      </c>
      <c r="J864" s="32">
        <v>25.381</v>
      </c>
      <c r="K864" s="32" t="b">
        <v>0</v>
      </c>
      <c r="L864" s="32" t="s">
        <v>79</v>
      </c>
      <c r="M864" s="32" t="s">
        <v>48</v>
      </c>
      <c r="N864" s="34">
        <v>46059</v>
      </c>
      <c r="O864" s="35" t="str">
        <f t="shared" si="3"/>
        <v>Nguyễn Văn Cường</v>
      </c>
    </row>
    <row r="865" spans="1:15">
      <c r="A865" s="32" t="s">
        <v>247</v>
      </c>
      <c r="B865" s="32" t="s">
        <v>44</v>
      </c>
      <c r="C865" s="33">
        <v>46026</v>
      </c>
      <c r="D865" s="32">
        <v>919256783</v>
      </c>
      <c r="E865" s="32">
        <v>358567066</v>
      </c>
      <c r="F865" s="32" t="s">
        <v>248</v>
      </c>
      <c r="G865" s="32" t="s">
        <v>46</v>
      </c>
      <c r="H865" s="32" t="s">
        <v>18</v>
      </c>
      <c r="I865" s="32">
        <v>69.757000000000005</v>
      </c>
      <c r="J865" s="32">
        <v>12.292999999999999</v>
      </c>
      <c r="K865" s="32" t="b">
        <v>0</v>
      </c>
      <c r="L865" s="32" t="s">
        <v>79</v>
      </c>
      <c r="M865" s="32" t="s">
        <v>48</v>
      </c>
      <c r="N865" s="32" t="s">
        <v>214</v>
      </c>
      <c r="O865" s="35" t="str">
        <f t="shared" si="3"/>
        <v>Nguyễn Văn Cường</v>
      </c>
    </row>
    <row r="866" spans="1:15">
      <c r="A866" s="32" t="s">
        <v>247</v>
      </c>
      <c r="B866" s="32" t="s">
        <v>44</v>
      </c>
      <c r="C866" s="33">
        <v>46026</v>
      </c>
      <c r="D866" s="32">
        <v>919256783</v>
      </c>
      <c r="E866" s="32">
        <v>358567066</v>
      </c>
      <c r="F866" s="32" t="s">
        <v>248</v>
      </c>
      <c r="G866" s="32" t="s">
        <v>46</v>
      </c>
      <c r="H866" s="32" t="s">
        <v>18</v>
      </c>
      <c r="I866" s="32">
        <v>84.424000000000007</v>
      </c>
      <c r="J866" s="32">
        <v>16.497</v>
      </c>
      <c r="K866" s="32" t="b">
        <v>0</v>
      </c>
      <c r="L866" s="32" t="s">
        <v>79</v>
      </c>
      <c r="M866" s="32" t="s">
        <v>48</v>
      </c>
      <c r="N866" s="34">
        <v>46206</v>
      </c>
      <c r="O866" s="35" t="str">
        <f t="shared" si="3"/>
        <v>Nguyễn Văn Cường</v>
      </c>
    </row>
    <row r="867" spans="1:15">
      <c r="A867" s="32" t="s">
        <v>247</v>
      </c>
      <c r="B867" s="32" t="s">
        <v>44</v>
      </c>
      <c r="C867" s="33">
        <v>46026</v>
      </c>
      <c r="D867" s="32">
        <v>919256783</v>
      </c>
      <c r="E867" s="32">
        <v>358567066</v>
      </c>
      <c r="F867" s="32" t="s">
        <v>248</v>
      </c>
      <c r="G867" s="32" t="s">
        <v>46</v>
      </c>
      <c r="H867" s="32" t="s">
        <v>18</v>
      </c>
      <c r="I867" s="32">
        <v>92.384</v>
      </c>
      <c r="J867" s="32">
        <v>23.527999999999999</v>
      </c>
      <c r="K867" s="32" t="b">
        <v>0</v>
      </c>
      <c r="L867" s="32" t="s">
        <v>79</v>
      </c>
      <c r="M867" s="32" t="s">
        <v>48</v>
      </c>
      <c r="N867" s="34">
        <v>46276</v>
      </c>
      <c r="O867" s="35" t="str">
        <f t="shared" si="3"/>
        <v>Nguyễn Văn Cường</v>
      </c>
    </row>
    <row r="868" spans="1:15">
      <c r="A868" s="32" t="s">
        <v>247</v>
      </c>
      <c r="B868" s="32" t="s">
        <v>44</v>
      </c>
      <c r="C868" s="33">
        <v>46026</v>
      </c>
      <c r="D868" s="32">
        <v>919256783</v>
      </c>
      <c r="E868" s="32">
        <v>358567066</v>
      </c>
      <c r="F868" s="32" t="s">
        <v>248</v>
      </c>
      <c r="G868" s="32" t="s">
        <v>46</v>
      </c>
      <c r="H868" s="32" t="s">
        <v>18</v>
      </c>
      <c r="I868" s="32">
        <v>86.832999999999998</v>
      </c>
      <c r="J868" s="32">
        <v>21.507999999999999</v>
      </c>
      <c r="K868" s="32" t="b">
        <v>0</v>
      </c>
      <c r="L868" s="32" t="s">
        <v>79</v>
      </c>
      <c r="M868" s="32" t="s">
        <v>48</v>
      </c>
      <c r="N868" s="34">
        <v>46031</v>
      </c>
      <c r="O868" s="35" t="str">
        <f t="shared" si="3"/>
        <v>Nguyễn Văn Cường</v>
      </c>
    </row>
    <row r="869" spans="1:15">
      <c r="A869" s="32" t="s">
        <v>229</v>
      </c>
      <c r="B869" s="32" t="s">
        <v>44</v>
      </c>
      <c r="C869" s="33">
        <v>46026</v>
      </c>
      <c r="D869" s="32">
        <v>917088072</v>
      </c>
      <c r="E869" s="32">
        <v>300060439</v>
      </c>
      <c r="F869" s="32" t="s">
        <v>230</v>
      </c>
      <c r="G869" s="32" t="s">
        <v>46</v>
      </c>
      <c r="H869" s="32" t="s">
        <v>87</v>
      </c>
      <c r="I869" s="32">
        <v>71.75</v>
      </c>
      <c r="J869" s="32">
        <v>79.772999999999996</v>
      </c>
      <c r="K869" s="32" t="b">
        <v>1</v>
      </c>
      <c r="L869" s="32" t="s">
        <v>63</v>
      </c>
      <c r="M869" s="32" t="s">
        <v>63</v>
      </c>
      <c r="N869" s="32" t="s">
        <v>135</v>
      </c>
      <c r="O869" s="35" t="str">
        <f t="shared" si="3"/>
        <v>Lê Kỷ Dậu</v>
      </c>
    </row>
    <row r="870" spans="1:15">
      <c r="A870" s="32" t="s">
        <v>229</v>
      </c>
      <c r="B870" s="32" t="s">
        <v>44</v>
      </c>
      <c r="C870" s="33">
        <v>46026</v>
      </c>
      <c r="D870" s="32">
        <v>917088072</v>
      </c>
      <c r="E870" s="32">
        <v>300060439</v>
      </c>
      <c r="F870" s="32" t="s">
        <v>230</v>
      </c>
      <c r="G870" s="32" t="s">
        <v>46</v>
      </c>
      <c r="H870" s="32" t="s">
        <v>87</v>
      </c>
      <c r="I870" s="32">
        <v>74.337999999999994</v>
      </c>
      <c r="J870" s="32">
        <v>77.384</v>
      </c>
      <c r="K870" s="32" t="b">
        <v>1</v>
      </c>
      <c r="L870" s="32" t="s">
        <v>63</v>
      </c>
      <c r="M870" s="32" t="s">
        <v>63</v>
      </c>
      <c r="N870" s="34">
        <v>46054</v>
      </c>
      <c r="O870" s="35" t="str">
        <f t="shared" si="3"/>
        <v>Lê Kỷ Dậu</v>
      </c>
    </row>
    <row r="871" spans="1:15">
      <c r="A871" s="32" t="s">
        <v>229</v>
      </c>
      <c r="B871" s="32" t="s">
        <v>44</v>
      </c>
      <c r="C871" s="33">
        <v>46026</v>
      </c>
      <c r="D871" s="32">
        <v>917088072</v>
      </c>
      <c r="E871" s="32">
        <v>300060439</v>
      </c>
      <c r="F871" s="32" t="s">
        <v>230</v>
      </c>
      <c r="G871" s="32" t="s">
        <v>46</v>
      </c>
      <c r="H871" s="32" t="s">
        <v>87</v>
      </c>
      <c r="I871" s="32">
        <v>72.224999999999994</v>
      </c>
      <c r="J871" s="32">
        <v>133.989</v>
      </c>
      <c r="K871" s="32" t="b">
        <v>1</v>
      </c>
      <c r="L871" s="32" t="s">
        <v>63</v>
      </c>
      <c r="M871" s="32" t="s">
        <v>63</v>
      </c>
      <c r="N871" s="34">
        <v>46175</v>
      </c>
      <c r="O871" s="35" t="str">
        <f t="shared" si="3"/>
        <v>Lê Kỷ Dậu</v>
      </c>
    </row>
    <row r="872" spans="1:15">
      <c r="A872" s="32" t="s">
        <v>229</v>
      </c>
      <c r="B872" s="32" t="s">
        <v>44</v>
      </c>
      <c r="C872" s="33">
        <v>46026</v>
      </c>
      <c r="D872" s="32">
        <v>917088072</v>
      </c>
      <c r="E872" s="32">
        <v>300060439</v>
      </c>
      <c r="F872" s="32" t="s">
        <v>230</v>
      </c>
      <c r="G872" s="32" t="s">
        <v>46</v>
      </c>
      <c r="H872" s="32" t="s">
        <v>87</v>
      </c>
      <c r="I872" s="32">
        <v>71.061999999999998</v>
      </c>
      <c r="J872" s="32">
        <v>79.789000000000001</v>
      </c>
      <c r="K872" s="32" t="b">
        <v>1</v>
      </c>
      <c r="L872" s="32" t="s">
        <v>63</v>
      </c>
      <c r="M872" s="32" t="s">
        <v>63</v>
      </c>
      <c r="N872" s="34">
        <v>46117</v>
      </c>
      <c r="O872" s="35" t="str">
        <f t="shared" si="3"/>
        <v>Lê Kỷ Dậu</v>
      </c>
    </row>
    <row r="873" spans="1:15">
      <c r="A873" s="32" t="s">
        <v>229</v>
      </c>
      <c r="B873" s="32" t="s">
        <v>44</v>
      </c>
      <c r="C873" s="33">
        <v>46026</v>
      </c>
      <c r="D873" s="32">
        <v>917088072</v>
      </c>
      <c r="E873" s="32">
        <v>300060439</v>
      </c>
      <c r="F873" s="32" t="s">
        <v>230</v>
      </c>
      <c r="G873" s="32" t="s">
        <v>46</v>
      </c>
      <c r="H873" s="32" t="s">
        <v>87</v>
      </c>
      <c r="I873" s="32">
        <v>76.549000000000007</v>
      </c>
      <c r="J873" s="32">
        <v>68.930000000000007</v>
      </c>
      <c r="K873" s="32" t="b">
        <v>1</v>
      </c>
      <c r="L873" s="32" t="s">
        <v>63</v>
      </c>
      <c r="M873" s="32" t="s">
        <v>63</v>
      </c>
      <c r="N873" s="32" t="s">
        <v>152</v>
      </c>
      <c r="O873" s="35" t="str">
        <f t="shared" si="3"/>
        <v>Lê Kỷ Dậu</v>
      </c>
    </row>
    <row r="874" spans="1:15">
      <c r="A874" s="32" t="s">
        <v>229</v>
      </c>
      <c r="B874" s="32" t="s">
        <v>44</v>
      </c>
      <c r="C874" s="33">
        <v>46026</v>
      </c>
      <c r="D874" s="32">
        <v>917088072</v>
      </c>
      <c r="E874" s="32">
        <v>300060439</v>
      </c>
      <c r="F874" s="32" t="s">
        <v>230</v>
      </c>
      <c r="G874" s="32" t="s">
        <v>46</v>
      </c>
      <c r="H874" s="32" t="s">
        <v>87</v>
      </c>
      <c r="I874" s="32">
        <v>70.563999999999993</v>
      </c>
      <c r="J874" s="32">
        <v>44.872</v>
      </c>
      <c r="K874" s="32" t="b">
        <v>1</v>
      </c>
      <c r="L874" s="32" t="s">
        <v>63</v>
      </c>
      <c r="M874" s="32" t="s">
        <v>63</v>
      </c>
      <c r="N874" s="34">
        <v>46085</v>
      </c>
      <c r="O874" s="35" t="str">
        <f t="shared" si="3"/>
        <v>Lê Kỷ Dậu</v>
      </c>
    </row>
    <row r="875" spans="1:15">
      <c r="A875" s="32" t="s">
        <v>229</v>
      </c>
      <c r="B875" s="32" t="s">
        <v>44</v>
      </c>
      <c r="C875" s="33">
        <v>46026</v>
      </c>
      <c r="D875" s="32">
        <v>917088072</v>
      </c>
      <c r="E875" s="32">
        <v>300060439</v>
      </c>
      <c r="F875" s="32" t="s">
        <v>230</v>
      </c>
      <c r="G875" s="32" t="s">
        <v>46</v>
      </c>
      <c r="H875" s="32" t="s">
        <v>87</v>
      </c>
      <c r="I875" s="32">
        <v>79.093000000000004</v>
      </c>
      <c r="J875" s="32">
        <v>55.38</v>
      </c>
      <c r="K875" s="32" t="b">
        <v>1</v>
      </c>
      <c r="L875" s="32" t="s">
        <v>63</v>
      </c>
      <c r="M875" s="32" t="s">
        <v>63</v>
      </c>
      <c r="N875" s="32" t="s">
        <v>152</v>
      </c>
      <c r="O875" s="35" t="str">
        <f t="shared" si="3"/>
        <v>Lê Kỷ Dậu</v>
      </c>
    </row>
    <row r="876" spans="1:15">
      <c r="A876" s="32" t="s">
        <v>229</v>
      </c>
      <c r="B876" s="32" t="s">
        <v>44</v>
      </c>
      <c r="C876" s="33">
        <v>46026</v>
      </c>
      <c r="D876" s="32">
        <v>917088072</v>
      </c>
      <c r="E876" s="32">
        <v>300060439</v>
      </c>
      <c r="F876" s="32" t="s">
        <v>230</v>
      </c>
      <c r="G876" s="32" t="s">
        <v>46</v>
      </c>
      <c r="H876" s="32" t="s">
        <v>87</v>
      </c>
      <c r="I876" s="32">
        <v>70.960999999999999</v>
      </c>
      <c r="J876" s="32">
        <v>28.774999999999999</v>
      </c>
      <c r="K876" s="32" t="b">
        <v>1</v>
      </c>
      <c r="L876" s="32" t="s">
        <v>63</v>
      </c>
      <c r="M876" s="32" t="s">
        <v>63</v>
      </c>
      <c r="N876" s="32" t="s">
        <v>214</v>
      </c>
      <c r="O876" s="35" t="str">
        <f t="shared" si="3"/>
        <v>Lê Kỷ Dậu</v>
      </c>
    </row>
    <row r="877" spans="1:15">
      <c r="A877" s="32" t="s">
        <v>229</v>
      </c>
      <c r="B877" s="32" t="s">
        <v>44</v>
      </c>
      <c r="C877" s="33">
        <v>46026</v>
      </c>
      <c r="D877" s="32">
        <v>917088072</v>
      </c>
      <c r="E877" s="32">
        <v>300060439</v>
      </c>
      <c r="F877" s="32" t="s">
        <v>230</v>
      </c>
      <c r="G877" s="32" t="s">
        <v>46</v>
      </c>
      <c r="H877" s="32" t="s">
        <v>87</v>
      </c>
      <c r="I877" s="32">
        <v>84.837000000000003</v>
      </c>
      <c r="J877" s="32">
        <v>46.35</v>
      </c>
      <c r="K877" s="32" t="b">
        <v>1</v>
      </c>
      <c r="L877" s="32" t="s">
        <v>63</v>
      </c>
      <c r="M877" s="32" t="s">
        <v>63</v>
      </c>
      <c r="N877" s="32" t="s">
        <v>154</v>
      </c>
      <c r="O877" s="35" t="str">
        <f t="shared" si="3"/>
        <v>Lê Kỷ Dậu</v>
      </c>
    </row>
    <row r="878" spans="1:15">
      <c r="A878" s="32" t="s">
        <v>229</v>
      </c>
      <c r="B878" s="32" t="s">
        <v>44</v>
      </c>
      <c r="C878" s="33">
        <v>46026</v>
      </c>
      <c r="D878" s="32">
        <v>917088072</v>
      </c>
      <c r="E878" s="32">
        <v>300060439</v>
      </c>
      <c r="F878" s="32" t="s">
        <v>230</v>
      </c>
      <c r="G878" s="32" t="s">
        <v>46</v>
      </c>
      <c r="H878" s="32" t="s">
        <v>87</v>
      </c>
      <c r="I878" s="32">
        <v>73.957999999999998</v>
      </c>
      <c r="J878" s="32">
        <v>102.758</v>
      </c>
      <c r="K878" s="32" t="b">
        <v>1</v>
      </c>
      <c r="L878" s="32" t="s">
        <v>63</v>
      </c>
      <c r="M878" s="32" t="s">
        <v>63</v>
      </c>
      <c r="N878" s="34">
        <v>46055</v>
      </c>
      <c r="O878" s="35" t="str">
        <f t="shared" si="3"/>
        <v>Lê Kỷ Dậu</v>
      </c>
    </row>
    <row r="879" spans="1:15">
      <c r="A879" s="32" t="s">
        <v>229</v>
      </c>
      <c r="B879" s="32" t="s">
        <v>44</v>
      </c>
      <c r="C879" s="33">
        <v>46026</v>
      </c>
      <c r="D879" s="32">
        <v>917088072</v>
      </c>
      <c r="E879" s="32">
        <v>300060439</v>
      </c>
      <c r="F879" s="32" t="s">
        <v>230</v>
      </c>
      <c r="G879" s="32" t="s">
        <v>46</v>
      </c>
      <c r="H879" s="32" t="s">
        <v>87</v>
      </c>
      <c r="I879" s="32">
        <v>72.088999999999999</v>
      </c>
      <c r="J879" s="32">
        <v>49.261000000000003</v>
      </c>
      <c r="K879" s="32" t="b">
        <v>1</v>
      </c>
      <c r="L879" s="32" t="s">
        <v>63</v>
      </c>
      <c r="M879" s="32" t="s">
        <v>63</v>
      </c>
      <c r="N879" s="34">
        <v>46235</v>
      </c>
      <c r="O879" s="35" t="str">
        <f t="shared" si="3"/>
        <v>Lê Kỷ Dậu</v>
      </c>
    </row>
    <row r="880" spans="1:15">
      <c r="A880" s="32" t="s">
        <v>229</v>
      </c>
      <c r="B880" s="32" t="s">
        <v>44</v>
      </c>
      <c r="C880" s="33">
        <v>46026</v>
      </c>
      <c r="D880" s="32">
        <v>917088072</v>
      </c>
      <c r="E880" s="32">
        <v>300060439</v>
      </c>
      <c r="F880" s="32" t="s">
        <v>230</v>
      </c>
      <c r="G880" s="32" t="s">
        <v>46</v>
      </c>
      <c r="H880" s="32" t="s">
        <v>87</v>
      </c>
      <c r="I880" s="32">
        <v>82.638000000000005</v>
      </c>
      <c r="J880" s="32">
        <v>66.323999999999998</v>
      </c>
      <c r="K880" s="32" t="b">
        <v>1</v>
      </c>
      <c r="L880" s="32" t="s">
        <v>63</v>
      </c>
      <c r="M880" s="32" t="s">
        <v>63</v>
      </c>
      <c r="N880" s="34">
        <v>46055</v>
      </c>
      <c r="O880" s="35" t="str">
        <f t="shared" si="3"/>
        <v>Lê Kỷ Dậu</v>
      </c>
    </row>
    <row r="881" spans="1:15">
      <c r="A881" s="32" t="s">
        <v>229</v>
      </c>
      <c r="B881" s="32" t="s">
        <v>44</v>
      </c>
      <c r="C881" s="33">
        <v>46026</v>
      </c>
      <c r="D881" s="32">
        <v>917088072</v>
      </c>
      <c r="E881" s="32">
        <v>300060439</v>
      </c>
      <c r="F881" s="32" t="s">
        <v>230</v>
      </c>
      <c r="G881" s="32" t="s">
        <v>46</v>
      </c>
      <c r="H881" s="32" t="s">
        <v>87</v>
      </c>
      <c r="I881" s="32">
        <v>74.194999999999993</v>
      </c>
      <c r="J881" s="32">
        <v>65.230999999999995</v>
      </c>
      <c r="K881" s="32" t="b">
        <v>1</v>
      </c>
      <c r="L881" s="32" t="s">
        <v>63</v>
      </c>
      <c r="M881" s="32" t="s">
        <v>63</v>
      </c>
      <c r="N881" s="34">
        <v>46238</v>
      </c>
      <c r="O881" s="35" t="str">
        <f t="shared" si="3"/>
        <v>Lê Kỷ Dậu</v>
      </c>
    </row>
    <row r="882" spans="1:15">
      <c r="A882" s="32" t="s">
        <v>249</v>
      </c>
      <c r="B882" s="32" t="s">
        <v>44</v>
      </c>
      <c r="C882" s="33">
        <v>46026</v>
      </c>
      <c r="D882" s="32">
        <v>916234929</v>
      </c>
      <c r="E882" s="32">
        <v>462674942</v>
      </c>
      <c r="F882" s="32" t="s">
        <v>132</v>
      </c>
      <c r="G882" s="32" t="s">
        <v>46</v>
      </c>
      <c r="H882" s="32" t="s">
        <v>58</v>
      </c>
      <c r="I882" s="32">
        <v>25.5</v>
      </c>
      <c r="J882" s="32">
        <v>48.094000000000001</v>
      </c>
      <c r="K882" s="32" t="b">
        <v>1</v>
      </c>
      <c r="L882" s="32" t="s">
        <v>63</v>
      </c>
      <c r="M882" s="32" t="s">
        <v>48</v>
      </c>
      <c r="N882" s="34">
        <v>46056</v>
      </c>
      <c r="O882" s="35" t="str">
        <f t="shared" si="3"/>
        <v>Trương Anh Pha</v>
      </c>
    </row>
    <row r="883" spans="1:15">
      <c r="A883" s="32" t="s">
        <v>249</v>
      </c>
      <c r="B883" s="32" t="s">
        <v>44</v>
      </c>
      <c r="C883" s="33">
        <v>46026</v>
      </c>
      <c r="D883" s="32">
        <v>916234929</v>
      </c>
      <c r="E883" s="32">
        <v>462674942</v>
      </c>
      <c r="F883" s="32" t="s">
        <v>132</v>
      </c>
      <c r="G883" s="32" t="s">
        <v>46</v>
      </c>
      <c r="H883" s="32" t="s">
        <v>58</v>
      </c>
      <c r="I883" s="32">
        <v>25.5</v>
      </c>
      <c r="J883" s="32">
        <v>48.094000000000001</v>
      </c>
      <c r="K883" s="32" t="b">
        <v>1</v>
      </c>
      <c r="L883" s="32" t="s">
        <v>63</v>
      </c>
      <c r="M883" s="32" t="s">
        <v>48</v>
      </c>
      <c r="N883" s="34">
        <v>46056</v>
      </c>
      <c r="O883" s="35" t="str">
        <f t="shared" si="3"/>
        <v>Trương Anh Pha</v>
      </c>
    </row>
    <row r="884" spans="1:15">
      <c r="A884" s="32" t="s">
        <v>250</v>
      </c>
      <c r="B884" s="32" t="s">
        <v>44</v>
      </c>
      <c r="C884" s="33">
        <v>46026</v>
      </c>
      <c r="D884" s="32">
        <v>944433568</v>
      </c>
      <c r="E884" s="32">
        <v>478193666</v>
      </c>
      <c r="F884" s="32" t="s">
        <v>109</v>
      </c>
      <c r="G884" s="32" t="s">
        <v>46</v>
      </c>
      <c r="H884" s="32" t="s">
        <v>58</v>
      </c>
      <c r="I884" s="32">
        <v>41.481999999999999</v>
      </c>
      <c r="J884" s="32">
        <v>21.827999999999999</v>
      </c>
      <c r="K884" s="32" t="b">
        <v>0</v>
      </c>
      <c r="L884" s="32" t="s">
        <v>47</v>
      </c>
      <c r="M884" s="32" t="s">
        <v>48</v>
      </c>
      <c r="N884" s="32" t="s">
        <v>158</v>
      </c>
      <c r="O884" s="35" t="str">
        <f t="shared" si="3"/>
        <v>Phan Văn Hân</v>
      </c>
    </row>
    <row r="885" spans="1:15">
      <c r="A885" s="32" t="s">
        <v>251</v>
      </c>
      <c r="B885" s="32" t="s">
        <v>44</v>
      </c>
      <c r="C885" s="33">
        <v>46026</v>
      </c>
      <c r="D885" s="32">
        <v>888802064</v>
      </c>
      <c r="E885" s="32">
        <v>316835677</v>
      </c>
      <c r="F885" s="32" t="s">
        <v>230</v>
      </c>
      <c r="G885" s="32" t="s">
        <v>46</v>
      </c>
      <c r="H885" s="32" t="s">
        <v>51</v>
      </c>
      <c r="I885" s="32">
        <v>92.801000000000002</v>
      </c>
      <c r="J885" s="32">
        <v>49.819000000000003</v>
      </c>
      <c r="K885" s="32" t="b">
        <v>1</v>
      </c>
      <c r="L885" s="32" t="s">
        <v>63</v>
      </c>
      <c r="M885" s="32" t="s">
        <v>63</v>
      </c>
      <c r="N885" s="34">
        <v>46064</v>
      </c>
      <c r="O885" s="35" t="str">
        <f t="shared" si="3"/>
        <v>Nguyễn Phước Lộc2</v>
      </c>
    </row>
    <row r="886" spans="1:15">
      <c r="A886" s="32" t="s">
        <v>252</v>
      </c>
      <c r="B886" s="32" t="s">
        <v>44</v>
      </c>
      <c r="C886" s="33">
        <v>46026</v>
      </c>
      <c r="D886" s="32">
        <v>888802064</v>
      </c>
      <c r="E886" s="32">
        <v>316835677</v>
      </c>
      <c r="F886" s="32" t="s">
        <v>230</v>
      </c>
      <c r="G886" s="32" t="s">
        <v>46</v>
      </c>
      <c r="H886" s="32" t="s">
        <v>51</v>
      </c>
      <c r="I886" s="32">
        <v>92.801000000000002</v>
      </c>
      <c r="J886" s="32">
        <v>49.819000000000003</v>
      </c>
      <c r="K886" s="32" t="b">
        <v>1</v>
      </c>
      <c r="L886" s="32" t="s">
        <v>63</v>
      </c>
      <c r="M886" s="32" t="s">
        <v>63</v>
      </c>
      <c r="N886" s="34">
        <v>46064</v>
      </c>
      <c r="O886" s="35" t="str">
        <f t="shared" si="3"/>
        <v>Nguyễn Phước Lộc</v>
      </c>
    </row>
    <row r="887" spans="1:15">
      <c r="A887" s="32" t="s">
        <v>252</v>
      </c>
      <c r="B887" s="32" t="s">
        <v>44</v>
      </c>
      <c r="C887" s="33">
        <v>46026</v>
      </c>
      <c r="D887" s="32">
        <v>888802064</v>
      </c>
      <c r="E887" s="32">
        <v>316835677</v>
      </c>
      <c r="F887" s="32" t="s">
        <v>230</v>
      </c>
      <c r="G887" s="32" t="s">
        <v>46</v>
      </c>
      <c r="H887" s="32" t="s">
        <v>51</v>
      </c>
      <c r="I887" s="32">
        <v>95.902000000000001</v>
      </c>
      <c r="J887" s="32">
        <v>25.050999999999998</v>
      </c>
      <c r="K887" s="32" t="b">
        <v>1</v>
      </c>
      <c r="L887" s="32" t="s">
        <v>63</v>
      </c>
      <c r="M887" s="32" t="s">
        <v>63</v>
      </c>
      <c r="N887" s="34">
        <v>46176</v>
      </c>
      <c r="O887" s="35" t="str">
        <f t="shared" si="3"/>
        <v>Nguyễn Phước Lộc</v>
      </c>
    </row>
    <row r="888" spans="1:15">
      <c r="A888" s="32" t="s">
        <v>251</v>
      </c>
      <c r="B888" s="32" t="s">
        <v>44</v>
      </c>
      <c r="C888" s="33">
        <v>46026</v>
      </c>
      <c r="D888" s="32">
        <v>888802064</v>
      </c>
      <c r="E888" s="32">
        <v>316835677</v>
      </c>
      <c r="F888" s="32" t="s">
        <v>230</v>
      </c>
      <c r="G888" s="32" t="s">
        <v>46</v>
      </c>
      <c r="H888" s="32" t="s">
        <v>51</v>
      </c>
      <c r="I888" s="32">
        <v>95.902000000000001</v>
      </c>
      <c r="J888" s="32">
        <v>25.050999999999998</v>
      </c>
      <c r="K888" s="32" t="b">
        <v>1</v>
      </c>
      <c r="L888" s="32" t="s">
        <v>63</v>
      </c>
      <c r="M888" s="32" t="s">
        <v>63</v>
      </c>
      <c r="N888" s="34">
        <v>46176</v>
      </c>
      <c r="O888" s="35" t="str">
        <f t="shared" si="3"/>
        <v>Nguyễn Phước Lộc2</v>
      </c>
    </row>
    <row r="889" spans="1:15">
      <c r="A889" s="32" t="s">
        <v>252</v>
      </c>
      <c r="B889" s="32" t="s">
        <v>44</v>
      </c>
      <c r="C889" s="33">
        <v>46026</v>
      </c>
      <c r="D889" s="32">
        <v>888802064</v>
      </c>
      <c r="E889" s="32">
        <v>316835677</v>
      </c>
      <c r="F889" s="32" t="s">
        <v>230</v>
      </c>
      <c r="G889" s="32" t="s">
        <v>46</v>
      </c>
      <c r="H889" s="32" t="s">
        <v>51</v>
      </c>
      <c r="I889" s="32">
        <v>82.311000000000007</v>
      </c>
      <c r="J889" s="32">
        <v>42.503</v>
      </c>
      <c r="K889" s="32" t="b">
        <v>1</v>
      </c>
      <c r="L889" s="32" t="s">
        <v>63</v>
      </c>
      <c r="M889" s="32" t="s">
        <v>63</v>
      </c>
      <c r="N889" s="32" t="s">
        <v>253</v>
      </c>
      <c r="O889" s="35" t="str">
        <f t="shared" si="3"/>
        <v>Nguyễn Phước Lộc</v>
      </c>
    </row>
    <row r="890" spans="1:15">
      <c r="A890" s="32" t="s">
        <v>251</v>
      </c>
      <c r="B890" s="32" t="s">
        <v>44</v>
      </c>
      <c r="C890" s="33">
        <v>46026</v>
      </c>
      <c r="D890" s="32">
        <v>888802064</v>
      </c>
      <c r="E890" s="32">
        <v>316835677</v>
      </c>
      <c r="F890" s="32" t="s">
        <v>230</v>
      </c>
      <c r="G890" s="32" t="s">
        <v>46</v>
      </c>
      <c r="H890" s="32" t="s">
        <v>51</v>
      </c>
      <c r="I890" s="32">
        <v>82.311000000000007</v>
      </c>
      <c r="J890" s="32">
        <v>42.503</v>
      </c>
      <c r="K890" s="32" t="b">
        <v>1</v>
      </c>
      <c r="L890" s="32" t="s">
        <v>63</v>
      </c>
      <c r="M890" s="32" t="s">
        <v>63</v>
      </c>
      <c r="N890" s="32" t="s">
        <v>253</v>
      </c>
      <c r="O890" s="35" t="str">
        <f t="shared" si="3"/>
        <v>Nguyễn Phước Lộc2</v>
      </c>
    </row>
    <row r="891" spans="1:15">
      <c r="A891" s="32" t="s">
        <v>251</v>
      </c>
      <c r="B891" s="32" t="s">
        <v>44</v>
      </c>
      <c r="C891" s="33">
        <v>46026</v>
      </c>
      <c r="D891" s="32">
        <v>888802064</v>
      </c>
      <c r="E891" s="32">
        <v>316835677</v>
      </c>
      <c r="F891" s="32" t="s">
        <v>230</v>
      </c>
      <c r="G891" s="32" t="s">
        <v>46</v>
      </c>
      <c r="H891" s="32" t="s">
        <v>51</v>
      </c>
      <c r="I891" s="32">
        <v>103.803</v>
      </c>
      <c r="J891" s="32">
        <v>36.61</v>
      </c>
      <c r="K891" s="32" t="b">
        <v>1</v>
      </c>
      <c r="L891" s="32" t="s">
        <v>63</v>
      </c>
      <c r="M891" s="32" t="s">
        <v>63</v>
      </c>
      <c r="N891" s="34">
        <v>46055</v>
      </c>
      <c r="O891" s="35" t="str">
        <f t="shared" si="3"/>
        <v>Nguyễn Phước Lộc2</v>
      </c>
    </row>
    <row r="892" spans="1:15">
      <c r="A892" s="32" t="s">
        <v>252</v>
      </c>
      <c r="B892" s="32" t="s">
        <v>44</v>
      </c>
      <c r="C892" s="33">
        <v>46026</v>
      </c>
      <c r="D892" s="32">
        <v>888802064</v>
      </c>
      <c r="E892" s="32">
        <v>316835677</v>
      </c>
      <c r="F892" s="32" t="s">
        <v>230</v>
      </c>
      <c r="G892" s="32" t="s">
        <v>46</v>
      </c>
      <c r="H892" s="32" t="s">
        <v>51</v>
      </c>
      <c r="I892" s="32">
        <v>103.803</v>
      </c>
      <c r="J892" s="32">
        <v>36.61</v>
      </c>
      <c r="K892" s="32" t="b">
        <v>1</v>
      </c>
      <c r="L892" s="32" t="s">
        <v>63</v>
      </c>
      <c r="M892" s="32" t="s">
        <v>63</v>
      </c>
      <c r="N892" s="34">
        <v>46055</v>
      </c>
      <c r="O892" s="35" t="str">
        <f t="shared" si="3"/>
        <v>Nguyễn Phước Lộc</v>
      </c>
    </row>
    <row r="893" spans="1:15">
      <c r="A893" s="32" t="s">
        <v>252</v>
      </c>
      <c r="B893" s="32" t="s">
        <v>44</v>
      </c>
      <c r="C893" s="33">
        <v>46026</v>
      </c>
      <c r="D893" s="32">
        <v>888802064</v>
      </c>
      <c r="E893" s="32">
        <v>316835677</v>
      </c>
      <c r="F893" s="32" t="s">
        <v>230</v>
      </c>
      <c r="G893" s="32" t="s">
        <v>46</v>
      </c>
      <c r="H893" s="32" t="s">
        <v>51</v>
      </c>
      <c r="I893" s="32">
        <v>91.215999999999994</v>
      </c>
      <c r="J893" s="32">
        <v>65.596999999999994</v>
      </c>
      <c r="K893" s="32" t="b">
        <v>1</v>
      </c>
      <c r="L893" s="32" t="s">
        <v>63</v>
      </c>
      <c r="M893" s="32" t="s">
        <v>63</v>
      </c>
      <c r="N893" s="34">
        <v>46235</v>
      </c>
      <c r="O893" s="35" t="str">
        <f t="shared" si="3"/>
        <v>Nguyễn Phước Lộc</v>
      </c>
    </row>
    <row r="894" spans="1:15">
      <c r="A894" s="32" t="s">
        <v>251</v>
      </c>
      <c r="B894" s="32" t="s">
        <v>44</v>
      </c>
      <c r="C894" s="33">
        <v>46026</v>
      </c>
      <c r="D894" s="32">
        <v>888802064</v>
      </c>
      <c r="E894" s="32">
        <v>316835677</v>
      </c>
      <c r="F894" s="32" t="s">
        <v>230</v>
      </c>
      <c r="G894" s="32" t="s">
        <v>46</v>
      </c>
      <c r="H894" s="32" t="s">
        <v>51</v>
      </c>
      <c r="I894" s="32">
        <v>91.215999999999994</v>
      </c>
      <c r="J894" s="32">
        <v>65.596999999999994</v>
      </c>
      <c r="K894" s="32" t="b">
        <v>1</v>
      </c>
      <c r="L894" s="32" t="s">
        <v>63</v>
      </c>
      <c r="M894" s="32" t="s">
        <v>63</v>
      </c>
      <c r="N894" s="34">
        <v>46235</v>
      </c>
      <c r="O894" s="35" t="str">
        <f t="shared" si="3"/>
        <v>Nguyễn Phước Lộc2</v>
      </c>
    </row>
    <row r="895" spans="1:15">
      <c r="A895" s="32" t="s">
        <v>242</v>
      </c>
      <c r="B895" s="32" t="s">
        <v>44</v>
      </c>
      <c r="C895" s="33">
        <v>46026</v>
      </c>
      <c r="D895" s="32">
        <v>919990052</v>
      </c>
      <c r="E895" s="32">
        <v>473395439</v>
      </c>
      <c r="F895" s="32" t="s">
        <v>243</v>
      </c>
      <c r="G895" s="32" t="s">
        <v>46</v>
      </c>
      <c r="H895" s="32" t="s">
        <v>18</v>
      </c>
      <c r="I895" s="32">
        <v>75.346000000000004</v>
      </c>
      <c r="J895" s="32">
        <v>61.49</v>
      </c>
      <c r="K895" s="32" t="b">
        <v>1</v>
      </c>
      <c r="L895" s="32" t="s">
        <v>47</v>
      </c>
      <c r="M895" s="32" t="s">
        <v>48</v>
      </c>
      <c r="N895" s="34">
        <v>46121</v>
      </c>
      <c r="O895" s="35" t="str">
        <f t="shared" si="3"/>
        <v>Nguyễn Thế Sự</v>
      </c>
    </row>
    <row r="896" spans="1:15">
      <c r="A896" s="32" t="s">
        <v>242</v>
      </c>
      <c r="B896" s="32" t="s">
        <v>44</v>
      </c>
      <c r="C896" s="33">
        <v>46026</v>
      </c>
      <c r="D896" s="32">
        <v>919990052</v>
      </c>
      <c r="E896" s="32">
        <v>473395439</v>
      </c>
      <c r="F896" s="32" t="s">
        <v>243</v>
      </c>
      <c r="G896" s="32" t="s">
        <v>46</v>
      </c>
      <c r="H896" s="32" t="s">
        <v>18</v>
      </c>
      <c r="I896" s="32">
        <v>111.887</v>
      </c>
      <c r="J896" s="32">
        <v>42.165999999999997</v>
      </c>
      <c r="K896" s="32" t="b">
        <v>1</v>
      </c>
      <c r="L896" s="32" t="s">
        <v>47</v>
      </c>
      <c r="M896" s="32" t="s">
        <v>48</v>
      </c>
      <c r="N896" s="34">
        <v>46060</v>
      </c>
      <c r="O896" s="35" t="str">
        <f t="shared" si="3"/>
        <v>Nguyễn Thế Sự</v>
      </c>
    </row>
    <row r="897" spans="1:15">
      <c r="A897" s="32" t="s">
        <v>242</v>
      </c>
      <c r="B897" s="32" t="s">
        <v>44</v>
      </c>
      <c r="C897" s="33">
        <v>46026</v>
      </c>
      <c r="D897" s="32">
        <v>919990052</v>
      </c>
      <c r="E897" s="32">
        <v>473395439</v>
      </c>
      <c r="F897" s="32" t="s">
        <v>243</v>
      </c>
      <c r="G897" s="32" t="s">
        <v>46</v>
      </c>
      <c r="H897" s="32" t="s">
        <v>18</v>
      </c>
      <c r="I897" s="32">
        <v>77.497</v>
      </c>
      <c r="J897" s="32">
        <v>53.823</v>
      </c>
      <c r="K897" s="32" t="b">
        <v>1</v>
      </c>
      <c r="L897" s="32" t="s">
        <v>47</v>
      </c>
      <c r="M897" s="32" t="s">
        <v>48</v>
      </c>
      <c r="N897" s="34">
        <v>46236</v>
      </c>
      <c r="O897" s="35" t="str">
        <f t="shared" si="3"/>
        <v>Nguyễn Thế Sự</v>
      </c>
    </row>
    <row r="898" spans="1:15">
      <c r="A898" s="32" t="s">
        <v>242</v>
      </c>
      <c r="B898" s="32" t="s">
        <v>44</v>
      </c>
      <c r="C898" s="33">
        <v>46026</v>
      </c>
      <c r="D898" s="32">
        <v>919990052</v>
      </c>
      <c r="E898" s="32">
        <v>473395439</v>
      </c>
      <c r="F898" s="32" t="s">
        <v>243</v>
      </c>
      <c r="G898" s="32" t="s">
        <v>46</v>
      </c>
      <c r="H898" s="32" t="s">
        <v>18</v>
      </c>
      <c r="I898" s="32">
        <v>90.275000000000006</v>
      </c>
      <c r="J898" s="32">
        <v>50.985999999999997</v>
      </c>
      <c r="K898" s="32" t="b">
        <v>1</v>
      </c>
      <c r="L898" s="32" t="s">
        <v>47</v>
      </c>
      <c r="M898" s="32" t="s">
        <v>48</v>
      </c>
      <c r="N898" s="34">
        <v>46176</v>
      </c>
      <c r="O898" s="35" t="str">
        <f t="shared" si="3"/>
        <v>Nguyễn Thế Sự</v>
      </c>
    </row>
    <row r="899" spans="1:15">
      <c r="A899" s="32" t="s">
        <v>242</v>
      </c>
      <c r="B899" s="32" t="s">
        <v>44</v>
      </c>
      <c r="C899" s="33">
        <v>46026</v>
      </c>
      <c r="D899" s="32">
        <v>919990052</v>
      </c>
      <c r="E899" s="32">
        <v>473395439</v>
      </c>
      <c r="F899" s="32" t="s">
        <v>243</v>
      </c>
      <c r="G899" s="32" t="s">
        <v>46</v>
      </c>
      <c r="H899" s="32" t="s">
        <v>18</v>
      </c>
      <c r="I899" s="32">
        <v>91.734999999999999</v>
      </c>
      <c r="J899" s="32">
        <v>59.970999999999997</v>
      </c>
      <c r="K899" s="32" t="b">
        <v>1</v>
      </c>
      <c r="L899" s="32" t="s">
        <v>47</v>
      </c>
      <c r="M899" s="32" t="s">
        <v>48</v>
      </c>
      <c r="N899" s="34">
        <v>46244</v>
      </c>
      <c r="O899" s="35" t="str">
        <f t="shared" si="3"/>
        <v>Nguyễn Thế Sự</v>
      </c>
    </row>
    <row r="900" spans="1:15">
      <c r="A900" s="32" t="s">
        <v>143</v>
      </c>
      <c r="B900" s="32" t="s">
        <v>44</v>
      </c>
      <c r="C900" s="33">
        <v>46026</v>
      </c>
      <c r="D900" s="32">
        <v>915907377</v>
      </c>
      <c r="E900" s="32">
        <v>243492200</v>
      </c>
      <c r="F900" s="32" t="s">
        <v>144</v>
      </c>
      <c r="G900" s="32" t="s">
        <v>46</v>
      </c>
      <c r="H900" s="32" t="s">
        <v>145</v>
      </c>
      <c r="I900" s="32">
        <v>97.128</v>
      </c>
      <c r="J900" s="32">
        <v>49.128999999999998</v>
      </c>
      <c r="K900" s="32" t="b">
        <v>1</v>
      </c>
      <c r="L900" s="32" t="s">
        <v>63</v>
      </c>
      <c r="M900" s="32" t="s">
        <v>63</v>
      </c>
      <c r="N900" s="34">
        <v>46057</v>
      </c>
      <c r="O900" s="35" t="str">
        <f t="shared" si="3"/>
        <v>Phạm Tiến Dũng</v>
      </c>
    </row>
    <row r="901" spans="1:15">
      <c r="A901" s="32" t="s">
        <v>143</v>
      </c>
      <c r="B901" s="32" t="s">
        <v>44</v>
      </c>
      <c r="C901" s="33">
        <v>46026</v>
      </c>
      <c r="D901" s="32">
        <v>915907377</v>
      </c>
      <c r="E901" s="32">
        <v>243492200</v>
      </c>
      <c r="F901" s="32" t="s">
        <v>144</v>
      </c>
      <c r="G901" s="32" t="s">
        <v>46</v>
      </c>
      <c r="H901" s="32" t="s">
        <v>145</v>
      </c>
      <c r="I901" s="32">
        <v>97.128</v>
      </c>
      <c r="J901" s="32">
        <v>49.128999999999998</v>
      </c>
      <c r="K901" s="32" t="b">
        <v>1</v>
      </c>
      <c r="L901" s="32" t="s">
        <v>63</v>
      </c>
      <c r="M901" s="32" t="s">
        <v>63</v>
      </c>
      <c r="N901" s="34">
        <v>46057</v>
      </c>
      <c r="O901" s="35" t="str">
        <f t="shared" si="3"/>
        <v>Phạm Tiến Dũng</v>
      </c>
    </row>
    <row r="902" spans="1:15">
      <c r="A902" s="32" t="s">
        <v>207</v>
      </c>
      <c r="B902" s="32" t="s">
        <v>44</v>
      </c>
      <c r="C902" s="33">
        <v>46026</v>
      </c>
      <c r="D902" s="32">
        <v>915502804</v>
      </c>
      <c r="E902" s="32">
        <v>496103164</v>
      </c>
      <c r="F902" s="32" t="s">
        <v>208</v>
      </c>
      <c r="G902" s="32" t="s">
        <v>46</v>
      </c>
      <c r="H902" s="32" t="s">
        <v>18</v>
      </c>
      <c r="I902" s="32">
        <v>93.564999999999998</v>
      </c>
      <c r="J902" s="32">
        <v>44.774000000000001</v>
      </c>
      <c r="K902" s="32" t="b">
        <v>1</v>
      </c>
      <c r="L902" s="32" t="s">
        <v>63</v>
      </c>
      <c r="M902" s="32" t="s">
        <v>48</v>
      </c>
      <c r="N902" s="32" t="s">
        <v>135</v>
      </c>
      <c r="O902" s="35" t="str">
        <f t="shared" si="3"/>
        <v>Tô Tiểu Ngọc</v>
      </c>
    </row>
    <row r="903" spans="1:15">
      <c r="A903" s="32" t="s">
        <v>207</v>
      </c>
      <c r="B903" s="32" t="s">
        <v>44</v>
      </c>
      <c r="C903" s="33">
        <v>46026</v>
      </c>
      <c r="D903" s="32">
        <v>915502804</v>
      </c>
      <c r="E903" s="32">
        <v>496103164</v>
      </c>
      <c r="F903" s="32" t="s">
        <v>208</v>
      </c>
      <c r="G903" s="32" t="s">
        <v>46</v>
      </c>
      <c r="H903" s="32" t="s">
        <v>18</v>
      </c>
      <c r="I903" s="32">
        <v>99.283000000000001</v>
      </c>
      <c r="J903" s="32">
        <v>42.546999999999997</v>
      </c>
      <c r="K903" s="32" t="b">
        <v>1</v>
      </c>
      <c r="L903" s="32" t="s">
        <v>63</v>
      </c>
      <c r="M903" s="32" t="s">
        <v>48</v>
      </c>
      <c r="N903" s="34">
        <v>46117</v>
      </c>
      <c r="O903" s="35" t="str">
        <f t="shared" si="3"/>
        <v>Tô Tiểu Ngọc</v>
      </c>
    </row>
    <row r="904" spans="1:15">
      <c r="A904" s="32" t="s">
        <v>207</v>
      </c>
      <c r="B904" s="32" t="s">
        <v>44</v>
      </c>
      <c r="C904" s="33">
        <v>46026</v>
      </c>
      <c r="D904" s="32">
        <v>915502804</v>
      </c>
      <c r="E904" s="32">
        <v>496103164</v>
      </c>
      <c r="F904" s="32" t="s">
        <v>208</v>
      </c>
      <c r="G904" s="32" t="s">
        <v>46</v>
      </c>
      <c r="H904" s="32" t="s">
        <v>18</v>
      </c>
      <c r="I904" s="32">
        <v>76.228999999999999</v>
      </c>
      <c r="J904" s="32">
        <v>47.741999999999997</v>
      </c>
      <c r="K904" s="32" t="b">
        <v>1</v>
      </c>
      <c r="L904" s="32" t="s">
        <v>63</v>
      </c>
      <c r="M904" s="32" t="s">
        <v>48</v>
      </c>
      <c r="N904" s="34">
        <v>46147</v>
      </c>
      <c r="O904" s="35" t="str">
        <f t="shared" si="3"/>
        <v>Tô Tiểu Ngọc</v>
      </c>
    </row>
    <row r="905" spans="1:15">
      <c r="A905" s="32" t="s">
        <v>207</v>
      </c>
      <c r="B905" s="32" t="s">
        <v>44</v>
      </c>
      <c r="C905" s="33">
        <v>46026</v>
      </c>
      <c r="D905" s="32">
        <v>915502804</v>
      </c>
      <c r="E905" s="32">
        <v>496103164</v>
      </c>
      <c r="F905" s="32" t="s">
        <v>208</v>
      </c>
      <c r="G905" s="32" t="s">
        <v>46</v>
      </c>
      <c r="H905" s="32" t="s">
        <v>18</v>
      </c>
      <c r="I905" s="32">
        <v>82.817999999999998</v>
      </c>
      <c r="J905" s="32">
        <v>47.292000000000002</v>
      </c>
      <c r="K905" s="32" t="b">
        <v>1</v>
      </c>
      <c r="L905" s="32" t="s">
        <v>63</v>
      </c>
      <c r="M905" s="32" t="s">
        <v>48</v>
      </c>
      <c r="N905" s="34">
        <v>46085</v>
      </c>
      <c r="O905" s="35" t="str">
        <f t="shared" si="3"/>
        <v>Tô Tiểu Ngọc</v>
      </c>
    </row>
    <row r="906" spans="1:15">
      <c r="A906" s="32" t="s">
        <v>207</v>
      </c>
      <c r="B906" s="32" t="s">
        <v>44</v>
      </c>
      <c r="C906" s="33">
        <v>46026</v>
      </c>
      <c r="D906" s="32">
        <v>915502804</v>
      </c>
      <c r="E906" s="32">
        <v>496103164</v>
      </c>
      <c r="F906" s="32" t="s">
        <v>208</v>
      </c>
      <c r="G906" s="32" t="s">
        <v>46</v>
      </c>
      <c r="H906" s="32" t="s">
        <v>18</v>
      </c>
      <c r="I906" s="32">
        <v>91.346999999999994</v>
      </c>
      <c r="J906" s="32">
        <v>45.720999999999997</v>
      </c>
      <c r="K906" s="32" t="b">
        <v>1</v>
      </c>
      <c r="L906" s="32" t="s">
        <v>63</v>
      </c>
      <c r="M906" s="32" t="s">
        <v>48</v>
      </c>
      <c r="N906" s="32" t="s">
        <v>100</v>
      </c>
      <c r="O906" s="35" t="str">
        <f t="shared" si="3"/>
        <v>Tô Tiểu Ngọc</v>
      </c>
    </row>
    <row r="907" spans="1:15">
      <c r="A907" s="32" t="s">
        <v>207</v>
      </c>
      <c r="B907" s="32" t="s">
        <v>44</v>
      </c>
      <c r="C907" s="33">
        <v>46026</v>
      </c>
      <c r="D907" s="32">
        <v>915502804</v>
      </c>
      <c r="E907" s="32">
        <v>496103164</v>
      </c>
      <c r="F907" s="32" t="s">
        <v>208</v>
      </c>
      <c r="G907" s="32" t="s">
        <v>46</v>
      </c>
      <c r="H907" s="32" t="s">
        <v>18</v>
      </c>
      <c r="I907" s="32">
        <v>58.508000000000003</v>
      </c>
      <c r="J907" s="32">
        <v>44.030999999999999</v>
      </c>
      <c r="K907" s="32" t="b">
        <v>1</v>
      </c>
      <c r="L907" s="32" t="s">
        <v>63</v>
      </c>
      <c r="M907" s="32" t="s">
        <v>48</v>
      </c>
      <c r="N907" s="34">
        <v>46180</v>
      </c>
      <c r="O907" s="35" t="str">
        <f t="shared" si="3"/>
        <v>Tô Tiểu Ngọc</v>
      </c>
    </row>
    <row r="908" spans="1:15">
      <c r="A908" s="32" t="s">
        <v>207</v>
      </c>
      <c r="B908" s="32" t="s">
        <v>44</v>
      </c>
      <c r="C908" s="33">
        <v>46026</v>
      </c>
      <c r="D908" s="32">
        <v>915502804</v>
      </c>
      <c r="E908" s="32">
        <v>496103164</v>
      </c>
      <c r="F908" s="32" t="s">
        <v>208</v>
      </c>
      <c r="G908" s="32" t="s">
        <v>46</v>
      </c>
      <c r="H908" s="32" t="s">
        <v>18</v>
      </c>
      <c r="I908" s="32">
        <v>56.021000000000001</v>
      </c>
      <c r="J908" s="32">
        <v>53.811</v>
      </c>
      <c r="K908" s="32" t="b">
        <v>1</v>
      </c>
      <c r="L908" s="32" t="s">
        <v>63</v>
      </c>
      <c r="M908" s="32" t="s">
        <v>48</v>
      </c>
      <c r="N908" s="34">
        <v>46091</v>
      </c>
      <c r="O908" s="35" t="str">
        <f t="shared" si="3"/>
        <v>Tô Tiểu Ngọc</v>
      </c>
    </row>
    <row r="909" spans="1:15">
      <c r="A909" s="32" t="s">
        <v>207</v>
      </c>
      <c r="B909" s="32" t="s">
        <v>44</v>
      </c>
      <c r="C909" s="33">
        <v>46026</v>
      </c>
      <c r="D909" s="32">
        <v>915502804</v>
      </c>
      <c r="E909" s="32">
        <v>496103164</v>
      </c>
      <c r="F909" s="32" t="s">
        <v>208</v>
      </c>
      <c r="G909" s="32" t="s">
        <v>46</v>
      </c>
      <c r="H909" s="32" t="s">
        <v>18</v>
      </c>
      <c r="I909" s="32">
        <v>63.654000000000003</v>
      </c>
      <c r="J909" s="32">
        <v>42.558</v>
      </c>
      <c r="K909" s="32" t="b">
        <v>1</v>
      </c>
      <c r="L909" s="32" t="s">
        <v>63</v>
      </c>
      <c r="M909" s="32" t="s">
        <v>48</v>
      </c>
      <c r="N909" s="34">
        <v>46238</v>
      </c>
      <c r="O909" s="35" t="str">
        <f t="shared" si="3"/>
        <v>Tô Tiểu Ngọc</v>
      </c>
    </row>
    <row r="910" spans="1:15">
      <c r="A910" s="32" t="s">
        <v>207</v>
      </c>
      <c r="B910" s="32" t="s">
        <v>44</v>
      </c>
      <c r="C910" s="33">
        <v>46026</v>
      </c>
      <c r="D910" s="32">
        <v>915502804</v>
      </c>
      <c r="E910" s="32">
        <v>496103164</v>
      </c>
      <c r="F910" s="32" t="s">
        <v>208</v>
      </c>
      <c r="G910" s="32" t="s">
        <v>46</v>
      </c>
      <c r="H910" s="32" t="s">
        <v>18</v>
      </c>
      <c r="I910" s="32">
        <v>59.148000000000003</v>
      </c>
      <c r="J910" s="32">
        <v>43.19</v>
      </c>
      <c r="K910" s="32" t="b">
        <v>1</v>
      </c>
      <c r="L910" s="32" t="s">
        <v>63</v>
      </c>
      <c r="M910" s="32" t="s">
        <v>48</v>
      </c>
      <c r="N910" s="34">
        <v>46029</v>
      </c>
      <c r="O910" s="35" t="str">
        <f t="shared" si="3"/>
        <v>Tô Tiểu Ngọc</v>
      </c>
    </row>
    <row r="911" spans="1:15">
      <c r="A911" s="32" t="s">
        <v>138</v>
      </c>
      <c r="B911" s="32" t="s">
        <v>44</v>
      </c>
      <c r="C911" s="33">
        <v>46026</v>
      </c>
      <c r="D911" s="32">
        <v>914403881</v>
      </c>
      <c r="E911" s="32">
        <v>407766951</v>
      </c>
      <c r="F911" s="32" t="s">
        <v>139</v>
      </c>
      <c r="G911" s="32" t="s">
        <v>46</v>
      </c>
      <c r="H911" s="32" t="s">
        <v>51</v>
      </c>
      <c r="I911" s="32">
        <v>52.661000000000001</v>
      </c>
      <c r="J911" s="32">
        <v>27.492999999999999</v>
      </c>
      <c r="K911" s="32" t="b">
        <v>1</v>
      </c>
      <c r="L911" s="32" t="s">
        <v>63</v>
      </c>
      <c r="M911" s="32" t="s">
        <v>48</v>
      </c>
      <c r="N911" s="34">
        <v>46084</v>
      </c>
      <c r="O911" s="35" t="str">
        <f t="shared" si="3"/>
        <v>Trần Xuân Toại</v>
      </c>
    </row>
    <row r="912" spans="1:15">
      <c r="A912" s="32" t="s">
        <v>138</v>
      </c>
      <c r="B912" s="32" t="s">
        <v>44</v>
      </c>
      <c r="C912" s="33">
        <v>46026</v>
      </c>
      <c r="D912" s="32">
        <v>914403881</v>
      </c>
      <c r="E912" s="32">
        <v>407766951</v>
      </c>
      <c r="F912" s="32" t="s">
        <v>139</v>
      </c>
      <c r="G912" s="32" t="s">
        <v>46</v>
      </c>
      <c r="H912" s="32" t="s">
        <v>51</v>
      </c>
      <c r="I912" s="32">
        <v>52.661000000000001</v>
      </c>
      <c r="J912" s="32">
        <v>27.492999999999999</v>
      </c>
      <c r="K912" s="32" t="b">
        <v>1</v>
      </c>
      <c r="L912" s="32" t="s">
        <v>63</v>
      </c>
      <c r="M912" s="32" t="s">
        <v>48</v>
      </c>
      <c r="N912" s="34">
        <v>46084</v>
      </c>
      <c r="O912" s="35" t="str">
        <f t="shared" si="3"/>
        <v>Trần Xuân Toại</v>
      </c>
    </row>
    <row r="913" spans="1:15">
      <c r="A913" s="32" t="s">
        <v>138</v>
      </c>
      <c r="B913" s="32" t="s">
        <v>44</v>
      </c>
      <c r="C913" s="33">
        <v>46026</v>
      </c>
      <c r="D913" s="32">
        <v>914403881</v>
      </c>
      <c r="E913" s="32">
        <v>407766951</v>
      </c>
      <c r="F913" s="32" t="s">
        <v>139</v>
      </c>
      <c r="G913" s="32" t="s">
        <v>46</v>
      </c>
      <c r="H913" s="32" t="s">
        <v>51</v>
      </c>
      <c r="I913" s="32">
        <v>54.518000000000001</v>
      </c>
      <c r="J913" s="32">
        <v>27.260999999999999</v>
      </c>
      <c r="K913" s="32" t="b">
        <v>1</v>
      </c>
      <c r="L913" s="32" t="s">
        <v>63</v>
      </c>
      <c r="M913" s="32" t="s">
        <v>48</v>
      </c>
      <c r="N913" s="34">
        <v>46058</v>
      </c>
      <c r="O913" s="35" t="str">
        <f t="shared" si="3"/>
        <v>Trần Xuân Toại</v>
      </c>
    </row>
    <row r="914" spans="1:15">
      <c r="A914" s="32" t="s">
        <v>138</v>
      </c>
      <c r="B914" s="32" t="s">
        <v>44</v>
      </c>
      <c r="C914" s="33">
        <v>46026</v>
      </c>
      <c r="D914" s="32">
        <v>914403881</v>
      </c>
      <c r="E914" s="32">
        <v>407766951</v>
      </c>
      <c r="F914" s="32" t="s">
        <v>139</v>
      </c>
      <c r="G914" s="32" t="s">
        <v>46</v>
      </c>
      <c r="H914" s="32" t="s">
        <v>51</v>
      </c>
      <c r="I914" s="32">
        <v>54.518000000000001</v>
      </c>
      <c r="J914" s="32">
        <v>27.260999999999999</v>
      </c>
      <c r="K914" s="32" t="b">
        <v>1</v>
      </c>
      <c r="L914" s="32" t="s">
        <v>63</v>
      </c>
      <c r="M914" s="32" t="s">
        <v>48</v>
      </c>
      <c r="N914" s="34">
        <v>46058</v>
      </c>
      <c r="O914" s="35" t="str">
        <f t="shared" si="3"/>
        <v>Trần Xuân Toại</v>
      </c>
    </row>
    <row r="915" spans="1:15">
      <c r="A915" s="32" t="s">
        <v>83</v>
      </c>
      <c r="B915" s="32" t="s">
        <v>44</v>
      </c>
      <c r="C915" s="33">
        <v>46026</v>
      </c>
      <c r="D915" s="32">
        <v>829669739</v>
      </c>
      <c r="E915" s="32">
        <v>408233038</v>
      </c>
      <c r="F915" s="32" t="s">
        <v>84</v>
      </c>
      <c r="G915" s="32" t="s">
        <v>46</v>
      </c>
      <c r="H915" s="32" t="s">
        <v>51</v>
      </c>
      <c r="I915" s="32">
        <v>207.976</v>
      </c>
      <c r="J915" s="32">
        <v>47.1</v>
      </c>
      <c r="K915" s="32" t="b">
        <v>0</v>
      </c>
      <c r="L915" s="32" t="s">
        <v>47</v>
      </c>
      <c r="M915" s="32" t="s">
        <v>48</v>
      </c>
      <c r="N915" s="34">
        <v>46117</v>
      </c>
      <c r="O915" s="35" t="str">
        <f t="shared" si="3"/>
        <v>Lê Minh Kha</v>
      </c>
    </row>
    <row r="916" spans="1:15">
      <c r="A916" s="32" t="s">
        <v>83</v>
      </c>
      <c r="B916" s="32" t="s">
        <v>44</v>
      </c>
      <c r="C916" s="33">
        <v>46026</v>
      </c>
      <c r="D916" s="32">
        <v>886313796</v>
      </c>
      <c r="E916" s="32">
        <v>408233038</v>
      </c>
      <c r="F916" s="32" t="s">
        <v>84</v>
      </c>
      <c r="G916" s="32" t="s">
        <v>46</v>
      </c>
      <c r="H916" s="32" t="s">
        <v>51</v>
      </c>
      <c r="I916" s="32">
        <v>207.976</v>
      </c>
      <c r="J916" s="32">
        <v>47.1</v>
      </c>
      <c r="K916" s="32" t="b">
        <v>0</v>
      </c>
      <c r="L916" s="32" t="s">
        <v>47</v>
      </c>
      <c r="M916" s="32" t="s">
        <v>48</v>
      </c>
      <c r="N916" s="34">
        <v>46117</v>
      </c>
      <c r="O916" s="35" t="str">
        <f t="shared" si="3"/>
        <v>Lê Minh Kha</v>
      </c>
    </row>
    <row r="917" spans="1:15">
      <c r="A917" s="32" t="s">
        <v>254</v>
      </c>
      <c r="B917" s="32" t="s">
        <v>44</v>
      </c>
      <c r="C917" s="33">
        <v>46026</v>
      </c>
      <c r="D917" s="32">
        <v>833406690</v>
      </c>
      <c r="E917" s="32">
        <v>448385937</v>
      </c>
      <c r="F917" s="32" t="s">
        <v>53</v>
      </c>
      <c r="G917" s="32" t="s">
        <v>46</v>
      </c>
      <c r="H917" s="32" t="s">
        <v>18</v>
      </c>
      <c r="I917" s="32">
        <v>567.52700000000004</v>
      </c>
      <c r="J917" s="32">
        <v>78.825000000000003</v>
      </c>
      <c r="K917" s="32" t="b">
        <v>1</v>
      </c>
      <c r="L917" s="32" t="s">
        <v>47</v>
      </c>
      <c r="M917" s="32" t="s">
        <v>48</v>
      </c>
      <c r="N917" s="34">
        <v>46180</v>
      </c>
      <c r="O917" s="35" t="str">
        <f t="shared" si="3"/>
        <v>Trà Thanh Phong</v>
      </c>
    </row>
    <row r="918" spans="1:15">
      <c r="A918" s="32" t="s">
        <v>231</v>
      </c>
      <c r="B918" s="32" t="s">
        <v>44</v>
      </c>
      <c r="C918" s="33">
        <v>46026</v>
      </c>
      <c r="D918" s="32">
        <v>812456561</v>
      </c>
      <c r="E918" s="32">
        <v>478598648</v>
      </c>
      <c r="F918" s="32" t="s">
        <v>232</v>
      </c>
      <c r="G918" s="32" t="s">
        <v>46</v>
      </c>
      <c r="H918" s="32" t="s">
        <v>18</v>
      </c>
      <c r="I918" s="32">
        <v>126.57299999999999</v>
      </c>
      <c r="J918" s="32">
        <v>31.265999999999998</v>
      </c>
      <c r="K918" s="32" t="b">
        <v>1</v>
      </c>
      <c r="L918" s="32" t="s">
        <v>47</v>
      </c>
      <c r="M918" s="32" t="s">
        <v>48</v>
      </c>
      <c r="N918" s="34">
        <v>46085</v>
      </c>
      <c r="O918" s="35" t="str">
        <f t="shared" si="3"/>
        <v>Nguyễn Văn Minh</v>
      </c>
    </row>
    <row r="919" spans="1:15">
      <c r="A919" s="32" t="s">
        <v>231</v>
      </c>
      <c r="B919" s="32" t="s">
        <v>44</v>
      </c>
      <c r="C919" s="33">
        <v>46026</v>
      </c>
      <c r="D919" s="32">
        <v>812456561</v>
      </c>
      <c r="E919" s="32">
        <v>478598648</v>
      </c>
      <c r="F919" s="32" t="s">
        <v>232</v>
      </c>
      <c r="G919" s="32" t="s">
        <v>46</v>
      </c>
      <c r="H919" s="32" t="s">
        <v>18</v>
      </c>
      <c r="I919" s="32">
        <v>130.852</v>
      </c>
      <c r="J919" s="32">
        <v>42.000999999999998</v>
      </c>
      <c r="K919" s="32" t="b">
        <v>1</v>
      </c>
      <c r="L919" s="32" t="s">
        <v>47</v>
      </c>
      <c r="M919" s="32" t="s">
        <v>48</v>
      </c>
      <c r="N919" s="34">
        <v>46029</v>
      </c>
      <c r="O919" s="35" t="str">
        <f t="shared" si="3"/>
        <v>Nguyễn Văn Minh</v>
      </c>
    </row>
    <row r="920" spans="1:15">
      <c r="A920" s="32" t="s">
        <v>231</v>
      </c>
      <c r="B920" s="32" t="s">
        <v>44</v>
      </c>
      <c r="C920" s="33">
        <v>46026</v>
      </c>
      <c r="D920" s="32">
        <v>812456561</v>
      </c>
      <c r="E920" s="32">
        <v>478598648</v>
      </c>
      <c r="F920" s="32" t="s">
        <v>232</v>
      </c>
      <c r="G920" s="32" t="s">
        <v>46</v>
      </c>
      <c r="H920" s="32" t="s">
        <v>18</v>
      </c>
      <c r="I920" s="32">
        <v>148.62700000000001</v>
      </c>
      <c r="J920" s="32">
        <v>31.600999999999999</v>
      </c>
      <c r="K920" s="32" t="b">
        <v>1</v>
      </c>
      <c r="L920" s="32" t="s">
        <v>47</v>
      </c>
      <c r="M920" s="32" t="s">
        <v>48</v>
      </c>
      <c r="N920" s="34">
        <v>46030</v>
      </c>
      <c r="O920" s="35" t="str">
        <f t="shared" si="3"/>
        <v>Nguyễn Văn Minh</v>
      </c>
    </row>
    <row r="921" spans="1:15">
      <c r="A921" s="32" t="s">
        <v>231</v>
      </c>
      <c r="B921" s="32" t="s">
        <v>44</v>
      </c>
      <c r="C921" s="33">
        <v>46026</v>
      </c>
      <c r="D921" s="32">
        <v>812456561</v>
      </c>
      <c r="E921" s="32">
        <v>478598648</v>
      </c>
      <c r="F921" s="32" t="s">
        <v>232</v>
      </c>
      <c r="G921" s="32" t="s">
        <v>46</v>
      </c>
      <c r="H921" s="32" t="s">
        <v>18</v>
      </c>
      <c r="I921" s="32">
        <v>128.72999999999999</v>
      </c>
      <c r="J921" s="32">
        <v>34.783999999999999</v>
      </c>
      <c r="K921" s="32" t="b">
        <v>1</v>
      </c>
      <c r="L921" s="32" t="s">
        <v>47</v>
      </c>
      <c r="M921" s="32" t="s">
        <v>48</v>
      </c>
      <c r="N921" s="34">
        <v>46023</v>
      </c>
      <c r="O921" s="35" t="str">
        <f t="shared" si="3"/>
        <v>Nguyễn Văn Minh</v>
      </c>
    </row>
    <row r="922" spans="1:15">
      <c r="A922" s="32" t="s">
        <v>231</v>
      </c>
      <c r="B922" s="32" t="s">
        <v>44</v>
      </c>
      <c r="C922" s="33">
        <v>46026</v>
      </c>
      <c r="D922" s="32">
        <v>812456561</v>
      </c>
      <c r="E922" s="32">
        <v>478598648</v>
      </c>
      <c r="F922" s="32" t="s">
        <v>232</v>
      </c>
      <c r="G922" s="32" t="s">
        <v>46</v>
      </c>
      <c r="H922" s="32" t="s">
        <v>18</v>
      </c>
      <c r="I922" s="32">
        <v>126.791</v>
      </c>
      <c r="J922" s="32">
        <v>23.439</v>
      </c>
      <c r="K922" s="32" t="b">
        <v>1</v>
      </c>
      <c r="L922" s="32" t="s">
        <v>47</v>
      </c>
      <c r="M922" s="32" t="s">
        <v>48</v>
      </c>
      <c r="N922" s="34">
        <v>46236</v>
      </c>
      <c r="O922" s="35" t="str">
        <f t="shared" si="3"/>
        <v>Nguyễn Văn Minh</v>
      </c>
    </row>
    <row r="923" spans="1:15">
      <c r="A923" s="32" t="s">
        <v>231</v>
      </c>
      <c r="B923" s="32" t="s">
        <v>44</v>
      </c>
      <c r="C923" s="33">
        <v>46026</v>
      </c>
      <c r="D923" s="32">
        <v>812456561</v>
      </c>
      <c r="E923" s="32">
        <v>478598648</v>
      </c>
      <c r="F923" s="32" t="s">
        <v>232</v>
      </c>
      <c r="G923" s="32" t="s">
        <v>46</v>
      </c>
      <c r="H923" s="32" t="s">
        <v>18</v>
      </c>
      <c r="I923" s="32">
        <v>119.91</v>
      </c>
      <c r="J923" s="32">
        <v>17.276</v>
      </c>
      <c r="K923" s="32" t="b">
        <v>1</v>
      </c>
      <c r="L923" s="32" t="s">
        <v>47</v>
      </c>
      <c r="M923" s="32" t="s">
        <v>48</v>
      </c>
      <c r="N923" s="34">
        <v>46083</v>
      </c>
      <c r="O923" s="35" t="str">
        <f t="shared" si="3"/>
        <v>Nguyễn Văn Minh</v>
      </c>
    </row>
    <row r="924" spans="1:15">
      <c r="A924" s="32" t="s">
        <v>197</v>
      </c>
      <c r="B924" s="32" t="s">
        <v>44</v>
      </c>
      <c r="C924" s="33">
        <v>46026</v>
      </c>
      <c r="D924" s="32">
        <v>911685484</v>
      </c>
      <c r="E924" s="32">
        <v>514513531</v>
      </c>
      <c r="F924" s="32" t="s">
        <v>112</v>
      </c>
      <c r="G924" s="32" t="s">
        <v>46</v>
      </c>
      <c r="H924" s="32" t="s">
        <v>51</v>
      </c>
      <c r="I924" s="32">
        <v>89.65</v>
      </c>
      <c r="J924" s="32">
        <v>49.247</v>
      </c>
      <c r="K924" s="32" t="b">
        <v>1</v>
      </c>
      <c r="L924" s="32" t="s">
        <v>79</v>
      </c>
      <c r="M924" s="32" t="s">
        <v>48</v>
      </c>
      <c r="N924" s="34">
        <v>46207</v>
      </c>
      <c r="O924" s="35" t="str">
        <f t="shared" si="3"/>
        <v>Thiệu Thái An</v>
      </c>
    </row>
    <row r="925" spans="1:15">
      <c r="A925" s="32" t="s">
        <v>231</v>
      </c>
      <c r="B925" s="32" t="s">
        <v>44</v>
      </c>
      <c r="C925" s="33">
        <v>46026</v>
      </c>
      <c r="D925" s="32">
        <v>812456561</v>
      </c>
      <c r="E925" s="32">
        <v>478598648</v>
      </c>
      <c r="F925" s="32" t="s">
        <v>232</v>
      </c>
      <c r="G925" s="32" t="s">
        <v>46</v>
      </c>
      <c r="H925" s="32" t="s">
        <v>18</v>
      </c>
      <c r="I925" s="32">
        <v>113.745</v>
      </c>
      <c r="J925" s="32">
        <v>29.257999999999999</v>
      </c>
      <c r="K925" s="32" t="b">
        <v>1</v>
      </c>
      <c r="L925" s="32" t="s">
        <v>47</v>
      </c>
      <c r="M925" s="32" t="s">
        <v>48</v>
      </c>
      <c r="N925" s="34">
        <v>46055</v>
      </c>
      <c r="O925" s="35" t="str">
        <f t="shared" si="3"/>
        <v>Nguyễn Văn Minh</v>
      </c>
    </row>
    <row r="926" spans="1:15">
      <c r="A926" s="32" t="s">
        <v>231</v>
      </c>
      <c r="B926" s="32" t="s">
        <v>44</v>
      </c>
      <c r="C926" s="33">
        <v>46026</v>
      </c>
      <c r="D926" s="32">
        <v>812456561</v>
      </c>
      <c r="E926" s="32">
        <v>478598648</v>
      </c>
      <c r="F926" s="32" t="s">
        <v>232</v>
      </c>
      <c r="G926" s="32" t="s">
        <v>46</v>
      </c>
      <c r="H926" s="32" t="s">
        <v>18</v>
      </c>
      <c r="I926" s="32">
        <v>110.56699999999999</v>
      </c>
      <c r="J926" s="32">
        <v>30.739000000000001</v>
      </c>
      <c r="K926" s="32" t="b">
        <v>1</v>
      </c>
      <c r="L926" s="32" t="s">
        <v>47</v>
      </c>
      <c r="M926" s="32" t="s">
        <v>48</v>
      </c>
      <c r="N926" s="34">
        <v>46116</v>
      </c>
      <c r="O926" s="35" t="str">
        <f t="shared" si="3"/>
        <v>Nguyễn Văn Minh</v>
      </c>
    </row>
    <row r="927" spans="1:15">
      <c r="A927" s="32" t="s">
        <v>231</v>
      </c>
      <c r="B927" s="32" t="s">
        <v>44</v>
      </c>
      <c r="C927" s="33">
        <v>46026</v>
      </c>
      <c r="D927" s="32">
        <v>812456561</v>
      </c>
      <c r="E927" s="32">
        <v>478598648</v>
      </c>
      <c r="F927" s="32" t="s">
        <v>232</v>
      </c>
      <c r="G927" s="32" t="s">
        <v>46</v>
      </c>
      <c r="H927" s="32" t="s">
        <v>18</v>
      </c>
      <c r="I927" s="32">
        <v>114.77</v>
      </c>
      <c r="J927" s="32">
        <v>28.088000000000001</v>
      </c>
      <c r="K927" s="32" t="b">
        <v>1</v>
      </c>
      <c r="L927" s="32" t="s">
        <v>47</v>
      </c>
      <c r="M927" s="32" t="s">
        <v>48</v>
      </c>
      <c r="N927" s="32" t="s">
        <v>105</v>
      </c>
      <c r="O927" s="35" t="str">
        <f t="shared" si="3"/>
        <v>Nguyễn Văn Minh</v>
      </c>
    </row>
    <row r="928" spans="1:15">
      <c r="A928" s="32" t="s">
        <v>254</v>
      </c>
      <c r="B928" s="32" t="s">
        <v>44</v>
      </c>
      <c r="C928" s="33">
        <v>46026</v>
      </c>
      <c r="D928" s="32">
        <v>833406690</v>
      </c>
      <c r="E928" s="32">
        <v>448385937</v>
      </c>
      <c r="F928" s="32" t="s">
        <v>53</v>
      </c>
      <c r="G928" s="32" t="s">
        <v>46</v>
      </c>
      <c r="H928" s="32" t="s">
        <v>18</v>
      </c>
      <c r="I928" s="32">
        <v>103.977</v>
      </c>
      <c r="J928" s="32">
        <v>48.404000000000003</v>
      </c>
      <c r="K928" s="32" t="b">
        <v>1</v>
      </c>
      <c r="L928" s="32" t="s">
        <v>47</v>
      </c>
      <c r="M928" s="32" t="s">
        <v>48</v>
      </c>
      <c r="N928" s="34">
        <v>46268</v>
      </c>
      <c r="O928" s="35" t="str">
        <f t="shared" si="3"/>
        <v>Trà Thanh Phong</v>
      </c>
    </row>
    <row r="929" spans="1:15">
      <c r="A929" s="32" t="s">
        <v>138</v>
      </c>
      <c r="B929" s="32" t="s">
        <v>44</v>
      </c>
      <c r="C929" s="33">
        <v>46026</v>
      </c>
      <c r="D929" s="32">
        <v>914403881</v>
      </c>
      <c r="E929" s="32">
        <v>407766951</v>
      </c>
      <c r="F929" s="32" t="s">
        <v>139</v>
      </c>
      <c r="G929" s="32" t="s">
        <v>46</v>
      </c>
      <c r="H929" s="32" t="s">
        <v>51</v>
      </c>
      <c r="I929" s="32">
        <v>38.982999999999997</v>
      </c>
      <c r="J929" s="32">
        <v>15.614000000000001</v>
      </c>
      <c r="K929" s="32" t="b">
        <v>1</v>
      </c>
      <c r="L929" s="32" t="s">
        <v>63</v>
      </c>
      <c r="M929" s="32" t="s">
        <v>48</v>
      </c>
      <c r="N929" s="34">
        <v>46239</v>
      </c>
      <c r="O929" s="35" t="str">
        <f t="shared" si="3"/>
        <v>Trần Xuân Toại</v>
      </c>
    </row>
    <row r="930" spans="1:15">
      <c r="A930" s="32" t="s">
        <v>138</v>
      </c>
      <c r="B930" s="32" t="s">
        <v>44</v>
      </c>
      <c r="C930" s="33">
        <v>46026</v>
      </c>
      <c r="D930" s="32">
        <v>914403881</v>
      </c>
      <c r="E930" s="32">
        <v>407766951</v>
      </c>
      <c r="F930" s="32" t="s">
        <v>139</v>
      </c>
      <c r="G930" s="32" t="s">
        <v>46</v>
      </c>
      <c r="H930" s="32" t="s">
        <v>51</v>
      </c>
      <c r="I930" s="32">
        <v>38.982999999999997</v>
      </c>
      <c r="J930" s="32">
        <v>15.614000000000001</v>
      </c>
      <c r="K930" s="32" t="b">
        <v>1</v>
      </c>
      <c r="L930" s="32" t="s">
        <v>63</v>
      </c>
      <c r="M930" s="32" t="s">
        <v>48</v>
      </c>
      <c r="N930" s="34">
        <v>46239</v>
      </c>
      <c r="O930" s="35" t="str">
        <f t="shared" si="3"/>
        <v>Trần Xuân Toại</v>
      </c>
    </row>
    <row r="931" spans="1:15">
      <c r="A931" s="32" t="s">
        <v>138</v>
      </c>
      <c r="B931" s="32" t="s">
        <v>44</v>
      </c>
      <c r="C931" s="33">
        <v>46026</v>
      </c>
      <c r="D931" s="32">
        <v>914403881</v>
      </c>
      <c r="E931" s="32">
        <v>407766951</v>
      </c>
      <c r="F931" s="32" t="s">
        <v>139</v>
      </c>
      <c r="G931" s="32" t="s">
        <v>46</v>
      </c>
      <c r="H931" s="32" t="s">
        <v>51</v>
      </c>
      <c r="I931" s="32">
        <v>26.707999999999998</v>
      </c>
      <c r="J931" s="32">
        <v>28.407</v>
      </c>
      <c r="K931" s="32" t="b">
        <v>1</v>
      </c>
      <c r="L931" s="32" t="s">
        <v>63</v>
      </c>
      <c r="M931" s="32" t="s">
        <v>48</v>
      </c>
      <c r="N931" s="34">
        <v>46032</v>
      </c>
      <c r="O931" s="35" t="str">
        <f t="shared" si="3"/>
        <v>Trần Xuân Toại</v>
      </c>
    </row>
    <row r="932" spans="1:15">
      <c r="A932" s="32" t="s">
        <v>138</v>
      </c>
      <c r="B932" s="32" t="s">
        <v>44</v>
      </c>
      <c r="C932" s="33">
        <v>46026</v>
      </c>
      <c r="D932" s="32">
        <v>914403881</v>
      </c>
      <c r="E932" s="32">
        <v>407766951</v>
      </c>
      <c r="F932" s="32" t="s">
        <v>139</v>
      </c>
      <c r="G932" s="32" t="s">
        <v>46</v>
      </c>
      <c r="H932" s="32" t="s">
        <v>51</v>
      </c>
      <c r="I932" s="32">
        <v>26.707999999999998</v>
      </c>
      <c r="J932" s="32">
        <v>28.407</v>
      </c>
      <c r="K932" s="32" t="b">
        <v>1</v>
      </c>
      <c r="L932" s="32" t="s">
        <v>63</v>
      </c>
      <c r="M932" s="32" t="s">
        <v>48</v>
      </c>
      <c r="N932" s="34">
        <v>46032</v>
      </c>
      <c r="O932" s="35" t="str">
        <f t="shared" si="3"/>
        <v>Trần Xuân Toại</v>
      </c>
    </row>
    <row r="933" spans="1:15">
      <c r="A933" s="32" t="s">
        <v>197</v>
      </c>
      <c r="B933" s="32" t="s">
        <v>44</v>
      </c>
      <c r="C933" s="33">
        <v>46026</v>
      </c>
      <c r="D933" s="32">
        <v>911685484</v>
      </c>
      <c r="E933" s="32">
        <v>514513531</v>
      </c>
      <c r="F933" s="32" t="s">
        <v>112</v>
      </c>
      <c r="G933" s="32" t="s">
        <v>46</v>
      </c>
      <c r="H933" s="32" t="s">
        <v>58</v>
      </c>
      <c r="I933" s="32">
        <v>31.140999999999998</v>
      </c>
      <c r="J933" s="32">
        <v>13.526</v>
      </c>
      <c r="K933" s="32" t="b">
        <v>1</v>
      </c>
      <c r="L933" s="32" t="s">
        <v>79</v>
      </c>
      <c r="M933" s="32" t="s">
        <v>48</v>
      </c>
      <c r="N933" s="34">
        <v>46024</v>
      </c>
      <c r="O933" s="35" t="str">
        <f t="shared" si="3"/>
        <v>Thiệu Thái An</v>
      </c>
    </row>
    <row r="934" spans="1:15">
      <c r="A934" s="32" t="s">
        <v>207</v>
      </c>
      <c r="B934" s="32" t="s">
        <v>44</v>
      </c>
      <c r="C934" s="33">
        <v>46026</v>
      </c>
      <c r="D934" s="32">
        <v>915502804</v>
      </c>
      <c r="E934" s="32">
        <v>496103164</v>
      </c>
      <c r="F934" s="32" t="s">
        <v>208</v>
      </c>
      <c r="G934" s="32" t="s">
        <v>46</v>
      </c>
      <c r="H934" s="32" t="s">
        <v>18</v>
      </c>
      <c r="I934" s="32">
        <v>86.575999999999993</v>
      </c>
      <c r="J934" s="32">
        <v>56.13</v>
      </c>
      <c r="K934" s="32" t="b">
        <v>1</v>
      </c>
      <c r="L934" s="32" t="s">
        <v>63</v>
      </c>
      <c r="M934" s="32" t="s">
        <v>48</v>
      </c>
      <c r="N934" s="34">
        <v>46029</v>
      </c>
      <c r="O934" s="35" t="str">
        <f t="shared" si="3"/>
        <v>Tô Tiểu Ngọc</v>
      </c>
    </row>
    <row r="935" spans="1:15">
      <c r="A935" s="32" t="s">
        <v>207</v>
      </c>
      <c r="B935" s="32" t="s">
        <v>44</v>
      </c>
      <c r="C935" s="33">
        <v>46026</v>
      </c>
      <c r="D935" s="32">
        <v>915502804</v>
      </c>
      <c r="E935" s="32">
        <v>496103164</v>
      </c>
      <c r="F935" s="32" t="s">
        <v>208</v>
      </c>
      <c r="G935" s="32" t="s">
        <v>46</v>
      </c>
      <c r="H935" s="32" t="s">
        <v>18</v>
      </c>
      <c r="I935" s="32">
        <v>92.063000000000002</v>
      </c>
      <c r="J935" s="32">
        <v>57.499000000000002</v>
      </c>
      <c r="K935" s="32" t="b">
        <v>1</v>
      </c>
      <c r="L935" s="32" t="s">
        <v>63</v>
      </c>
      <c r="M935" s="32" t="s">
        <v>48</v>
      </c>
      <c r="N935" s="32" t="s">
        <v>105</v>
      </c>
      <c r="O935" s="35" t="str">
        <f t="shared" si="3"/>
        <v>Tô Tiểu Ngọc</v>
      </c>
    </row>
    <row r="936" spans="1:15">
      <c r="A936" s="32" t="s">
        <v>207</v>
      </c>
      <c r="B936" s="32" t="s">
        <v>44</v>
      </c>
      <c r="C936" s="33">
        <v>46026</v>
      </c>
      <c r="D936" s="32">
        <v>915502804</v>
      </c>
      <c r="E936" s="32">
        <v>496103164</v>
      </c>
      <c r="F936" s="32" t="s">
        <v>208</v>
      </c>
      <c r="G936" s="32" t="s">
        <v>46</v>
      </c>
      <c r="H936" s="32" t="s">
        <v>18</v>
      </c>
      <c r="I936" s="32">
        <v>93.703999999999994</v>
      </c>
      <c r="J936" s="32">
        <v>60.451999999999998</v>
      </c>
      <c r="K936" s="32" t="b">
        <v>1</v>
      </c>
      <c r="L936" s="32" t="s">
        <v>63</v>
      </c>
      <c r="M936" s="32" t="s">
        <v>48</v>
      </c>
      <c r="N936" s="34">
        <v>46029</v>
      </c>
      <c r="O936" s="35" t="str">
        <f t="shared" si="3"/>
        <v>Tô Tiểu Ngọc</v>
      </c>
    </row>
    <row r="937" spans="1:15">
      <c r="A937" s="32" t="s">
        <v>207</v>
      </c>
      <c r="B937" s="32" t="s">
        <v>44</v>
      </c>
      <c r="C937" s="33">
        <v>46026</v>
      </c>
      <c r="D937" s="32">
        <v>915502804</v>
      </c>
      <c r="E937" s="32">
        <v>496103164</v>
      </c>
      <c r="F937" s="32" t="s">
        <v>208</v>
      </c>
      <c r="G937" s="32" t="s">
        <v>46</v>
      </c>
      <c r="H937" s="32" t="s">
        <v>18</v>
      </c>
      <c r="I937" s="32">
        <v>97.861999999999995</v>
      </c>
      <c r="J937" s="32">
        <v>58.064</v>
      </c>
      <c r="K937" s="32" t="b">
        <v>1</v>
      </c>
      <c r="L937" s="32" t="s">
        <v>63</v>
      </c>
      <c r="M937" s="32" t="s">
        <v>48</v>
      </c>
      <c r="N937" s="34">
        <v>46059</v>
      </c>
      <c r="O937" s="35" t="str">
        <f t="shared" si="3"/>
        <v>Tô Tiểu Ngọc</v>
      </c>
    </row>
    <row r="938" spans="1:15">
      <c r="A938" s="32" t="s">
        <v>207</v>
      </c>
      <c r="B938" s="32" t="s">
        <v>44</v>
      </c>
      <c r="C938" s="33">
        <v>46026</v>
      </c>
      <c r="D938" s="32">
        <v>915502804</v>
      </c>
      <c r="E938" s="32">
        <v>496103164</v>
      </c>
      <c r="F938" s="32" t="s">
        <v>208</v>
      </c>
      <c r="G938" s="32" t="s">
        <v>46</v>
      </c>
      <c r="H938" s="32" t="s">
        <v>18</v>
      </c>
      <c r="I938" s="32">
        <v>88.802000000000007</v>
      </c>
      <c r="J938" s="32">
        <v>60.530999999999999</v>
      </c>
      <c r="K938" s="32" t="b">
        <v>1</v>
      </c>
      <c r="L938" s="32" t="s">
        <v>63</v>
      </c>
      <c r="M938" s="32" t="s">
        <v>48</v>
      </c>
      <c r="N938" s="34">
        <v>46146</v>
      </c>
      <c r="O938" s="35" t="str">
        <f t="shared" si="3"/>
        <v>Tô Tiểu Ngọc</v>
      </c>
    </row>
    <row r="939" spans="1:15">
      <c r="A939" s="32" t="s">
        <v>207</v>
      </c>
      <c r="B939" s="32" t="s">
        <v>44</v>
      </c>
      <c r="C939" s="33">
        <v>46026</v>
      </c>
      <c r="D939" s="32">
        <v>915502804</v>
      </c>
      <c r="E939" s="32">
        <v>496103164</v>
      </c>
      <c r="F939" s="32" t="s">
        <v>208</v>
      </c>
      <c r="G939" s="32" t="s">
        <v>46</v>
      </c>
      <c r="H939" s="32" t="s">
        <v>18</v>
      </c>
      <c r="I939" s="32">
        <v>80.206999999999994</v>
      </c>
      <c r="J939" s="32">
        <v>60.164000000000001</v>
      </c>
      <c r="K939" s="32" t="b">
        <v>1</v>
      </c>
      <c r="L939" s="32" t="s">
        <v>63</v>
      </c>
      <c r="M939" s="32" t="s">
        <v>48</v>
      </c>
      <c r="N939" s="34">
        <v>46125</v>
      </c>
      <c r="O939" s="35" t="str">
        <f t="shared" si="3"/>
        <v>Tô Tiểu Ngọc</v>
      </c>
    </row>
    <row r="940" spans="1:15">
      <c r="A940" s="32" t="s">
        <v>207</v>
      </c>
      <c r="B940" s="32" t="s">
        <v>44</v>
      </c>
      <c r="C940" s="33">
        <v>46026</v>
      </c>
      <c r="D940" s="32">
        <v>915502804</v>
      </c>
      <c r="E940" s="32">
        <v>496103164</v>
      </c>
      <c r="F940" s="32" t="s">
        <v>208</v>
      </c>
      <c r="G940" s="32" t="s">
        <v>46</v>
      </c>
      <c r="H940" s="32" t="s">
        <v>18</v>
      </c>
      <c r="I940" s="32">
        <v>90.21</v>
      </c>
      <c r="J940" s="32">
        <v>59.198999999999998</v>
      </c>
      <c r="K940" s="32" t="b">
        <v>1</v>
      </c>
      <c r="L940" s="32" t="s">
        <v>63</v>
      </c>
      <c r="M940" s="32" t="s">
        <v>48</v>
      </c>
      <c r="N940" s="34">
        <v>46029</v>
      </c>
      <c r="O940" s="35" t="str">
        <f t="shared" si="3"/>
        <v>Tô Tiểu Ngọc</v>
      </c>
    </row>
    <row r="941" spans="1:15">
      <c r="A941" s="32" t="s">
        <v>207</v>
      </c>
      <c r="B941" s="32" t="s">
        <v>44</v>
      </c>
      <c r="C941" s="33">
        <v>46026</v>
      </c>
      <c r="D941" s="32">
        <v>915502804</v>
      </c>
      <c r="E941" s="32">
        <v>496103164</v>
      </c>
      <c r="F941" s="32" t="s">
        <v>208</v>
      </c>
      <c r="G941" s="32" t="s">
        <v>46</v>
      </c>
      <c r="H941" s="32" t="s">
        <v>18</v>
      </c>
      <c r="I941" s="32">
        <v>68.433999999999997</v>
      </c>
      <c r="J941" s="32">
        <v>56.207999999999998</v>
      </c>
      <c r="K941" s="32" t="b">
        <v>1</v>
      </c>
      <c r="L941" s="32" t="s">
        <v>63</v>
      </c>
      <c r="M941" s="32" t="s">
        <v>48</v>
      </c>
      <c r="N941" s="34">
        <v>46027</v>
      </c>
      <c r="O941" s="35" t="str">
        <f t="shared" si="3"/>
        <v>Tô Tiểu Ngọc</v>
      </c>
    </row>
    <row r="942" spans="1:15">
      <c r="A942" s="32" t="s">
        <v>254</v>
      </c>
      <c r="B942" s="32" t="s">
        <v>44</v>
      </c>
      <c r="C942" s="33">
        <v>46026</v>
      </c>
      <c r="D942" s="32">
        <v>833406690</v>
      </c>
      <c r="E942" s="32">
        <v>448385937</v>
      </c>
      <c r="F942" s="32" t="s">
        <v>53</v>
      </c>
      <c r="G942" s="32" t="s">
        <v>46</v>
      </c>
      <c r="H942" s="32" t="s">
        <v>18</v>
      </c>
      <c r="I942" s="32">
        <v>146.39500000000001</v>
      </c>
      <c r="J942" s="32">
        <v>35.466999999999999</v>
      </c>
      <c r="K942" s="32" t="b">
        <v>1</v>
      </c>
      <c r="L942" s="32" t="s">
        <v>47</v>
      </c>
      <c r="M942" s="32" t="s">
        <v>48</v>
      </c>
      <c r="N942" s="32" t="s">
        <v>113</v>
      </c>
      <c r="O942" s="35" t="str">
        <f t="shared" si="3"/>
        <v>Trà Thanh Phong</v>
      </c>
    </row>
    <row r="943" spans="1:15">
      <c r="A943" s="32" t="s">
        <v>254</v>
      </c>
      <c r="B943" s="32" t="s">
        <v>44</v>
      </c>
      <c r="C943" s="33">
        <v>46026</v>
      </c>
      <c r="D943" s="32">
        <v>833406690</v>
      </c>
      <c r="E943" s="32">
        <v>448385937</v>
      </c>
      <c r="F943" s="32" t="s">
        <v>53</v>
      </c>
      <c r="G943" s="32" t="s">
        <v>46</v>
      </c>
      <c r="H943" s="32" t="s">
        <v>18</v>
      </c>
      <c r="I943" s="32">
        <v>166.85300000000001</v>
      </c>
      <c r="J943" s="32">
        <v>33.158999999999999</v>
      </c>
      <c r="K943" s="32" t="b">
        <v>1</v>
      </c>
      <c r="L943" s="32" t="s">
        <v>47</v>
      </c>
      <c r="M943" s="32" t="s">
        <v>48</v>
      </c>
      <c r="N943" s="34">
        <v>46228</v>
      </c>
      <c r="O943" s="35" t="str">
        <f t="shared" si="3"/>
        <v>Trà Thanh Phong</v>
      </c>
    </row>
    <row r="944" spans="1:15">
      <c r="A944" s="32" t="s">
        <v>254</v>
      </c>
      <c r="B944" s="32" t="s">
        <v>44</v>
      </c>
      <c r="C944" s="33">
        <v>46026</v>
      </c>
      <c r="D944" s="32">
        <v>833406690</v>
      </c>
      <c r="E944" s="32">
        <v>448385937</v>
      </c>
      <c r="F944" s="32" t="s">
        <v>53</v>
      </c>
      <c r="G944" s="32" t="s">
        <v>46</v>
      </c>
      <c r="H944" s="32" t="s">
        <v>18</v>
      </c>
      <c r="I944" s="32">
        <v>168.03</v>
      </c>
      <c r="J944" s="32">
        <v>28.571000000000002</v>
      </c>
      <c r="K944" s="32" t="b">
        <v>1</v>
      </c>
      <c r="L944" s="32" t="s">
        <v>47</v>
      </c>
      <c r="M944" s="32" t="s">
        <v>48</v>
      </c>
      <c r="N944" s="34">
        <v>46240</v>
      </c>
      <c r="O944" s="35" t="str">
        <f t="shared" si="3"/>
        <v>Trà Thanh Phong</v>
      </c>
    </row>
    <row r="945" spans="1:15">
      <c r="A945" s="32" t="s">
        <v>254</v>
      </c>
      <c r="B945" s="32" t="s">
        <v>44</v>
      </c>
      <c r="C945" s="33">
        <v>46026</v>
      </c>
      <c r="D945" s="32">
        <v>833406690</v>
      </c>
      <c r="E945" s="32">
        <v>448385937</v>
      </c>
      <c r="F945" s="32" t="s">
        <v>53</v>
      </c>
      <c r="G945" s="32" t="s">
        <v>46</v>
      </c>
      <c r="H945" s="32" t="s">
        <v>18</v>
      </c>
      <c r="I945" s="32">
        <v>173.614</v>
      </c>
      <c r="J945" s="32">
        <v>31.76</v>
      </c>
      <c r="K945" s="32" t="b">
        <v>1</v>
      </c>
      <c r="L945" s="32" t="s">
        <v>47</v>
      </c>
      <c r="M945" s="32" t="s">
        <v>48</v>
      </c>
      <c r="N945" s="34">
        <v>46149</v>
      </c>
      <c r="O945" s="35" t="str">
        <f t="shared" si="3"/>
        <v>Trà Thanh Phong</v>
      </c>
    </row>
    <row r="946" spans="1:15">
      <c r="A946" s="32" t="s">
        <v>254</v>
      </c>
      <c r="B946" s="32" t="s">
        <v>44</v>
      </c>
      <c r="C946" s="33">
        <v>46026</v>
      </c>
      <c r="D946" s="32">
        <v>833406690</v>
      </c>
      <c r="E946" s="32">
        <v>448385937</v>
      </c>
      <c r="F946" s="32" t="s">
        <v>53</v>
      </c>
      <c r="G946" s="32" t="s">
        <v>46</v>
      </c>
      <c r="H946" s="32" t="s">
        <v>18</v>
      </c>
      <c r="I946" s="32">
        <v>187.59899999999999</v>
      </c>
      <c r="J946" s="32">
        <v>28.204999999999998</v>
      </c>
      <c r="K946" s="32" t="b">
        <v>1</v>
      </c>
      <c r="L946" s="32" t="s">
        <v>47</v>
      </c>
      <c r="M946" s="32" t="s">
        <v>48</v>
      </c>
      <c r="N946" s="34">
        <v>46276</v>
      </c>
      <c r="O946" s="35" t="str">
        <f t="shared" si="3"/>
        <v>Trà Thanh Phong</v>
      </c>
    </row>
    <row r="947" spans="1:15">
      <c r="A947" s="32" t="s">
        <v>254</v>
      </c>
      <c r="B947" s="32" t="s">
        <v>44</v>
      </c>
      <c r="C947" s="33">
        <v>46026</v>
      </c>
      <c r="D947" s="32">
        <v>833406690</v>
      </c>
      <c r="E947" s="32">
        <v>448385937</v>
      </c>
      <c r="F947" s="32" t="s">
        <v>53</v>
      </c>
      <c r="G947" s="32" t="s">
        <v>46</v>
      </c>
      <c r="H947" s="32" t="s">
        <v>18</v>
      </c>
      <c r="I947" s="32">
        <v>179.751</v>
      </c>
      <c r="J947" s="32">
        <v>26.026</v>
      </c>
      <c r="K947" s="32" t="b">
        <v>1</v>
      </c>
      <c r="L947" s="32" t="s">
        <v>47</v>
      </c>
      <c r="M947" s="32" t="s">
        <v>48</v>
      </c>
      <c r="N947" s="34">
        <v>46245</v>
      </c>
      <c r="O947" s="35" t="str">
        <f t="shared" si="3"/>
        <v>Trà Thanh Phong</v>
      </c>
    </row>
    <row r="948" spans="1:15">
      <c r="A948" s="32" t="s">
        <v>254</v>
      </c>
      <c r="B948" s="32" t="s">
        <v>44</v>
      </c>
      <c r="C948" s="33">
        <v>46026</v>
      </c>
      <c r="D948" s="32">
        <v>833406690</v>
      </c>
      <c r="E948" s="32">
        <v>448385937</v>
      </c>
      <c r="F948" s="32" t="s">
        <v>53</v>
      </c>
      <c r="G948" s="32" t="s">
        <v>46</v>
      </c>
      <c r="H948" s="32" t="s">
        <v>18</v>
      </c>
      <c r="I948" s="32">
        <v>177.339</v>
      </c>
      <c r="J948" s="32">
        <v>29.725000000000001</v>
      </c>
      <c r="K948" s="32" t="b">
        <v>1</v>
      </c>
      <c r="L948" s="32" t="s">
        <v>47</v>
      </c>
      <c r="M948" s="32" t="s">
        <v>48</v>
      </c>
      <c r="N948" s="34">
        <v>46059</v>
      </c>
      <c r="O948" s="35" t="str">
        <f t="shared" si="3"/>
        <v>Trà Thanh Phong</v>
      </c>
    </row>
    <row r="949" spans="1:15">
      <c r="A949" s="32" t="s">
        <v>254</v>
      </c>
      <c r="B949" s="32" t="s">
        <v>44</v>
      </c>
      <c r="C949" s="33">
        <v>46026</v>
      </c>
      <c r="D949" s="32">
        <v>833406690</v>
      </c>
      <c r="E949" s="32">
        <v>448385937</v>
      </c>
      <c r="F949" s="32" t="s">
        <v>53</v>
      </c>
      <c r="G949" s="32" t="s">
        <v>46</v>
      </c>
      <c r="H949" s="32" t="s">
        <v>18</v>
      </c>
      <c r="I949" s="32">
        <v>173.96600000000001</v>
      </c>
      <c r="J949" s="32">
        <v>31.838999999999999</v>
      </c>
      <c r="K949" s="32" t="b">
        <v>1</v>
      </c>
      <c r="L949" s="32" t="s">
        <v>47</v>
      </c>
      <c r="M949" s="32" t="s">
        <v>48</v>
      </c>
      <c r="N949" s="34">
        <v>46191</v>
      </c>
      <c r="O949" s="35" t="str">
        <f t="shared" si="3"/>
        <v>Trà Thanh Phong</v>
      </c>
    </row>
    <row r="950" spans="1:15">
      <c r="A950" s="32" t="s">
        <v>197</v>
      </c>
      <c r="B950" s="32" t="s">
        <v>44</v>
      </c>
      <c r="C950" s="33">
        <v>46026</v>
      </c>
      <c r="D950" s="32">
        <v>911685484</v>
      </c>
      <c r="E950" s="32">
        <v>514513531</v>
      </c>
      <c r="F950" s="32" t="s">
        <v>112</v>
      </c>
      <c r="G950" s="32" t="s">
        <v>46</v>
      </c>
      <c r="H950" s="32" t="s">
        <v>58</v>
      </c>
      <c r="I950" s="32">
        <v>125.09099999999999</v>
      </c>
      <c r="J950" s="32">
        <v>35.642000000000003</v>
      </c>
      <c r="K950" s="32" t="b">
        <v>1</v>
      </c>
      <c r="L950" s="32" t="s">
        <v>79</v>
      </c>
      <c r="M950" s="32" t="s">
        <v>48</v>
      </c>
      <c r="N950" s="34">
        <v>46089</v>
      </c>
      <c r="O950" s="35" t="str">
        <f t="shared" si="3"/>
        <v>Thiệu Thái An</v>
      </c>
    </row>
    <row r="951" spans="1:15">
      <c r="A951" s="32" t="s">
        <v>197</v>
      </c>
      <c r="B951" s="32" t="s">
        <v>44</v>
      </c>
      <c r="C951" s="33">
        <v>46026</v>
      </c>
      <c r="D951" s="32">
        <v>911685484</v>
      </c>
      <c r="E951" s="32">
        <v>514513531</v>
      </c>
      <c r="F951" s="32" t="s">
        <v>112</v>
      </c>
      <c r="G951" s="32" t="s">
        <v>46</v>
      </c>
      <c r="H951" s="32" t="s">
        <v>58</v>
      </c>
      <c r="I951" s="32">
        <v>88.46</v>
      </c>
      <c r="J951" s="32">
        <v>30.59</v>
      </c>
      <c r="K951" s="32" t="b">
        <v>1</v>
      </c>
      <c r="L951" s="32" t="s">
        <v>79</v>
      </c>
      <c r="M951" s="32" t="s">
        <v>48</v>
      </c>
      <c r="N951" s="34">
        <v>46281</v>
      </c>
      <c r="O951" s="35" t="str">
        <f t="shared" si="3"/>
        <v>Thiệu Thái An</v>
      </c>
    </row>
    <row r="952" spans="1:15">
      <c r="A952" s="32" t="s">
        <v>197</v>
      </c>
      <c r="B952" s="32" t="s">
        <v>44</v>
      </c>
      <c r="C952" s="33">
        <v>46026</v>
      </c>
      <c r="D952" s="32">
        <v>911685484</v>
      </c>
      <c r="E952" s="32">
        <v>514513531</v>
      </c>
      <c r="F952" s="32" t="s">
        <v>112</v>
      </c>
      <c r="G952" s="32" t="s">
        <v>46</v>
      </c>
      <c r="H952" s="32" t="s">
        <v>58</v>
      </c>
      <c r="I952" s="32">
        <v>98.54</v>
      </c>
      <c r="J952" s="32">
        <v>33.055</v>
      </c>
      <c r="K952" s="32" t="b">
        <v>1</v>
      </c>
      <c r="L952" s="32" t="s">
        <v>79</v>
      </c>
      <c r="M952" s="32" t="s">
        <v>48</v>
      </c>
      <c r="N952" s="34">
        <v>46148</v>
      </c>
      <c r="O952" s="35" t="str">
        <f t="shared" si="3"/>
        <v>Thiệu Thái An</v>
      </c>
    </row>
    <row r="953" spans="1:15">
      <c r="A953" s="32" t="s">
        <v>49</v>
      </c>
      <c r="B953" s="32" t="s">
        <v>44</v>
      </c>
      <c r="C953" s="33">
        <v>46026</v>
      </c>
      <c r="D953" s="32">
        <v>947245878</v>
      </c>
      <c r="E953" s="32">
        <v>493854272</v>
      </c>
      <c r="F953" s="32" t="s">
        <v>50</v>
      </c>
      <c r="G953" s="32" t="s">
        <v>46</v>
      </c>
      <c r="H953" s="32" t="s">
        <v>58</v>
      </c>
      <c r="I953" s="32">
        <v>967.779</v>
      </c>
      <c r="J953" s="32">
        <v>143.13399999999999</v>
      </c>
      <c r="K953" s="32" t="b">
        <v>0</v>
      </c>
      <c r="L953" s="32" t="s">
        <v>47</v>
      </c>
      <c r="M953" s="32" t="s">
        <v>48</v>
      </c>
      <c r="N953" s="34">
        <v>46154</v>
      </c>
      <c r="O953" s="35" t="str">
        <f t="shared" si="3"/>
        <v>Phạm Nguyễn Quang Huy</v>
      </c>
    </row>
    <row r="954" spans="1:15">
      <c r="A954" s="32" t="s">
        <v>49</v>
      </c>
      <c r="B954" s="32" t="s">
        <v>44</v>
      </c>
      <c r="C954" s="33">
        <v>46026</v>
      </c>
      <c r="D954" s="32">
        <v>828926567</v>
      </c>
      <c r="E954" s="32">
        <v>493854272</v>
      </c>
      <c r="F954" s="32" t="s">
        <v>50</v>
      </c>
      <c r="G954" s="32" t="s">
        <v>46</v>
      </c>
      <c r="H954" s="32" t="s">
        <v>58</v>
      </c>
      <c r="I954" s="32">
        <v>967.779</v>
      </c>
      <c r="J954" s="32">
        <v>143.13399999999999</v>
      </c>
      <c r="K954" s="32" t="b">
        <v>0</v>
      </c>
      <c r="L954" s="32" t="s">
        <v>47</v>
      </c>
      <c r="M954" s="32" t="s">
        <v>48</v>
      </c>
      <c r="N954" s="34">
        <v>46154</v>
      </c>
      <c r="O954" s="35" t="str">
        <f t="shared" si="3"/>
        <v>Phạm Nguyễn Quang Huy</v>
      </c>
    </row>
    <row r="955" spans="1:15">
      <c r="A955" s="32" t="s">
        <v>197</v>
      </c>
      <c r="B955" s="32" t="s">
        <v>44</v>
      </c>
      <c r="C955" s="33">
        <v>46026</v>
      </c>
      <c r="D955" s="32">
        <v>911685484</v>
      </c>
      <c r="E955" s="32">
        <v>514513531</v>
      </c>
      <c r="F955" s="32" t="s">
        <v>112</v>
      </c>
      <c r="G955" s="32" t="s">
        <v>46</v>
      </c>
      <c r="H955" s="32" t="s">
        <v>58</v>
      </c>
      <c r="I955" s="32">
        <v>103.724</v>
      </c>
      <c r="J955" s="32">
        <v>38.317</v>
      </c>
      <c r="K955" s="32" t="b">
        <v>1</v>
      </c>
      <c r="L955" s="32" t="s">
        <v>79</v>
      </c>
      <c r="M955" s="32" t="s">
        <v>48</v>
      </c>
      <c r="N955" s="34">
        <v>46178</v>
      </c>
      <c r="O955" s="35" t="str">
        <f t="shared" si="3"/>
        <v>Thiệu Thái An</v>
      </c>
    </row>
    <row r="956" spans="1:15">
      <c r="A956" s="32" t="s">
        <v>197</v>
      </c>
      <c r="B956" s="32" t="s">
        <v>44</v>
      </c>
      <c r="C956" s="33">
        <v>46026</v>
      </c>
      <c r="D956" s="32">
        <v>911685484</v>
      </c>
      <c r="E956" s="32">
        <v>514513531</v>
      </c>
      <c r="F956" s="32" t="s">
        <v>112</v>
      </c>
      <c r="G956" s="32" t="s">
        <v>46</v>
      </c>
      <c r="H956" s="32" t="s">
        <v>58</v>
      </c>
      <c r="I956" s="32">
        <v>38.375999999999998</v>
      </c>
      <c r="J956" s="32">
        <v>46.786999999999999</v>
      </c>
      <c r="K956" s="32" t="b">
        <v>1</v>
      </c>
      <c r="L956" s="32" t="s">
        <v>79</v>
      </c>
      <c r="M956" s="32" t="s">
        <v>48</v>
      </c>
      <c r="N956" s="34">
        <v>46237</v>
      </c>
      <c r="O956" s="35" t="str">
        <f t="shared" si="3"/>
        <v>Thiệu Thái An</v>
      </c>
    </row>
    <row r="957" spans="1:15">
      <c r="A957" s="32" t="s">
        <v>231</v>
      </c>
      <c r="B957" s="32" t="s">
        <v>44</v>
      </c>
      <c r="C957" s="33">
        <v>46026</v>
      </c>
      <c r="D957" s="32">
        <v>812456561</v>
      </c>
      <c r="E957" s="32">
        <v>478598648</v>
      </c>
      <c r="F957" s="32" t="s">
        <v>232</v>
      </c>
      <c r="G957" s="32" t="s">
        <v>46</v>
      </c>
      <c r="H957" s="32" t="s">
        <v>18</v>
      </c>
      <c r="I957" s="32">
        <v>163.934</v>
      </c>
      <c r="J957" s="32">
        <v>47.533999999999999</v>
      </c>
      <c r="K957" s="32" t="b">
        <v>1</v>
      </c>
      <c r="L957" s="32" t="s">
        <v>47</v>
      </c>
      <c r="M957" s="32" t="s">
        <v>48</v>
      </c>
      <c r="N957" s="34">
        <v>46206</v>
      </c>
      <c r="O957" s="35" t="str">
        <f t="shared" si="3"/>
        <v>Nguyễn Văn Minh</v>
      </c>
    </row>
    <row r="958" spans="1:15">
      <c r="A958" s="32" t="s">
        <v>231</v>
      </c>
      <c r="B958" s="32" t="s">
        <v>44</v>
      </c>
      <c r="C958" s="33">
        <v>46026</v>
      </c>
      <c r="D958" s="32">
        <v>812456561</v>
      </c>
      <c r="E958" s="32">
        <v>478598648</v>
      </c>
      <c r="F958" s="32" t="s">
        <v>232</v>
      </c>
      <c r="G958" s="32" t="s">
        <v>46</v>
      </c>
      <c r="H958" s="32" t="s">
        <v>18</v>
      </c>
      <c r="I958" s="32">
        <v>143.87200000000001</v>
      </c>
      <c r="J958" s="32">
        <v>49.411000000000001</v>
      </c>
      <c r="K958" s="32" t="b">
        <v>1</v>
      </c>
      <c r="L958" s="32" t="s">
        <v>47</v>
      </c>
      <c r="M958" s="32" t="s">
        <v>48</v>
      </c>
      <c r="N958" s="34">
        <v>46030</v>
      </c>
      <c r="O958" s="35" t="str">
        <f t="shared" si="3"/>
        <v>Nguyễn Văn Minh</v>
      </c>
    </row>
    <row r="959" spans="1:15">
      <c r="A959" s="32" t="s">
        <v>231</v>
      </c>
      <c r="B959" s="32" t="s">
        <v>44</v>
      </c>
      <c r="C959" s="33">
        <v>46026</v>
      </c>
      <c r="D959" s="32">
        <v>812456561</v>
      </c>
      <c r="E959" s="32">
        <v>478598648</v>
      </c>
      <c r="F959" s="32" t="s">
        <v>232</v>
      </c>
      <c r="G959" s="32" t="s">
        <v>46</v>
      </c>
      <c r="H959" s="32" t="s">
        <v>18</v>
      </c>
      <c r="I959" s="32">
        <v>154.22900000000001</v>
      </c>
      <c r="J959" s="32">
        <v>54.335000000000001</v>
      </c>
      <c r="K959" s="32" t="b">
        <v>1</v>
      </c>
      <c r="L959" s="32" t="s">
        <v>47</v>
      </c>
      <c r="M959" s="32" t="s">
        <v>48</v>
      </c>
      <c r="N959" s="34">
        <v>46061</v>
      </c>
      <c r="O959" s="35" t="str">
        <f t="shared" si="3"/>
        <v>Nguyễn Văn Minh</v>
      </c>
    </row>
    <row r="960" spans="1:15">
      <c r="A960" s="32" t="s">
        <v>69</v>
      </c>
      <c r="B960" s="32" t="s">
        <v>44</v>
      </c>
      <c r="C960" s="33">
        <v>46026</v>
      </c>
      <c r="D960" s="32">
        <v>918616787</v>
      </c>
      <c r="E960" s="32">
        <v>302371366</v>
      </c>
      <c r="F960" s="32" t="s">
        <v>65</v>
      </c>
      <c r="G960" s="32" t="s">
        <v>46</v>
      </c>
      <c r="H960" s="32" t="s">
        <v>58</v>
      </c>
      <c r="I960" s="32">
        <v>930.84199999999998</v>
      </c>
      <c r="J960" s="32">
        <v>121.36</v>
      </c>
      <c r="K960" s="32" t="b">
        <v>1</v>
      </c>
      <c r="L960" s="32" t="s">
        <v>47</v>
      </c>
      <c r="M960" s="32" t="s">
        <v>63</v>
      </c>
      <c r="N960" s="34">
        <v>46284</v>
      </c>
      <c r="O960" s="35" t="str">
        <f t="shared" si="3"/>
        <v>Đặng Hoàng Vũ</v>
      </c>
    </row>
    <row r="961" spans="1:15">
      <c r="A961" s="32" t="s">
        <v>68</v>
      </c>
      <c r="B961" s="32" t="s">
        <v>44</v>
      </c>
      <c r="C961" s="33">
        <v>46026</v>
      </c>
      <c r="D961" s="32">
        <v>918616787</v>
      </c>
      <c r="E961" s="32">
        <v>302371366</v>
      </c>
      <c r="F961" s="32" t="s">
        <v>65</v>
      </c>
      <c r="G961" s="32" t="s">
        <v>46</v>
      </c>
      <c r="H961" s="32" t="s">
        <v>58</v>
      </c>
      <c r="I961" s="32">
        <v>930.84199999999998</v>
      </c>
      <c r="J961" s="32">
        <v>121.36</v>
      </c>
      <c r="K961" s="32" t="b">
        <v>1</v>
      </c>
      <c r="L961" s="32" t="s">
        <v>47</v>
      </c>
      <c r="M961" s="32" t="s">
        <v>63</v>
      </c>
      <c r="N961" s="34">
        <v>46284</v>
      </c>
      <c r="O961" s="35" t="str">
        <f t="shared" si="3"/>
        <v>Đặng Hoàng Vũ</v>
      </c>
    </row>
    <row r="962" spans="1:15">
      <c r="A962" s="32" t="s">
        <v>231</v>
      </c>
      <c r="B962" s="32" t="s">
        <v>44</v>
      </c>
      <c r="C962" s="33">
        <v>46026</v>
      </c>
      <c r="D962" s="32">
        <v>812456561</v>
      </c>
      <c r="E962" s="32">
        <v>478598648</v>
      </c>
      <c r="F962" s="32" t="s">
        <v>232</v>
      </c>
      <c r="G962" s="32" t="s">
        <v>46</v>
      </c>
      <c r="H962" s="32" t="s">
        <v>18</v>
      </c>
      <c r="I962" s="32">
        <v>73.947999999999993</v>
      </c>
      <c r="J962" s="32">
        <v>12.13</v>
      </c>
      <c r="K962" s="32" t="b">
        <v>1</v>
      </c>
      <c r="L962" s="32" t="s">
        <v>47</v>
      </c>
      <c r="M962" s="32" t="s">
        <v>48</v>
      </c>
      <c r="N962" s="34">
        <v>46147</v>
      </c>
      <c r="O962" s="35" t="str">
        <f t="shared" si="3"/>
        <v>Nguyễn Văn Minh</v>
      </c>
    </row>
    <row r="963" spans="1:15">
      <c r="A963" s="32" t="s">
        <v>68</v>
      </c>
      <c r="B963" s="32" t="s">
        <v>44</v>
      </c>
      <c r="C963" s="33">
        <v>46026</v>
      </c>
      <c r="D963" s="32">
        <v>918616787</v>
      </c>
      <c r="E963" s="32">
        <v>302371366</v>
      </c>
      <c r="F963" s="32" t="s">
        <v>65</v>
      </c>
      <c r="G963" s="32" t="s">
        <v>46</v>
      </c>
      <c r="H963" s="32" t="s">
        <v>58</v>
      </c>
      <c r="I963" s="32">
        <v>926.96299999999997</v>
      </c>
      <c r="J963" s="32">
        <v>134.73500000000001</v>
      </c>
      <c r="K963" s="32" t="b">
        <v>1</v>
      </c>
      <c r="L963" s="32" t="s">
        <v>47</v>
      </c>
      <c r="M963" s="32" t="s">
        <v>63</v>
      </c>
      <c r="N963" s="32" t="s">
        <v>255</v>
      </c>
      <c r="O963" s="35" t="str">
        <f t="shared" si="3"/>
        <v>Đặng Hoàng Vũ</v>
      </c>
    </row>
    <row r="964" spans="1:15">
      <c r="A964" s="32" t="s">
        <v>69</v>
      </c>
      <c r="B964" s="32" t="s">
        <v>44</v>
      </c>
      <c r="C964" s="33">
        <v>46026</v>
      </c>
      <c r="D964" s="32">
        <v>918616787</v>
      </c>
      <c r="E964" s="32">
        <v>302371366</v>
      </c>
      <c r="F964" s="32" t="s">
        <v>65</v>
      </c>
      <c r="G964" s="32" t="s">
        <v>46</v>
      </c>
      <c r="H964" s="32" t="s">
        <v>58</v>
      </c>
      <c r="I964" s="32">
        <v>926.96299999999997</v>
      </c>
      <c r="J964" s="32">
        <v>134.73500000000001</v>
      </c>
      <c r="K964" s="32" t="b">
        <v>1</v>
      </c>
      <c r="L964" s="32" t="s">
        <v>47</v>
      </c>
      <c r="M964" s="32" t="s">
        <v>63</v>
      </c>
      <c r="N964" s="32" t="s">
        <v>255</v>
      </c>
      <c r="O964" s="35" t="str">
        <f t="shared" si="3"/>
        <v>Đặng Hoàng Vũ</v>
      </c>
    </row>
    <row r="965" spans="1:15">
      <c r="A965" s="32" t="s">
        <v>192</v>
      </c>
      <c r="B965" s="32" t="s">
        <v>44</v>
      </c>
      <c r="C965" s="33">
        <v>46026</v>
      </c>
      <c r="D965" s="32">
        <v>846528979</v>
      </c>
      <c r="E965" s="32">
        <v>489405039</v>
      </c>
      <c r="F965" s="32" t="s">
        <v>193</v>
      </c>
      <c r="G965" s="32" t="s">
        <v>46</v>
      </c>
      <c r="H965" s="32" t="s">
        <v>58</v>
      </c>
      <c r="I965" s="32">
        <v>92.27</v>
      </c>
      <c r="J965" s="32">
        <v>52.369</v>
      </c>
      <c r="K965" s="32" t="b">
        <v>1</v>
      </c>
      <c r="L965" s="32" t="s">
        <v>63</v>
      </c>
      <c r="M965" s="32" t="s">
        <v>48</v>
      </c>
      <c r="N965" s="34">
        <v>46176</v>
      </c>
      <c r="O965" s="35" t="str">
        <f t="shared" si="3"/>
        <v>Đinh Bộ Lĩnh</v>
      </c>
    </row>
    <row r="966" spans="1:15">
      <c r="A966" s="32" t="s">
        <v>192</v>
      </c>
      <c r="B966" s="32" t="s">
        <v>44</v>
      </c>
      <c r="C966" s="33">
        <v>46026</v>
      </c>
      <c r="D966" s="32">
        <v>846528979</v>
      </c>
      <c r="E966" s="32">
        <v>489405039</v>
      </c>
      <c r="F966" s="32" t="s">
        <v>193</v>
      </c>
      <c r="G966" s="32" t="s">
        <v>46</v>
      </c>
      <c r="H966" s="32" t="s">
        <v>58</v>
      </c>
      <c r="I966" s="32">
        <v>93.239000000000004</v>
      </c>
      <c r="J966" s="32">
        <v>51.320999999999998</v>
      </c>
      <c r="K966" s="32" t="b">
        <v>1</v>
      </c>
      <c r="L966" s="32" t="s">
        <v>63</v>
      </c>
      <c r="M966" s="32" t="s">
        <v>48</v>
      </c>
      <c r="N966" s="34">
        <v>46205</v>
      </c>
      <c r="O966" s="35" t="str">
        <f t="shared" si="3"/>
        <v>Đinh Bộ Lĩnh</v>
      </c>
    </row>
    <row r="967" spans="1:15">
      <c r="A967" s="32" t="s">
        <v>89</v>
      </c>
      <c r="B967" s="32" t="s">
        <v>44</v>
      </c>
      <c r="C967" s="33">
        <v>46026</v>
      </c>
      <c r="D967" s="32">
        <v>837012768</v>
      </c>
      <c r="E967" s="32">
        <v>276156622</v>
      </c>
      <c r="F967" s="32" t="s">
        <v>90</v>
      </c>
      <c r="G967" s="32" t="s">
        <v>46</v>
      </c>
      <c r="H967" s="32" t="s">
        <v>51</v>
      </c>
      <c r="I967" s="32">
        <v>624.34</v>
      </c>
      <c r="J967" s="32">
        <v>124.592</v>
      </c>
      <c r="K967" s="32" t="b">
        <v>1</v>
      </c>
      <c r="L967" s="32" t="s">
        <v>47</v>
      </c>
      <c r="M967" s="32" t="s">
        <v>63</v>
      </c>
      <c r="N967" s="34">
        <v>46106</v>
      </c>
      <c r="O967" s="35" t="str">
        <f t="shared" si="3"/>
        <v>Nguyễn Thành Chí</v>
      </c>
    </row>
    <row r="968" spans="1:15">
      <c r="A968" s="32" t="s">
        <v>231</v>
      </c>
      <c r="B968" s="32" t="s">
        <v>44</v>
      </c>
      <c r="C968" s="33">
        <v>46026</v>
      </c>
      <c r="D968" s="32">
        <v>812456561</v>
      </c>
      <c r="E968" s="32">
        <v>478598648</v>
      </c>
      <c r="F968" s="32" t="s">
        <v>232</v>
      </c>
      <c r="G968" s="32" t="s">
        <v>46</v>
      </c>
      <c r="H968" s="32" t="s">
        <v>18</v>
      </c>
      <c r="I968" s="32">
        <v>605.88699999999994</v>
      </c>
      <c r="J968" s="32">
        <v>57.311</v>
      </c>
      <c r="K968" s="32" t="b">
        <v>1</v>
      </c>
      <c r="L968" s="32" t="s">
        <v>47</v>
      </c>
      <c r="M968" s="32" t="s">
        <v>48</v>
      </c>
      <c r="N968" s="34">
        <v>46240</v>
      </c>
      <c r="O968" s="35" t="str">
        <f t="shared" si="3"/>
        <v>Nguyễn Văn Minh</v>
      </c>
    </row>
    <row r="969" spans="1:15">
      <c r="A969" s="32" t="s">
        <v>216</v>
      </c>
      <c r="B969" s="32" t="s">
        <v>44</v>
      </c>
      <c r="C969" s="33">
        <v>46026</v>
      </c>
      <c r="D969" s="32">
        <v>835880097</v>
      </c>
      <c r="E969" s="32">
        <v>495019055</v>
      </c>
      <c r="F969" s="32" t="s">
        <v>98</v>
      </c>
      <c r="G969" s="32" t="s">
        <v>46</v>
      </c>
      <c r="H969" s="32" t="s">
        <v>58</v>
      </c>
      <c r="I969" s="32">
        <v>97.207999999999998</v>
      </c>
      <c r="J969" s="32">
        <v>39.549999999999997</v>
      </c>
      <c r="K969" s="32" t="b">
        <v>1</v>
      </c>
      <c r="L969" s="32" t="s">
        <v>63</v>
      </c>
      <c r="M969" s="32" t="s">
        <v>48</v>
      </c>
      <c r="N969" s="34">
        <v>46147</v>
      </c>
      <c r="O969" s="35" t="str">
        <f t="shared" si="3"/>
        <v>Mai Thiện Phương</v>
      </c>
    </row>
    <row r="970" spans="1:15">
      <c r="A970" s="32" t="s">
        <v>216</v>
      </c>
      <c r="B970" s="32" t="s">
        <v>44</v>
      </c>
      <c r="C970" s="33">
        <v>46026</v>
      </c>
      <c r="D970" s="32">
        <v>835880097</v>
      </c>
      <c r="E970" s="32">
        <v>495019055</v>
      </c>
      <c r="F970" s="32" t="s">
        <v>98</v>
      </c>
      <c r="G970" s="32" t="s">
        <v>46</v>
      </c>
      <c r="H970" s="32" t="s">
        <v>58</v>
      </c>
      <c r="I970" s="32">
        <v>97.207999999999998</v>
      </c>
      <c r="J970" s="32">
        <v>39.549999999999997</v>
      </c>
      <c r="K970" s="32" t="b">
        <v>1</v>
      </c>
      <c r="L970" s="32" t="s">
        <v>63</v>
      </c>
      <c r="M970" s="32" t="s">
        <v>48</v>
      </c>
      <c r="N970" s="34">
        <v>46147</v>
      </c>
      <c r="O970" s="35" t="str">
        <f t="shared" si="3"/>
        <v>Mai Thiện Phương</v>
      </c>
    </row>
    <row r="971" spans="1:15">
      <c r="A971" s="32" t="s">
        <v>77</v>
      </c>
      <c r="B971" s="32" t="s">
        <v>44</v>
      </c>
      <c r="C971" s="33">
        <v>46026</v>
      </c>
      <c r="D971" s="32">
        <v>945663773</v>
      </c>
      <c r="E971" s="32">
        <v>507335872</v>
      </c>
      <c r="F971" s="32" t="s">
        <v>78</v>
      </c>
      <c r="G971" s="32" t="s">
        <v>46</v>
      </c>
      <c r="H971" s="32" t="s">
        <v>51</v>
      </c>
      <c r="I971" s="32">
        <v>51.543999999999997</v>
      </c>
      <c r="J971" s="32">
        <v>21.027000000000001</v>
      </c>
      <c r="K971" s="32" t="b">
        <v>1</v>
      </c>
      <c r="L971" s="32" t="s">
        <v>79</v>
      </c>
      <c r="M971" s="32" t="s">
        <v>80</v>
      </c>
      <c r="N971" s="34">
        <v>46027</v>
      </c>
      <c r="O971" s="35" t="str">
        <f t="shared" si="3"/>
        <v>Nguyễn Hữu Tân</v>
      </c>
    </row>
    <row r="972" spans="1:15">
      <c r="A972" s="32" t="s">
        <v>85</v>
      </c>
      <c r="B972" s="32" t="s">
        <v>44</v>
      </c>
      <c r="C972" s="33">
        <v>46026</v>
      </c>
      <c r="D972" s="32">
        <v>918128333</v>
      </c>
      <c r="E972" s="32">
        <v>362213178</v>
      </c>
      <c r="F972" s="32" t="s">
        <v>86</v>
      </c>
      <c r="G972" s="32" t="s">
        <v>46</v>
      </c>
      <c r="H972" s="32" t="s">
        <v>87</v>
      </c>
      <c r="I972" s="32">
        <v>184.55500000000001</v>
      </c>
      <c r="J972" s="32">
        <v>36.695999999999998</v>
      </c>
      <c r="K972" s="32" t="b">
        <v>1</v>
      </c>
      <c r="L972" s="32" t="s">
        <v>47</v>
      </c>
      <c r="M972" s="32" t="s">
        <v>48</v>
      </c>
      <c r="N972" s="34">
        <v>46154</v>
      </c>
      <c r="O972" s="35" t="str">
        <f t="shared" si="3"/>
        <v>Trần Minh Tuấn1</v>
      </c>
    </row>
    <row r="973" spans="1:15">
      <c r="A973" s="32" t="s">
        <v>231</v>
      </c>
      <c r="B973" s="32" t="s">
        <v>44</v>
      </c>
      <c r="C973" s="33">
        <v>46026</v>
      </c>
      <c r="D973" s="32">
        <v>812456561</v>
      </c>
      <c r="E973" s="32">
        <v>478598648</v>
      </c>
      <c r="F973" s="32" t="s">
        <v>232</v>
      </c>
      <c r="G973" s="32" t="s">
        <v>46</v>
      </c>
      <c r="H973" s="32" t="s">
        <v>18</v>
      </c>
      <c r="I973" s="32">
        <v>193.875</v>
      </c>
      <c r="J973" s="32">
        <v>40.56</v>
      </c>
      <c r="K973" s="32" t="b">
        <v>1</v>
      </c>
      <c r="L973" s="32" t="s">
        <v>47</v>
      </c>
      <c r="M973" s="32" t="s">
        <v>48</v>
      </c>
      <c r="N973" s="34">
        <v>46236</v>
      </c>
      <c r="O973" s="35" t="str">
        <f t="shared" si="3"/>
        <v>Nguyễn Văn Minh</v>
      </c>
    </row>
    <row r="974" spans="1:15">
      <c r="A974" s="32" t="s">
        <v>81</v>
      </c>
      <c r="B974" s="32" t="s">
        <v>44</v>
      </c>
      <c r="C974" s="33">
        <v>46026</v>
      </c>
      <c r="D974" s="32">
        <v>832428439</v>
      </c>
      <c r="E974" s="32">
        <v>494036091</v>
      </c>
      <c r="F974" s="32" t="s">
        <v>82</v>
      </c>
      <c r="G974" s="32" t="s">
        <v>46</v>
      </c>
      <c r="H974" s="32" t="s">
        <v>145</v>
      </c>
      <c r="I974" s="32">
        <v>79.983999999999995</v>
      </c>
      <c r="J974" s="32">
        <v>23.611999999999998</v>
      </c>
      <c r="K974" s="32" t="b">
        <v>1</v>
      </c>
      <c r="L974" s="32" t="s">
        <v>79</v>
      </c>
      <c r="M974" s="32" t="s">
        <v>48</v>
      </c>
      <c r="N974" s="34">
        <v>46148</v>
      </c>
      <c r="O974" s="35" t="str">
        <f t="shared" si="3"/>
        <v>Phù Hoàng Thành</v>
      </c>
    </row>
    <row r="975" spans="1:15">
      <c r="A975" s="32" t="s">
        <v>81</v>
      </c>
      <c r="B975" s="32" t="s">
        <v>44</v>
      </c>
      <c r="C975" s="33">
        <v>46026</v>
      </c>
      <c r="D975" s="32">
        <v>852226484</v>
      </c>
      <c r="E975" s="32">
        <v>494036091</v>
      </c>
      <c r="F975" s="32" t="s">
        <v>82</v>
      </c>
      <c r="G975" s="32" t="s">
        <v>46</v>
      </c>
      <c r="H975" s="32" t="s">
        <v>145</v>
      </c>
      <c r="I975" s="32">
        <v>79.983999999999995</v>
      </c>
      <c r="J975" s="32">
        <v>23.611999999999998</v>
      </c>
      <c r="K975" s="32" t="b">
        <v>1</v>
      </c>
      <c r="L975" s="32" t="s">
        <v>79</v>
      </c>
      <c r="M975" s="32" t="s">
        <v>48</v>
      </c>
      <c r="N975" s="34">
        <v>46148</v>
      </c>
      <c r="O975" s="35" t="str">
        <f t="shared" si="3"/>
        <v>Phù Hoàng Thành</v>
      </c>
    </row>
    <row r="976" spans="1:15">
      <c r="A976" s="32" t="s">
        <v>247</v>
      </c>
      <c r="B976" s="32" t="s">
        <v>44</v>
      </c>
      <c r="C976" s="33">
        <v>46026</v>
      </c>
      <c r="D976" s="32">
        <v>919256783</v>
      </c>
      <c r="E976" s="32">
        <v>358567066</v>
      </c>
      <c r="F976" s="32" t="s">
        <v>248</v>
      </c>
      <c r="G976" s="32" t="s">
        <v>46</v>
      </c>
      <c r="H976" s="32" t="s">
        <v>18</v>
      </c>
      <c r="I976" s="32">
        <v>75.099999999999994</v>
      </c>
      <c r="J976" s="32">
        <v>42.244</v>
      </c>
      <c r="K976" s="32" t="b">
        <v>1</v>
      </c>
      <c r="L976" s="32" t="s">
        <v>79</v>
      </c>
      <c r="M976" s="32" t="s">
        <v>48</v>
      </c>
      <c r="N976" s="34">
        <v>46148</v>
      </c>
      <c r="O976" s="35" t="str">
        <f t="shared" si="3"/>
        <v>Nguyễn Văn Cường</v>
      </c>
    </row>
    <row r="977" spans="1:15">
      <c r="A977" s="32" t="s">
        <v>247</v>
      </c>
      <c r="B977" s="32" t="s">
        <v>44</v>
      </c>
      <c r="C977" s="33">
        <v>46026</v>
      </c>
      <c r="D977" s="32">
        <v>919256783</v>
      </c>
      <c r="E977" s="32">
        <v>358567066</v>
      </c>
      <c r="F977" s="32" t="s">
        <v>248</v>
      </c>
      <c r="G977" s="32" t="s">
        <v>46</v>
      </c>
      <c r="H977" s="32" t="s">
        <v>18</v>
      </c>
      <c r="I977" s="32">
        <v>93.046999999999997</v>
      </c>
      <c r="J977" s="32">
        <v>16.042999999999999</v>
      </c>
      <c r="K977" s="32" t="b">
        <v>1</v>
      </c>
      <c r="L977" s="32" t="s">
        <v>79</v>
      </c>
      <c r="M977" s="32" t="s">
        <v>48</v>
      </c>
      <c r="N977" s="34">
        <v>46245</v>
      </c>
      <c r="O977" s="35" t="str">
        <f t="shared" si="3"/>
        <v>Nguyễn Văn Cường</v>
      </c>
    </row>
    <row r="978" spans="1:15">
      <c r="A978" s="32" t="s">
        <v>247</v>
      </c>
      <c r="B978" s="32" t="s">
        <v>44</v>
      </c>
      <c r="C978" s="33">
        <v>46026</v>
      </c>
      <c r="D978" s="32">
        <v>919256783</v>
      </c>
      <c r="E978" s="32">
        <v>358567066</v>
      </c>
      <c r="F978" s="32" t="s">
        <v>248</v>
      </c>
      <c r="G978" s="32" t="s">
        <v>46</v>
      </c>
      <c r="H978" s="32" t="s">
        <v>18</v>
      </c>
      <c r="I978" s="32">
        <v>99.534999999999997</v>
      </c>
      <c r="J978" s="32">
        <v>14.554</v>
      </c>
      <c r="K978" s="32" t="b">
        <v>1</v>
      </c>
      <c r="L978" s="32" t="s">
        <v>79</v>
      </c>
      <c r="M978" s="32" t="s">
        <v>48</v>
      </c>
      <c r="N978" s="34">
        <v>46060</v>
      </c>
      <c r="O978" s="35" t="str">
        <f t="shared" si="3"/>
        <v>Nguyễn Văn Cường</v>
      </c>
    </row>
    <row r="979" spans="1:15">
      <c r="A979" s="32" t="s">
        <v>247</v>
      </c>
      <c r="B979" s="32" t="s">
        <v>44</v>
      </c>
      <c r="C979" s="33">
        <v>46026</v>
      </c>
      <c r="D979" s="32">
        <v>919256783</v>
      </c>
      <c r="E979" s="32">
        <v>358567066</v>
      </c>
      <c r="F979" s="32" t="s">
        <v>248</v>
      </c>
      <c r="G979" s="32" t="s">
        <v>46</v>
      </c>
      <c r="H979" s="32" t="s">
        <v>18</v>
      </c>
      <c r="I979" s="32">
        <v>102.562</v>
      </c>
      <c r="J979" s="32">
        <v>14.423</v>
      </c>
      <c r="K979" s="32" t="b">
        <v>1</v>
      </c>
      <c r="L979" s="32" t="s">
        <v>79</v>
      </c>
      <c r="M979" s="32" t="s">
        <v>48</v>
      </c>
      <c r="N979" s="32" t="s">
        <v>256</v>
      </c>
      <c r="O979" s="35" t="str">
        <f t="shared" si="3"/>
        <v>Nguyễn Văn Cường</v>
      </c>
    </row>
    <row r="980" spans="1:15">
      <c r="A980" s="32" t="s">
        <v>247</v>
      </c>
      <c r="B980" s="32" t="s">
        <v>44</v>
      </c>
      <c r="C980" s="33">
        <v>46026</v>
      </c>
      <c r="D980" s="32">
        <v>919256783</v>
      </c>
      <c r="E980" s="32">
        <v>358567066</v>
      </c>
      <c r="F980" s="32" t="s">
        <v>248</v>
      </c>
      <c r="G980" s="32" t="s">
        <v>46</v>
      </c>
      <c r="H980" s="32" t="s">
        <v>18</v>
      </c>
      <c r="I980" s="32">
        <v>102.345</v>
      </c>
      <c r="J980" s="32">
        <v>13.965999999999999</v>
      </c>
      <c r="K980" s="32" t="b">
        <v>1</v>
      </c>
      <c r="L980" s="32" t="s">
        <v>79</v>
      </c>
      <c r="M980" s="32" t="s">
        <v>48</v>
      </c>
      <c r="N980" s="34">
        <v>46210</v>
      </c>
      <c r="O980" s="35" t="str">
        <f t="shared" si="3"/>
        <v>Nguyễn Văn Cường</v>
      </c>
    </row>
    <row r="981" spans="1:15">
      <c r="A981" s="32" t="s">
        <v>231</v>
      </c>
      <c r="B981" s="32" t="s">
        <v>44</v>
      </c>
      <c r="C981" s="33">
        <v>46026</v>
      </c>
      <c r="D981" s="32">
        <v>812456561</v>
      </c>
      <c r="E981" s="32">
        <v>478598648</v>
      </c>
      <c r="F981" s="32" t="s">
        <v>232</v>
      </c>
      <c r="G981" s="32" t="s">
        <v>46</v>
      </c>
      <c r="H981" s="32" t="s">
        <v>18</v>
      </c>
      <c r="I981" s="32">
        <v>367.726</v>
      </c>
      <c r="J981" s="32">
        <v>58.981999999999999</v>
      </c>
      <c r="K981" s="32" t="b">
        <v>1</v>
      </c>
      <c r="L981" s="32" t="s">
        <v>47</v>
      </c>
      <c r="M981" s="32" t="s">
        <v>48</v>
      </c>
      <c r="N981" s="34">
        <v>46126</v>
      </c>
      <c r="O981" s="35" t="str">
        <f t="shared" si="3"/>
        <v>Nguyễn Văn Minh</v>
      </c>
    </row>
    <row r="982" spans="1:15">
      <c r="A982" s="32" t="s">
        <v>88</v>
      </c>
      <c r="B982" s="32" t="s">
        <v>44</v>
      </c>
      <c r="C982" s="33">
        <v>46026</v>
      </c>
      <c r="D982" s="32">
        <v>918611919</v>
      </c>
      <c r="E982" s="32">
        <v>321677895</v>
      </c>
      <c r="F982" s="32" t="s">
        <v>65</v>
      </c>
      <c r="G982" s="32" t="s">
        <v>46</v>
      </c>
      <c r="H982" s="32" t="s">
        <v>51</v>
      </c>
      <c r="I982" s="32">
        <v>919.30700000000002</v>
      </c>
      <c r="J982" s="32">
        <v>160.86199999999999</v>
      </c>
      <c r="K982" s="32" t="b">
        <v>1</v>
      </c>
      <c r="L982" s="32" t="s">
        <v>47</v>
      </c>
      <c r="M982" s="32" t="s">
        <v>63</v>
      </c>
      <c r="N982" s="34">
        <v>46184</v>
      </c>
      <c r="O982" s="35" t="str">
        <f t="shared" si="3"/>
        <v>Huỳnh Phước Yên</v>
      </c>
    </row>
    <row r="983" spans="1:15">
      <c r="A983" s="32" t="s">
        <v>81</v>
      </c>
      <c r="B983" s="32" t="s">
        <v>44</v>
      </c>
      <c r="C983" s="33">
        <v>46026</v>
      </c>
      <c r="D983" s="32">
        <v>852226484</v>
      </c>
      <c r="E983" s="32">
        <v>494036091</v>
      </c>
      <c r="F983" s="32" t="s">
        <v>82</v>
      </c>
      <c r="G983" s="32" t="s">
        <v>46</v>
      </c>
      <c r="H983" s="32" t="s">
        <v>145</v>
      </c>
      <c r="I983" s="32">
        <v>32.331000000000003</v>
      </c>
      <c r="J983" s="32">
        <v>30.852</v>
      </c>
      <c r="K983" s="32" t="b">
        <v>1</v>
      </c>
      <c r="L983" s="32" t="s">
        <v>79</v>
      </c>
      <c r="M983" s="32" t="s">
        <v>48</v>
      </c>
      <c r="N983" s="34">
        <v>46029</v>
      </c>
      <c r="O983" s="35" t="str">
        <f t="shared" si="3"/>
        <v>Phù Hoàng Thành</v>
      </c>
    </row>
    <row r="984" spans="1:15">
      <c r="A984" s="32" t="s">
        <v>81</v>
      </c>
      <c r="B984" s="32" t="s">
        <v>44</v>
      </c>
      <c r="C984" s="33">
        <v>46026</v>
      </c>
      <c r="D984" s="32">
        <v>832428439</v>
      </c>
      <c r="E984" s="32">
        <v>494036091</v>
      </c>
      <c r="F984" s="32" t="s">
        <v>82</v>
      </c>
      <c r="G984" s="32" t="s">
        <v>46</v>
      </c>
      <c r="H984" s="32" t="s">
        <v>145</v>
      </c>
      <c r="I984" s="32">
        <v>32.331000000000003</v>
      </c>
      <c r="J984" s="32">
        <v>30.852</v>
      </c>
      <c r="K984" s="32" t="b">
        <v>1</v>
      </c>
      <c r="L984" s="32" t="s">
        <v>79</v>
      </c>
      <c r="M984" s="32" t="s">
        <v>48</v>
      </c>
      <c r="N984" s="34">
        <v>46029</v>
      </c>
      <c r="O984" s="35" t="str">
        <f t="shared" si="3"/>
        <v>Phù Hoàng Thành</v>
      </c>
    </row>
    <row r="985" spans="1:15">
      <c r="A985" s="32" t="s">
        <v>81</v>
      </c>
      <c r="B985" s="32" t="s">
        <v>44</v>
      </c>
      <c r="C985" s="33">
        <v>46026</v>
      </c>
      <c r="D985" s="32">
        <v>832428439</v>
      </c>
      <c r="E985" s="32">
        <v>494036091</v>
      </c>
      <c r="F985" s="32" t="s">
        <v>82</v>
      </c>
      <c r="G985" s="32" t="s">
        <v>46</v>
      </c>
      <c r="H985" s="32" t="s">
        <v>145</v>
      </c>
      <c r="I985" s="32">
        <v>39.103999999999999</v>
      </c>
      <c r="J985" s="32">
        <v>27.798999999999999</v>
      </c>
      <c r="K985" s="32" t="b">
        <v>1</v>
      </c>
      <c r="L985" s="32" t="s">
        <v>79</v>
      </c>
      <c r="M985" s="32" t="s">
        <v>48</v>
      </c>
      <c r="N985" s="34">
        <v>46031</v>
      </c>
      <c r="O985" s="35" t="str">
        <f t="shared" si="3"/>
        <v>Phù Hoàng Thành</v>
      </c>
    </row>
    <row r="986" spans="1:15">
      <c r="A986" s="32" t="s">
        <v>81</v>
      </c>
      <c r="B986" s="32" t="s">
        <v>44</v>
      </c>
      <c r="C986" s="33">
        <v>46026</v>
      </c>
      <c r="D986" s="32">
        <v>852226484</v>
      </c>
      <c r="E986" s="32">
        <v>494036091</v>
      </c>
      <c r="F986" s="32" t="s">
        <v>82</v>
      </c>
      <c r="G986" s="32" t="s">
        <v>46</v>
      </c>
      <c r="H986" s="32" t="s">
        <v>145</v>
      </c>
      <c r="I986" s="32">
        <v>39.103999999999999</v>
      </c>
      <c r="J986" s="32">
        <v>27.798999999999999</v>
      </c>
      <c r="K986" s="32" t="b">
        <v>1</v>
      </c>
      <c r="L986" s="32" t="s">
        <v>79</v>
      </c>
      <c r="M986" s="32" t="s">
        <v>48</v>
      </c>
      <c r="N986" s="34">
        <v>46031</v>
      </c>
      <c r="O986" s="35" t="str">
        <f t="shared" si="3"/>
        <v>Phù Hoàng Thành</v>
      </c>
    </row>
    <row r="987" spans="1:15">
      <c r="A987" s="32" t="s">
        <v>133</v>
      </c>
      <c r="B987" s="32" t="s">
        <v>44</v>
      </c>
      <c r="C987" s="33">
        <v>46026</v>
      </c>
      <c r="D987" s="32">
        <v>913632800</v>
      </c>
      <c r="E987" s="32">
        <v>487761475</v>
      </c>
      <c r="F987" s="32" t="s">
        <v>71</v>
      </c>
      <c r="G987" s="32" t="s">
        <v>46</v>
      </c>
      <c r="H987" s="32" t="s">
        <v>51</v>
      </c>
      <c r="I987" s="32">
        <v>927.22699999999998</v>
      </c>
      <c r="J987" s="32">
        <v>74.034999999999997</v>
      </c>
      <c r="K987" s="32" t="b">
        <v>1</v>
      </c>
      <c r="L987" s="32" t="s">
        <v>47</v>
      </c>
      <c r="M987" s="32" t="s">
        <v>48</v>
      </c>
      <c r="N987" s="34">
        <v>46134</v>
      </c>
      <c r="O987" s="35" t="str">
        <f t="shared" si="3"/>
        <v>Võ Quang Thìn</v>
      </c>
    </row>
    <row r="988" spans="1:15">
      <c r="A988" s="32" t="s">
        <v>96</v>
      </c>
      <c r="B988" s="32" t="s">
        <v>44</v>
      </c>
      <c r="C988" s="33">
        <v>46026</v>
      </c>
      <c r="D988" s="32">
        <v>914390007</v>
      </c>
      <c r="E988" s="32">
        <v>504830634</v>
      </c>
      <c r="F988" s="32" t="s">
        <v>60</v>
      </c>
      <c r="G988" s="32" t="s">
        <v>46</v>
      </c>
      <c r="H988" s="32" t="s">
        <v>51</v>
      </c>
      <c r="I988" s="32">
        <v>74.912999999999997</v>
      </c>
      <c r="J988" s="32">
        <v>37.091999999999999</v>
      </c>
      <c r="K988" s="32" t="b">
        <v>1</v>
      </c>
      <c r="L988" s="32" t="s">
        <v>47</v>
      </c>
      <c r="M988" s="32" t="s">
        <v>48</v>
      </c>
      <c r="N988" s="34">
        <v>46235</v>
      </c>
      <c r="O988" s="35" t="str">
        <f t="shared" si="3"/>
        <v>Võ Quốc Huy</v>
      </c>
    </row>
    <row r="989" spans="1:15">
      <c r="A989" s="32" t="s">
        <v>235</v>
      </c>
      <c r="B989" s="32" t="s">
        <v>44</v>
      </c>
      <c r="C989" s="33">
        <v>46026</v>
      </c>
      <c r="D989" s="32">
        <v>912223973</v>
      </c>
      <c r="E989" s="32">
        <v>427392630</v>
      </c>
      <c r="F989" s="32" t="s">
        <v>95</v>
      </c>
      <c r="G989" s="32" t="s">
        <v>46</v>
      </c>
      <c r="H989" s="32" t="s">
        <v>51</v>
      </c>
      <c r="I989" s="32">
        <v>727.52800000000002</v>
      </c>
      <c r="J989" s="32">
        <v>31.753</v>
      </c>
      <c r="K989" s="32" t="b">
        <v>1</v>
      </c>
      <c r="L989" s="32" t="s">
        <v>47</v>
      </c>
      <c r="M989" s="32" t="s">
        <v>48</v>
      </c>
      <c r="N989" s="32" t="s">
        <v>158</v>
      </c>
      <c r="O989" s="35" t="str">
        <f t="shared" si="3"/>
        <v>Lại Quang Vinh</v>
      </c>
    </row>
    <row r="990" spans="1:15">
      <c r="A990" s="32" t="s">
        <v>235</v>
      </c>
      <c r="B990" s="32" t="s">
        <v>44</v>
      </c>
      <c r="C990" s="33">
        <v>46026</v>
      </c>
      <c r="D990" s="32">
        <v>912223973</v>
      </c>
      <c r="E990" s="32">
        <v>427392630</v>
      </c>
      <c r="F990" s="32" t="s">
        <v>95</v>
      </c>
      <c r="G990" s="32" t="s">
        <v>46</v>
      </c>
      <c r="H990" s="32" t="s">
        <v>51</v>
      </c>
      <c r="I990" s="32">
        <v>754.85500000000002</v>
      </c>
      <c r="J990" s="32">
        <v>27.523</v>
      </c>
      <c r="K990" s="32" t="b">
        <v>1</v>
      </c>
      <c r="L990" s="32" t="s">
        <v>47</v>
      </c>
      <c r="M990" s="32" t="s">
        <v>48</v>
      </c>
      <c r="N990" s="34">
        <v>46093</v>
      </c>
      <c r="O990" s="35" t="str">
        <f t="shared" si="3"/>
        <v>Lại Quang Vinh</v>
      </c>
    </row>
    <row r="991" spans="1:15">
      <c r="A991" s="32" t="s">
        <v>235</v>
      </c>
      <c r="B991" s="32" t="s">
        <v>44</v>
      </c>
      <c r="C991" s="33">
        <v>46026</v>
      </c>
      <c r="D991" s="32">
        <v>912223973</v>
      </c>
      <c r="E991" s="32">
        <v>427392630</v>
      </c>
      <c r="F991" s="32" t="s">
        <v>95</v>
      </c>
      <c r="G991" s="32" t="s">
        <v>46</v>
      </c>
      <c r="H991" s="32" t="s">
        <v>51</v>
      </c>
      <c r="I991" s="32">
        <v>734.45799999999997</v>
      </c>
      <c r="J991" s="32">
        <v>29.51</v>
      </c>
      <c r="K991" s="32" t="b">
        <v>1</v>
      </c>
      <c r="L991" s="32" t="s">
        <v>47</v>
      </c>
      <c r="M991" s="32" t="s">
        <v>48</v>
      </c>
      <c r="N991" s="34">
        <v>46247</v>
      </c>
      <c r="O991" s="35" t="str">
        <f t="shared" si="3"/>
        <v>Lại Quang Vinh</v>
      </c>
    </row>
    <row r="992" spans="1:15">
      <c r="A992" s="32" t="s">
        <v>235</v>
      </c>
      <c r="B992" s="32" t="s">
        <v>44</v>
      </c>
      <c r="C992" s="33">
        <v>46026</v>
      </c>
      <c r="D992" s="32">
        <v>912223973</v>
      </c>
      <c r="E992" s="32">
        <v>427392630</v>
      </c>
      <c r="F992" s="32" t="s">
        <v>95</v>
      </c>
      <c r="G992" s="32" t="s">
        <v>46</v>
      </c>
      <c r="H992" s="32" t="s">
        <v>51</v>
      </c>
      <c r="I992" s="32">
        <v>742.149</v>
      </c>
      <c r="J992" s="32">
        <v>27.933</v>
      </c>
      <c r="K992" s="32" t="b">
        <v>1</v>
      </c>
      <c r="L992" s="32" t="s">
        <v>47</v>
      </c>
      <c r="M992" s="32" t="s">
        <v>48</v>
      </c>
      <c r="N992" s="34">
        <v>46264</v>
      </c>
      <c r="O992" s="35" t="str">
        <f t="shared" si="3"/>
        <v>Lại Quang Vinh</v>
      </c>
    </row>
    <row r="993" spans="1:15">
      <c r="A993" s="32" t="s">
        <v>83</v>
      </c>
      <c r="B993" s="32" t="s">
        <v>44</v>
      </c>
      <c r="C993" s="33">
        <v>46025</v>
      </c>
      <c r="D993" s="32">
        <v>886313796</v>
      </c>
      <c r="E993" s="32">
        <v>408233038</v>
      </c>
      <c r="F993" s="32" t="s">
        <v>84</v>
      </c>
      <c r="G993" s="32" t="s">
        <v>46</v>
      </c>
      <c r="H993" s="32" t="s">
        <v>51</v>
      </c>
      <c r="I993" s="32">
        <v>83.296000000000006</v>
      </c>
      <c r="J993" s="32">
        <v>23.83</v>
      </c>
      <c r="K993" s="32" t="b">
        <v>1</v>
      </c>
      <c r="L993" s="32" t="s">
        <v>47</v>
      </c>
      <c r="M993" s="32" t="s">
        <v>48</v>
      </c>
      <c r="N993" s="34">
        <v>46268</v>
      </c>
      <c r="O993" s="35" t="str">
        <f t="shared" si="3"/>
        <v>Lê Minh Kha</v>
      </c>
    </row>
    <row r="994" spans="1:15">
      <c r="A994" s="32" t="s">
        <v>83</v>
      </c>
      <c r="B994" s="32" t="s">
        <v>44</v>
      </c>
      <c r="C994" s="33">
        <v>46025</v>
      </c>
      <c r="D994" s="32">
        <v>829669739</v>
      </c>
      <c r="E994" s="32">
        <v>408233038</v>
      </c>
      <c r="F994" s="32" t="s">
        <v>84</v>
      </c>
      <c r="G994" s="32" t="s">
        <v>46</v>
      </c>
      <c r="H994" s="32" t="s">
        <v>51</v>
      </c>
      <c r="I994" s="32">
        <v>83.296000000000006</v>
      </c>
      <c r="J994" s="32">
        <v>23.83</v>
      </c>
      <c r="K994" s="32" t="b">
        <v>1</v>
      </c>
      <c r="L994" s="32" t="s">
        <v>47</v>
      </c>
      <c r="M994" s="32" t="s">
        <v>48</v>
      </c>
      <c r="N994" s="34">
        <v>46268</v>
      </c>
      <c r="O994" s="35" t="str">
        <f t="shared" si="3"/>
        <v>Lê Minh Kha</v>
      </c>
    </row>
    <row r="995" spans="1:15">
      <c r="A995" s="32" t="s">
        <v>241</v>
      </c>
      <c r="B995" s="32" t="s">
        <v>44</v>
      </c>
      <c r="C995" s="33">
        <v>46025</v>
      </c>
      <c r="D995" s="32">
        <v>913443091</v>
      </c>
      <c r="E995" s="32">
        <v>497825954</v>
      </c>
      <c r="F995" s="32" t="s">
        <v>50</v>
      </c>
      <c r="G995" s="32" t="s">
        <v>46</v>
      </c>
      <c r="H995" s="32" t="s">
        <v>58</v>
      </c>
      <c r="I995" s="32">
        <v>892.71199999999999</v>
      </c>
      <c r="J995" s="32">
        <v>119.16800000000001</v>
      </c>
      <c r="K995" s="32" t="b">
        <v>1</v>
      </c>
      <c r="L995" s="32" t="s">
        <v>47</v>
      </c>
      <c r="M995" s="32" t="s">
        <v>48</v>
      </c>
      <c r="N995" s="34">
        <v>46267</v>
      </c>
      <c r="O995" s="35" t="str">
        <f t="shared" si="3"/>
        <v>Nguyễn Khương Minh</v>
      </c>
    </row>
    <row r="996" spans="1:15">
      <c r="A996" s="32" t="s">
        <v>241</v>
      </c>
      <c r="B996" s="32" t="s">
        <v>44</v>
      </c>
      <c r="C996" s="33">
        <v>46025</v>
      </c>
      <c r="D996" s="32">
        <v>913443091</v>
      </c>
      <c r="E996" s="32">
        <v>497825954</v>
      </c>
      <c r="F996" s="32" t="s">
        <v>50</v>
      </c>
      <c r="G996" s="32" t="s">
        <v>46</v>
      </c>
      <c r="H996" s="32" t="s">
        <v>58</v>
      </c>
      <c r="I996" s="32">
        <v>892.71199999999999</v>
      </c>
      <c r="J996" s="32">
        <v>119.16800000000001</v>
      </c>
      <c r="K996" s="32" t="b">
        <v>1</v>
      </c>
      <c r="L996" s="32" t="s">
        <v>47</v>
      </c>
      <c r="M996" s="32" t="s">
        <v>48</v>
      </c>
      <c r="N996" s="34">
        <v>46267</v>
      </c>
      <c r="O996" s="35" t="str">
        <f t="shared" si="3"/>
        <v>Nguyễn Khương Minh</v>
      </c>
    </row>
    <row r="997" spans="1:15">
      <c r="A997" s="32" t="s">
        <v>241</v>
      </c>
      <c r="B997" s="32" t="s">
        <v>44</v>
      </c>
      <c r="C997" s="33">
        <v>46025</v>
      </c>
      <c r="D997" s="32">
        <v>913443091</v>
      </c>
      <c r="E997" s="32">
        <v>497825954</v>
      </c>
      <c r="F997" s="32" t="s">
        <v>50</v>
      </c>
      <c r="G997" s="32" t="s">
        <v>46</v>
      </c>
      <c r="H997" s="32" t="s">
        <v>58</v>
      </c>
      <c r="I997" s="32">
        <v>172.858</v>
      </c>
      <c r="J997" s="32">
        <v>55.493000000000002</v>
      </c>
      <c r="K997" s="32" t="b">
        <v>1</v>
      </c>
      <c r="L997" s="32" t="s">
        <v>47</v>
      </c>
      <c r="M997" s="32" t="s">
        <v>48</v>
      </c>
      <c r="N997" s="34">
        <v>46269</v>
      </c>
      <c r="O997" s="35" t="str">
        <f t="shared" si="3"/>
        <v>Nguyễn Khương Minh</v>
      </c>
    </row>
    <row r="998" spans="1:15">
      <c r="A998" s="32" t="s">
        <v>241</v>
      </c>
      <c r="B998" s="32" t="s">
        <v>44</v>
      </c>
      <c r="C998" s="33">
        <v>46025</v>
      </c>
      <c r="D998" s="32">
        <v>913443091</v>
      </c>
      <c r="E998" s="32">
        <v>497825954</v>
      </c>
      <c r="F998" s="32" t="s">
        <v>50</v>
      </c>
      <c r="G998" s="32" t="s">
        <v>46</v>
      </c>
      <c r="H998" s="32" t="s">
        <v>58</v>
      </c>
      <c r="I998" s="32">
        <v>172.858</v>
      </c>
      <c r="J998" s="32">
        <v>55.493000000000002</v>
      </c>
      <c r="K998" s="32" t="b">
        <v>1</v>
      </c>
      <c r="L998" s="32" t="s">
        <v>47</v>
      </c>
      <c r="M998" s="32" t="s">
        <v>48</v>
      </c>
      <c r="N998" s="34">
        <v>46269</v>
      </c>
      <c r="O998" s="35" t="str">
        <f t="shared" si="3"/>
        <v>Nguyễn Khương Minh</v>
      </c>
    </row>
    <row r="999" spans="1:15">
      <c r="A999" s="32" t="s">
        <v>74</v>
      </c>
      <c r="B999" s="32" t="s">
        <v>44</v>
      </c>
      <c r="C999" s="33">
        <v>46025</v>
      </c>
      <c r="D999" s="32">
        <v>945833826</v>
      </c>
      <c r="E999" s="32">
        <v>515016582</v>
      </c>
      <c r="F999" s="32" t="s">
        <v>75</v>
      </c>
      <c r="G999" s="32" t="s">
        <v>46</v>
      </c>
      <c r="H999" s="32" t="s">
        <v>51</v>
      </c>
      <c r="I999" s="32">
        <v>1094.7080000000001</v>
      </c>
      <c r="J999" s="32">
        <v>99.460999999999999</v>
      </c>
      <c r="K999" s="32" t="b">
        <v>1</v>
      </c>
      <c r="L999" s="32" t="s">
        <v>47</v>
      </c>
      <c r="M999" s="32" t="s">
        <v>48</v>
      </c>
      <c r="N999" s="34">
        <v>46127</v>
      </c>
      <c r="O999" s="35" t="str">
        <f t="shared" si="3"/>
        <v>Võ Quang Duy</v>
      </c>
    </row>
    <row r="1000" spans="1:15">
      <c r="A1000" s="32" t="s">
        <v>241</v>
      </c>
      <c r="B1000" s="32" t="s">
        <v>44</v>
      </c>
      <c r="C1000" s="33">
        <v>46025</v>
      </c>
      <c r="D1000" s="32">
        <v>913443091</v>
      </c>
      <c r="E1000" s="32">
        <v>497825954</v>
      </c>
      <c r="F1000" s="32" t="s">
        <v>50</v>
      </c>
      <c r="G1000" s="32" t="s">
        <v>46</v>
      </c>
      <c r="H1000" s="32" t="s">
        <v>58</v>
      </c>
      <c r="I1000" s="32">
        <v>67.277000000000001</v>
      </c>
      <c r="J1000" s="32">
        <v>16.222999999999999</v>
      </c>
      <c r="K1000" s="32" t="b">
        <v>1</v>
      </c>
      <c r="L1000" s="32" t="s">
        <v>47</v>
      </c>
      <c r="M1000" s="32" t="s">
        <v>48</v>
      </c>
      <c r="N1000" s="32" t="s">
        <v>123</v>
      </c>
      <c r="O1000" s="35" t="str">
        <f t="shared" si="3"/>
        <v>Nguyễn Khương Minh</v>
      </c>
    </row>
    <row r="1001" spans="1:15">
      <c r="A1001" s="32" t="s">
        <v>241</v>
      </c>
      <c r="B1001" s="32" t="s">
        <v>44</v>
      </c>
      <c r="C1001" s="33">
        <v>46025</v>
      </c>
      <c r="D1001" s="32">
        <v>913443091</v>
      </c>
      <c r="E1001" s="32">
        <v>497825954</v>
      </c>
      <c r="F1001" s="32" t="s">
        <v>50</v>
      </c>
      <c r="G1001" s="32" t="s">
        <v>46</v>
      </c>
      <c r="H1001" s="32" t="s">
        <v>58</v>
      </c>
      <c r="I1001" s="32">
        <v>67.277000000000001</v>
      </c>
      <c r="J1001" s="32">
        <v>16.222999999999999</v>
      </c>
      <c r="K1001" s="32" t="b">
        <v>1</v>
      </c>
      <c r="L1001" s="32" t="s">
        <v>47</v>
      </c>
      <c r="M1001" s="32" t="s">
        <v>48</v>
      </c>
      <c r="N1001" s="32" t="s">
        <v>123</v>
      </c>
      <c r="O1001" s="35" t="str">
        <f t="shared" si="3"/>
        <v>Nguyễn Khương Minh</v>
      </c>
    </row>
    <row r="1002" spans="1:15">
      <c r="A1002" s="32" t="s">
        <v>61</v>
      </c>
      <c r="B1002" s="32" t="s">
        <v>44</v>
      </c>
      <c r="C1002" s="33">
        <v>46025</v>
      </c>
      <c r="D1002" s="32">
        <v>949786476</v>
      </c>
      <c r="E1002" s="32">
        <v>514815800</v>
      </c>
      <c r="F1002" s="32" t="s">
        <v>62</v>
      </c>
      <c r="G1002" s="32" t="s">
        <v>46</v>
      </c>
      <c r="H1002" s="32" t="s">
        <v>58</v>
      </c>
      <c r="I1002" s="32">
        <v>120.749</v>
      </c>
      <c r="J1002" s="32">
        <v>60.53</v>
      </c>
      <c r="K1002" s="32" t="b">
        <v>1</v>
      </c>
      <c r="L1002" s="32" t="s">
        <v>63</v>
      </c>
      <c r="M1002" s="32" t="s">
        <v>48</v>
      </c>
      <c r="N1002" s="34">
        <v>46057</v>
      </c>
      <c r="O1002" s="35" t="str">
        <f t="shared" si="3"/>
        <v>Đặng Ngọc Sơn</v>
      </c>
    </row>
    <row r="1003" spans="1:15">
      <c r="A1003" s="32" t="s">
        <v>203</v>
      </c>
      <c r="B1003" s="32" t="s">
        <v>44</v>
      </c>
      <c r="C1003" s="33">
        <v>46025</v>
      </c>
      <c r="D1003" s="32">
        <v>916659889</v>
      </c>
      <c r="E1003" s="32">
        <v>516858755</v>
      </c>
      <c r="F1003" s="32" t="s">
        <v>204</v>
      </c>
      <c r="G1003" s="32" t="s">
        <v>46</v>
      </c>
      <c r="H1003" s="32" t="s">
        <v>51</v>
      </c>
      <c r="I1003" s="32">
        <v>70.004000000000005</v>
      </c>
      <c r="J1003" s="32">
        <v>38.244999999999997</v>
      </c>
      <c r="K1003" s="32" t="b">
        <v>1</v>
      </c>
      <c r="L1003" s="32" t="s">
        <v>63</v>
      </c>
      <c r="M1003" s="32" t="s">
        <v>48</v>
      </c>
      <c r="N1003" s="34">
        <v>46292</v>
      </c>
      <c r="O1003" s="35" t="str">
        <f t="shared" si="3"/>
        <v>Bùi Hoàng Tường</v>
      </c>
    </row>
    <row r="1004" spans="1:15">
      <c r="A1004" s="32" t="s">
        <v>203</v>
      </c>
      <c r="B1004" s="32" t="s">
        <v>44</v>
      </c>
      <c r="C1004" s="33">
        <v>46025</v>
      </c>
      <c r="D1004" s="32">
        <v>916659889</v>
      </c>
      <c r="E1004" s="32">
        <v>516858755</v>
      </c>
      <c r="F1004" s="32" t="s">
        <v>204</v>
      </c>
      <c r="G1004" s="32" t="s">
        <v>46</v>
      </c>
      <c r="H1004" s="32" t="s">
        <v>51</v>
      </c>
      <c r="I1004" s="32">
        <v>70.126000000000005</v>
      </c>
      <c r="J1004" s="32">
        <v>38.801000000000002</v>
      </c>
      <c r="K1004" s="32" t="b">
        <v>1</v>
      </c>
      <c r="L1004" s="32" t="s">
        <v>63</v>
      </c>
      <c r="M1004" s="32" t="s">
        <v>48</v>
      </c>
      <c r="N1004" s="34">
        <v>46191</v>
      </c>
      <c r="O1004" s="35" t="str">
        <f t="shared" si="3"/>
        <v>Bùi Hoàng Tường</v>
      </c>
    </row>
    <row r="1005" spans="1:15">
      <c r="A1005" s="32" t="s">
        <v>203</v>
      </c>
      <c r="B1005" s="32" t="s">
        <v>44</v>
      </c>
      <c r="C1005" s="33">
        <v>46025</v>
      </c>
      <c r="D1005" s="32">
        <v>916659889</v>
      </c>
      <c r="E1005" s="32">
        <v>516858755</v>
      </c>
      <c r="F1005" s="32" t="s">
        <v>204</v>
      </c>
      <c r="G1005" s="32" t="s">
        <v>46</v>
      </c>
      <c r="H1005" s="32" t="s">
        <v>51</v>
      </c>
      <c r="I1005" s="32">
        <v>22.984000000000002</v>
      </c>
      <c r="J1005" s="32">
        <v>32.273000000000003</v>
      </c>
      <c r="K1005" s="32" t="b">
        <v>1</v>
      </c>
      <c r="L1005" s="32" t="s">
        <v>63</v>
      </c>
      <c r="M1005" s="32" t="s">
        <v>48</v>
      </c>
      <c r="N1005" s="32" t="s">
        <v>238</v>
      </c>
      <c r="O1005" s="35" t="str">
        <f t="shared" si="3"/>
        <v>Bùi Hoàng Tường</v>
      </c>
    </row>
    <row r="1006" spans="1:15">
      <c r="A1006" s="32" t="s">
        <v>61</v>
      </c>
      <c r="B1006" s="32" t="s">
        <v>44</v>
      </c>
      <c r="C1006" s="33">
        <v>46025</v>
      </c>
      <c r="D1006" s="32">
        <v>949786476</v>
      </c>
      <c r="E1006" s="32">
        <v>514815800</v>
      </c>
      <c r="F1006" s="32" t="s">
        <v>62</v>
      </c>
      <c r="G1006" s="32" t="s">
        <v>46</v>
      </c>
      <c r="H1006" s="32" t="s">
        <v>58</v>
      </c>
      <c r="I1006" s="32">
        <v>114.43600000000001</v>
      </c>
      <c r="J1006" s="32">
        <v>55.109000000000002</v>
      </c>
      <c r="K1006" s="32" t="b">
        <v>1</v>
      </c>
      <c r="L1006" s="32" t="s">
        <v>63</v>
      </c>
      <c r="M1006" s="32" t="s">
        <v>48</v>
      </c>
      <c r="N1006" s="34">
        <v>46086</v>
      </c>
      <c r="O1006" s="35" t="str">
        <f t="shared" si="3"/>
        <v>Đặng Ngọc Sơn</v>
      </c>
    </row>
    <row r="1007" spans="1:15">
      <c r="A1007" s="32" t="s">
        <v>61</v>
      </c>
      <c r="B1007" s="32" t="s">
        <v>44</v>
      </c>
      <c r="C1007" s="33">
        <v>46025</v>
      </c>
      <c r="D1007" s="32">
        <v>949786476</v>
      </c>
      <c r="E1007" s="32">
        <v>514815800</v>
      </c>
      <c r="F1007" s="32" t="s">
        <v>62</v>
      </c>
      <c r="G1007" s="32" t="s">
        <v>46</v>
      </c>
      <c r="H1007" s="32" t="s">
        <v>58</v>
      </c>
      <c r="I1007" s="32">
        <v>61.536000000000001</v>
      </c>
      <c r="J1007" s="32">
        <v>55.079000000000001</v>
      </c>
      <c r="K1007" s="32" t="b">
        <v>1</v>
      </c>
      <c r="L1007" s="32" t="s">
        <v>63</v>
      </c>
      <c r="M1007" s="32" t="s">
        <v>48</v>
      </c>
      <c r="N1007" s="34">
        <v>46238</v>
      </c>
      <c r="O1007" s="35" t="str">
        <f t="shared" si="3"/>
        <v>Đặng Ngọc Sơn</v>
      </c>
    </row>
    <row r="1008" spans="1:15">
      <c r="A1008" s="32" t="s">
        <v>88</v>
      </c>
      <c r="B1008" s="32" t="s">
        <v>44</v>
      </c>
      <c r="C1008" s="33">
        <v>46025</v>
      </c>
      <c r="D1008" s="32">
        <v>918611919</v>
      </c>
      <c r="E1008" s="32">
        <v>321677895</v>
      </c>
      <c r="F1008" s="32" t="s">
        <v>65</v>
      </c>
      <c r="G1008" s="32" t="s">
        <v>46</v>
      </c>
      <c r="H1008" s="32" t="s">
        <v>51</v>
      </c>
      <c r="I1008" s="32">
        <v>908.31399999999996</v>
      </c>
      <c r="J1008" s="32">
        <v>135.91399999999999</v>
      </c>
      <c r="K1008" s="32" t="b">
        <v>1</v>
      </c>
      <c r="L1008" s="32" t="s">
        <v>47</v>
      </c>
      <c r="M1008" s="32" t="s">
        <v>63</v>
      </c>
      <c r="N1008" s="34">
        <v>46101</v>
      </c>
      <c r="O1008" s="35" t="str">
        <f t="shared" si="3"/>
        <v>Huỳnh Phước Yên</v>
      </c>
    </row>
    <row r="1009" spans="1:15">
      <c r="A1009" s="32" t="s">
        <v>207</v>
      </c>
      <c r="B1009" s="32" t="s">
        <v>44</v>
      </c>
      <c r="C1009" s="33">
        <v>46025</v>
      </c>
      <c r="D1009" s="32">
        <v>915502804</v>
      </c>
      <c r="E1009" s="32">
        <v>496103164</v>
      </c>
      <c r="F1009" s="32" t="s">
        <v>208</v>
      </c>
      <c r="G1009" s="32" t="s">
        <v>46</v>
      </c>
      <c r="H1009" s="32" t="s">
        <v>18</v>
      </c>
      <c r="I1009" s="32">
        <v>50.537999999999997</v>
      </c>
      <c r="J1009" s="32">
        <v>19.512</v>
      </c>
      <c r="K1009" s="32" t="b">
        <v>1</v>
      </c>
      <c r="L1009" s="32" t="s">
        <v>63</v>
      </c>
      <c r="M1009" s="32" t="s">
        <v>48</v>
      </c>
      <c r="N1009" s="34">
        <v>46122</v>
      </c>
      <c r="O1009" s="35" t="str">
        <f t="shared" si="3"/>
        <v>Tô Tiểu Ngọc</v>
      </c>
    </row>
    <row r="1010" spans="1:15">
      <c r="A1010" s="32" t="s">
        <v>203</v>
      </c>
      <c r="B1010" s="32" t="s">
        <v>44</v>
      </c>
      <c r="C1010" s="33">
        <v>46025</v>
      </c>
      <c r="D1010" s="32">
        <v>916659889</v>
      </c>
      <c r="E1010" s="32">
        <v>516858755</v>
      </c>
      <c r="F1010" s="32" t="s">
        <v>204</v>
      </c>
      <c r="G1010" s="32" t="s">
        <v>46</v>
      </c>
      <c r="H1010" s="32" t="s">
        <v>51</v>
      </c>
      <c r="I1010" s="32">
        <v>74.021000000000001</v>
      </c>
      <c r="J1010" s="32">
        <v>37.445999999999998</v>
      </c>
      <c r="K1010" s="32" t="b">
        <v>1</v>
      </c>
      <c r="L1010" s="32" t="s">
        <v>63</v>
      </c>
      <c r="M1010" s="32" t="s">
        <v>48</v>
      </c>
      <c r="N1010" s="34">
        <v>46266</v>
      </c>
      <c r="O1010" s="35" t="str">
        <f t="shared" si="3"/>
        <v>Bùi Hoàng Tường</v>
      </c>
    </row>
    <row r="1011" spans="1:15">
      <c r="A1011" s="32" t="s">
        <v>203</v>
      </c>
      <c r="B1011" s="32" t="s">
        <v>44</v>
      </c>
      <c r="C1011" s="33">
        <v>46025</v>
      </c>
      <c r="D1011" s="32">
        <v>916659889</v>
      </c>
      <c r="E1011" s="32">
        <v>516858755</v>
      </c>
      <c r="F1011" s="32" t="s">
        <v>204</v>
      </c>
      <c r="G1011" s="32" t="s">
        <v>46</v>
      </c>
      <c r="H1011" s="32" t="s">
        <v>51</v>
      </c>
      <c r="I1011" s="32">
        <v>89.792000000000002</v>
      </c>
      <c r="J1011" s="32">
        <v>38.779000000000003</v>
      </c>
      <c r="K1011" s="32" t="b">
        <v>1</v>
      </c>
      <c r="L1011" s="32" t="s">
        <v>63</v>
      </c>
      <c r="M1011" s="32" t="s">
        <v>48</v>
      </c>
      <c r="N1011" s="34">
        <v>46290</v>
      </c>
      <c r="O1011" s="35" t="str">
        <f t="shared" si="3"/>
        <v>Bùi Hoàng Tường</v>
      </c>
    </row>
    <row r="1012" spans="1:15">
      <c r="A1012" s="32" t="s">
        <v>203</v>
      </c>
      <c r="B1012" s="32" t="s">
        <v>44</v>
      </c>
      <c r="C1012" s="33">
        <v>46025</v>
      </c>
      <c r="D1012" s="32">
        <v>916659889</v>
      </c>
      <c r="E1012" s="32">
        <v>516858755</v>
      </c>
      <c r="F1012" s="32" t="s">
        <v>204</v>
      </c>
      <c r="G1012" s="32" t="s">
        <v>46</v>
      </c>
      <c r="H1012" s="32" t="s">
        <v>51</v>
      </c>
      <c r="I1012" s="32">
        <v>33.957999999999998</v>
      </c>
      <c r="J1012" s="32">
        <v>15.894</v>
      </c>
      <c r="K1012" s="32" t="b">
        <v>1</v>
      </c>
      <c r="L1012" s="32" t="s">
        <v>63</v>
      </c>
      <c r="M1012" s="32" t="s">
        <v>48</v>
      </c>
      <c r="N1012" s="32" t="s">
        <v>215</v>
      </c>
      <c r="O1012" s="35" t="str">
        <f t="shared" si="3"/>
        <v>Bùi Hoàng Tường</v>
      </c>
    </row>
    <row r="1013" spans="1:15">
      <c r="A1013" s="32" t="s">
        <v>207</v>
      </c>
      <c r="B1013" s="32" t="s">
        <v>44</v>
      </c>
      <c r="C1013" s="33">
        <v>46025</v>
      </c>
      <c r="D1013" s="32">
        <v>915502804</v>
      </c>
      <c r="E1013" s="32">
        <v>496103164</v>
      </c>
      <c r="F1013" s="32" t="s">
        <v>208</v>
      </c>
      <c r="G1013" s="32" t="s">
        <v>46</v>
      </c>
      <c r="H1013" s="32" t="s">
        <v>18</v>
      </c>
      <c r="I1013" s="32">
        <v>33.316000000000003</v>
      </c>
      <c r="J1013" s="32">
        <v>26.715</v>
      </c>
      <c r="K1013" s="32" t="b">
        <v>1</v>
      </c>
      <c r="L1013" s="32" t="s">
        <v>63</v>
      </c>
      <c r="M1013" s="32" t="s">
        <v>48</v>
      </c>
      <c r="N1013" s="34">
        <v>46210</v>
      </c>
      <c r="O1013" s="35" t="str">
        <f t="shared" si="3"/>
        <v>Tô Tiểu Ngọc</v>
      </c>
    </row>
    <row r="1014" spans="1:15">
      <c r="A1014" s="32" t="s">
        <v>203</v>
      </c>
      <c r="B1014" s="32" t="s">
        <v>44</v>
      </c>
      <c r="C1014" s="33">
        <v>46025</v>
      </c>
      <c r="D1014" s="32">
        <v>916659889</v>
      </c>
      <c r="E1014" s="32">
        <v>516858755</v>
      </c>
      <c r="F1014" s="32" t="s">
        <v>204</v>
      </c>
      <c r="G1014" s="32" t="s">
        <v>46</v>
      </c>
      <c r="H1014" s="32" t="s">
        <v>51</v>
      </c>
      <c r="I1014" s="32">
        <v>27.838999999999999</v>
      </c>
      <c r="J1014" s="32">
        <v>31.039000000000001</v>
      </c>
      <c r="K1014" s="32" t="b">
        <v>1</v>
      </c>
      <c r="L1014" s="32" t="s">
        <v>63</v>
      </c>
      <c r="M1014" s="32" t="s">
        <v>48</v>
      </c>
      <c r="N1014" s="34">
        <v>46214</v>
      </c>
      <c r="O1014" s="35" t="str">
        <f t="shared" si="3"/>
        <v>Bùi Hoàng Tường</v>
      </c>
    </row>
    <row r="1015" spans="1:15">
      <c r="A1015" s="32" t="s">
        <v>203</v>
      </c>
      <c r="B1015" s="32" t="s">
        <v>44</v>
      </c>
      <c r="C1015" s="33">
        <v>46025</v>
      </c>
      <c r="D1015" s="32">
        <v>916659889</v>
      </c>
      <c r="E1015" s="32">
        <v>516858755</v>
      </c>
      <c r="F1015" s="32" t="s">
        <v>204</v>
      </c>
      <c r="G1015" s="32" t="s">
        <v>46</v>
      </c>
      <c r="H1015" s="32" t="s">
        <v>51</v>
      </c>
      <c r="I1015" s="32">
        <v>24.273</v>
      </c>
      <c r="J1015" s="32">
        <v>23.224</v>
      </c>
      <c r="K1015" s="32" t="b">
        <v>1</v>
      </c>
      <c r="L1015" s="32" t="s">
        <v>63</v>
      </c>
      <c r="M1015" s="32" t="s">
        <v>48</v>
      </c>
      <c r="N1015" s="34">
        <v>46117</v>
      </c>
      <c r="O1015" s="35" t="str">
        <f t="shared" si="3"/>
        <v>Bùi Hoàng Tường</v>
      </c>
    </row>
    <row r="1016" spans="1:15">
      <c r="A1016" s="32" t="s">
        <v>257</v>
      </c>
      <c r="B1016" s="32" t="s">
        <v>44</v>
      </c>
      <c r="C1016" s="33">
        <v>46025</v>
      </c>
      <c r="D1016" s="32">
        <v>835159879</v>
      </c>
      <c r="E1016" s="32">
        <v>495006563</v>
      </c>
      <c r="F1016" s="32" t="s">
        <v>258</v>
      </c>
      <c r="G1016" s="32" t="s">
        <v>46</v>
      </c>
      <c r="H1016" s="32" t="s">
        <v>18</v>
      </c>
      <c r="I1016" s="32">
        <v>103.02200000000001</v>
      </c>
      <c r="J1016" s="32">
        <v>13.119</v>
      </c>
      <c r="K1016" s="32" t="b">
        <v>1</v>
      </c>
      <c r="L1016" s="32" t="s">
        <v>47</v>
      </c>
      <c r="M1016" s="32" t="s">
        <v>48</v>
      </c>
      <c r="N1016" s="32" t="s">
        <v>150</v>
      </c>
      <c r="O1016" s="35" t="str">
        <f t="shared" si="3"/>
        <v>Huỳnh Tấn Cường</v>
      </c>
    </row>
    <row r="1017" spans="1:15">
      <c r="A1017" s="32" t="s">
        <v>257</v>
      </c>
      <c r="B1017" s="32" t="s">
        <v>44</v>
      </c>
      <c r="C1017" s="33">
        <v>46025</v>
      </c>
      <c r="D1017" s="32">
        <v>835159879</v>
      </c>
      <c r="E1017" s="32">
        <v>495006563</v>
      </c>
      <c r="F1017" s="32" t="s">
        <v>258</v>
      </c>
      <c r="G1017" s="32" t="s">
        <v>46</v>
      </c>
      <c r="H1017" s="32" t="s">
        <v>18</v>
      </c>
      <c r="I1017" s="32">
        <v>106.09699999999999</v>
      </c>
      <c r="J1017" s="32">
        <v>13.641</v>
      </c>
      <c r="K1017" s="32" t="b">
        <v>1</v>
      </c>
      <c r="L1017" s="32" t="s">
        <v>47</v>
      </c>
      <c r="M1017" s="32" t="s">
        <v>48</v>
      </c>
      <c r="N1017" s="34">
        <v>46206</v>
      </c>
      <c r="O1017" s="35" t="str">
        <f t="shared" si="3"/>
        <v>Huỳnh Tấn Cường</v>
      </c>
    </row>
    <row r="1018" spans="1:15">
      <c r="A1018" s="32" t="s">
        <v>257</v>
      </c>
      <c r="B1018" s="32" t="s">
        <v>44</v>
      </c>
      <c r="C1018" s="33">
        <v>46025</v>
      </c>
      <c r="D1018" s="32">
        <v>835159879</v>
      </c>
      <c r="E1018" s="32">
        <v>495006563</v>
      </c>
      <c r="F1018" s="32" t="s">
        <v>258</v>
      </c>
      <c r="G1018" s="32" t="s">
        <v>46</v>
      </c>
      <c r="H1018" s="32" t="s">
        <v>18</v>
      </c>
      <c r="I1018" s="32">
        <v>100.27800000000001</v>
      </c>
      <c r="J1018" s="32">
        <v>15.930999999999999</v>
      </c>
      <c r="K1018" s="32" t="b">
        <v>1</v>
      </c>
      <c r="L1018" s="32" t="s">
        <v>47</v>
      </c>
      <c r="M1018" s="32" t="s">
        <v>48</v>
      </c>
      <c r="N1018" s="34">
        <v>46207</v>
      </c>
      <c r="O1018" s="35" t="str">
        <f t="shared" si="3"/>
        <v>Huỳnh Tấn Cường</v>
      </c>
    </row>
    <row r="1019" spans="1:15">
      <c r="A1019" s="32" t="s">
        <v>257</v>
      </c>
      <c r="B1019" s="32" t="s">
        <v>44</v>
      </c>
      <c r="C1019" s="33">
        <v>46025</v>
      </c>
      <c r="D1019" s="32">
        <v>835159879</v>
      </c>
      <c r="E1019" s="32">
        <v>495006563</v>
      </c>
      <c r="F1019" s="32" t="s">
        <v>258</v>
      </c>
      <c r="G1019" s="32" t="s">
        <v>46</v>
      </c>
      <c r="H1019" s="32" t="s">
        <v>18</v>
      </c>
      <c r="I1019" s="32">
        <v>81.912000000000006</v>
      </c>
      <c r="J1019" s="32">
        <v>15.718999999999999</v>
      </c>
      <c r="K1019" s="32" t="b">
        <v>1</v>
      </c>
      <c r="L1019" s="32" t="s">
        <v>47</v>
      </c>
      <c r="M1019" s="32" t="s">
        <v>48</v>
      </c>
      <c r="N1019" s="34">
        <v>46239</v>
      </c>
      <c r="O1019" s="35" t="str">
        <f t="shared" si="3"/>
        <v>Huỳnh Tấn Cường</v>
      </c>
    </row>
    <row r="1020" spans="1:15">
      <c r="A1020" s="32" t="s">
        <v>257</v>
      </c>
      <c r="B1020" s="32" t="s">
        <v>44</v>
      </c>
      <c r="C1020" s="33">
        <v>46025</v>
      </c>
      <c r="D1020" s="32">
        <v>835159879</v>
      </c>
      <c r="E1020" s="32">
        <v>495006563</v>
      </c>
      <c r="F1020" s="32" t="s">
        <v>258</v>
      </c>
      <c r="G1020" s="32" t="s">
        <v>46</v>
      </c>
      <c r="H1020" s="32" t="s">
        <v>18</v>
      </c>
      <c r="I1020" s="32">
        <v>83.427999999999997</v>
      </c>
      <c r="J1020" s="32">
        <v>16.206</v>
      </c>
      <c r="K1020" s="32" t="b">
        <v>1</v>
      </c>
      <c r="L1020" s="32" t="s">
        <v>47</v>
      </c>
      <c r="M1020" s="32" t="s">
        <v>48</v>
      </c>
      <c r="N1020" s="34">
        <v>46178</v>
      </c>
      <c r="O1020" s="35" t="str">
        <f t="shared" si="3"/>
        <v>Huỳnh Tấn Cường</v>
      </c>
    </row>
    <row r="1021" spans="1:15">
      <c r="A1021" s="32" t="s">
        <v>257</v>
      </c>
      <c r="B1021" s="32" t="s">
        <v>44</v>
      </c>
      <c r="C1021" s="33">
        <v>46025</v>
      </c>
      <c r="D1021" s="32">
        <v>835159879</v>
      </c>
      <c r="E1021" s="32">
        <v>495006563</v>
      </c>
      <c r="F1021" s="32" t="s">
        <v>258</v>
      </c>
      <c r="G1021" s="32" t="s">
        <v>46</v>
      </c>
      <c r="H1021" s="32" t="s">
        <v>18</v>
      </c>
      <c r="I1021" s="32">
        <v>91.944000000000003</v>
      </c>
      <c r="J1021" s="32">
        <v>14.882999999999999</v>
      </c>
      <c r="K1021" s="32" t="b">
        <v>1</v>
      </c>
      <c r="L1021" s="32" t="s">
        <v>47</v>
      </c>
      <c r="M1021" s="32" t="s">
        <v>48</v>
      </c>
      <c r="N1021" s="34">
        <v>46241</v>
      </c>
      <c r="O1021" s="35" t="str">
        <f t="shared" si="3"/>
        <v>Huỳnh Tấn Cường</v>
      </c>
    </row>
    <row r="1022" spans="1:15">
      <c r="A1022" s="32" t="s">
        <v>257</v>
      </c>
      <c r="B1022" s="32" t="s">
        <v>44</v>
      </c>
      <c r="C1022" s="33">
        <v>46025</v>
      </c>
      <c r="D1022" s="32">
        <v>835159879</v>
      </c>
      <c r="E1022" s="32">
        <v>495006563</v>
      </c>
      <c r="F1022" s="32" t="s">
        <v>258</v>
      </c>
      <c r="G1022" s="32" t="s">
        <v>46</v>
      </c>
      <c r="H1022" s="32" t="s">
        <v>18</v>
      </c>
      <c r="I1022" s="32">
        <v>86.081999999999994</v>
      </c>
      <c r="J1022" s="32">
        <v>14.579000000000001</v>
      </c>
      <c r="K1022" s="32" t="b">
        <v>1</v>
      </c>
      <c r="L1022" s="32" t="s">
        <v>47</v>
      </c>
      <c r="M1022" s="32" t="s">
        <v>48</v>
      </c>
      <c r="N1022" s="34">
        <v>46175</v>
      </c>
      <c r="O1022" s="35" t="str">
        <f t="shared" ref="O1022:O1177" si="4">LEFT(A1022, LEN(A1022) - 4)</f>
        <v>Huỳnh Tấn Cường</v>
      </c>
    </row>
    <row r="1023" spans="1:15">
      <c r="A1023" s="32" t="s">
        <v>257</v>
      </c>
      <c r="B1023" s="32" t="s">
        <v>44</v>
      </c>
      <c r="C1023" s="33">
        <v>46025</v>
      </c>
      <c r="D1023" s="32">
        <v>835159879</v>
      </c>
      <c r="E1023" s="32">
        <v>495006563</v>
      </c>
      <c r="F1023" s="32" t="s">
        <v>258</v>
      </c>
      <c r="G1023" s="32" t="s">
        <v>46</v>
      </c>
      <c r="H1023" s="32" t="s">
        <v>18</v>
      </c>
      <c r="I1023" s="32">
        <v>90.483000000000004</v>
      </c>
      <c r="J1023" s="32">
        <v>13.135999999999999</v>
      </c>
      <c r="K1023" s="32" t="b">
        <v>1</v>
      </c>
      <c r="L1023" s="32" t="s">
        <v>47</v>
      </c>
      <c r="M1023" s="32" t="s">
        <v>48</v>
      </c>
      <c r="N1023" s="34">
        <v>46145</v>
      </c>
      <c r="O1023" s="35" t="str">
        <f t="shared" si="4"/>
        <v>Huỳnh Tấn Cường</v>
      </c>
    </row>
    <row r="1024" spans="1:15">
      <c r="A1024" s="32" t="s">
        <v>257</v>
      </c>
      <c r="B1024" s="32" t="s">
        <v>44</v>
      </c>
      <c r="C1024" s="33">
        <v>46025</v>
      </c>
      <c r="D1024" s="32">
        <v>835159879</v>
      </c>
      <c r="E1024" s="32">
        <v>495006563</v>
      </c>
      <c r="F1024" s="32" t="s">
        <v>258</v>
      </c>
      <c r="G1024" s="32" t="s">
        <v>46</v>
      </c>
      <c r="H1024" s="32" t="s">
        <v>18</v>
      </c>
      <c r="I1024" s="32">
        <v>86.055000000000007</v>
      </c>
      <c r="J1024" s="32">
        <v>12.871</v>
      </c>
      <c r="K1024" s="32" t="b">
        <v>1</v>
      </c>
      <c r="L1024" s="32" t="s">
        <v>47</v>
      </c>
      <c r="M1024" s="32" t="s">
        <v>48</v>
      </c>
      <c r="N1024" s="32" t="s">
        <v>153</v>
      </c>
      <c r="O1024" s="35" t="str">
        <f t="shared" si="4"/>
        <v>Huỳnh Tấn Cường</v>
      </c>
    </row>
    <row r="1025" spans="1:15">
      <c r="A1025" s="32" t="s">
        <v>257</v>
      </c>
      <c r="B1025" s="32" t="s">
        <v>44</v>
      </c>
      <c r="C1025" s="33">
        <v>46025</v>
      </c>
      <c r="D1025" s="32">
        <v>835159879</v>
      </c>
      <c r="E1025" s="32">
        <v>495006563</v>
      </c>
      <c r="F1025" s="32" t="s">
        <v>258</v>
      </c>
      <c r="G1025" s="32" t="s">
        <v>46</v>
      </c>
      <c r="H1025" s="32" t="s">
        <v>18</v>
      </c>
      <c r="I1025" s="32">
        <v>99.144000000000005</v>
      </c>
      <c r="J1025" s="32">
        <v>13.842000000000001</v>
      </c>
      <c r="K1025" s="32" t="b">
        <v>1</v>
      </c>
      <c r="L1025" s="32" t="s">
        <v>47</v>
      </c>
      <c r="M1025" s="32" t="s">
        <v>48</v>
      </c>
      <c r="N1025" s="34">
        <v>46268</v>
      </c>
      <c r="O1025" s="35" t="str">
        <f t="shared" si="4"/>
        <v>Huỳnh Tấn Cường</v>
      </c>
    </row>
    <row r="1026" spans="1:15">
      <c r="A1026" s="32" t="s">
        <v>257</v>
      </c>
      <c r="B1026" s="32" t="s">
        <v>44</v>
      </c>
      <c r="C1026" s="33">
        <v>46025</v>
      </c>
      <c r="D1026" s="32">
        <v>835159879</v>
      </c>
      <c r="E1026" s="32">
        <v>495006563</v>
      </c>
      <c r="F1026" s="32" t="s">
        <v>258</v>
      </c>
      <c r="G1026" s="32" t="s">
        <v>46</v>
      </c>
      <c r="H1026" s="32" t="s">
        <v>18</v>
      </c>
      <c r="I1026" s="32">
        <v>85.914000000000001</v>
      </c>
      <c r="J1026" s="32">
        <v>16.201000000000001</v>
      </c>
      <c r="K1026" s="32" t="b">
        <v>1</v>
      </c>
      <c r="L1026" s="32" t="s">
        <v>47</v>
      </c>
      <c r="M1026" s="32" t="s">
        <v>48</v>
      </c>
      <c r="N1026" s="34">
        <v>46208</v>
      </c>
      <c r="O1026" s="35" t="str">
        <f t="shared" si="4"/>
        <v>Huỳnh Tấn Cường</v>
      </c>
    </row>
    <row r="1027" spans="1:15">
      <c r="A1027" s="32" t="s">
        <v>257</v>
      </c>
      <c r="B1027" s="32" t="s">
        <v>44</v>
      </c>
      <c r="C1027" s="33">
        <v>46025</v>
      </c>
      <c r="D1027" s="32">
        <v>835159879</v>
      </c>
      <c r="E1027" s="32">
        <v>495006563</v>
      </c>
      <c r="F1027" s="32" t="s">
        <v>258</v>
      </c>
      <c r="G1027" s="32" t="s">
        <v>46</v>
      </c>
      <c r="H1027" s="32" t="s">
        <v>18</v>
      </c>
      <c r="I1027" s="32">
        <v>95.798000000000002</v>
      </c>
      <c r="J1027" s="32">
        <v>14.662000000000001</v>
      </c>
      <c r="K1027" s="32" t="b">
        <v>1</v>
      </c>
      <c r="L1027" s="32" t="s">
        <v>47</v>
      </c>
      <c r="M1027" s="32" t="s">
        <v>48</v>
      </c>
      <c r="N1027" s="34">
        <v>46268</v>
      </c>
      <c r="O1027" s="35" t="str">
        <f t="shared" si="4"/>
        <v>Huỳnh Tấn Cường</v>
      </c>
    </row>
    <row r="1028" spans="1:15">
      <c r="A1028" s="32" t="s">
        <v>257</v>
      </c>
      <c r="B1028" s="32" t="s">
        <v>44</v>
      </c>
      <c r="C1028" s="33">
        <v>46025</v>
      </c>
      <c r="D1028" s="32">
        <v>835159879</v>
      </c>
      <c r="E1028" s="32">
        <v>495006563</v>
      </c>
      <c r="F1028" s="32" t="s">
        <v>258</v>
      </c>
      <c r="G1028" s="32" t="s">
        <v>46</v>
      </c>
      <c r="H1028" s="32" t="s">
        <v>18</v>
      </c>
      <c r="I1028" s="32">
        <v>92.971000000000004</v>
      </c>
      <c r="J1028" s="32">
        <v>15.715999999999999</v>
      </c>
      <c r="K1028" s="32" t="b">
        <v>1</v>
      </c>
      <c r="L1028" s="32" t="s">
        <v>47</v>
      </c>
      <c r="M1028" s="32" t="s">
        <v>48</v>
      </c>
      <c r="N1028" s="34">
        <v>46056</v>
      </c>
      <c r="O1028" s="35" t="str">
        <f t="shared" si="4"/>
        <v>Huỳnh Tấn Cường</v>
      </c>
    </row>
    <row r="1029" spans="1:15">
      <c r="A1029" s="32" t="s">
        <v>257</v>
      </c>
      <c r="B1029" s="32" t="s">
        <v>44</v>
      </c>
      <c r="C1029" s="33">
        <v>46025</v>
      </c>
      <c r="D1029" s="32">
        <v>835159879</v>
      </c>
      <c r="E1029" s="32">
        <v>495006563</v>
      </c>
      <c r="F1029" s="32" t="s">
        <v>258</v>
      </c>
      <c r="G1029" s="32" t="s">
        <v>46</v>
      </c>
      <c r="H1029" s="32" t="s">
        <v>18</v>
      </c>
      <c r="I1029" s="32">
        <v>104.783</v>
      </c>
      <c r="J1029" s="32">
        <v>17.786999999999999</v>
      </c>
      <c r="K1029" s="32" t="b">
        <v>1</v>
      </c>
      <c r="L1029" s="32" t="s">
        <v>47</v>
      </c>
      <c r="M1029" s="32" t="s">
        <v>48</v>
      </c>
      <c r="N1029" s="34">
        <v>46178</v>
      </c>
      <c r="O1029" s="35" t="str">
        <f t="shared" si="4"/>
        <v>Huỳnh Tấn Cường</v>
      </c>
    </row>
    <row r="1030" spans="1:15">
      <c r="A1030" s="32" t="s">
        <v>257</v>
      </c>
      <c r="B1030" s="32" t="s">
        <v>44</v>
      </c>
      <c r="C1030" s="33">
        <v>46025</v>
      </c>
      <c r="D1030" s="32">
        <v>835159879</v>
      </c>
      <c r="E1030" s="32">
        <v>495006563</v>
      </c>
      <c r="F1030" s="32" t="s">
        <v>258</v>
      </c>
      <c r="G1030" s="32" t="s">
        <v>46</v>
      </c>
      <c r="H1030" s="32" t="s">
        <v>18</v>
      </c>
      <c r="I1030" s="32">
        <v>105.095</v>
      </c>
      <c r="J1030" s="32">
        <v>18.398</v>
      </c>
      <c r="K1030" s="32" t="b">
        <v>1</v>
      </c>
      <c r="L1030" s="32" t="s">
        <v>47</v>
      </c>
      <c r="M1030" s="32" t="s">
        <v>48</v>
      </c>
      <c r="N1030" s="32" t="s">
        <v>123</v>
      </c>
      <c r="O1030" s="35" t="str">
        <f t="shared" si="4"/>
        <v>Huỳnh Tấn Cường</v>
      </c>
    </row>
    <row r="1031" spans="1:15">
      <c r="A1031" s="32" t="s">
        <v>257</v>
      </c>
      <c r="B1031" s="32" t="s">
        <v>44</v>
      </c>
      <c r="C1031" s="33">
        <v>46025</v>
      </c>
      <c r="D1031" s="32">
        <v>835159879</v>
      </c>
      <c r="E1031" s="32">
        <v>495006563</v>
      </c>
      <c r="F1031" s="32" t="s">
        <v>258</v>
      </c>
      <c r="G1031" s="32" t="s">
        <v>46</v>
      </c>
      <c r="H1031" s="32" t="s">
        <v>18</v>
      </c>
      <c r="I1031" s="32">
        <v>100.964</v>
      </c>
      <c r="J1031" s="32">
        <v>17.962</v>
      </c>
      <c r="K1031" s="32" t="b">
        <v>1</v>
      </c>
      <c r="L1031" s="32" t="s">
        <v>47</v>
      </c>
      <c r="M1031" s="32" t="s">
        <v>48</v>
      </c>
      <c r="N1031" s="34">
        <v>46235</v>
      </c>
      <c r="O1031" s="35" t="str">
        <f t="shared" si="4"/>
        <v>Huỳnh Tấn Cường</v>
      </c>
    </row>
    <row r="1032" spans="1:15">
      <c r="A1032" s="32" t="s">
        <v>257</v>
      </c>
      <c r="B1032" s="32" t="s">
        <v>44</v>
      </c>
      <c r="C1032" s="33">
        <v>46025</v>
      </c>
      <c r="D1032" s="32">
        <v>835159879</v>
      </c>
      <c r="E1032" s="32">
        <v>495006563</v>
      </c>
      <c r="F1032" s="32" t="s">
        <v>258</v>
      </c>
      <c r="G1032" s="32" t="s">
        <v>46</v>
      </c>
      <c r="H1032" s="32" t="s">
        <v>18</v>
      </c>
      <c r="I1032" s="32">
        <v>99.575000000000003</v>
      </c>
      <c r="J1032" s="32">
        <v>17.172999999999998</v>
      </c>
      <c r="K1032" s="32" t="b">
        <v>1</v>
      </c>
      <c r="L1032" s="32" t="s">
        <v>47</v>
      </c>
      <c r="M1032" s="32" t="s">
        <v>48</v>
      </c>
      <c r="N1032" s="34">
        <v>46148</v>
      </c>
      <c r="O1032" s="35" t="str">
        <f t="shared" si="4"/>
        <v>Huỳnh Tấn Cường</v>
      </c>
    </row>
    <row r="1033" spans="1:15">
      <c r="A1033" s="32" t="s">
        <v>257</v>
      </c>
      <c r="B1033" s="32" t="s">
        <v>44</v>
      </c>
      <c r="C1033" s="33">
        <v>46025</v>
      </c>
      <c r="D1033" s="32">
        <v>835159879</v>
      </c>
      <c r="E1033" s="32">
        <v>495006563</v>
      </c>
      <c r="F1033" s="32" t="s">
        <v>258</v>
      </c>
      <c r="G1033" s="32" t="s">
        <v>46</v>
      </c>
      <c r="H1033" s="32" t="s">
        <v>18</v>
      </c>
      <c r="I1033" s="32">
        <v>90.311000000000007</v>
      </c>
      <c r="J1033" s="32">
        <v>16.402999999999999</v>
      </c>
      <c r="K1033" s="32" t="b">
        <v>1</v>
      </c>
      <c r="L1033" s="32" t="s">
        <v>47</v>
      </c>
      <c r="M1033" s="32" t="s">
        <v>48</v>
      </c>
      <c r="N1033" s="34">
        <v>46208</v>
      </c>
      <c r="O1033" s="35" t="str">
        <f t="shared" si="4"/>
        <v>Huỳnh Tấn Cường</v>
      </c>
    </row>
    <row r="1034" spans="1:15">
      <c r="A1034" s="32" t="s">
        <v>192</v>
      </c>
      <c r="B1034" s="32" t="s">
        <v>44</v>
      </c>
      <c r="C1034" s="33">
        <v>46025</v>
      </c>
      <c r="D1034" s="32">
        <v>846528979</v>
      </c>
      <c r="E1034" s="32">
        <v>489405039</v>
      </c>
      <c r="F1034" s="32" t="s">
        <v>193</v>
      </c>
      <c r="G1034" s="32" t="s">
        <v>46</v>
      </c>
      <c r="H1034" s="32" t="s">
        <v>51</v>
      </c>
      <c r="I1034" s="32">
        <v>116.699</v>
      </c>
      <c r="J1034" s="32">
        <v>54.061</v>
      </c>
      <c r="K1034" s="32" t="b">
        <v>1</v>
      </c>
      <c r="L1034" s="32" t="s">
        <v>63</v>
      </c>
      <c r="M1034" s="32" t="s">
        <v>48</v>
      </c>
      <c r="N1034" s="34">
        <v>46065</v>
      </c>
      <c r="O1034" s="35" t="str">
        <f t="shared" si="4"/>
        <v>Đinh Bộ Lĩnh</v>
      </c>
    </row>
    <row r="1035" spans="1:15">
      <c r="A1035" s="32" t="s">
        <v>192</v>
      </c>
      <c r="B1035" s="32" t="s">
        <v>44</v>
      </c>
      <c r="C1035" s="33">
        <v>46025</v>
      </c>
      <c r="D1035" s="32">
        <v>846528979</v>
      </c>
      <c r="E1035" s="32">
        <v>489405039</v>
      </c>
      <c r="F1035" s="32" t="s">
        <v>193</v>
      </c>
      <c r="G1035" s="32" t="s">
        <v>46</v>
      </c>
      <c r="H1035" s="32" t="s">
        <v>51</v>
      </c>
      <c r="I1035" s="32">
        <v>86.14</v>
      </c>
      <c r="J1035" s="32">
        <v>32.314999999999998</v>
      </c>
      <c r="K1035" s="32" t="b">
        <v>1</v>
      </c>
      <c r="L1035" s="32" t="s">
        <v>63</v>
      </c>
      <c r="M1035" s="32" t="s">
        <v>48</v>
      </c>
      <c r="N1035" s="34">
        <v>46058</v>
      </c>
      <c r="O1035" s="35" t="str">
        <f t="shared" si="4"/>
        <v>Đinh Bộ Lĩnh</v>
      </c>
    </row>
    <row r="1036" spans="1:15">
      <c r="A1036" s="32" t="s">
        <v>241</v>
      </c>
      <c r="B1036" s="32" t="s">
        <v>44</v>
      </c>
      <c r="C1036" s="33">
        <v>46025</v>
      </c>
      <c r="D1036" s="32">
        <v>913443091</v>
      </c>
      <c r="E1036" s="32">
        <v>497825954</v>
      </c>
      <c r="F1036" s="32" t="s">
        <v>50</v>
      </c>
      <c r="G1036" s="32" t="s">
        <v>46</v>
      </c>
      <c r="H1036" s="32" t="s">
        <v>58</v>
      </c>
      <c r="I1036" s="32">
        <v>48.722000000000001</v>
      </c>
      <c r="J1036" s="32">
        <v>21.315999999999999</v>
      </c>
      <c r="K1036" s="32" t="b">
        <v>1</v>
      </c>
      <c r="L1036" s="32" t="s">
        <v>47</v>
      </c>
      <c r="M1036" s="32" t="s">
        <v>48</v>
      </c>
      <c r="N1036" s="34">
        <v>46115</v>
      </c>
      <c r="O1036" s="35" t="str">
        <f t="shared" si="4"/>
        <v>Nguyễn Khương Minh</v>
      </c>
    </row>
    <row r="1037" spans="1:15">
      <c r="A1037" s="32" t="s">
        <v>241</v>
      </c>
      <c r="B1037" s="32" t="s">
        <v>44</v>
      </c>
      <c r="C1037" s="33">
        <v>46025</v>
      </c>
      <c r="D1037" s="32">
        <v>913443091</v>
      </c>
      <c r="E1037" s="32">
        <v>497825954</v>
      </c>
      <c r="F1037" s="32" t="s">
        <v>50</v>
      </c>
      <c r="G1037" s="32" t="s">
        <v>46</v>
      </c>
      <c r="H1037" s="32" t="s">
        <v>58</v>
      </c>
      <c r="I1037" s="32">
        <v>48.722000000000001</v>
      </c>
      <c r="J1037" s="32">
        <v>21.315999999999999</v>
      </c>
      <c r="K1037" s="32" t="b">
        <v>1</v>
      </c>
      <c r="L1037" s="32" t="s">
        <v>47</v>
      </c>
      <c r="M1037" s="32" t="s">
        <v>48</v>
      </c>
      <c r="N1037" s="34">
        <v>46115</v>
      </c>
      <c r="O1037" s="35" t="str">
        <f t="shared" si="4"/>
        <v>Nguyễn Khương Minh</v>
      </c>
    </row>
    <row r="1038" spans="1:15">
      <c r="A1038" s="32" t="s">
        <v>192</v>
      </c>
      <c r="B1038" s="32" t="s">
        <v>44</v>
      </c>
      <c r="C1038" s="33">
        <v>46025</v>
      </c>
      <c r="D1038" s="32">
        <v>846528979</v>
      </c>
      <c r="E1038" s="32">
        <v>489405039</v>
      </c>
      <c r="F1038" s="32" t="s">
        <v>193</v>
      </c>
      <c r="G1038" s="32" t="s">
        <v>46</v>
      </c>
      <c r="H1038" s="32" t="s">
        <v>51</v>
      </c>
      <c r="I1038" s="32">
        <v>74.572000000000003</v>
      </c>
      <c r="J1038" s="32">
        <v>45.627000000000002</v>
      </c>
      <c r="K1038" s="32" t="b">
        <v>1</v>
      </c>
      <c r="L1038" s="32" t="s">
        <v>63</v>
      </c>
      <c r="M1038" s="32" t="s">
        <v>48</v>
      </c>
      <c r="N1038" s="34">
        <v>46056</v>
      </c>
      <c r="O1038" s="35" t="str">
        <f t="shared" si="4"/>
        <v>Đinh Bộ Lĩnh</v>
      </c>
    </row>
    <row r="1039" spans="1:15">
      <c r="A1039" s="32" t="s">
        <v>241</v>
      </c>
      <c r="B1039" s="32" t="s">
        <v>44</v>
      </c>
      <c r="C1039" s="33">
        <v>46025</v>
      </c>
      <c r="D1039" s="32">
        <v>913443091</v>
      </c>
      <c r="E1039" s="32">
        <v>497825954</v>
      </c>
      <c r="F1039" s="32" t="s">
        <v>50</v>
      </c>
      <c r="G1039" s="32" t="s">
        <v>46</v>
      </c>
      <c r="H1039" s="32" t="s">
        <v>58</v>
      </c>
      <c r="I1039" s="32">
        <v>168.28800000000001</v>
      </c>
      <c r="J1039" s="32">
        <v>36.063000000000002</v>
      </c>
      <c r="K1039" s="32" t="b">
        <v>1</v>
      </c>
      <c r="L1039" s="32" t="s">
        <v>47</v>
      </c>
      <c r="M1039" s="32" t="s">
        <v>48</v>
      </c>
      <c r="N1039" s="34">
        <v>46207</v>
      </c>
      <c r="O1039" s="35" t="str">
        <f t="shared" si="4"/>
        <v>Nguyễn Khương Minh</v>
      </c>
    </row>
    <row r="1040" spans="1:15">
      <c r="A1040" s="32" t="s">
        <v>241</v>
      </c>
      <c r="B1040" s="32" t="s">
        <v>44</v>
      </c>
      <c r="C1040" s="33">
        <v>46025</v>
      </c>
      <c r="D1040" s="32">
        <v>913443091</v>
      </c>
      <c r="E1040" s="32">
        <v>497825954</v>
      </c>
      <c r="F1040" s="32" t="s">
        <v>50</v>
      </c>
      <c r="G1040" s="32" t="s">
        <v>46</v>
      </c>
      <c r="H1040" s="32" t="s">
        <v>58</v>
      </c>
      <c r="I1040" s="32">
        <v>168.28800000000001</v>
      </c>
      <c r="J1040" s="32">
        <v>36.063000000000002</v>
      </c>
      <c r="K1040" s="32" t="b">
        <v>1</v>
      </c>
      <c r="L1040" s="32" t="s">
        <v>47</v>
      </c>
      <c r="M1040" s="32" t="s">
        <v>48</v>
      </c>
      <c r="N1040" s="34">
        <v>46207</v>
      </c>
      <c r="O1040" s="35" t="str">
        <f t="shared" si="4"/>
        <v>Nguyễn Khương Minh</v>
      </c>
    </row>
    <row r="1041" spans="1:15">
      <c r="A1041" s="32" t="s">
        <v>77</v>
      </c>
      <c r="B1041" s="32" t="s">
        <v>44</v>
      </c>
      <c r="C1041" s="33">
        <v>46025</v>
      </c>
      <c r="D1041" s="32">
        <v>945663773</v>
      </c>
      <c r="E1041" s="32">
        <v>507335872</v>
      </c>
      <c r="F1041" s="32" t="s">
        <v>78</v>
      </c>
      <c r="G1041" s="32" t="s">
        <v>46</v>
      </c>
      <c r="H1041" s="32" t="s">
        <v>51</v>
      </c>
      <c r="I1041" s="32">
        <v>60.152999999999999</v>
      </c>
      <c r="J1041" s="32">
        <v>15.241</v>
      </c>
      <c r="K1041" s="32" t="b">
        <v>1</v>
      </c>
      <c r="L1041" s="32" t="s">
        <v>79</v>
      </c>
      <c r="M1041" s="32" t="s">
        <v>80</v>
      </c>
      <c r="N1041" s="34">
        <v>46177</v>
      </c>
      <c r="O1041" s="35" t="str">
        <f t="shared" si="4"/>
        <v>Nguyễn Hữu Tân</v>
      </c>
    </row>
    <row r="1042" spans="1:15">
      <c r="A1042" s="32" t="s">
        <v>77</v>
      </c>
      <c r="B1042" s="32" t="s">
        <v>44</v>
      </c>
      <c r="C1042" s="33">
        <v>46025</v>
      </c>
      <c r="D1042" s="32">
        <v>945663773</v>
      </c>
      <c r="E1042" s="32">
        <v>507335872</v>
      </c>
      <c r="F1042" s="32" t="s">
        <v>78</v>
      </c>
      <c r="G1042" s="32" t="s">
        <v>46</v>
      </c>
      <c r="H1042" s="32" t="s">
        <v>51</v>
      </c>
      <c r="I1042" s="32">
        <v>54.511000000000003</v>
      </c>
      <c r="J1042" s="32">
        <v>22.195</v>
      </c>
      <c r="K1042" s="32" t="b">
        <v>1</v>
      </c>
      <c r="L1042" s="32" t="s">
        <v>79</v>
      </c>
      <c r="M1042" s="32" t="s">
        <v>80</v>
      </c>
      <c r="N1042" s="34">
        <v>46152</v>
      </c>
      <c r="O1042" s="35" t="str">
        <f t="shared" si="4"/>
        <v>Nguyễn Hữu Tân</v>
      </c>
    </row>
    <row r="1043" spans="1:15">
      <c r="A1043" s="32" t="s">
        <v>197</v>
      </c>
      <c r="B1043" s="32" t="s">
        <v>44</v>
      </c>
      <c r="C1043" s="33">
        <v>46025</v>
      </c>
      <c r="D1043" s="32">
        <v>911685484</v>
      </c>
      <c r="E1043" s="32">
        <v>514513531</v>
      </c>
      <c r="F1043" s="32" t="s">
        <v>112</v>
      </c>
      <c r="G1043" s="32" t="s">
        <v>46</v>
      </c>
      <c r="H1043" s="32" t="s">
        <v>51</v>
      </c>
      <c r="I1043" s="32">
        <v>40.787999999999997</v>
      </c>
      <c r="J1043" s="32">
        <v>37.866999999999997</v>
      </c>
      <c r="K1043" s="32" t="b">
        <v>1</v>
      </c>
      <c r="L1043" s="32" t="s">
        <v>79</v>
      </c>
      <c r="M1043" s="32" t="s">
        <v>48</v>
      </c>
      <c r="N1043" s="34">
        <v>46257</v>
      </c>
      <c r="O1043" s="35" t="str">
        <f t="shared" si="4"/>
        <v>Thiệu Thái An</v>
      </c>
    </row>
    <row r="1044" spans="1:15">
      <c r="A1044" s="32" t="s">
        <v>207</v>
      </c>
      <c r="B1044" s="32" t="s">
        <v>44</v>
      </c>
      <c r="C1044" s="33">
        <v>46025</v>
      </c>
      <c r="D1044" s="32">
        <v>915502804</v>
      </c>
      <c r="E1044" s="32">
        <v>496103164</v>
      </c>
      <c r="F1044" s="32" t="s">
        <v>208</v>
      </c>
      <c r="G1044" s="32" t="s">
        <v>46</v>
      </c>
      <c r="H1044" s="32" t="s">
        <v>18</v>
      </c>
      <c r="I1044" s="32">
        <v>37.654000000000003</v>
      </c>
      <c r="J1044" s="32">
        <v>32.927999999999997</v>
      </c>
      <c r="K1044" s="32" t="b">
        <v>1</v>
      </c>
      <c r="L1044" s="32" t="s">
        <v>63</v>
      </c>
      <c r="M1044" s="32" t="s">
        <v>48</v>
      </c>
      <c r="N1044" s="34">
        <v>46216</v>
      </c>
      <c r="O1044" s="35" t="str">
        <f t="shared" si="4"/>
        <v>Tô Tiểu Ngọc</v>
      </c>
    </row>
    <row r="1045" spans="1:15">
      <c r="A1045" s="32" t="s">
        <v>91</v>
      </c>
      <c r="B1045" s="32" t="s">
        <v>44</v>
      </c>
      <c r="C1045" s="33">
        <v>46025</v>
      </c>
      <c r="D1045" s="32">
        <v>917714086</v>
      </c>
      <c r="E1045" s="32">
        <v>514807788</v>
      </c>
      <c r="F1045" s="32" t="s">
        <v>92</v>
      </c>
      <c r="G1045" s="32" t="s">
        <v>46</v>
      </c>
      <c r="H1045" s="32" t="s">
        <v>51</v>
      </c>
      <c r="I1045" s="32">
        <v>918.02</v>
      </c>
      <c r="J1045" s="32">
        <v>100.188</v>
      </c>
      <c r="K1045" s="32" t="b">
        <v>1</v>
      </c>
      <c r="L1045" s="32" t="s">
        <v>79</v>
      </c>
      <c r="M1045" s="32" t="s">
        <v>48</v>
      </c>
      <c r="N1045" s="34">
        <v>46214</v>
      </c>
      <c r="O1045" s="35" t="str">
        <f t="shared" si="4"/>
        <v>Lê Hoàng Vinh</v>
      </c>
    </row>
    <row r="1046" spans="1:15">
      <c r="A1046" s="32" t="s">
        <v>49</v>
      </c>
      <c r="B1046" s="32" t="s">
        <v>44</v>
      </c>
      <c r="C1046" s="33">
        <v>46025</v>
      </c>
      <c r="D1046" s="32">
        <v>947245878</v>
      </c>
      <c r="E1046" s="32">
        <v>493854272</v>
      </c>
      <c r="F1046" s="32" t="s">
        <v>50</v>
      </c>
      <c r="G1046" s="32" t="s">
        <v>46</v>
      </c>
      <c r="H1046" s="32" t="s">
        <v>58</v>
      </c>
      <c r="I1046" s="32">
        <v>623.35400000000004</v>
      </c>
      <c r="J1046" s="32">
        <v>146.05799999999999</v>
      </c>
      <c r="K1046" s="32" t="b">
        <v>0</v>
      </c>
      <c r="L1046" s="32" t="s">
        <v>47</v>
      </c>
      <c r="M1046" s="32" t="s">
        <v>48</v>
      </c>
      <c r="N1046" s="34">
        <v>46105</v>
      </c>
      <c r="O1046" s="35" t="str">
        <f t="shared" si="4"/>
        <v>Phạm Nguyễn Quang Huy</v>
      </c>
    </row>
    <row r="1047" spans="1:15">
      <c r="A1047" s="32" t="s">
        <v>49</v>
      </c>
      <c r="B1047" s="32" t="s">
        <v>44</v>
      </c>
      <c r="C1047" s="33">
        <v>46025</v>
      </c>
      <c r="D1047" s="32">
        <v>828926567</v>
      </c>
      <c r="E1047" s="32">
        <v>493854272</v>
      </c>
      <c r="F1047" s="32" t="s">
        <v>50</v>
      </c>
      <c r="G1047" s="32" t="s">
        <v>46</v>
      </c>
      <c r="H1047" s="32" t="s">
        <v>58</v>
      </c>
      <c r="I1047" s="32">
        <v>623.35400000000004</v>
      </c>
      <c r="J1047" s="32">
        <v>146.05799999999999</v>
      </c>
      <c r="K1047" s="32" t="b">
        <v>0</v>
      </c>
      <c r="L1047" s="32" t="s">
        <v>47</v>
      </c>
      <c r="M1047" s="32" t="s">
        <v>48</v>
      </c>
      <c r="N1047" s="34">
        <v>46105</v>
      </c>
      <c r="O1047" s="35" t="str">
        <f t="shared" si="4"/>
        <v>Phạm Nguyễn Quang Huy</v>
      </c>
    </row>
    <row r="1048" spans="1:15">
      <c r="A1048" s="32" t="s">
        <v>207</v>
      </c>
      <c r="B1048" s="32" t="s">
        <v>44</v>
      </c>
      <c r="C1048" s="33">
        <v>46025</v>
      </c>
      <c r="D1048" s="32">
        <v>915502804</v>
      </c>
      <c r="E1048" s="32">
        <v>496103164</v>
      </c>
      <c r="F1048" s="32" t="s">
        <v>208</v>
      </c>
      <c r="G1048" s="32" t="s">
        <v>46</v>
      </c>
      <c r="H1048" s="32" t="s">
        <v>18</v>
      </c>
      <c r="I1048" s="32">
        <v>75.917000000000002</v>
      </c>
      <c r="J1048" s="32">
        <v>56.970999999999997</v>
      </c>
      <c r="K1048" s="32" t="b">
        <v>1</v>
      </c>
      <c r="L1048" s="32" t="s">
        <v>63</v>
      </c>
      <c r="M1048" s="32" t="s">
        <v>48</v>
      </c>
      <c r="N1048" s="34">
        <v>46273</v>
      </c>
      <c r="O1048" s="35" t="str">
        <f t="shared" si="4"/>
        <v>Tô Tiểu Ngọc</v>
      </c>
    </row>
    <row r="1049" spans="1:15">
      <c r="A1049" s="32" t="s">
        <v>207</v>
      </c>
      <c r="B1049" s="32" t="s">
        <v>44</v>
      </c>
      <c r="C1049" s="33">
        <v>46025</v>
      </c>
      <c r="D1049" s="32">
        <v>915502804</v>
      </c>
      <c r="E1049" s="32">
        <v>496103164</v>
      </c>
      <c r="F1049" s="32" t="s">
        <v>208</v>
      </c>
      <c r="G1049" s="32" t="s">
        <v>46</v>
      </c>
      <c r="H1049" s="32" t="s">
        <v>18</v>
      </c>
      <c r="I1049" s="32">
        <v>77.697000000000003</v>
      </c>
      <c r="J1049" s="32">
        <v>58.271000000000001</v>
      </c>
      <c r="K1049" s="32" t="b">
        <v>1</v>
      </c>
      <c r="L1049" s="32" t="s">
        <v>63</v>
      </c>
      <c r="M1049" s="32" t="s">
        <v>48</v>
      </c>
      <c r="N1049" s="34">
        <v>46241</v>
      </c>
      <c r="O1049" s="35" t="str">
        <f t="shared" si="4"/>
        <v>Tô Tiểu Ngọc</v>
      </c>
    </row>
    <row r="1050" spans="1:15">
      <c r="A1050" s="32" t="s">
        <v>259</v>
      </c>
      <c r="B1050" s="32" t="s">
        <v>44</v>
      </c>
      <c r="C1050" s="33">
        <v>46025</v>
      </c>
      <c r="D1050" s="32">
        <v>913678123</v>
      </c>
      <c r="E1050" s="32">
        <v>481366129</v>
      </c>
      <c r="F1050" s="32" t="s">
        <v>260</v>
      </c>
      <c r="G1050" s="32" t="s">
        <v>46</v>
      </c>
      <c r="H1050" s="32" t="s">
        <v>51</v>
      </c>
      <c r="I1050" s="32">
        <v>132.256</v>
      </c>
      <c r="J1050" s="32">
        <v>27.745000000000001</v>
      </c>
      <c r="K1050" s="32" t="b">
        <v>1</v>
      </c>
      <c r="L1050" s="32" t="s">
        <v>47</v>
      </c>
      <c r="M1050" s="32" t="s">
        <v>48</v>
      </c>
      <c r="N1050" s="34">
        <v>46176</v>
      </c>
      <c r="O1050" s="35" t="str">
        <f t="shared" si="4"/>
        <v>Ngô Phương Nam</v>
      </c>
    </row>
    <row r="1051" spans="1:15">
      <c r="A1051" s="32" t="s">
        <v>207</v>
      </c>
      <c r="B1051" s="32" t="s">
        <v>44</v>
      </c>
      <c r="C1051" s="33">
        <v>46025</v>
      </c>
      <c r="D1051" s="32">
        <v>915502804</v>
      </c>
      <c r="E1051" s="32">
        <v>496103164</v>
      </c>
      <c r="F1051" s="32" t="s">
        <v>208</v>
      </c>
      <c r="G1051" s="32" t="s">
        <v>46</v>
      </c>
      <c r="H1051" s="32" t="s">
        <v>18</v>
      </c>
      <c r="I1051" s="32">
        <v>78.251000000000005</v>
      </c>
      <c r="J1051" s="32">
        <v>59.395000000000003</v>
      </c>
      <c r="K1051" s="32" t="b">
        <v>1</v>
      </c>
      <c r="L1051" s="32" t="s">
        <v>63</v>
      </c>
      <c r="M1051" s="32" t="s">
        <v>48</v>
      </c>
      <c r="N1051" s="34">
        <v>46090</v>
      </c>
      <c r="O1051" s="35" t="str">
        <f t="shared" si="4"/>
        <v>Tô Tiểu Ngọc</v>
      </c>
    </row>
    <row r="1052" spans="1:15">
      <c r="A1052" s="32" t="s">
        <v>207</v>
      </c>
      <c r="B1052" s="32" t="s">
        <v>44</v>
      </c>
      <c r="C1052" s="33">
        <v>46025</v>
      </c>
      <c r="D1052" s="32">
        <v>915502804</v>
      </c>
      <c r="E1052" s="32">
        <v>496103164</v>
      </c>
      <c r="F1052" s="32" t="s">
        <v>208</v>
      </c>
      <c r="G1052" s="32" t="s">
        <v>46</v>
      </c>
      <c r="H1052" s="32" t="s">
        <v>18</v>
      </c>
      <c r="I1052" s="32">
        <v>74.403999999999996</v>
      </c>
      <c r="J1052" s="32">
        <v>59.344000000000001</v>
      </c>
      <c r="K1052" s="32" t="b">
        <v>1</v>
      </c>
      <c r="L1052" s="32" t="s">
        <v>63</v>
      </c>
      <c r="M1052" s="32" t="s">
        <v>48</v>
      </c>
      <c r="N1052" s="34">
        <v>46175</v>
      </c>
      <c r="O1052" s="35" t="str">
        <f t="shared" si="4"/>
        <v>Tô Tiểu Ngọc</v>
      </c>
    </row>
    <row r="1053" spans="1:15">
      <c r="A1053" s="32" t="s">
        <v>89</v>
      </c>
      <c r="B1053" s="32" t="s">
        <v>44</v>
      </c>
      <c r="C1053" s="33">
        <v>46025</v>
      </c>
      <c r="D1053" s="32">
        <v>837012768</v>
      </c>
      <c r="E1053" s="32">
        <v>276156622</v>
      </c>
      <c r="F1053" s="32" t="s">
        <v>90</v>
      </c>
      <c r="G1053" s="32" t="s">
        <v>46</v>
      </c>
      <c r="H1053" s="32" t="s">
        <v>51</v>
      </c>
      <c r="I1053" s="32">
        <v>870.54499999999996</v>
      </c>
      <c r="J1053" s="32">
        <v>135.02199999999999</v>
      </c>
      <c r="K1053" s="32" t="b">
        <v>1</v>
      </c>
      <c r="L1053" s="32" t="s">
        <v>47</v>
      </c>
      <c r="M1053" s="32" t="s">
        <v>63</v>
      </c>
      <c r="N1053" s="34">
        <v>46247</v>
      </c>
      <c r="O1053" s="35" t="str">
        <f t="shared" si="4"/>
        <v>Nguyễn Thành Chí</v>
      </c>
    </row>
    <row r="1054" spans="1:15">
      <c r="A1054" s="32" t="s">
        <v>85</v>
      </c>
      <c r="B1054" s="32" t="s">
        <v>44</v>
      </c>
      <c r="C1054" s="33">
        <v>46025</v>
      </c>
      <c r="D1054" s="32">
        <v>918128333</v>
      </c>
      <c r="E1054" s="32">
        <v>362213178</v>
      </c>
      <c r="F1054" s="32" t="s">
        <v>86</v>
      </c>
      <c r="G1054" s="32" t="s">
        <v>46</v>
      </c>
      <c r="H1054" s="32" t="s">
        <v>261</v>
      </c>
      <c r="I1054" s="32">
        <v>204.26</v>
      </c>
      <c r="J1054" s="32">
        <v>40.988</v>
      </c>
      <c r="K1054" s="32" t="b">
        <v>1</v>
      </c>
      <c r="L1054" s="32" t="s">
        <v>47</v>
      </c>
      <c r="M1054" s="32" t="s">
        <v>48</v>
      </c>
      <c r="N1054" s="32" t="s">
        <v>137</v>
      </c>
      <c r="O1054" s="35" t="str">
        <f t="shared" si="4"/>
        <v>Trần Minh Tuấn1</v>
      </c>
    </row>
    <row r="1055" spans="1:15">
      <c r="A1055" s="32" t="s">
        <v>235</v>
      </c>
      <c r="B1055" s="32" t="s">
        <v>44</v>
      </c>
      <c r="C1055" s="33">
        <v>46025</v>
      </c>
      <c r="D1055" s="32">
        <v>912223973</v>
      </c>
      <c r="E1055" s="32">
        <v>427392630</v>
      </c>
      <c r="F1055" s="32" t="s">
        <v>95</v>
      </c>
      <c r="G1055" s="32" t="s">
        <v>46</v>
      </c>
      <c r="H1055" s="32" t="s">
        <v>51</v>
      </c>
      <c r="I1055" s="32">
        <v>1057.1669999999999</v>
      </c>
      <c r="J1055" s="32">
        <v>63.295000000000002</v>
      </c>
      <c r="K1055" s="32" t="b">
        <v>1</v>
      </c>
      <c r="L1055" s="32" t="s">
        <v>47</v>
      </c>
      <c r="M1055" s="32" t="s">
        <v>48</v>
      </c>
      <c r="N1055" s="34">
        <v>46133</v>
      </c>
      <c r="O1055" s="35" t="str">
        <f t="shared" si="4"/>
        <v>Lại Quang Vinh</v>
      </c>
    </row>
    <row r="1056" spans="1:15">
      <c r="A1056" s="32" t="s">
        <v>235</v>
      </c>
      <c r="B1056" s="32" t="s">
        <v>44</v>
      </c>
      <c r="C1056" s="33">
        <v>46025</v>
      </c>
      <c r="D1056" s="32">
        <v>912223973</v>
      </c>
      <c r="E1056" s="32">
        <v>427392630</v>
      </c>
      <c r="F1056" s="32" t="s">
        <v>95</v>
      </c>
      <c r="G1056" s="32" t="s">
        <v>46</v>
      </c>
      <c r="H1056" s="32" t="s">
        <v>51</v>
      </c>
      <c r="I1056" s="32">
        <v>1101.4739999999999</v>
      </c>
      <c r="J1056" s="32">
        <v>104.3</v>
      </c>
      <c r="K1056" s="32" t="b">
        <v>1</v>
      </c>
      <c r="L1056" s="32" t="s">
        <v>47</v>
      </c>
      <c r="M1056" s="32" t="s">
        <v>48</v>
      </c>
      <c r="N1056" s="34">
        <v>46157</v>
      </c>
      <c r="O1056" s="35" t="str">
        <f t="shared" si="4"/>
        <v>Lại Quang Vinh</v>
      </c>
    </row>
    <row r="1057" spans="1:15">
      <c r="A1057" s="32" t="s">
        <v>235</v>
      </c>
      <c r="B1057" s="32" t="s">
        <v>44</v>
      </c>
      <c r="C1057" s="33">
        <v>46025</v>
      </c>
      <c r="D1057" s="32">
        <v>912223973</v>
      </c>
      <c r="E1057" s="32">
        <v>427392630</v>
      </c>
      <c r="F1057" s="32" t="s">
        <v>95</v>
      </c>
      <c r="G1057" s="32" t="s">
        <v>46</v>
      </c>
      <c r="H1057" s="32" t="s">
        <v>51</v>
      </c>
      <c r="I1057" s="32">
        <v>1026.479</v>
      </c>
      <c r="J1057" s="32">
        <v>104.898</v>
      </c>
      <c r="K1057" s="32" t="b">
        <v>1</v>
      </c>
      <c r="L1057" s="32" t="s">
        <v>47</v>
      </c>
      <c r="M1057" s="32" t="s">
        <v>48</v>
      </c>
      <c r="N1057" s="34">
        <v>46033</v>
      </c>
      <c r="O1057" s="35" t="str">
        <f t="shared" si="4"/>
        <v>Lại Quang Vinh</v>
      </c>
    </row>
    <row r="1058" spans="1:15">
      <c r="A1058" s="32" t="s">
        <v>52</v>
      </c>
      <c r="B1058" s="32" t="s">
        <v>44</v>
      </c>
      <c r="C1058" s="33">
        <v>46025</v>
      </c>
      <c r="D1058" s="32">
        <v>915282271</v>
      </c>
      <c r="E1058" s="32">
        <v>437354149</v>
      </c>
      <c r="F1058" s="32" t="s">
        <v>53</v>
      </c>
      <c r="G1058" s="32" t="s">
        <v>46</v>
      </c>
      <c r="H1058" s="32" t="s">
        <v>58</v>
      </c>
      <c r="I1058" s="32">
        <v>884.02599999999995</v>
      </c>
      <c r="J1058" s="32">
        <v>139.62</v>
      </c>
      <c r="K1058" s="32" t="b">
        <v>1</v>
      </c>
      <c r="L1058" s="32" t="s">
        <v>47</v>
      </c>
      <c r="M1058" s="32" t="s">
        <v>48</v>
      </c>
      <c r="N1058" s="32" t="s">
        <v>262</v>
      </c>
      <c r="O1058" s="35" t="str">
        <f t="shared" si="4"/>
        <v>Nguyễn Hoàng Tuấn</v>
      </c>
    </row>
    <row r="1059" spans="1:15">
      <c r="A1059" s="32" t="s">
        <v>52</v>
      </c>
      <c r="B1059" s="32" t="s">
        <v>44</v>
      </c>
      <c r="C1059" s="33">
        <v>46025</v>
      </c>
      <c r="D1059" s="32">
        <v>915282271</v>
      </c>
      <c r="E1059" s="32">
        <v>437354149</v>
      </c>
      <c r="F1059" s="32" t="s">
        <v>53</v>
      </c>
      <c r="G1059" s="32" t="s">
        <v>46</v>
      </c>
      <c r="H1059" s="32" t="s">
        <v>58</v>
      </c>
      <c r="I1059" s="32">
        <v>884.02599999999995</v>
      </c>
      <c r="J1059" s="32">
        <v>139.62</v>
      </c>
      <c r="K1059" s="32" t="b">
        <v>1</v>
      </c>
      <c r="L1059" s="32" t="s">
        <v>47</v>
      </c>
      <c r="M1059" s="32" t="s">
        <v>48</v>
      </c>
      <c r="N1059" s="32" t="s">
        <v>262</v>
      </c>
      <c r="O1059" s="35" t="str">
        <f t="shared" si="4"/>
        <v>Nguyễn Hoàng Tuấn</v>
      </c>
    </row>
    <row r="1060" spans="1:15">
      <c r="A1060" s="32" t="s">
        <v>96</v>
      </c>
      <c r="B1060" s="32" t="s">
        <v>44</v>
      </c>
      <c r="C1060" s="33">
        <v>46025</v>
      </c>
      <c r="D1060" s="32">
        <v>914390007</v>
      </c>
      <c r="E1060" s="32">
        <v>504830634</v>
      </c>
      <c r="F1060" s="32" t="s">
        <v>60</v>
      </c>
      <c r="G1060" s="32" t="s">
        <v>46</v>
      </c>
      <c r="H1060" s="32" t="s">
        <v>51</v>
      </c>
      <c r="I1060" s="32">
        <v>85.99</v>
      </c>
      <c r="J1060" s="32">
        <v>50.197000000000003</v>
      </c>
      <c r="K1060" s="32" t="b">
        <v>1</v>
      </c>
      <c r="L1060" s="32" t="s">
        <v>47</v>
      </c>
      <c r="M1060" s="32" t="s">
        <v>48</v>
      </c>
      <c r="N1060" s="34">
        <v>46054</v>
      </c>
      <c r="O1060" s="35" t="str">
        <f t="shared" si="4"/>
        <v>Võ Quốc Huy</v>
      </c>
    </row>
    <row r="1061" spans="1:15">
      <c r="A1061" s="32" t="s">
        <v>64</v>
      </c>
      <c r="B1061" s="32" t="s">
        <v>44</v>
      </c>
      <c r="C1061" s="33">
        <v>46025</v>
      </c>
      <c r="D1061" s="32">
        <v>917769763</v>
      </c>
      <c r="E1061" s="32">
        <v>297808089</v>
      </c>
      <c r="F1061" s="32" t="s">
        <v>65</v>
      </c>
      <c r="G1061" s="32" t="s">
        <v>46</v>
      </c>
      <c r="H1061" s="32" t="s">
        <v>58</v>
      </c>
      <c r="I1061" s="32">
        <v>136.47</v>
      </c>
      <c r="J1061" s="32">
        <v>7.88</v>
      </c>
      <c r="K1061" s="32" t="b">
        <v>1</v>
      </c>
      <c r="L1061" s="32" t="s">
        <v>47</v>
      </c>
      <c r="M1061" s="32" t="s">
        <v>63</v>
      </c>
      <c r="N1061" s="34">
        <v>46178</v>
      </c>
      <c r="O1061" s="35" t="str">
        <f t="shared" si="4"/>
        <v>Đỗ Tấn Phát</v>
      </c>
    </row>
    <row r="1062" spans="1:15">
      <c r="A1062" s="32" t="s">
        <v>52</v>
      </c>
      <c r="B1062" s="32" t="s">
        <v>44</v>
      </c>
      <c r="C1062" s="33">
        <v>46025</v>
      </c>
      <c r="D1062" s="32">
        <v>915282271</v>
      </c>
      <c r="E1062" s="32">
        <v>437354149</v>
      </c>
      <c r="F1062" s="32" t="s">
        <v>53</v>
      </c>
      <c r="G1062" s="32" t="s">
        <v>46</v>
      </c>
      <c r="H1062" s="32" t="s">
        <v>58</v>
      </c>
      <c r="I1062" s="32">
        <v>291.97000000000003</v>
      </c>
      <c r="J1062" s="32">
        <v>54.396999999999998</v>
      </c>
      <c r="K1062" s="32" t="b">
        <v>1</v>
      </c>
      <c r="L1062" s="32" t="s">
        <v>47</v>
      </c>
      <c r="M1062" s="32" t="s">
        <v>48</v>
      </c>
      <c r="N1062" s="34">
        <v>46155</v>
      </c>
      <c r="O1062" s="35" t="str">
        <f t="shared" si="4"/>
        <v>Nguyễn Hoàng Tuấn</v>
      </c>
    </row>
    <row r="1063" spans="1:15">
      <c r="A1063" s="32" t="s">
        <v>52</v>
      </c>
      <c r="B1063" s="32" t="s">
        <v>44</v>
      </c>
      <c r="C1063" s="33">
        <v>46025</v>
      </c>
      <c r="D1063" s="32">
        <v>915282271</v>
      </c>
      <c r="E1063" s="32">
        <v>437354149</v>
      </c>
      <c r="F1063" s="32" t="s">
        <v>53</v>
      </c>
      <c r="G1063" s="32" t="s">
        <v>46</v>
      </c>
      <c r="H1063" s="32" t="s">
        <v>58</v>
      </c>
      <c r="I1063" s="32">
        <v>291.97000000000003</v>
      </c>
      <c r="J1063" s="32">
        <v>54.396999999999998</v>
      </c>
      <c r="K1063" s="32" t="b">
        <v>1</v>
      </c>
      <c r="L1063" s="32" t="s">
        <v>47</v>
      </c>
      <c r="M1063" s="32" t="s">
        <v>48</v>
      </c>
      <c r="N1063" s="34">
        <v>46155</v>
      </c>
      <c r="O1063" s="35" t="str">
        <f t="shared" si="4"/>
        <v>Nguyễn Hoàng Tuấn</v>
      </c>
    </row>
    <row r="1064" spans="1:15">
      <c r="A1064" s="32" t="s">
        <v>119</v>
      </c>
      <c r="B1064" s="32" t="s">
        <v>44</v>
      </c>
      <c r="C1064" s="33">
        <v>46025</v>
      </c>
      <c r="D1064" s="32">
        <v>945562692</v>
      </c>
      <c r="E1064" s="32">
        <v>489225750</v>
      </c>
      <c r="F1064" s="32" t="s">
        <v>71</v>
      </c>
      <c r="G1064" s="32" t="s">
        <v>46</v>
      </c>
      <c r="H1064" s="32" t="s">
        <v>51</v>
      </c>
      <c r="I1064" s="32">
        <v>98.072000000000003</v>
      </c>
      <c r="J1064" s="32">
        <v>56.811</v>
      </c>
      <c r="K1064" s="32" t="b">
        <v>1</v>
      </c>
      <c r="L1064" s="32" t="s">
        <v>47</v>
      </c>
      <c r="M1064" s="32" t="s">
        <v>48</v>
      </c>
      <c r="N1064" s="34">
        <v>46238</v>
      </c>
      <c r="O1064" s="35" t="str">
        <f t="shared" si="4"/>
        <v>Nguyễn Thanh Hùng</v>
      </c>
    </row>
    <row r="1065" spans="1:15">
      <c r="A1065" s="32" t="s">
        <v>119</v>
      </c>
      <c r="B1065" s="32" t="s">
        <v>44</v>
      </c>
      <c r="C1065" s="33">
        <v>46025</v>
      </c>
      <c r="D1065" s="32">
        <v>945562692</v>
      </c>
      <c r="E1065" s="32">
        <v>489225750</v>
      </c>
      <c r="F1065" s="32" t="s">
        <v>71</v>
      </c>
      <c r="G1065" s="32" t="s">
        <v>46</v>
      </c>
      <c r="H1065" s="32" t="s">
        <v>51</v>
      </c>
      <c r="I1065" s="32">
        <v>113.997</v>
      </c>
      <c r="J1065" s="32">
        <v>57.991</v>
      </c>
      <c r="K1065" s="32" t="b">
        <v>1</v>
      </c>
      <c r="L1065" s="32" t="s">
        <v>47</v>
      </c>
      <c r="M1065" s="32" t="s">
        <v>48</v>
      </c>
      <c r="N1065" s="34">
        <v>46064</v>
      </c>
      <c r="O1065" s="35" t="str">
        <f t="shared" si="4"/>
        <v>Nguyễn Thanh Hùng</v>
      </c>
    </row>
    <row r="1066" spans="1:15">
      <c r="A1066" s="32" t="s">
        <v>119</v>
      </c>
      <c r="B1066" s="32" t="s">
        <v>44</v>
      </c>
      <c r="C1066" s="33">
        <v>46025</v>
      </c>
      <c r="D1066" s="32">
        <v>945562692</v>
      </c>
      <c r="E1066" s="32">
        <v>489225750</v>
      </c>
      <c r="F1066" s="32" t="s">
        <v>71</v>
      </c>
      <c r="G1066" s="32" t="s">
        <v>46</v>
      </c>
      <c r="H1066" s="32" t="s">
        <v>51</v>
      </c>
      <c r="I1066" s="32">
        <v>85.668000000000006</v>
      </c>
      <c r="J1066" s="32">
        <v>55.378999999999998</v>
      </c>
      <c r="K1066" s="32" t="b">
        <v>1</v>
      </c>
      <c r="L1066" s="32" t="s">
        <v>47</v>
      </c>
      <c r="M1066" s="32" t="s">
        <v>48</v>
      </c>
      <c r="N1066" s="32" t="s">
        <v>263</v>
      </c>
      <c r="O1066" s="35" t="str">
        <f t="shared" si="4"/>
        <v>Nguyễn Thanh Hùng</v>
      </c>
    </row>
    <row r="1067" spans="1:15">
      <c r="A1067" s="32" t="s">
        <v>119</v>
      </c>
      <c r="B1067" s="32" t="s">
        <v>44</v>
      </c>
      <c r="C1067" s="33">
        <v>46025</v>
      </c>
      <c r="D1067" s="32">
        <v>945562692</v>
      </c>
      <c r="E1067" s="32">
        <v>489225750</v>
      </c>
      <c r="F1067" s="32" t="s">
        <v>71</v>
      </c>
      <c r="G1067" s="32" t="s">
        <v>46</v>
      </c>
      <c r="H1067" s="32" t="s">
        <v>51</v>
      </c>
      <c r="I1067" s="32">
        <v>107.11799999999999</v>
      </c>
      <c r="J1067" s="32">
        <v>53.097000000000001</v>
      </c>
      <c r="K1067" s="32" t="b">
        <v>1</v>
      </c>
      <c r="L1067" s="32" t="s">
        <v>47</v>
      </c>
      <c r="M1067" s="32" t="s">
        <v>48</v>
      </c>
      <c r="N1067" s="34">
        <v>46056</v>
      </c>
      <c r="O1067" s="35" t="str">
        <f t="shared" si="4"/>
        <v>Nguyễn Thanh Hùng</v>
      </c>
    </row>
    <row r="1068" spans="1:15">
      <c r="A1068" s="32" t="s">
        <v>94</v>
      </c>
      <c r="B1068" s="32" t="s">
        <v>44</v>
      </c>
      <c r="C1068" s="33">
        <v>46025</v>
      </c>
      <c r="D1068" s="32">
        <v>943541776</v>
      </c>
      <c r="E1068" s="32">
        <v>409462271</v>
      </c>
      <c r="F1068" s="32" t="s">
        <v>95</v>
      </c>
      <c r="G1068" s="32" t="s">
        <v>46</v>
      </c>
      <c r="H1068" s="32" t="s">
        <v>87</v>
      </c>
      <c r="I1068" s="32">
        <v>121.508</v>
      </c>
      <c r="J1068" s="32">
        <v>22.789000000000001</v>
      </c>
      <c r="K1068" s="32" t="b">
        <v>1</v>
      </c>
      <c r="L1068" s="32" t="s">
        <v>47</v>
      </c>
      <c r="M1068" s="32" t="s">
        <v>48</v>
      </c>
      <c r="N1068" s="34">
        <v>46117</v>
      </c>
      <c r="O1068" s="35" t="str">
        <f t="shared" si="4"/>
        <v>Đoàn Nguyễn Tuấn Anh</v>
      </c>
    </row>
    <row r="1069" spans="1:15">
      <c r="A1069" s="32" t="s">
        <v>94</v>
      </c>
      <c r="B1069" s="32" t="s">
        <v>44</v>
      </c>
      <c r="C1069" s="33">
        <v>46025</v>
      </c>
      <c r="D1069" s="32">
        <v>943541776</v>
      </c>
      <c r="E1069" s="32">
        <v>409462271</v>
      </c>
      <c r="F1069" s="32" t="s">
        <v>95</v>
      </c>
      <c r="G1069" s="32" t="s">
        <v>46</v>
      </c>
      <c r="H1069" s="32" t="s">
        <v>87</v>
      </c>
      <c r="I1069" s="32">
        <v>116.77</v>
      </c>
      <c r="J1069" s="32">
        <v>34.526000000000003</v>
      </c>
      <c r="K1069" s="32" t="b">
        <v>1</v>
      </c>
      <c r="L1069" s="32" t="s">
        <v>47</v>
      </c>
      <c r="M1069" s="32" t="s">
        <v>48</v>
      </c>
      <c r="N1069" s="34">
        <v>46269</v>
      </c>
      <c r="O1069" s="35" t="str">
        <f t="shared" si="4"/>
        <v>Đoàn Nguyễn Tuấn Anh</v>
      </c>
    </row>
    <row r="1070" spans="1:15">
      <c r="A1070" s="32" t="s">
        <v>52</v>
      </c>
      <c r="B1070" s="32" t="s">
        <v>44</v>
      </c>
      <c r="C1070" s="33">
        <v>46024</v>
      </c>
      <c r="D1070" s="32">
        <v>915282271</v>
      </c>
      <c r="E1070" s="32">
        <v>437354149</v>
      </c>
      <c r="F1070" s="32" t="s">
        <v>53</v>
      </c>
      <c r="G1070" s="32" t="s">
        <v>46</v>
      </c>
      <c r="H1070" s="32" t="s">
        <v>58</v>
      </c>
      <c r="I1070" s="32">
        <v>209.15600000000001</v>
      </c>
      <c r="J1070" s="32">
        <v>46.62</v>
      </c>
      <c r="K1070" s="32" t="b">
        <v>1</v>
      </c>
      <c r="L1070" s="32" t="s">
        <v>47</v>
      </c>
      <c r="M1070" s="32" t="s">
        <v>48</v>
      </c>
      <c r="N1070" s="32" t="s">
        <v>99</v>
      </c>
      <c r="O1070" s="35" t="str">
        <f t="shared" si="4"/>
        <v>Nguyễn Hoàng Tuấn</v>
      </c>
    </row>
    <row r="1071" spans="1:15">
      <c r="A1071" s="32" t="s">
        <v>52</v>
      </c>
      <c r="B1071" s="32" t="s">
        <v>44</v>
      </c>
      <c r="C1071" s="33">
        <v>46024</v>
      </c>
      <c r="D1071" s="32">
        <v>915282271</v>
      </c>
      <c r="E1071" s="32">
        <v>437354149</v>
      </c>
      <c r="F1071" s="32" t="s">
        <v>53</v>
      </c>
      <c r="G1071" s="32" t="s">
        <v>46</v>
      </c>
      <c r="H1071" s="32" t="s">
        <v>58</v>
      </c>
      <c r="I1071" s="32">
        <v>209.15600000000001</v>
      </c>
      <c r="J1071" s="32">
        <v>46.62</v>
      </c>
      <c r="K1071" s="32" t="b">
        <v>1</v>
      </c>
      <c r="L1071" s="32" t="s">
        <v>47</v>
      </c>
      <c r="M1071" s="32" t="s">
        <v>48</v>
      </c>
      <c r="N1071" s="32" t="s">
        <v>99</v>
      </c>
      <c r="O1071" s="35" t="str">
        <f t="shared" si="4"/>
        <v>Nguyễn Hoàng Tuấn</v>
      </c>
    </row>
    <row r="1072" spans="1:15">
      <c r="A1072" s="32" t="s">
        <v>231</v>
      </c>
      <c r="B1072" s="32" t="s">
        <v>44</v>
      </c>
      <c r="C1072" s="33">
        <v>46024</v>
      </c>
      <c r="D1072" s="32">
        <v>812456561</v>
      </c>
      <c r="E1072" s="32">
        <v>478598648</v>
      </c>
      <c r="F1072" s="32" t="s">
        <v>232</v>
      </c>
      <c r="G1072" s="32" t="s">
        <v>46</v>
      </c>
      <c r="H1072" s="32" t="s">
        <v>18</v>
      </c>
      <c r="I1072" s="32">
        <v>882.01400000000001</v>
      </c>
      <c r="J1072" s="32">
        <v>51.951000000000001</v>
      </c>
      <c r="K1072" s="32" t="b">
        <v>1</v>
      </c>
      <c r="L1072" s="32" t="s">
        <v>47</v>
      </c>
      <c r="M1072" s="32" t="s">
        <v>48</v>
      </c>
      <c r="N1072" s="34">
        <v>46087</v>
      </c>
      <c r="O1072" s="35" t="str">
        <f t="shared" si="4"/>
        <v>Nguyễn Văn Minh</v>
      </c>
    </row>
    <row r="1073" spans="1:15">
      <c r="A1073" s="32" t="s">
        <v>231</v>
      </c>
      <c r="B1073" s="32" t="s">
        <v>44</v>
      </c>
      <c r="C1073" s="33">
        <v>46024</v>
      </c>
      <c r="D1073" s="32">
        <v>812456561</v>
      </c>
      <c r="E1073" s="32">
        <v>478598648</v>
      </c>
      <c r="F1073" s="32" t="s">
        <v>232</v>
      </c>
      <c r="G1073" s="32" t="s">
        <v>46</v>
      </c>
      <c r="H1073" s="32" t="s">
        <v>18</v>
      </c>
      <c r="I1073" s="32">
        <v>473.60199999999998</v>
      </c>
      <c r="J1073" s="32">
        <v>54.125999999999998</v>
      </c>
      <c r="K1073" s="32" t="b">
        <v>1</v>
      </c>
      <c r="L1073" s="32" t="s">
        <v>47</v>
      </c>
      <c r="M1073" s="32" t="s">
        <v>48</v>
      </c>
      <c r="N1073" s="34">
        <v>46087</v>
      </c>
      <c r="O1073" s="35" t="str">
        <f t="shared" si="4"/>
        <v>Nguyễn Văn Minh</v>
      </c>
    </row>
    <row r="1074" spans="1:15">
      <c r="A1074" s="32" t="s">
        <v>179</v>
      </c>
      <c r="B1074" s="32" t="s">
        <v>44</v>
      </c>
      <c r="C1074" s="33">
        <v>46024</v>
      </c>
      <c r="D1074" s="32">
        <v>946432493</v>
      </c>
      <c r="E1074" s="32">
        <v>497769619</v>
      </c>
      <c r="F1074" s="32" t="s">
        <v>180</v>
      </c>
      <c r="G1074" s="32" t="s">
        <v>46</v>
      </c>
      <c r="H1074" s="32" t="s">
        <v>18</v>
      </c>
      <c r="I1074" s="32">
        <v>73.147999999999996</v>
      </c>
      <c r="J1074" s="32">
        <v>62.484000000000002</v>
      </c>
      <c r="K1074" s="32" t="b">
        <v>1</v>
      </c>
      <c r="L1074" s="32" t="s">
        <v>47</v>
      </c>
      <c r="M1074" s="32" t="s">
        <v>48</v>
      </c>
      <c r="N1074" s="34">
        <v>46145</v>
      </c>
      <c r="O1074" s="35" t="str">
        <f t="shared" si="4"/>
        <v>Trần Quốc Đạt</v>
      </c>
    </row>
    <row r="1075" spans="1:15">
      <c r="A1075" s="32" t="s">
        <v>179</v>
      </c>
      <c r="B1075" s="32" t="s">
        <v>44</v>
      </c>
      <c r="C1075" s="33">
        <v>46024</v>
      </c>
      <c r="D1075" s="32">
        <v>946432493</v>
      </c>
      <c r="E1075" s="32">
        <v>497769619</v>
      </c>
      <c r="F1075" s="32" t="s">
        <v>180</v>
      </c>
      <c r="G1075" s="32" t="s">
        <v>46</v>
      </c>
      <c r="H1075" s="32" t="s">
        <v>18</v>
      </c>
      <c r="I1075" s="32">
        <v>96.399000000000001</v>
      </c>
      <c r="J1075" s="32">
        <v>61.731000000000002</v>
      </c>
      <c r="K1075" s="32" t="b">
        <v>1</v>
      </c>
      <c r="L1075" s="32" t="s">
        <v>47</v>
      </c>
      <c r="M1075" s="32" t="s">
        <v>48</v>
      </c>
      <c r="N1075" s="34">
        <v>46059</v>
      </c>
      <c r="O1075" s="35" t="str">
        <f t="shared" si="4"/>
        <v>Trần Quốc Đạt</v>
      </c>
    </row>
    <row r="1076" spans="1:15">
      <c r="A1076" s="32" t="s">
        <v>231</v>
      </c>
      <c r="B1076" s="32" t="s">
        <v>44</v>
      </c>
      <c r="C1076" s="33">
        <v>46024</v>
      </c>
      <c r="D1076" s="32">
        <v>812456561</v>
      </c>
      <c r="E1076" s="32">
        <v>478598648</v>
      </c>
      <c r="F1076" s="32" t="s">
        <v>232</v>
      </c>
      <c r="G1076" s="32" t="s">
        <v>46</v>
      </c>
      <c r="H1076" s="32" t="s">
        <v>18</v>
      </c>
      <c r="I1076" s="32">
        <v>927.24400000000003</v>
      </c>
      <c r="J1076" s="32">
        <v>72.72</v>
      </c>
      <c r="K1076" s="32" t="b">
        <v>1</v>
      </c>
      <c r="L1076" s="32" t="s">
        <v>47</v>
      </c>
      <c r="M1076" s="32" t="s">
        <v>48</v>
      </c>
      <c r="N1076" s="34">
        <v>46120</v>
      </c>
      <c r="O1076" s="35" t="str">
        <f t="shared" si="4"/>
        <v>Nguyễn Văn Minh</v>
      </c>
    </row>
    <row r="1077" spans="1:15">
      <c r="A1077" s="32" t="s">
        <v>231</v>
      </c>
      <c r="B1077" s="32" t="s">
        <v>44</v>
      </c>
      <c r="C1077" s="33">
        <v>46024</v>
      </c>
      <c r="D1077" s="32">
        <v>812456561</v>
      </c>
      <c r="E1077" s="32">
        <v>478598648</v>
      </c>
      <c r="F1077" s="32" t="s">
        <v>232</v>
      </c>
      <c r="G1077" s="32" t="s">
        <v>46</v>
      </c>
      <c r="H1077" s="32" t="s">
        <v>18</v>
      </c>
      <c r="I1077" s="32">
        <v>513.22500000000002</v>
      </c>
      <c r="J1077" s="32">
        <v>56.764000000000003</v>
      </c>
      <c r="K1077" s="32" t="b">
        <v>1</v>
      </c>
      <c r="L1077" s="32" t="s">
        <v>47</v>
      </c>
      <c r="M1077" s="32" t="s">
        <v>48</v>
      </c>
      <c r="N1077" s="34">
        <v>46091</v>
      </c>
      <c r="O1077" s="35" t="str">
        <f t="shared" si="4"/>
        <v>Nguyễn Văn Minh</v>
      </c>
    </row>
    <row r="1078" spans="1:15">
      <c r="A1078" s="32" t="s">
        <v>179</v>
      </c>
      <c r="B1078" s="32" t="s">
        <v>44</v>
      </c>
      <c r="C1078" s="33">
        <v>46024</v>
      </c>
      <c r="D1078" s="32">
        <v>946432493</v>
      </c>
      <c r="E1078" s="32">
        <v>497769619</v>
      </c>
      <c r="F1078" s="32" t="s">
        <v>180</v>
      </c>
      <c r="G1078" s="32" t="s">
        <v>46</v>
      </c>
      <c r="H1078" s="32" t="s">
        <v>18</v>
      </c>
      <c r="I1078" s="32">
        <v>98.518000000000001</v>
      </c>
      <c r="J1078" s="32">
        <v>62.844999999999999</v>
      </c>
      <c r="K1078" s="32" t="b">
        <v>1</v>
      </c>
      <c r="L1078" s="32" t="s">
        <v>47</v>
      </c>
      <c r="M1078" s="32" t="s">
        <v>48</v>
      </c>
      <c r="N1078" s="32" t="s">
        <v>137</v>
      </c>
      <c r="O1078" s="35" t="str">
        <f t="shared" si="4"/>
        <v>Trần Quốc Đạt</v>
      </c>
    </row>
    <row r="1079" spans="1:15">
      <c r="A1079" s="32" t="s">
        <v>179</v>
      </c>
      <c r="B1079" s="32" t="s">
        <v>44</v>
      </c>
      <c r="C1079" s="33">
        <v>46024</v>
      </c>
      <c r="D1079" s="32">
        <v>946432493</v>
      </c>
      <c r="E1079" s="32">
        <v>497769619</v>
      </c>
      <c r="F1079" s="32" t="s">
        <v>180</v>
      </c>
      <c r="G1079" s="32" t="s">
        <v>46</v>
      </c>
      <c r="H1079" s="32" t="s">
        <v>18</v>
      </c>
      <c r="I1079" s="32">
        <v>88.1</v>
      </c>
      <c r="J1079" s="32">
        <v>59.752000000000002</v>
      </c>
      <c r="K1079" s="32" t="b">
        <v>1</v>
      </c>
      <c r="L1079" s="32" t="s">
        <v>47</v>
      </c>
      <c r="M1079" s="32" t="s">
        <v>48</v>
      </c>
      <c r="N1079" s="34">
        <v>46241</v>
      </c>
      <c r="O1079" s="35" t="str">
        <f t="shared" si="4"/>
        <v>Trần Quốc Đạt</v>
      </c>
    </row>
    <row r="1080" spans="1:15">
      <c r="A1080" s="32" t="s">
        <v>179</v>
      </c>
      <c r="B1080" s="32" t="s">
        <v>44</v>
      </c>
      <c r="C1080" s="33">
        <v>46024</v>
      </c>
      <c r="D1080" s="32">
        <v>946432493</v>
      </c>
      <c r="E1080" s="32">
        <v>497769619</v>
      </c>
      <c r="F1080" s="32" t="s">
        <v>180</v>
      </c>
      <c r="G1080" s="32" t="s">
        <v>46</v>
      </c>
      <c r="H1080" s="32" t="s">
        <v>18</v>
      </c>
      <c r="I1080" s="32">
        <v>88.24</v>
      </c>
      <c r="J1080" s="32">
        <v>62.828000000000003</v>
      </c>
      <c r="K1080" s="32" t="b">
        <v>1</v>
      </c>
      <c r="L1080" s="32" t="s">
        <v>47</v>
      </c>
      <c r="M1080" s="32" t="s">
        <v>48</v>
      </c>
      <c r="N1080" s="34">
        <v>46144</v>
      </c>
      <c r="O1080" s="35" t="str">
        <f t="shared" si="4"/>
        <v>Trần Quốc Đạt</v>
      </c>
    </row>
    <row r="1081" spans="1:15">
      <c r="A1081" s="32" t="s">
        <v>179</v>
      </c>
      <c r="B1081" s="32" t="s">
        <v>44</v>
      </c>
      <c r="C1081" s="33">
        <v>46024</v>
      </c>
      <c r="D1081" s="32">
        <v>946432493</v>
      </c>
      <c r="E1081" s="32">
        <v>497769619</v>
      </c>
      <c r="F1081" s="32" t="s">
        <v>180</v>
      </c>
      <c r="G1081" s="32" t="s">
        <v>46</v>
      </c>
      <c r="H1081" s="32" t="s">
        <v>18</v>
      </c>
      <c r="I1081" s="32">
        <v>91.569000000000003</v>
      </c>
      <c r="J1081" s="32">
        <v>62.991999999999997</v>
      </c>
      <c r="K1081" s="32" t="b">
        <v>1</v>
      </c>
      <c r="L1081" s="32" t="s">
        <v>47</v>
      </c>
      <c r="M1081" s="32" t="s">
        <v>48</v>
      </c>
      <c r="N1081" s="34">
        <v>46094</v>
      </c>
      <c r="O1081" s="35" t="str">
        <f t="shared" si="4"/>
        <v>Trần Quốc Đạt</v>
      </c>
    </row>
    <row r="1082" spans="1:15">
      <c r="A1082" s="32" t="s">
        <v>179</v>
      </c>
      <c r="B1082" s="32" t="s">
        <v>44</v>
      </c>
      <c r="C1082" s="33">
        <v>46024</v>
      </c>
      <c r="D1082" s="32">
        <v>946432493</v>
      </c>
      <c r="E1082" s="32">
        <v>497769619</v>
      </c>
      <c r="F1082" s="32" t="s">
        <v>180</v>
      </c>
      <c r="G1082" s="32" t="s">
        <v>46</v>
      </c>
      <c r="H1082" s="32" t="s">
        <v>18</v>
      </c>
      <c r="I1082" s="32">
        <v>91.591999999999999</v>
      </c>
      <c r="J1082" s="32">
        <v>62.015000000000001</v>
      </c>
      <c r="K1082" s="32" t="b">
        <v>1</v>
      </c>
      <c r="L1082" s="32" t="s">
        <v>47</v>
      </c>
      <c r="M1082" s="32" t="s">
        <v>48</v>
      </c>
      <c r="N1082" s="34">
        <v>46210</v>
      </c>
      <c r="O1082" s="35" t="str">
        <f t="shared" si="4"/>
        <v>Trần Quốc Đạt</v>
      </c>
    </row>
    <row r="1083" spans="1:15">
      <c r="A1083" s="32" t="s">
        <v>77</v>
      </c>
      <c r="B1083" s="32" t="s">
        <v>44</v>
      </c>
      <c r="C1083" s="33">
        <v>46024</v>
      </c>
      <c r="D1083" s="32">
        <v>945663773</v>
      </c>
      <c r="E1083" s="32">
        <v>507335872</v>
      </c>
      <c r="F1083" s="32" t="s">
        <v>78</v>
      </c>
      <c r="G1083" s="32" t="s">
        <v>46</v>
      </c>
      <c r="H1083" s="32" t="s">
        <v>51</v>
      </c>
      <c r="I1083" s="32">
        <v>97.524000000000001</v>
      </c>
      <c r="J1083" s="32">
        <v>6.9720000000000004</v>
      </c>
      <c r="K1083" s="32" t="b">
        <v>1</v>
      </c>
      <c r="L1083" s="32" t="s">
        <v>79</v>
      </c>
      <c r="M1083" s="32" t="s">
        <v>80</v>
      </c>
      <c r="N1083" s="34">
        <v>46256</v>
      </c>
      <c r="O1083" s="35" t="str">
        <f t="shared" si="4"/>
        <v>Nguyễn Hữu Tân</v>
      </c>
    </row>
    <row r="1084" spans="1:15">
      <c r="A1084" s="32" t="s">
        <v>176</v>
      </c>
      <c r="B1084" s="32" t="s">
        <v>44</v>
      </c>
      <c r="C1084" s="33">
        <v>46024</v>
      </c>
      <c r="D1084" s="32">
        <v>949552355</v>
      </c>
      <c r="E1084" s="32">
        <v>412247549</v>
      </c>
      <c r="F1084" s="32" t="s">
        <v>177</v>
      </c>
      <c r="G1084" s="32" t="s">
        <v>46</v>
      </c>
      <c r="H1084" s="32" t="s">
        <v>51</v>
      </c>
      <c r="I1084" s="32">
        <v>97.296999999999997</v>
      </c>
      <c r="J1084" s="32">
        <v>37.32</v>
      </c>
      <c r="K1084" s="32" t="b">
        <v>1</v>
      </c>
      <c r="L1084" s="32" t="s">
        <v>79</v>
      </c>
      <c r="M1084" s="32" t="s">
        <v>48</v>
      </c>
      <c r="N1084" s="34">
        <v>46150</v>
      </c>
      <c r="O1084" s="35" t="str">
        <f t="shared" si="4"/>
        <v>Huỳnh Đức Huy</v>
      </c>
    </row>
    <row r="1085" spans="1:15">
      <c r="A1085" s="32" t="s">
        <v>77</v>
      </c>
      <c r="B1085" s="32" t="s">
        <v>44</v>
      </c>
      <c r="C1085" s="33">
        <v>46024</v>
      </c>
      <c r="D1085" s="32">
        <v>945663773</v>
      </c>
      <c r="E1085" s="32">
        <v>507335872</v>
      </c>
      <c r="F1085" s="32" t="s">
        <v>78</v>
      </c>
      <c r="G1085" s="32" t="s">
        <v>46</v>
      </c>
      <c r="H1085" s="32" t="s">
        <v>51</v>
      </c>
      <c r="I1085" s="32">
        <v>41.753999999999998</v>
      </c>
      <c r="J1085" s="32">
        <v>19.951000000000001</v>
      </c>
      <c r="K1085" s="32" t="b">
        <v>1</v>
      </c>
      <c r="L1085" s="32" t="s">
        <v>79</v>
      </c>
      <c r="M1085" s="32" t="s">
        <v>80</v>
      </c>
      <c r="N1085" s="34">
        <v>46184</v>
      </c>
      <c r="O1085" s="35" t="str">
        <f t="shared" si="4"/>
        <v>Nguyễn Hữu Tân</v>
      </c>
    </row>
    <row r="1086" spans="1:15">
      <c r="A1086" s="32" t="s">
        <v>176</v>
      </c>
      <c r="B1086" s="32" t="s">
        <v>44</v>
      </c>
      <c r="C1086" s="33">
        <v>46024</v>
      </c>
      <c r="D1086" s="32">
        <v>949552355</v>
      </c>
      <c r="E1086" s="32">
        <v>412247549</v>
      </c>
      <c r="F1086" s="32" t="s">
        <v>177</v>
      </c>
      <c r="G1086" s="32" t="s">
        <v>46</v>
      </c>
      <c r="H1086" s="32" t="s">
        <v>51</v>
      </c>
      <c r="I1086" s="32">
        <v>109.676</v>
      </c>
      <c r="J1086" s="32">
        <v>37.110999999999997</v>
      </c>
      <c r="K1086" s="32" t="b">
        <v>1</v>
      </c>
      <c r="L1086" s="32" t="s">
        <v>79</v>
      </c>
      <c r="M1086" s="32" t="s">
        <v>48</v>
      </c>
      <c r="N1086" s="32" t="s">
        <v>264</v>
      </c>
      <c r="O1086" s="35" t="str">
        <f t="shared" si="4"/>
        <v>Huỳnh Đức Huy</v>
      </c>
    </row>
    <row r="1087" spans="1:15">
      <c r="A1087" s="32" t="s">
        <v>176</v>
      </c>
      <c r="B1087" s="32" t="s">
        <v>44</v>
      </c>
      <c r="C1087" s="33">
        <v>46024</v>
      </c>
      <c r="D1087" s="32">
        <v>949552355</v>
      </c>
      <c r="E1087" s="32">
        <v>412247549</v>
      </c>
      <c r="F1087" s="32" t="s">
        <v>177</v>
      </c>
      <c r="G1087" s="32" t="s">
        <v>46</v>
      </c>
      <c r="H1087" s="32" t="s">
        <v>51</v>
      </c>
      <c r="I1087" s="32">
        <v>100.991</v>
      </c>
      <c r="J1087" s="32">
        <v>29.77</v>
      </c>
      <c r="K1087" s="32" t="b">
        <v>1</v>
      </c>
      <c r="L1087" s="32" t="s">
        <v>79</v>
      </c>
      <c r="M1087" s="32" t="s">
        <v>48</v>
      </c>
      <c r="N1087" s="34">
        <v>46175</v>
      </c>
      <c r="O1087" s="35" t="str">
        <f t="shared" si="4"/>
        <v>Huỳnh Đức Huy</v>
      </c>
    </row>
    <row r="1088" spans="1:15">
      <c r="A1088" s="32" t="s">
        <v>176</v>
      </c>
      <c r="B1088" s="32" t="s">
        <v>44</v>
      </c>
      <c r="C1088" s="33">
        <v>46024</v>
      </c>
      <c r="D1088" s="32">
        <v>949552355</v>
      </c>
      <c r="E1088" s="32">
        <v>412247549</v>
      </c>
      <c r="F1088" s="32" t="s">
        <v>177</v>
      </c>
      <c r="G1088" s="32" t="s">
        <v>46</v>
      </c>
      <c r="H1088" s="32" t="s">
        <v>51</v>
      </c>
      <c r="I1088" s="32">
        <v>85.817999999999998</v>
      </c>
      <c r="J1088" s="32">
        <v>37.728000000000002</v>
      </c>
      <c r="K1088" s="32" t="b">
        <v>1</v>
      </c>
      <c r="L1088" s="32" t="s">
        <v>79</v>
      </c>
      <c r="M1088" s="32" t="s">
        <v>48</v>
      </c>
      <c r="N1088" s="34">
        <v>46146</v>
      </c>
      <c r="O1088" s="35" t="str">
        <f t="shared" si="4"/>
        <v>Huỳnh Đức Huy</v>
      </c>
    </row>
    <row r="1089" spans="1:15">
      <c r="A1089" s="32" t="s">
        <v>176</v>
      </c>
      <c r="B1089" s="32" t="s">
        <v>44</v>
      </c>
      <c r="C1089" s="33">
        <v>46024</v>
      </c>
      <c r="D1089" s="32">
        <v>949552355</v>
      </c>
      <c r="E1089" s="32">
        <v>412247549</v>
      </c>
      <c r="F1089" s="32" t="s">
        <v>177</v>
      </c>
      <c r="G1089" s="32" t="s">
        <v>46</v>
      </c>
      <c r="H1089" s="32" t="s">
        <v>51</v>
      </c>
      <c r="I1089" s="32">
        <v>110.589</v>
      </c>
      <c r="J1089" s="32">
        <v>41.63</v>
      </c>
      <c r="K1089" s="32" t="b">
        <v>1</v>
      </c>
      <c r="L1089" s="32" t="s">
        <v>79</v>
      </c>
      <c r="M1089" s="32" t="s">
        <v>48</v>
      </c>
      <c r="N1089" s="34">
        <v>46090</v>
      </c>
      <c r="O1089" s="35" t="str">
        <f t="shared" si="4"/>
        <v>Huỳnh Đức Huy</v>
      </c>
    </row>
    <row r="1090" spans="1:15">
      <c r="A1090" s="32" t="s">
        <v>176</v>
      </c>
      <c r="B1090" s="32" t="s">
        <v>44</v>
      </c>
      <c r="C1090" s="33">
        <v>46024</v>
      </c>
      <c r="D1090" s="32">
        <v>949552355</v>
      </c>
      <c r="E1090" s="32">
        <v>412247549</v>
      </c>
      <c r="F1090" s="32" t="s">
        <v>177</v>
      </c>
      <c r="G1090" s="32" t="s">
        <v>46</v>
      </c>
      <c r="H1090" s="32" t="s">
        <v>51</v>
      </c>
      <c r="I1090" s="32">
        <v>83.456000000000003</v>
      </c>
      <c r="J1090" s="32">
        <v>36.442999999999998</v>
      </c>
      <c r="K1090" s="32" t="b">
        <v>1</v>
      </c>
      <c r="L1090" s="32" t="s">
        <v>79</v>
      </c>
      <c r="M1090" s="32" t="s">
        <v>48</v>
      </c>
      <c r="N1090" s="34">
        <v>46146</v>
      </c>
      <c r="O1090" s="35" t="str">
        <f t="shared" si="4"/>
        <v>Huỳnh Đức Huy</v>
      </c>
    </row>
    <row r="1091" spans="1:15">
      <c r="A1091" s="32" t="s">
        <v>176</v>
      </c>
      <c r="B1091" s="32" t="s">
        <v>44</v>
      </c>
      <c r="C1091" s="33">
        <v>46024</v>
      </c>
      <c r="D1091" s="32">
        <v>949552355</v>
      </c>
      <c r="E1091" s="32">
        <v>412247549</v>
      </c>
      <c r="F1091" s="32" t="s">
        <v>177</v>
      </c>
      <c r="G1091" s="32" t="s">
        <v>46</v>
      </c>
      <c r="H1091" s="32" t="s">
        <v>51</v>
      </c>
      <c r="I1091" s="32">
        <v>100.13200000000001</v>
      </c>
      <c r="J1091" s="32">
        <v>34.972000000000001</v>
      </c>
      <c r="K1091" s="32" t="b">
        <v>1</v>
      </c>
      <c r="L1091" s="32" t="s">
        <v>79</v>
      </c>
      <c r="M1091" s="32" t="s">
        <v>48</v>
      </c>
      <c r="N1091" s="34">
        <v>46028</v>
      </c>
      <c r="O1091" s="35" t="str">
        <f t="shared" si="4"/>
        <v>Huỳnh Đức Huy</v>
      </c>
    </row>
    <row r="1092" spans="1:15">
      <c r="A1092" s="32" t="s">
        <v>176</v>
      </c>
      <c r="B1092" s="32" t="s">
        <v>44</v>
      </c>
      <c r="C1092" s="33">
        <v>46024</v>
      </c>
      <c r="D1092" s="32">
        <v>949552355</v>
      </c>
      <c r="E1092" s="32">
        <v>412247549</v>
      </c>
      <c r="F1092" s="32" t="s">
        <v>177</v>
      </c>
      <c r="G1092" s="32" t="s">
        <v>46</v>
      </c>
      <c r="H1092" s="32" t="s">
        <v>51</v>
      </c>
      <c r="I1092" s="32">
        <v>106.208</v>
      </c>
      <c r="J1092" s="32">
        <v>40.773000000000003</v>
      </c>
      <c r="K1092" s="32" t="b">
        <v>1</v>
      </c>
      <c r="L1092" s="32" t="s">
        <v>79</v>
      </c>
      <c r="M1092" s="32" t="s">
        <v>48</v>
      </c>
      <c r="N1092" s="34">
        <v>46180</v>
      </c>
      <c r="O1092" s="35" t="str">
        <f t="shared" si="4"/>
        <v>Huỳnh Đức Huy</v>
      </c>
    </row>
    <row r="1093" spans="1:15">
      <c r="A1093" s="32" t="s">
        <v>176</v>
      </c>
      <c r="B1093" s="32" t="s">
        <v>44</v>
      </c>
      <c r="C1093" s="33">
        <v>46024</v>
      </c>
      <c r="D1093" s="32">
        <v>949552355</v>
      </c>
      <c r="E1093" s="32">
        <v>412247549</v>
      </c>
      <c r="F1093" s="32" t="s">
        <v>177</v>
      </c>
      <c r="G1093" s="32" t="s">
        <v>46</v>
      </c>
      <c r="H1093" s="32" t="s">
        <v>51</v>
      </c>
      <c r="I1093" s="32">
        <v>84.173000000000002</v>
      </c>
      <c r="J1093" s="32">
        <v>38.125999999999998</v>
      </c>
      <c r="K1093" s="32" t="b">
        <v>1</v>
      </c>
      <c r="L1093" s="32" t="s">
        <v>79</v>
      </c>
      <c r="M1093" s="32" t="s">
        <v>48</v>
      </c>
      <c r="N1093" s="32" t="s">
        <v>137</v>
      </c>
      <c r="O1093" s="35" t="str">
        <f t="shared" si="4"/>
        <v>Huỳnh Đức Huy</v>
      </c>
    </row>
    <row r="1094" spans="1:15">
      <c r="A1094" s="32" t="s">
        <v>176</v>
      </c>
      <c r="B1094" s="32" t="s">
        <v>44</v>
      </c>
      <c r="C1094" s="33">
        <v>46024</v>
      </c>
      <c r="D1094" s="32">
        <v>949552355</v>
      </c>
      <c r="E1094" s="32">
        <v>412247549</v>
      </c>
      <c r="F1094" s="32" t="s">
        <v>177</v>
      </c>
      <c r="G1094" s="32" t="s">
        <v>46</v>
      </c>
      <c r="H1094" s="32" t="s">
        <v>51</v>
      </c>
      <c r="I1094" s="32">
        <v>99.671999999999997</v>
      </c>
      <c r="J1094" s="32">
        <v>36.729999999999997</v>
      </c>
      <c r="K1094" s="32" t="b">
        <v>1</v>
      </c>
      <c r="L1094" s="32" t="s">
        <v>79</v>
      </c>
      <c r="M1094" s="32" t="s">
        <v>48</v>
      </c>
      <c r="N1094" s="34">
        <v>46084</v>
      </c>
      <c r="O1094" s="35" t="str">
        <f t="shared" si="4"/>
        <v>Huỳnh Đức Huy</v>
      </c>
    </row>
    <row r="1095" spans="1:15">
      <c r="A1095" s="32" t="s">
        <v>176</v>
      </c>
      <c r="B1095" s="32" t="s">
        <v>44</v>
      </c>
      <c r="C1095" s="33">
        <v>46024</v>
      </c>
      <c r="D1095" s="32">
        <v>949552355</v>
      </c>
      <c r="E1095" s="32">
        <v>412247549</v>
      </c>
      <c r="F1095" s="32" t="s">
        <v>177</v>
      </c>
      <c r="G1095" s="32" t="s">
        <v>46</v>
      </c>
      <c r="H1095" s="32" t="s">
        <v>51</v>
      </c>
      <c r="I1095" s="32">
        <v>60.793999999999997</v>
      </c>
      <c r="J1095" s="32">
        <v>20.548999999999999</v>
      </c>
      <c r="K1095" s="32" t="b">
        <v>1</v>
      </c>
      <c r="L1095" s="32" t="s">
        <v>79</v>
      </c>
      <c r="M1095" s="32" t="s">
        <v>48</v>
      </c>
      <c r="N1095" s="34">
        <v>46271</v>
      </c>
      <c r="O1095" s="35" t="str">
        <f t="shared" si="4"/>
        <v>Huỳnh Đức Huy</v>
      </c>
    </row>
    <row r="1096" spans="1:15">
      <c r="A1096" s="32" t="s">
        <v>176</v>
      </c>
      <c r="B1096" s="32" t="s">
        <v>44</v>
      </c>
      <c r="C1096" s="33">
        <v>46024</v>
      </c>
      <c r="D1096" s="32">
        <v>949552355</v>
      </c>
      <c r="E1096" s="32">
        <v>412247549</v>
      </c>
      <c r="F1096" s="32" t="s">
        <v>177</v>
      </c>
      <c r="G1096" s="32" t="s">
        <v>46</v>
      </c>
      <c r="H1096" s="32" t="s">
        <v>51</v>
      </c>
      <c r="I1096" s="32">
        <v>59.648000000000003</v>
      </c>
      <c r="J1096" s="32">
        <v>19.771000000000001</v>
      </c>
      <c r="K1096" s="32" t="b">
        <v>1</v>
      </c>
      <c r="L1096" s="32" t="s">
        <v>79</v>
      </c>
      <c r="M1096" s="32" t="s">
        <v>48</v>
      </c>
      <c r="N1096" s="34">
        <v>46092</v>
      </c>
      <c r="O1096" s="35" t="str">
        <f t="shared" si="4"/>
        <v>Huỳnh Đức Huy</v>
      </c>
    </row>
    <row r="1097" spans="1:15">
      <c r="A1097" s="32" t="s">
        <v>143</v>
      </c>
      <c r="B1097" s="32" t="s">
        <v>44</v>
      </c>
      <c r="C1097" s="33">
        <v>46024</v>
      </c>
      <c r="D1097" s="32">
        <v>915907377</v>
      </c>
      <c r="E1097" s="32">
        <v>243492200</v>
      </c>
      <c r="F1097" s="32" t="s">
        <v>144</v>
      </c>
      <c r="G1097" s="32" t="s">
        <v>46</v>
      </c>
      <c r="H1097" s="32" t="s">
        <v>51</v>
      </c>
      <c r="I1097" s="32">
        <v>19.175000000000001</v>
      </c>
      <c r="J1097" s="32">
        <v>33.856000000000002</v>
      </c>
      <c r="K1097" s="32" t="b">
        <v>1</v>
      </c>
      <c r="L1097" s="32" t="s">
        <v>63</v>
      </c>
      <c r="M1097" s="32" t="s">
        <v>63</v>
      </c>
      <c r="N1097" s="34">
        <v>46115</v>
      </c>
      <c r="O1097" s="35" t="str">
        <f t="shared" si="4"/>
        <v>Phạm Tiến Dũng</v>
      </c>
    </row>
    <row r="1098" spans="1:15">
      <c r="A1098" s="32" t="s">
        <v>143</v>
      </c>
      <c r="B1098" s="32" t="s">
        <v>44</v>
      </c>
      <c r="C1098" s="33">
        <v>46024</v>
      </c>
      <c r="D1098" s="32">
        <v>915907377</v>
      </c>
      <c r="E1098" s="32">
        <v>243492200</v>
      </c>
      <c r="F1098" s="32" t="s">
        <v>144</v>
      </c>
      <c r="G1098" s="32" t="s">
        <v>46</v>
      </c>
      <c r="H1098" s="32" t="s">
        <v>51</v>
      </c>
      <c r="I1098" s="32">
        <v>19.175000000000001</v>
      </c>
      <c r="J1098" s="32">
        <v>33.856000000000002</v>
      </c>
      <c r="K1098" s="32" t="b">
        <v>1</v>
      </c>
      <c r="L1098" s="32" t="s">
        <v>63</v>
      </c>
      <c r="M1098" s="32" t="s">
        <v>63</v>
      </c>
      <c r="N1098" s="34">
        <v>46115</v>
      </c>
      <c r="O1098" s="35" t="str">
        <f t="shared" si="4"/>
        <v>Phạm Tiến Dũng</v>
      </c>
    </row>
    <row r="1099" spans="1:15">
      <c r="A1099" s="32" t="s">
        <v>56</v>
      </c>
      <c r="B1099" s="32" t="s">
        <v>44</v>
      </c>
      <c r="C1099" s="33">
        <v>46024</v>
      </c>
      <c r="D1099" s="32">
        <v>918606989</v>
      </c>
      <c r="E1099" s="32">
        <v>438163315</v>
      </c>
      <c r="F1099" s="32" t="s">
        <v>57</v>
      </c>
      <c r="G1099" s="32" t="s">
        <v>46</v>
      </c>
      <c r="H1099" s="32" t="s">
        <v>51</v>
      </c>
      <c r="I1099" s="32">
        <v>646.029</v>
      </c>
      <c r="J1099" s="32">
        <v>79.421999999999997</v>
      </c>
      <c r="K1099" s="32" t="b">
        <v>1</v>
      </c>
      <c r="L1099" s="32" t="s">
        <v>47</v>
      </c>
      <c r="M1099" s="32" t="s">
        <v>48</v>
      </c>
      <c r="N1099" s="32" t="s">
        <v>265</v>
      </c>
      <c r="O1099" s="35" t="str">
        <f t="shared" si="4"/>
        <v>Đinh Phú Trung</v>
      </c>
    </row>
    <row r="1100" spans="1:15">
      <c r="A1100" s="32" t="s">
        <v>56</v>
      </c>
      <c r="B1100" s="32" t="s">
        <v>44</v>
      </c>
      <c r="C1100" s="33">
        <v>46024</v>
      </c>
      <c r="D1100" s="32">
        <v>918606989</v>
      </c>
      <c r="E1100" s="32">
        <v>438163315</v>
      </c>
      <c r="F1100" s="32" t="s">
        <v>57</v>
      </c>
      <c r="G1100" s="32" t="s">
        <v>46</v>
      </c>
      <c r="H1100" s="32" t="s">
        <v>51</v>
      </c>
      <c r="I1100" s="32">
        <v>646.029</v>
      </c>
      <c r="J1100" s="32">
        <v>79.421999999999997</v>
      </c>
      <c r="K1100" s="32" t="b">
        <v>1</v>
      </c>
      <c r="L1100" s="32" t="s">
        <v>47</v>
      </c>
      <c r="M1100" s="32" t="s">
        <v>48</v>
      </c>
      <c r="N1100" s="32" t="s">
        <v>265</v>
      </c>
      <c r="O1100" s="35" t="str">
        <f t="shared" si="4"/>
        <v>Đinh Phú Trung</v>
      </c>
    </row>
    <row r="1101" spans="1:15">
      <c r="A1101" s="32" t="s">
        <v>235</v>
      </c>
      <c r="B1101" s="32" t="s">
        <v>44</v>
      </c>
      <c r="C1101" s="33">
        <v>46024</v>
      </c>
      <c r="D1101" s="32">
        <v>912223973</v>
      </c>
      <c r="E1101" s="32">
        <v>427392630</v>
      </c>
      <c r="F1101" s="32" t="s">
        <v>95</v>
      </c>
      <c r="G1101" s="32" t="s">
        <v>46</v>
      </c>
      <c r="H1101" s="32" t="s">
        <v>51</v>
      </c>
      <c r="I1101" s="32">
        <v>56.866999999999997</v>
      </c>
      <c r="J1101" s="32">
        <v>34.921999999999997</v>
      </c>
      <c r="K1101" s="32" t="b">
        <v>1</v>
      </c>
      <c r="L1101" s="32" t="s">
        <v>47</v>
      </c>
      <c r="M1101" s="32" t="s">
        <v>48</v>
      </c>
      <c r="N1101" s="34">
        <v>46207</v>
      </c>
      <c r="O1101" s="35" t="str">
        <f t="shared" si="4"/>
        <v>Lại Quang Vinh</v>
      </c>
    </row>
    <row r="1102" spans="1:15">
      <c r="A1102" s="32" t="s">
        <v>235</v>
      </c>
      <c r="B1102" s="32" t="s">
        <v>44</v>
      </c>
      <c r="C1102" s="33">
        <v>46024</v>
      </c>
      <c r="D1102" s="32">
        <v>912223973</v>
      </c>
      <c r="E1102" s="32">
        <v>427392630</v>
      </c>
      <c r="F1102" s="32" t="s">
        <v>95</v>
      </c>
      <c r="G1102" s="32" t="s">
        <v>46</v>
      </c>
      <c r="H1102" s="32" t="s">
        <v>51</v>
      </c>
      <c r="I1102" s="32">
        <v>695.80899999999997</v>
      </c>
      <c r="J1102" s="32">
        <v>121.533</v>
      </c>
      <c r="K1102" s="32" t="b">
        <v>1</v>
      </c>
      <c r="L1102" s="32" t="s">
        <v>47</v>
      </c>
      <c r="M1102" s="32" t="s">
        <v>48</v>
      </c>
      <c r="N1102" s="34">
        <v>46182</v>
      </c>
      <c r="O1102" s="35" t="str">
        <f t="shared" si="4"/>
        <v>Lại Quang Vinh</v>
      </c>
    </row>
    <row r="1103" spans="1:15">
      <c r="A1103" s="32" t="s">
        <v>235</v>
      </c>
      <c r="B1103" s="32" t="s">
        <v>44</v>
      </c>
      <c r="C1103" s="33">
        <v>46024</v>
      </c>
      <c r="D1103" s="32">
        <v>912223973</v>
      </c>
      <c r="E1103" s="32">
        <v>427392630</v>
      </c>
      <c r="F1103" s="32" t="s">
        <v>95</v>
      </c>
      <c r="G1103" s="32" t="s">
        <v>46</v>
      </c>
      <c r="H1103" s="32" t="s">
        <v>51</v>
      </c>
      <c r="I1103" s="32">
        <v>704.221</v>
      </c>
      <c r="J1103" s="32">
        <v>117.471</v>
      </c>
      <c r="K1103" s="32" t="b">
        <v>1</v>
      </c>
      <c r="L1103" s="32" t="s">
        <v>47</v>
      </c>
      <c r="M1103" s="32" t="s">
        <v>48</v>
      </c>
      <c r="N1103" s="34">
        <v>46276</v>
      </c>
      <c r="O1103" s="35" t="str">
        <f t="shared" si="4"/>
        <v>Lại Quang Vinh</v>
      </c>
    </row>
    <row r="1104" spans="1:15">
      <c r="A1104" s="32" t="s">
        <v>179</v>
      </c>
      <c r="B1104" s="32" t="s">
        <v>44</v>
      </c>
      <c r="C1104" s="33">
        <v>46024</v>
      </c>
      <c r="D1104" s="32">
        <v>946432493</v>
      </c>
      <c r="E1104" s="32">
        <v>497769619</v>
      </c>
      <c r="F1104" s="32" t="s">
        <v>180</v>
      </c>
      <c r="G1104" s="32" t="s">
        <v>46</v>
      </c>
      <c r="H1104" s="32" t="s">
        <v>18</v>
      </c>
      <c r="I1104" s="32">
        <v>764.39700000000005</v>
      </c>
      <c r="J1104" s="32">
        <v>68.472999999999999</v>
      </c>
      <c r="K1104" s="32" t="b">
        <v>1</v>
      </c>
      <c r="L1104" s="32" t="s">
        <v>47</v>
      </c>
      <c r="M1104" s="32" t="s">
        <v>48</v>
      </c>
      <c r="N1104" s="34">
        <v>46274</v>
      </c>
      <c r="O1104" s="35" t="str">
        <f t="shared" si="4"/>
        <v>Trần Quốc Đạt</v>
      </c>
    </row>
    <row r="1105" spans="1:15">
      <c r="A1105" s="32" t="s">
        <v>179</v>
      </c>
      <c r="B1105" s="32" t="s">
        <v>44</v>
      </c>
      <c r="C1105" s="33">
        <v>46024</v>
      </c>
      <c r="D1105" s="32">
        <v>946432493</v>
      </c>
      <c r="E1105" s="32">
        <v>497769619</v>
      </c>
      <c r="F1105" s="32" t="s">
        <v>180</v>
      </c>
      <c r="G1105" s="32" t="s">
        <v>46</v>
      </c>
      <c r="H1105" s="32" t="s">
        <v>18</v>
      </c>
      <c r="I1105" s="32">
        <v>696.22199999999998</v>
      </c>
      <c r="J1105" s="32">
        <v>63.195</v>
      </c>
      <c r="K1105" s="32" t="b">
        <v>1</v>
      </c>
      <c r="L1105" s="32" t="s">
        <v>47</v>
      </c>
      <c r="M1105" s="32" t="s">
        <v>48</v>
      </c>
      <c r="N1105" s="34">
        <v>46087</v>
      </c>
      <c r="O1105" s="35" t="str">
        <f t="shared" si="4"/>
        <v>Trần Quốc Đạt</v>
      </c>
    </row>
    <row r="1106" spans="1:15">
      <c r="A1106" s="32" t="s">
        <v>179</v>
      </c>
      <c r="B1106" s="32" t="s">
        <v>44</v>
      </c>
      <c r="C1106" s="33">
        <v>46024</v>
      </c>
      <c r="D1106" s="32">
        <v>946432493</v>
      </c>
      <c r="E1106" s="32">
        <v>497769619</v>
      </c>
      <c r="F1106" s="32" t="s">
        <v>180</v>
      </c>
      <c r="G1106" s="32" t="s">
        <v>46</v>
      </c>
      <c r="H1106" s="32" t="s">
        <v>18</v>
      </c>
      <c r="I1106" s="32">
        <v>704.28499999999997</v>
      </c>
      <c r="J1106" s="32">
        <v>65.311999999999998</v>
      </c>
      <c r="K1106" s="32" t="b">
        <v>1</v>
      </c>
      <c r="L1106" s="32" t="s">
        <v>47</v>
      </c>
      <c r="M1106" s="32" t="s">
        <v>48</v>
      </c>
      <c r="N1106" s="34">
        <v>46084</v>
      </c>
      <c r="O1106" s="35" t="str">
        <f t="shared" si="4"/>
        <v>Trần Quốc Đạt</v>
      </c>
    </row>
    <row r="1107" spans="1:15">
      <c r="A1107" s="32" t="s">
        <v>235</v>
      </c>
      <c r="B1107" s="32" t="s">
        <v>44</v>
      </c>
      <c r="C1107" s="33">
        <v>46024</v>
      </c>
      <c r="D1107" s="32">
        <v>912223973</v>
      </c>
      <c r="E1107" s="32">
        <v>427392630</v>
      </c>
      <c r="F1107" s="32" t="s">
        <v>95</v>
      </c>
      <c r="G1107" s="32" t="s">
        <v>46</v>
      </c>
      <c r="H1107" s="32" t="s">
        <v>51</v>
      </c>
      <c r="I1107" s="32">
        <v>96.343999999999994</v>
      </c>
      <c r="J1107" s="32">
        <v>29.81</v>
      </c>
      <c r="K1107" s="32" t="b">
        <v>1</v>
      </c>
      <c r="L1107" s="32" t="s">
        <v>47</v>
      </c>
      <c r="M1107" s="32" t="s">
        <v>48</v>
      </c>
      <c r="N1107" s="34">
        <v>46177</v>
      </c>
      <c r="O1107" s="35" t="str">
        <f t="shared" si="4"/>
        <v>Lại Quang Vinh</v>
      </c>
    </row>
    <row r="1108" spans="1:15">
      <c r="A1108" s="32" t="s">
        <v>235</v>
      </c>
      <c r="B1108" s="32" t="s">
        <v>44</v>
      </c>
      <c r="C1108" s="33">
        <v>46024</v>
      </c>
      <c r="D1108" s="32">
        <v>912223973</v>
      </c>
      <c r="E1108" s="32">
        <v>427392630</v>
      </c>
      <c r="F1108" s="32" t="s">
        <v>95</v>
      </c>
      <c r="G1108" s="32" t="s">
        <v>46</v>
      </c>
      <c r="H1108" s="32" t="s">
        <v>51</v>
      </c>
      <c r="I1108" s="32">
        <v>101.42400000000001</v>
      </c>
      <c r="J1108" s="32">
        <v>25.917999999999999</v>
      </c>
      <c r="K1108" s="32" t="b">
        <v>1</v>
      </c>
      <c r="L1108" s="32" t="s">
        <v>47</v>
      </c>
      <c r="M1108" s="32" t="s">
        <v>48</v>
      </c>
      <c r="N1108" s="32" t="s">
        <v>123</v>
      </c>
      <c r="O1108" s="35" t="str">
        <f t="shared" si="4"/>
        <v>Lại Quang Vinh</v>
      </c>
    </row>
    <row r="1109" spans="1:15">
      <c r="A1109" s="32" t="s">
        <v>179</v>
      </c>
      <c r="B1109" s="32" t="s">
        <v>44</v>
      </c>
      <c r="C1109" s="33">
        <v>46024</v>
      </c>
      <c r="D1109" s="32">
        <v>946432493</v>
      </c>
      <c r="E1109" s="32">
        <v>497769619</v>
      </c>
      <c r="F1109" s="32" t="s">
        <v>180</v>
      </c>
      <c r="G1109" s="32" t="s">
        <v>46</v>
      </c>
      <c r="H1109" s="32" t="s">
        <v>18</v>
      </c>
      <c r="I1109" s="32">
        <v>482.74599999999998</v>
      </c>
      <c r="J1109" s="32">
        <v>28.83</v>
      </c>
      <c r="K1109" s="32" t="b">
        <v>1</v>
      </c>
      <c r="L1109" s="32" t="s">
        <v>47</v>
      </c>
      <c r="M1109" s="32" t="s">
        <v>48</v>
      </c>
      <c r="N1109" s="32" t="s">
        <v>137</v>
      </c>
      <c r="O1109" s="35" t="str">
        <f t="shared" si="4"/>
        <v>Trần Quốc Đạt</v>
      </c>
    </row>
    <row r="1110" spans="1:15">
      <c r="A1110" s="32" t="s">
        <v>179</v>
      </c>
      <c r="B1110" s="32" t="s">
        <v>44</v>
      </c>
      <c r="C1110" s="33">
        <v>46024</v>
      </c>
      <c r="D1110" s="32">
        <v>946432493</v>
      </c>
      <c r="E1110" s="32">
        <v>497769619</v>
      </c>
      <c r="F1110" s="32" t="s">
        <v>180</v>
      </c>
      <c r="G1110" s="32" t="s">
        <v>46</v>
      </c>
      <c r="H1110" s="32" t="s">
        <v>18</v>
      </c>
      <c r="I1110" s="32">
        <v>763.64599999999996</v>
      </c>
      <c r="J1110" s="32">
        <v>33.152000000000001</v>
      </c>
      <c r="K1110" s="32" t="b">
        <v>1</v>
      </c>
      <c r="L1110" s="32" t="s">
        <v>47</v>
      </c>
      <c r="M1110" s="32" t="s">
        <v>48</v>
      </c>
      <c r="N1110" s="34">
        <v>46270</v>
      </c>
      <c r="O1110" s="35" t="str">
        <f t="shared" si="4"/>
        <v>Trần Quốc Đạt</v>
      </c>
    </row>
    <row r="1111" spans="1:15">
      <c r="A1111" s="32" t="s">
        <v>231</v>
      </c>
      <c r="B1111" s="32" t="s">
        <v>44</v>
      </c>
      <c r="C1111" s="33">
        <v>46024</v>
      </c>
      <c r="D1111" s="32">
        <v>812456561</v>
      </c>
      <c r="E1111" s="32">
        <v>478598648</v>
      </c>
      <c r="F1111" s="32" t="s">
        <v>232</v>
      </c>
      <c r="G1111" s="32" t="s">
        <v>46</v>
      </c>
      <c r="H1111" s="32" t="s">
        <v>18</v>
      </c>
      <c r="I1111" s="32">
        <v>554.452</v>
      </c>
      <c r="J1111" s="32">
        <v>44.701999999999998</v>
      </c>
      <c r="K1111" s="32" t="b">
        <v>1</v>
      </c>
      <c r="L1111" s="32" t="s">
        <v>47</v>
      </c>
      <c r="M1111" s="32" t="s">
        <v>48</v>
      </c>
      <c r="N1111" s="34">
        <v>46035</v>
      </c>
      <c r="O1111" s="35" t="str">
        <f t="shared" si="4"/>
        <v>Nguyễn Văn Minh</v>
      </c>
    </row>
    <row r="1112" spans="1:15">
      <c r="A1112" s="32" t="s">
        <v>179</v>
      </c>
      <c r="B1112" s="32" t="s">
        <v>44</v>
      </c>
      <c r="C1112" s="33">
        <v>46024</v>
      </c>
      <c r="D1112" s="32">
        <v>946432493</v>
      </c>
      <c r="E1112" s="32">
        <v>497769619</v>
      </c>
      <c r="F1112" s="32" t="s">
        <v>180</v>
      </c>
      <c r="G1112" s="32" t="s">
        <v>46</v>
      </c>
      <c r="H1112" s="32" t="s">
        <v>18</v>
      </c>
      <c r="I1112" s="32">
        <v>750.30100000000004</v>
      </c>
      <c r="J1112" s="32">
        <v>33.527999999999999</v>
      </c>
      <c r="K1112" s="32" t="b">
        <v>1</v>
      </c>
      <c r="L1112" s="32" t="s">
        <v>47</v>
      </c>
      <c r="M1112" s="32" t="s">
        <v>48</v>
      </c>
      <c r="N1112" s="34">
        <v>46205</v>
      </c>
      <c r="O1112" s="35" t="str">
        <f t="shared" si="4"/>
        <v>Trần Quốc Đạt</v>
      </c>
    </row>
    <row r="1113" spans="1:15">
      <c r="A1113" s="32" t="s">
        <v>179</v>
      </c>
      <c r="B1113" s="32" t="s">
        <v>44</v>
      </c>
      <c r="C1113" s="33">
        <v>46024</v>
      </c>
      <c r="D1113" s="32">
        <v>946432493</v>
      </c>
      <c r="E1113" s="32">
        <v>497769619</v>
      </c>
      <c r="F1113" s="32" t="s">
        <v>180</v>
      </c>
      <c r="G1113" s="32" t="s">
        <v>46</v>
      </c>
      <c r="H1113" s="32" t="s">
        <v>18</v>
      </c>
      <c r="I1113" s="32">
        <v>741.58100000000002</v>
      </c>
      <c r="J1113" s="32">
        <v>43.11</v>
      </c>
      <c r="K1113" s="32" t="b">
        <v>1</v>
      </c>
      <c r="L1113" s="32" t="s">
        <v>47</v>
      </c>
      <c r="M1113" s="32" t="s">
        <v>48</v>
      </c>
      <c r="N1113" s="34">
        <v>46240</v>
      </c>
      <c r="O1113" s="35" t="str">
        <f t="shared" si="4"/>
        <v>Trần Quốc Đạt</v>
      </c>
    </row>
    <row r="1114" spans="1:15">
      <c r="A1114" s="32" t="s">
        <v>179</v>
      </c>
      <c r="B1114" s="32" t="s">
        <v>44</v>
      </c>
      <c r="C1114" s="33">
        <v>46024</v>
      </c>
      <c r="D1114" s="32">
        <v>946432493</v>
      </c>
      <c r="E1114" s="32">
        <v>497769619</v>
      </c>
      <c r="F1114" s="32" t="s">
        <v>180</v>
      </c>
      <c r="G1114" s="32" t="s">
        <v>46</v>
      </c>
      <c r="H1114" s="32" t="s">
        <v>18</v>
      </c>
      <c r="I1114" s="32">
        <v>796.77099999999996</v>
      </c>
      <c r="J1114" s="32">
        <v>59.576000000000001</v>
      </c>
      <c r="K1114" s="32" t="b">
        <v>1</v>
      </c>
      <c r="L1114" s="32" t="s">
        <v>47</v>
      </c>
      <c r="M1114" s="32" t="s">
        <v>48</v>
      </c>
      <c r="N1114" s="34">
        <v>46029</v>
      </c>
      <c r="O1114" s="35" t="str">
        <f t="shared" si="4"/>
        <v>Trần Quốc Đạt</v>
      </c>
    </row>
    <row r="1115" spans="1:15">
      <c r="A1115" s="32" t="s">
        <v>179</v>
      </c>
      <c r="B1115" s="32" t="s">
        <v>44</v>
      </c>
      <c r="C1115" s="33">
        <v>46024</v>
      </c>
      <c r="D1115" s="32">
        <v>946432493</v>
      </c>
      <c r="E1115" s="32">
        <v>497769619</v>
      </c>
      <c r="F1115" s="32" t="s">
        <v>180</v>
      </c>
      <c r="G1115" s="32" t="s">
        <v>46</v>
      </c>
      <c r="H1115" s="32" t="s">
        <v>18</v>
      </c>
      <c r="I1115" s="32">
        <v>418.64400000000001</v>
      </c>
      <c r="J1115" s="32">
        <v>53.743000000000002</v>
      </c>
      <c r="K1115" s="32" t="b">
        <v>1</v>
      </c>
      <c r="L1115" s="32" t="s">
        <v>47</v>
      </c>
      <c r="M1115" s="32" t="s">
        <v>48</v>
      </c>
      <c r="N1115" s="34">
        <v>46279</v>
      </c>
      <c r="O1115" s="35" t="str">
        <f t="shared" si="4"/>
        <v>Trần Quốc Đạt</v>
      </c>
    </row>
    <row r="1116" spans="1:15">
      <c r="A1116" s="32" t="s">
        <v>235</v>
      </c>
      <c r="B1116" s="32" t="s">
        <v>44</v>
      </c>
      <c r="C1116" s="33">
        <v>46024</v>
      </c>
      <c r="D1116" s="32">
        <v>912223973</v>
      </c>
      <c r="E1116" s="32">
        <v>427392630</v>
      </c>
      <c r="F1116" s="32" t="s">
        <v>95</v>
      </c>
      <c r="G1116" s="32" t="s">
        <v>46</v>
      </c>
      <c r="H1116" s="32" t="s">
        <v>51</v>
      </c>
      <c r="I1116" s="32">
        <v>86.058000000000007</v>
      </c>
      <c r="J1116" s="32">
        <v>28.231999999999999</v>
      </c>
      <c r="K1116" s="32" t="b">
        <v>1</v>
      </c>
      <c r="L1116" s="32" t="s">
        <v>47</v>
      </c>
      <c r="M1116" s="32" t="s">
        <v>48</v>
      </c>
      <c r="N1116" s="32" t="s">
        <v>158</v>
      </c>
      <c r="O1116" s="35" t="str">
        <f t="shared" si="4"/>
        <v>Lại Quang Vinh</v>
      </c>
    </row>
    <row r="1117" spans="1:15">
      <c r="A1117" s="32" t="s">
        <v>235</v>
      </c>
      <c r="B1117" s="32" t="s">
        <v>44</v>
      </c>
      <c r="C1117" s="33">
        <v>46024</v>
      </c>
      <c r="D1117" s="32">
        <v>912223973</v>
      </c>
      <c r="E1117" s="32">
        <v>427392630</v>
      </c>
      <c r="F1117" s="32" t="s">
        <v>95</v>
      </c>
      <c r="G1117" s="32" t="s">
        <v>46</v>
      </c>
      <c r="H1117" s="32" t="s">
        <v>51</v>
      </c>
      <c r="I1117" s="32">
        <v>81.819000000000003</v>
      </c>
      <c r="J1117" s="32">
        <v>25.613</v>
      </c>
      <c r="K1117" s="32" t="b">
        <v>1</v>
      </c>
      <c r="L1117" s="32" t="s">
        <v>47</v>
      </c>
      <c r="M1117" s="32" t="s">
        <v>48</v>
      </c>
      <c r="N1117" s="32" t="s">
        <v>105</v>
      </c>
      <c r="O1117" s="35" t="str">
        <f t="shared" si="4"/>
        <v>Lại Quang Vinh</v>
      </c>
    </row>
    <row r="1118" spans="1:15">
      <c r="A1118" s="32" t="s">
        <v>91</v>
      </c>
      <c r="B1118" s="32" t="s">
        <v>44</v>
      </c>
      <c r="C1118" s="33">
        <v>46024</v>
      </c>
      <c r="D1118" s="32">
        <v>917714086</v>
      </c>
      <c r="E1118" s="32">
        <v>514807788</v>
      </c>
      <c r="F1118" s="32" t="s">
        <v>92</v>
      </c>
      <c r="G1118" s="32" t="s">
        <v>46</v>
      </c>
      <c r="H1118" s="32" t="s">
        <v>51</v>
      </c>
      <c r="I1118" s="32">
        <v>94.5</v>
      </c>
      <c r="J1118" s="32">
        <v>16.067</v>
      </c>
      <c r="K1118" s="32" t="b">
        <v>1</v>
      </c>
      <c r="L1118" s="32" t="s">
        <v>79</v>
      </c>
      <c r="M1118" s="32" t="s">
        <v>48</v>
      </c>
      <c r="N1118" s="34">
        <v>46239</v>
      </c>
      <c r="O1118" s="35" t="str">
        <f t="shared" si="4"/>
        <v>Lê Hoàng Vinh</v>
      </c>
    </row>
    <row r="1119" spans="1:15">
      <c r="A1119" s="32" t="s">
        <v>119</v>
      </c>
      <c r="B1119" s="32" t="s">
        <v>44</v>
      </c>
      <c r="C1119" s="33">
        <v>46024</v>
      </c>
      <c r="D1119" s="32">
        <v>945562692</v>
      </c>
      <c r="E1119" s="32">
        <v>489225750</v>
      </c>
      <c r="F1119" s="32" t="s">
        <v>71</v>
      </c>
      <c r="G1119" s="32" t="s">
        <v>46</v>
      </c>
      <c r="H1119" s="32" t="s">
        <v>51</v>
      </c>
      <c r="I1119" s="32">
        <v>94.793999999999997</v>
      </c>
      <c r="J1119" s="32">
        <v>42.189</v>
      </c>
      <c r="K1119" s="32" t="b">
        <v>1</v>
      </c>
      <c r="L1119" s="32" t="s">
        <v>47</v>
      </c>
      <c r="M1119" s="32" t="s">
        <v>48</v>
      </c>
      <c r="N1119" s="34">
        <v>46268</v>
      </c>
      <c r="O1119" s="35" t="str">
        <f t="shared" si="4"/>
        <v>Nguyễn Thanh Hùng</v>
      </c>
    </row>
    <row r="1120" spans="1:15">
      <c r="A1120" s="32" t="s">
        <v>119</v>
      </c>
      <c r="B1120" s="32" t="s">
        <v>44</v>
      </c>
      <c r="C1120" s="33">
        <v>46024</v>
      </c>
      <c r="D1120" s="32">
        <v>945562692</v>
      </c>
      <c r="E1120" s="32">
        <v>489225750</v>
      </c>
      <c r="F1120" s="32" t="s">
        <v>71</v>
      </c>
      <c r="G1120" s="32" t="s">
        <v>46</v>
      </c>
      <c r="H1120" s="32" t="s">
        <v>51</v>
      </c>
      <c r="I1120" s="32">
        <v>69.894999999999996</v>
      </c>
      <c r="J1120" s="32">
        <v>37.951000000000001</v>
      </c>
      <c r="K1120" s="32" t="b">
        <v>1</v>
      </c>
      <c r="L1120" s="32" t="s">
        <v>47</v>
      </c>
      <c r="M1120" s="32" t="s">
        <v>48</v>
      </c>
      <c r="N1120" s="34">
        <v>46028</v>
      </c>
      <c r="O1120" s="35" t="str">
        <f t="shared" si="4"/>
        <v>Nguyễn Thanh Hùng</v>
      </c>
    </row>
    <row r="1121" spans="1:15">
      <c r="A1121" s="32" t="s">
        <v>119</v>
      </c>
      <c r="B1121" s="32" t="s">
        <v>44</v>
      </c>
      <c r="C1121" s="33">
        <v>46024</v>
      </c>
      <c r="D1121" s="32">
        <v>945562692</v>
      </c>
      <c r="E1121" s="32">
        <v>489225750</v>
      </c>
      <c r="F1121" s="32" t="s">
        <v>71</v>
      </c>
      <c r="G1121" s="32" t="s">
        <v>46</v>
      </c>
      <c r="H1121" s="32" t="s">
        <v>51</v>
      </c>
      <c r="I1121" s="32">
        <v>112.13500000000001</v>
      </c>
      <c r="J1121" s="32">
        <v>39.851999999999997</v>
      </c>
      <c r="K1121" s="32" t="b">
        <v>1</v>
      </c>
      <c r="L1121" s="32" t="s">
        <v>47</v>
      </c>
      <c r="M1121" s="32" t="s">
        <v>48</v>
      </c>
      <c r="N1121" s="34">
        <v>46205</v>
      </c>
      <c r="O1121" s="35" t="str">
        <f t="shared" si="4"/>
        <v>Nguyễn Thanh Hùng</v>
      </c>
    </row>
    <row r="1122" spans="1:15">
      <c r="A1122" s="32" t="s">
        <v>138</v>
      </c>
      <c r="B1122" s="32" t="s">
        <v>44</v>
      </c>
      <c r="C1122" s="33">
        <v>46024</v>
      </c>
      <c r="D1122" s="32">
        <v>914403881</v>
      </c>
      <c r="E1122" s="32">
        <v>407766951</v>
      </c>
      <c r="F1122" s="32" t="s">
        <v>139</v>
      </c>
      <c r="G1122" s="32" t="s">
        <v>46</v>
      </c>
      <c r="H1122" s="32" t="s">
        <v>58</v>
      </c>
      <c r="I1122" s="32">
        <v>55.895000000000003</v>
      </c>
      <c r="J1122" s="32">
        <v>54.484999999999999</v>
      </c>
      <c r="K1122" s="32" t="b">
        <v>1</v>
      </c>
      <c r="L1122" s="32" t="s">
        <v>63</v>
      </c>
      <c r="M1122" s="32" t="s">
        <v>48</v>
      </c>
      <c r="N1122" s="34">
        <v>46268</v>
      </c>
      <c r="O1122" s="35" t="str">
        <f t="shared" si="4"/>
        <v>Trần Xuân Toại</v>
      </c>
    </row>
    <row r="1123" spans="1:15">
      <c r="A1123" s="32" t="s">
        <v>138</v>
      </c>
      <c r="B1123" s="32" t="s">
        <v>44</v>
      </c>
      <c r="C1123" s="33">
        <v>46024</v>
      </c>
      <c r="D1123" s="32">
        <v>914403881</v>
      </c>
      <c r="E1123" s="32">
        <v>407766951</v>
      </c>
      <c r="F1123" s="32" t="s">
        <v>139</v>
      </c>
      <c r="G1123" s="32" t="s">
        <v>46</v>
      </c>
      <c r="H1123" s="32" t="s">
        <v>58</v>
      </c>
      <c r="I1123" s="32">
        <v>55.895000000000003</v>
      </c>
      <c r="J1123" s="32">
        <v>54.484999999999999</v>
      </c>
      <c r="K1123" s="32" t="b">
        <v>1</v>
      </c>
      <c r="L1123" s="32" t="s">
        <v>63</v>
      </c>
      <c r="M1123" s="32" t="s">
        <v>48</v>
      </c>
      <c r="N1123" s="34">
        <v>46268</v>
      </c>
      <c r="O1123" s="35" t="str">
        <f t="shared" si="4"/>
        <v>Trần Xuân Toại</v>
      </c>
    </row>
    <row r="1124" spans="1:15">
      <c r="A1124" s="32" t="s">
        <v>70</v>
      </c>
      <c r="B1124" s="32" t="s">
        <v>44</v>
      </c>
      <c r="C1124" s="33">
        <v>46024</v>
      </c>
      <c r="D1124" s="32">
        <v>913352939</v>
      </c>
      <c r="E1124" s="32">
        <v>511935418</v>
      </c>
      <c r="F1124" s="32" t="s">
        <v>71</v>
      </c>
      <c r="G1124" s="32" t="s">
        <v>46</v>
      </c>
      <c r="H1124" s="32" t="s">
        <v>51</v>
      </c>
      <c r="I1124" s="32">
        <v>867.024</v>
      </c>
      <c r="J1124" s="32">
        <v>99.492999999999995</v>
      </c>
      <c r="K1124" s="32" t="b">
        <v>1</v>
      </c>
      <c r="L1124" s="32" t="s">
        <v>47</v>
      </c>
      <c r="M1124" s="32" t="s">
        <v>48</v>
      </c>
      <c r="N1124" s="34">
        <v>46232</v>
      </c>
      <c r="O1124" s="35" t="str">
        <f t="shared" si="4"/>
        <v>Dương Nhật Phương</v>
      </c>
    </row>
    <row r="1125" spans="1:15">
      <c r="A1125" s="32" t="s">
        <v>88</v>
      </c>
      <c r="B1125" s="32" t="s">
        <v>44</v>
      </c>
      <c r="C1125" s="33">
        <v>46024</v>
      </c>
      <c r="D1125" s="32">
        <v>918611919</v>
      </c>
      <c r="E1125" s="32">
        <v>321677895</v>
      </c>
      <c r="F1125" s="32" t="s">
        <v>65</v>
      </c>
      <c r="G1125" s="32" t="s">
        <v>46</v>
      </c>
      <c r="H1125" s="32" t="s">
        <v>51</v>
      </c>
      <c r="I1125" s="32">
        <v>949.56299999999999</v>
      </c>
      <c r="J1125" s="32">
        <v>77.311000000000007</v>
      </c>
      <c r="K1125" s="32" t="b">
        <v>1</v>
      </c>
      <c r="L1125" s="32" t="s">
        <v>47</v>
      </c>
      <c r="M1125" s="32" t="s">
        <v>63</v>
      </c>
      <c r="N1125" s="34">
        <v>46190</v>
      </c>
      <c r="O1125" s="35" t="str">
        <f t="shared" si="4"/>
        <v>Huỳnh Phước Yên</v>
      </c>
    </row>
    <row r="1126" spans="1:15">
      <c r="A1126" s="32" t="s">
        <v>88</v>
      </c>
      <c r="B1126" s="32" t="s">
        <v>44</v>
      </c>
      <c r="C1126" s="33">
        <v>46024</v>
      </c>
      <c r="D1126" s="32">
        <v>918611919</v>
      </c>
      <c r="E1126" s="32">
        <v>321677895</v>
      </c>
      <c r="F1126" s="32" t="s">
        <v>65</v>
      </c>
      <c r="G1126" s="32" t="s">
        <v>46</v>
      </c>
      <c r="H1126" s="32" t="s">
        <v>51</v>
      </c>
      <c r="I1126" s="32">
        <v>834.21500000000003</v>
      </c>
      <c r="J1126" s="32">
        <v>18.100999999999999</v>
      </c>
      <c r="K1126" s="32" t="b">
        <v>1</v>
      </c>
      <c r="L1126" s="32" t="s">
        <v>47</v>
      </c>
      <c r="M1126" s="32" t="s">
        <v>63</v>
      </c>
      <c r="N1126" s="34">
        <v>46051</v>
      </c>
      <c r="O1126" s="35" t="str">
        <f t="shared" si="4"/>
        <v>Huỳnh Phước Yên</v>
      </c>
    </row>
    <row r="1127" spans="1:15">
      <c r="A1127" s="32" t="s">
        <v>126</v>
      </c>
      <c r="B1127" s="32" t="s">
        <v>44</v>
      </c>
      <c r="C1127" s="33">
        <v>46024</v>
      </c>
      <c r="D1127" s="32">
        <v>941328668</v>
      </c>
      <c r="E1127" s="32">
        <v>474364867</v>
      </c>
      <c r="F1127" s="32" t="s">
        <v>127</v>
      </c>
      <c r="G1127" s="32" t="s">
        <v>46</v>
      </c>
      <c r="H1127" s="32" t="s">
        <v>51</v>
      </c>
      <c r="I1127" s="32">
        <v>38.622</v>
      </c>
      <c r="J1127" s="32">
        <v>44.493000000000002</v>
      </c>
      <c r="K1127" s="32" t="b">
        <v>1</v>
      </c>
      <c r="L1127" s="32" t="s">
        <v>63</v>
      </c>
      <c r="M1127" s="32" t="s">
        <v>48</v>
      </c>
      <c r="N1127" s="34">
        <v>46146</v>
      </c>
      <c r="O1127" s="35" t="str">
        <f t="shared" si="4"/>
        <v>Nguyễn Thành Phạm Trung</v>
      </c>
    </row>
    <row r="1128" spans="1:15">
      <c r="A1128" s="32" t="s">
        <v>49</v>
      </c>
      <c r="B1128" s="32" t="s">
        <v>44</v>
      </c>
      <c r="C1128" s="33">
        <v>46024</v>
      </c>
      <c r="D1128" s="32">
        <v>947245878</v>
      </c>
      <c r="E1128" s="32">
        <v>493854272</v>
      </c>
      <c r="F1128" s="32" t="s">
        <v>50</v>
      </c>
      <c r="G1128" s="32" t="s">
        <v>46</v>
      </c>
      <c r="H1128" s="32" t="s">
        <v>58</v>
      </c>
      <c r="I1128" s="32">
        <v>1012.8630000000001</v>
      </c>
      <c r="J1128" s="32">
        <v>160.71600000000001</v>
      </c>
      <c r="K1128" s="32" t="b">
        <v>0</v>
      </c>
      <c r="L1128" s="32" t="s">
        <v>47</v>
      </c>
      <c r="M1128" s="32" t="s">
        <v>48</v>
      </c>
      <c r="N1128" s="34">
        <v>46146</v>
      </c>
      <c r="O1128" s="35" t="str">
        <f t="shared" si="4"/>
        <v>Phạm Nguyễn Quang Huy</v>
      </c>
    </row>
    <row r="1129" spans="1:15">
      <c r="A1129" s="32" t="s">
        <v>49</v>
      </c>
      <c r="B1129" s="32" t="s">
        <v>44</v>
      </c>
      <c r="C1129" s="33">
        <v>46024</v>
      </c>
      <c r="D1129" s="32">
        <v>828926567</v>
      </c>
      <c r="E1129" s="32">
        <v>493854272</v>
      </c>
      <c r="F1129" s="32" t="s">
        <v>50</v>
      </c>
      <c r="G1129" s="32" t="s">
        <v>46</v>
      </c>
      <c r="H1129" s="32" t="s">
        <v>58</v>
      </c>
      <c r="I1129" s="32">
        <v>1012.8630000000001</v>
      </c>
      <c r="J1129" s="32">
        <v>160.71600000000001</v>
      </c>
      <c r="K1129" s="32" t="b">
        <v>0</v>
      </c>
      <c r="L1129" s="32" t="s">
        <v>47</v>
      </c>
      <c r="M1129" s="32" t="s">
        <v>48</v>
      </c>
      <c r="N1129" s="34">
        <v>46146</v>
      </c>
      <c r="O1129" s="35" t="str">
        <f t="shared" si="4"/>
        <v>Phạm Nguyễn Quang Huy</v>
      </c>
    </row>
    <row r="1130" spans="1:15">
      <c r="A1130" s="32" t="s">
        <v>133</v>
      </c>
      <c r="B1130" s="32" t="s">
        <v>44</v>
      </c>
      <c r="C1130" s="33">
        <v>46024</v>
      </c>
      <c r="D1130" s="32">
        <v>913632800</v>
      </c>
      <c r="E1130" s="32">
        <v>487761475</v>
      </c>
      <c r="F1130" s="32" t="s">
        <v>71</v>
      </c>
      <c r="G1130" s="32" t="s">
        <v>46</v>
      </c>
      <c r="H1130" s="32" t="s">
        <v>51</v>
      </c>
      <c r="I1130" s="32">
        <v>537.476</v>
      </c>
      <c r="J1130" s="32">
        <v>55.212000000000003</v>
      </c>
      <c r="K1130" s="32" t="b">
        <v>1</v>
      </c>
      <c r="L1130" s="32" t="s">
        <v>47</v>
      </c>
      <c r="M1130" s="32" t="s">
        <v>48</v>
      </c>
      <c r="N1130" s="32" t="s">
        <v>266</v>
      </c>
      <c r="O1130" s="35" t="str">
        <f t="shared" si="4"/>
        <v>Võ Quang Thìn</v>
      </c>
    </row>
    <row r="1131" spans="1:15">
      <c r="A1131" s="32" t="s">
        <v>64</v>
      </c>
      <c r="B1131" s="32" t="s">
        <v>44</v>
      </c>
      <c r="C1131" s="33">
        <v>46024</v>
      </c>
      <c r="D1131" s="32">
        <v>917769763</v>
      </c>
      <c r="E1131" s="32">
        <v>297808089</v>
      </c>
      <c r="F1131" s="32" t="s">
        <v>65</v>
      </c>
      <c r="G1131" s="32" t="s">
        <v>46</v>
      </c>
      <c r="H1131" s="32" t="s">
        <v>58</v>
      </c>
      <c r="I1131" s="32">
        <v>87.867000000000004</v>
      </c>
      <c r="J1131" s="32">
        <v>3.681</v>
      </c>
      <c r="K1131" s="32" t="b">
        <v>1</v>
      </c>
      <c r="L1131" s="32" t="s">
        <v>47</v>
      </c>
      <c r="M1131" s="32" t="s">
        <v>63</v>
      </c>
      <c r="N1131" s="34">
        <v>46091</v>
      </c>
      <c r="O1131" s="35" t="str">
        <f t="shared" si="4"/>
        <v>Đỗ Tấn Phát</v>
      </c>
    </row>
    <row r="1132" spans="1:15">
      <c r="A1132" s="32" t="s">
        <v>70</v>
      </c>
      <c r="B1132" s="32" t="s">
        <v>44</v>
      </c>
      <c r="C1132" s="33">
        <v>46024</v>
      </c>
      <c r="D1132" s="32">
        <v>913352939</v>
      </c>
      <c r="E1132" s="32">
        <v>511935418</v>
      </c>
      <c r="F1132" s="32" t="s">
        <v>71</v>
      </c>
      <c r="G1132" s="32" t="s">
        <v>46</v>
      </c>
      <c r="H1132" s="32" t="s">
        <v>51</v>
      </c>
      <c r="I1132" s="32">
        <v>857.79399999999998</v>
      </c>
      <c r="J1132" s="32">
        <v>98.319000000000003</v>
      </c>
      <c r="K1132" s="32" t="b">
        <v>1</v>
      </c>
      <c r="L1132" s="32" t="s">
        <v>47</v>
      </c>
      <c r="M1132" s="32" t="s">
        <v>48</v>
      </c>
      <c r="N1132" s="34">
        <v>46150</v>
      </c>
      <c r="O1132" s="35" t="str">
        <f t="shared" si="4"/>
        <v>Dương Nhật Phương</v>
      </c>
    </row>
    <row r="1133" spans="1:15">
      <c r="A1133" s="32" t="s">
        <v>81</v>
      </c>
      <c r="B1133" s="32" t="s">
        <v>44</v>
      </c>
      <c r="C1133" s="33">
        <v>46024</v>
      </c>
      <c r="D1133" s="32">
        <v>832428439</v>
      </c>
      <c r="E1133" s="32">
        <v>494036091</v>
      </c>
      <c r="F1133" s="32" t="s">
        <v>82</v>
      </c>
      <c r="G1133" s="32" t="s">
        <v>46</v>
      </c>
      <c r="H1133" s="32" t="s">
        <v>145</v>
      </c>
      <c r="I1133" s="32">
        <v>201.80600000000001</v>
      </c>
      <c r="J1133" s="32">
        <v>34.722999999999999</v>
      </c>
      <c r="K1133" s="32" t="b">
        <v>1</v>
      </c>
      <c r="L1133" s="32" t="s">
        <v>79</v>
      </c>
      <c r="M1133" s="32" t="s">
        <v>48</v>
      </c>
      <c r="N1133" s="34">
        <v>46121</v>
      </c>
      <c r="O1133" s="35" t="str">
        <f t="shared" si="4"/>
        <v>Phù Hoàng Thành</v>
      </c>
    </row>
    <row r="1134" spans="1:15">
      <c r="A1134" s="32" t="s">
        <v>81</v>
      </c>
      <c r="B1134" s="32" t="s">
        <v>44</v>
      </c>
      <c r="C1134" s="33">
        <v>46024</v>
      </c>
      <c r="D1134" s="32">
        <v>852226484</v>
      </c>
      <c r="E1134" s="32">
        <v>494036091</v>
      </c>
      <c r="F1134" s="32" t="s">
        <v>82</v>
      </c>
      <c r="G1134" s="32" t="s">
        <v>46</v>
      </c>
      <c r="H1134" s="32" t="s">
        <v>145</v>
      </c>
      <c r="I1134" s="32">
        <v>201.80600000000001</v>
      </c>
      <c r="J1134" s="32">
        <v>34.722999999999999</v>
      </c>
      <c r="K1134" s="32" t="b">
        <v>1</v>
      </c>
      <c r="L1134" s="32" t="s">
        <v>79</v>
      </c>
      <c r="M1134" s="32" t="s">
        <v>48</v>
      </c>
      <c r="N1134" s="34">
        <v>46121</v>
      </c>
      <c r="O1134" s="35" t="str">
        <f t="shared" si="4"/>
        <v>Phù Hoàng Thành</v>
      </c>
    </row>
    <row r="1135" spans="1:15">
      <c r="A1135" s="32" t="s">
        <v>74</v>
      </c>
      <c r="B1135" s="32" t="s">
        <v>44</v>
      </c>
      <c r="C1135" s="33">
        <v>46024</v>
      </c>
      <c r="D1135" s="32">
        <v>945833826</v>
      </c>
      <c r="E1135" s="32">
        <v>515016582</v>
      </c>
      <c r="F1135" s="32" t="s">
        <v>75</v>
      </c>
      <c r="G1135" s="32" t="s">
        <v>46</v>
      </c>
      <c r="H1135" s="32" t="s">
        <v>51</v>
      </c>
      <c r="I1135" s="32">
        <v>973.471</v>
      </c>
      <c r="J1135" s="32">
        <v>45.13</v>
      </c>
      <c r="K1135" s="32" t="b">
        <v>1</v>
      </c>
      <c r="L1135" s="32" t="s">
        <v>47</v>
      </c>
      <c r="M1135" s="32" t="s">
        <v>48</v>
      </c>
      <c r="N1135" s="34">
        <v>46183</v>
      </c>
      <c r="O1135" s="35" t="str">
        <f t="shared" si="4"/>
        <v>Võ Quang Duy</v>
      </c>
    </row>
    <row r="1136" spans="1:15">
      <c r="A1136" s="32" t="s">
        <v>89</v>
      </c>
      <c r="B1136" s="32" t="s">
        <v>44</v>
      </c>
      <c r="C1136" s="33">
        <v>46024</v>
      </c>
      <c r="D1136" s="32">
        <v>837012768</v>
      </c>
      <c r="E1136" s="32">
        <v>276156622</v>
      </c>
      <c r="F1136" s="32" t="s">
        <v>90</v>
      </c>
      <c r="G1136" s="32" t="s">
        <v>46</v>
      </c>
      <c r="H1136" s="32" t="s">
        <v>51</v>
      </c>
      <c r="I1136" s="32">
        <v>463.149</v>
      </c>
      <c r="J1136" s="32">
        <v>121.32899999999999</v>
      </c>
      <c r="K1136" s="32" t="b">
        <v>1</v>
      </c>
      <c r="L1136" s="32" t="s">
        <v>47</v>
      </c>
      <c r="M1136" s="32" t="s">
        <v>63</v>
      </c>
      <c r="N1136" s="34">
        <v>46096</v>
      </c>
      <c r="O1136" s="35" t="str">
        <f t="shared" si="4"/>
        <v>Nguyễn Thành Chí</v>
      </c>
    </row>
    <row r="1137" spans="1:15">
      <c r="A1137" s="32" t="s">
        <v>96</v>
      </c>
      <c r="B1137" s="32" t="s">
        <v>44</v>
      </c>
      <c r="C1137" s="33">
        <v>46024</v>
      </c>
      <c r="D1137" s="32">
        <v>914390007</v>
      </c>
      <c r="E1137" s="32">
        <v>504830634</v>
      </c>
      <c r="F1137" s="32" t="s">
        <v>60</v>
      </c>
      <c r="G1137" s="32" t="s">
        <v>46</v>
      </c>
      <c r="H1137" s="32" t="s">
        <v>51</v>
      </c>
      <c r="I1137" s="32">
        <v>102.807</v>
      </c>
      <c r="J1137" s="32">
        <v>37.777000000000001</v>
      </c>
      <c r="K1137" s="32" t="b">
        <v>1</v>
      </c>
      <c r="L1137" s="32" t="s">
        <v>47</v>
      </c>
      <c r="M1137" s="32" t="s">
        <v>48</v>
      </c>
      <c r="N1137" s="34">
        <v>46237</v>
      </c>
      <c r="O1137" s="35" t="str">
        <f t="shared" si="4"/>
        <v>Võ Quốc Huy</v>
      </c>
    </row>
    <row r="1138" spans="1:15">
      <c r="A1138" s="32" t="s">
        <v>83</v>
      </c>
      <c r="B1138" s="32" t="s">
        <v>44</v>
      </c>
      <c r="C1138" s="33">
        <v>46024</v>
      </c>
      <c r="D1138" s="32">
        <v>829669739</v>
      </c>
      <c r="E1138" s="32">
        <v>408233038</v>
      </c>
      <c r="F1138" s="32" t="s">
        <v>84</v>
      </c>
      <c r="G1138" s="32" t="s">
        <v>46</v>
      </c>
      <c r="H1138" s="32" t="s">
        <v>51</v>
      </c>
      <c r="I1138" s="32">
        <v>180.24</v>
      </c>
      <c r="J1138" s="32">
        <v>50.197000000000003</v>
      </c>
      <c r="K1138" s="32" t="b">
        <v>1</v>
      </c>
      <c r="L1138" s="32" t="s">
        <v>47</v>
      </c>
      <c r="M1138" s="32" t="s">
        <v>48</v>
      </c>
      <c r="N1138" s="34">
        <v>46176</v>
      </c>
      <c r="O1138" s="35" t="str">
        <f t="shared" si="4"/>
        <v>Lê Minh Kha</v>
      </c>
    </row>
    <row r="1139" spans="1:15">
      <c r="A1139" s="32" t="s">
        <v>83</v>
      </c>
      <c r="B1139" s="32" t="s">
        <v>44</v>
      </c>
      <c r="C1139" s="33">
        <v>46024</v>
      </c>
      <c r="D1139" s="32">
        <v>886313796</v>
      </c>
      <c r="E1139" s="32">
        <v>408233038</v>
      </c>
      <c r="F1139" s="32" t="s">
        <v>84</v>
      </c>
      <c r="G1139" s="32" t="s">
        <v>46</v>
      </c>
      <c r="H1139" s="32" t="s">
        <v>51</v>
      </c>
      <c r="I1139" s="32">
        <v>180.24</v>
      </c>
      <c r="J1139" s="32">
        <v>50.197000000000003</v>
      </c>
      <c r="K1139" s="32" t="b">
        <v>1</v>
      </c>
      <c r="L1139" s="32" t="s">
        <v>47</v>
      </c>
      <c r="M1139" s="32" t="s">
        <v>48</v>
      </c>
      <c r="N1139" s="34">
        <v>46176</v>
      </c>
      <c r="O1139" s="35" t="str">
        <f t="shared" si="4"/>
        <v>Lê Minh Kha</v>
      </c>
    </row>
    <row r="1140" spans="1:15">
      <c r="A1140" s="32" t="s">
        <v>133</v>
      </c>
      <c r="B1140" s="32" t="s">
        <v>44</v>
      </c>
      <c r="C1140" s="33">
        <v>46024</v>
      </c>
      <c r="D1140" s="32">
        <v>913632800</v>
      </c>
      <c r="E1140" s="32">
        <v>487761475</v>
      </c>
      <c r="F1140" s="32" t="s">
        <v>71</v>
      </c>
      <c r="G1140" s="32" t="s">
        <v>46</v>
      </c>
      <c r="H1140" s="32" t="s">
        <v>51</v>
      </c>
      <c r="I1140" s="32">
        <v>895.23900000000003</v>
      </c>
      <c r="J1140" s="32">
        <v>96.403999999999996</v>
      </c>
      <c r="K1140" s="32" t="b">
        <v>1</v>
      </c>
      <c r="L1140" s="32" t="s">
        <v>47</v>
      </c>
      <c r="M1140" s="32" t="s">
        <v>48</v>
      </c>
      <c r="N1140" s="34">
        <v>46104</v>
      </c>
      <c r="O1140" s="35" t="str">
        <f t="shared" si="4"/>
        <v>Võ Quang Thìn</v>
      </c>
    </row>
    <row r="1141" spans="1:15">
      <c r="A1141" s="32" t="s">
        <v>85</v>
      </c>
      <c r="B1141" s="32" t="s">
        <v>44</v>
      </c>
      <c r="C1141" s="33">
        <v>46024</v>
      </c>
      <c r="D1141" s="32">
        <v>918128333</v>
      </c>
      <c r="E1141" s="32">
        <v>362213178</v>
      </c>
      <c r="F1141" s="32" t="s">
        <v>86</v>
      </c>
      <c r="G1141" s="32" t="s">
        <v>46</v>
      </c>
      <c r="H1141" s="32" t="s">
        <v>261</v>
      </c>
      <c r="I1141" s="32">
        <v>233.96199999999999</v>
      </c>
      <c r="J1141" s="32">
        <v>37.04</v>
      </c>
      <c r="K1141" s="32" t="b">
        <v>1</v>
      </c>
      <c r="L1141" s="32" t="s">
        <v>47</v>
      </c>
      <c r="M1141" s="32" t="s">
        <v>48</v>
      </c>
      <c r="N1141" s="34">
        <v>46025</v>
      </c>
      <c r="O1141" s="35" t="str">
        <f t="shared" si="4"/>
        <v>Trần Minh Tuấn1</v>
      </c>
    </row>
    <row r="1142" spans="1:15">
      <c r="A1142" s="32" t="s">
        <v>119</v>
      </c>
      <c r="B1142" s="32" t="s">
        <v>44</v>
      </c>
      <c r="C1142" s="33">
        <v>46024</v>
      </c>
      <c r="D1142" s="32">
        <v>945562692</v>
      </c>
      <c r="E1142" s="32">
        <v>489225750</v>
      </c>
      <c r="F1142" s="32" t="s">
        <v>71</v>
      </c>
      <c r="G1142" s="32" t="s">
        <v>46</v>
      </c>
      <c r="H1142" s="32" t="s">
        <v>51</v>
      </c>
      <c r="I1142" s="32">
        <v>82.417000000000002</v>
      </c>
      <c r="J1142" s="32">
        <v>31.265999999999998</v>
      </c>
      <c r="K1142" s="32" t="b">
        <v>1</v>
      </c>
      <c r="L1142" s="32" t="s">
        <v>47</v>
      </c>
      <c r="M1142" s="32" t="s">
        <v>48</v>
      </c>
      <c r="N1142" s="34">
        <v>46025</v>
      </c>
      <c r="O1142" s="35" t="str">
        <f t="shared" si="4"/>
        <v>Nguyễn Thanh Hùng</v>
      </c>
    </row>
    <row r="1143" spans="1:15">
      <c r="A1143" s="32" t="s">
        <v>119</v>
      </c>
      <c r="B1143" s="32" t="s">
        <v>44</v>
      </c>
      <c r="C1143" s="33">
        <v>46024</v>
      </c>
      <c r="D1143" s="32">
        <v>945562692</v>
      </c>
      <c r="E1143" s="32">
        <v>489225750</v>
      </c>
      <c r="F1143" s="32" t="s">
        <v>71</v>
      </c>
      <c r="G1143" s="32" t="s">
        <v>46</v>
      </c>
      <c r="H1143" s="32" t="s">
        <v>51</v>
      </c>
      <c r="I1143" s="32">
        <v>90.569000000000003</v>
      </c>
      <c r="J1143" s="32">
        <v>31.024999999999999</v>
      </c>
      <c r="K1143" s="32" t="b">
        <v>1</v>
      </c>
      <c r="L1143" s="32" t="s">
        <v>47</v>
      </c>
      <c r="M1143" s="32" t="s">
        <v>48</v>
      </c>
      <c r="N1143" s="32" t="s">
        <v>267</v>
      </c>
      <c r="O1143" s="35" t="str">
        <f t="shared" si="4"/>
        <v>Nguyễn Thanh Hùng</v>
      </c>
    </row>
    <row r="1144" spans="1:15">
      <c r="A1144" s="32" t="s">
        <v>83</v>
      </c>
      <c r="B1144" s="32" t="s">
        <v>44</v>
      </c>
      <c r="C1144" s="33">
        <v>46023</v>
      </c>
      <c r="D1144" s="32">
        <v>886313796</v>
      </c>
      <c r="E1144" s="32">
        <v>408233038</v>
      </c>
      <c r="F1144" s="32" t="s">
        <v>84</v>
      </c>
      <c r="G1144" s="32" t="s">
        <v>46</v>
      </c>
      <c r="H1144" s="32" t="s">
        <v>58</v>
      </c>
      <c r="I1144" s="32">
        <v>61.533999999999999</v>
      </c>
      <c r="J1144" s="32">
        <v>9.2789999999999999</v>
      </c>
      <c r="K1144" s="32" t="b">
        <v>1</v>
      </c>
      <c r="L1144" s="32" t="s">
        <v>47</v>
      </c>
      <c r="M1144" s="32" t="s">
        <v>48</v>
      </c>
      <c r="N1144" s="34">
        <v>46176</v>
      </c>
      <c r="O1144" s="35" t="str">
        <f t="shared" si="4"/>
        <v>Lê Minh Kha</v>
      </c>
    </row>
    <row r="1145" spans="1:15">
      <c r="A1145" s="32" t="s">
        <v>83</v>
      </c>
      <c r="B1145" s="32" t="s">
        <v>44</v>
      </c>
      <c r="C1145" s="33">
        <v>46023</v>
      </c>
      <c r="D1145" s="32">
        <v>829669739</v>
      </c>
      <c r="E1145" s="32">
        <v>408233038</v>
      </c>
      <c r="F1145" s="32" t="s">
        <v>84</v>
      </c>
      <c r="G1145" s="32" t="s">
        <v>46</v>
      </c>
      <c r="H1145" s="32" t="s">
        <v>58</v>
      </c>
      <c r="I1145" s="32">
        <v>61.533999999999999</v>
      </c>
      <c r="J1145" s="32">
        <v>9.2789999999999999</v>
      </c>
      <c r="K1145" s="32" t="b">
        <v>1</v>
      </c>
      <c r="L1145" s="32" t="s">
        <v>47</v>
      </c>
      <c r="M1145" s="32" t="s">
        <v>48</v>
      </c>
      <c r="N1145" s="34">
        <v>46176</v>
      </c>
      <c r="O1145" s="35" t="str">
        <f t="shared" si="4"/>
        <v>Lê Minh Kha</v>
      </c>
    </row>
    <row r="1146" spans="1:15">
      <c r="A1146" s="32" t="s">
        <v>83</v>
      </c>
      <c r="B1146" s="32" t="s">
        <v>44</v>
      </c>
      <c r="C1146" s="33">
        <v>46023</v>
      </c>
      <c r="D1146" s="32">
        <v>886313796</v>
      </c>
      <c r="E1146" s="32">
        <v>408233038</v>
      </c>
      <c r="F1146" s="32" t="s">
        <v>84</v>
      </c>
      <c r="G1146" s="32" t="s">
        <v>46</v>
      </c>
      <c r="H1146" s="32" t="s">
        <v>51</v>
      </c>
      <c r="I1146" s="32">
        <v>52.106999999999999</v>
      </c>
      <c r="J1146" s="32">
        <v>6.8719999999999999</v>
      </c>
      <c r="K1146" s="32" t="b">
        <v>0</v>
      </c>
      <c r="L1146" s="32" t="s">
        <v>47</v>
      </c>
      <c r="M1146" s="32" t="s">
        <v>48</v>
      </c>
      <c r="N1146" s="34">
        <v>46274</v>
      </c>
      <c r="O1146" s="35" t="str">
        <f t="shared" si="4"/>
        <v>Lê Minh Kha</v>
      </c>
    </row>
    <row r="1147" spans="1:15">
      <c r="A1147" s="32" t="s">
        <v>83</v>
      </c>
      <c r="B1147" s="32" t="s">
        <v>44</v>
      </c>
      <c r="C1147" s="33">
        <v>46023</v>
      </c>
      <c r="D1147" s="32">
        <v>829669739</v>
      </c>
      <c r="E1147" s="32">
        <v>408233038</v>
      </c>
      <c r="F1147" s="32" t="s">
        <v>84</v>
      </c>
      <c r="G1147" s="32" t="s">
        <v>46</v>
      </c>
      <c r="H1147" s="32" t="s">
        <v>51</v>
      </c>
      <c r="I1147" s="32">
        <v>52.106999999999999</v>
      </c>
      <c r="J1147" s="32">
        <v>6.8719999999999999</v>
      </c>
      <c r="K1147" s="32" t="b">
        <v>0</v>
      </c>
      <c r="L1147" s="32" t="s">
        <v>47</v>
      </c>
      <c r="M1147" s="32" t="s">
        <v>48</v>
      </c>
      <c r="N1147" s="34">
        <v>46274</v>
      </c>
      <c r="O1147" s="35" t="str">
        <f t="shared" si="4"/>
        <v>Lê Minh Kha</v>
      </c>
    </row>
    <row r="1148" spans="1:15">
      <c r="A1148" s="32" t="s">
        <v>111</v>
      </c>
      <c r="B1148" s="32" t="s">
        <v>44</v>
      </c>
      <c r="C1148" s="33">
        <v>46023</v>
      </c>
      <c r="D1148" s="32">
        <v>945796839</v>
      </c>
      <c r="E1148" s="32">
        <v>514818795</v>
      </c>
      <c r="F1148" s="32" t="s">
        <v>112</v>
      </c>
      <c r="G1148" s="32" t="s">
        <v>46</v>
      </c>
      <c r="H1148" s="32" t="s">
        <v>51</v>
      </c>
      <c r="I1148" s="32">
        <v>53.487000000000002</v>
      </c>
      <c r="J1148" s="32">
        <v>81.224000000000004</v>
      </c>
      <c r="K1148" s="32" t="b">
        <v>1</v>
      </c>
      <c r="L1148" s="32" t="s">
        <v>79</v>
      </c>
      <c r="M1148" s="32" t="s">
        <v>48</v>
      </c>
      <c r="N1148" s="34">
        <v>46177</v>
      </c>
      <c r="O1148" s="35" t="str">
        <f t="shared" si="4"/>
        <v>Nguyễn Hải Đăng</v>
      </c>
    </row>
    <row r="1149" spans="1:15">
      <c r="A1149" s="32" t="s">
        <v>52</v>
      </c>
      <c r="B1149" s="32" t="s">
        <v>44</v>
      </c>
      <c r="C1149" s="33">
        <v>46023</v>
      </c>
      <c r="D1149" s="32">
        <v>915282271</v>
      </c>
      <c r="E1149" s="32">
        <v>437354149</v>
      </c>
      <c r="F1149" s="32" t="s">
        <v>53</v>
      </c>
      <c r="G1149" s="32" t="s">
        <v>46</v>
      </c>
      <c r="H1149" s="32" t="s">
        <v>58</v>
      </c>
      <c r="I1149" s="32">
        <v>246.666</v>
      </c>
      <c r="J1149" s="32">
        <v>35.029000000000003</v>
      </c>
      <c r="K1149" s="32" t="b">
        <v>1</v>
      </c>
      <c r="L1149" s="32" t="s">
        <v>47</v>
      </c>
      <c r="M1149" s="32" t="s">
        <v>48</v>
      </c>
      <c r="N1149" s="34">
        <v>46144</v>
      </c>
      <c r="O1149" s="35" t="str">
        <f t="shared" si="4"/>
        <v>Nguyễn Hoàng Tuấn</v>
      </c>
    </row>
    <row r="1150" spans="1:15">
      <c r="A1150" s="32" t="s">
        <v>52</v>
      </c>
      <c r="B1150" s="32" t="s">
        <v>44</v>
      </c>
      <c r="C1150" s="33">
        <v>46023</v>
      </c>
      <c r="D1150" s="32">
        <v>915282271</v>
      </c>
      <c r="E1150" s="32">
        <v>437354149</v>
      </c>
      <c r="F1150" s="32" t="s">
        <v>53</v>
      </c>
      <c r="G1150" s="32" t="s">
        <v>46</v>
      </c>
      <c r="H1150" s="32" t="s">
        <v>58</v>
      </c>
      <c r="I1150" s="32">
        <v>246.666</v>
      </c>
      <c r="J1150" s="32">
        <v>35.029000000000003</v>
      </c>
      <c r="K1150" s="32" t="b">
        <v>1</v>
      </c>
      <c r="L1150" s="32" t="s">
        <v>47</v>
      </c>
      <c r="M1150" s="32" t="s">
        <v>48</v>
      </c>
      <c r="N1150" s="34">
        <v>46144</v>
      </c>
      <c r="O1150" s="35" t="str">
        <f t="shared" si="4"/>
        <v>Nguyễn Hoàng Tuấn</v>
      </c>
    </row>
    <row r="1151" spans="1:15">
      <c r="A1151" s="32" t="s">
        <v>242</v>
      </c>
      <c r="B1151" s="32" t="s">
        <v>44</v>
      </c>
      <c r="C1151" s="33">
        <v>46023</v>
      </c>
      <c r="D1151" s="32">
        <v>919990052</v>
      </c>
      <c r="E1151" s="32">
        <v>473395439</v>
      </c>
      <c r="F1151" s="32" t="s">
        <v>243</v>
      </c>
      <c r="G1151" s="32" t="s">
        <v>46</v>
      </c>
      <c r="H1151" s="32" t="s">
        <v>18</v>
      </c>
      <c r="I1151" s="32">
        <v>543.32600000000002</v>
      </c>
      <c r="J1151" s="32">
        <v>39.743000000000002</v>
      </c>
      <c r="K1151" s="32" t="b">
        <v>1</v>
      </c>
      <c r="L1151" s="32" t="s">
        <v>47</v>
      </c>
      <c r="M1151" s="32" t="s">
        <v>48</v>
      </c>
      <c r="N1151" s="34">
        <v>46146</v>
      </c>
      <c r="O1151" s="35" t="str">
        <f t="shared" si="4"/>
        <v>Nguyễn Thế Sự</v>
      </c>
    </row>
    <row r="1152" spans="1:15">
      <c r="A1152" s="32" t="s">
        <v>77</v>
      </c>
      <c r="B1152" s="32" t="s">
        <v>44</v>
      </c>
      <c r="C1152" s="33">
        <v>46023</v>
      </c>
      <c r="D1152" s="32">
        <v>945663773</v>
      </c>
      <c r="E1152" s="32">
        <v>507335872</v>
      </c>
      <c r="F1152" s="32" t="s">
        <v>78</v>
      </c>
      <c r="G1152" s="32" t="s">
        <v>46</v>
      </c>
      <c r="H1152" s="32" t="s">
        <v>51</v>
      </c>
      <c r="I1152" s="32">
        <v>97.768000000000001</v>
      </c>
      <c r="J1152" s="32">
        <v>48.014000000000003</v>
      </c>
      <c r="K1152" s="32" t="b">
        <v>1</v>
      </c>
      <c r="L1152" s="32" t="s">
        <v>79</v>
      </c>
      <c r="M1152" s="32" t="s">
        <v>80</v>
      </c>
      <c r="N1152" s="34">
        <v>46268</v>
      </c>
      <c r="O1152" s="35" t="str">
        <f t="shared" si="4"/>
        <v>Nguyễn Hữu Tân</v>
      </c>
    </row>
    <row r="1153" spans="1:15">
      <c r="A1153" s="32" t="s">
        <v>77</v>
      </c>
      <c r="B1153" s="32" t="s">
        <v>44</v>
      </c>
      <c r="C1153" s="33">
        <v>46023</v>
      </c>
      <c r="D1153" s="32">
        <v>945663773</v>
      </c>
      <c r="E1153" s="32">
        <v>507335872</v>
      </c>
      <c r="F1153" s="32" t="s">
        <v>78</v>
      </c>
      <c r="G1153" s="32" t="s">
        <v>46</v>
      </c>
      <c r="H1153" s="32" t="s">
        <v>51</v>
      </c>
      <c r="I1153" s="32">
        <v>43.37</v>
      </c>
      <c r="J1153" s="32">
        <v>28.477</v>
      </c>
      <c r="K1153" s="32" t="b">
        <v>1</v>
      </c>
      <c r="L1153" s="32" t="s">
        <v>79</v>
      </c>
      <c r="M1153" s="32" t="s">
        <v>80</v>
      </c>
      <c r="N1153" s="34">
        <v>46083</v>
      </c>
      <c r="O1153" s="35" t="str">
        <f t="shared" si="4"/>
        <v>Nguyễn Hữu Tân</v>
      </c>
    </row>
    <row r="1154" spans="1:15">
      <c r="A1154" s="32" t="s">
        <v>77</v>
      </c>
      <c r="B1154" s="32" t="s">
        <v>44</v>
      </c>
      <c r="C1154" s="33">
        <v>46023</v>
      </c>
      <c r="D1154" s="32">
        <v>945663773</v>
      </c>
      <c r="E1154" s="32">
        <v>507335872</v>
      </c>
      <c r="F1154" s="32" t="s">
        <v>78</v>
      </c>
      <c r="G1154" s="32" t="s">
        <v>46</v>
      </c>
      <c r="H1154" s="32" t="s">
        <v>51</v>
      </c>
      <c r="I1154" s="32">
        <v>46.161999999999999</v>
      </c>
      <c r="J1154" s="32">
        <v>27.451000000000001</v>
      </c>
      <c r="K1154" s="32" t="b">
        <v>1</v>
      </c>
      <c r="L1154" s="32" t="s">
        <v>79</v>
      </c>
      <c r="M1154" s="32" t="s">
        <v>80</v>
      </c>
      <c r="N1154" s="34">
        <v>46269</v>
      </c>
      <c r="O1154" s="35" t="str">
        <f t="shared" si="4"/>
        <v>Nguyễn Hữu Tân</v>
      </c>
    </row>
    <row r="1155" spans="1:15">
      <c r="A1155" s="32" t="s">
        <v>74</v>
      </c>
      <c r="B1155" s="32" t="s">
        <v>44</v>
      </c>
      <c r="C1155" s="33">
        <v>46023</v>
      </c>
      <c r="D1155" s="32">
        <v>945833826</v>
      </c>
      <c r="E1155" s="32">
        <v>515016582</v>
      </c>
      <c r="F1155" s="32" t="s">
        <v>75</v>
      </c>
      <c r="G1155" s="32" t="s">
        <v>46</v>
      </c>
      <c r="H1155" s="32" t="s">
        <v>51</v>
      </c>
      <c r="I1155" s="32">
        <v>1204.4380000000001</v>
      </c>
      <c r="J1155" s="32">
        <v>27.187999999999999</v>
      </c>
      <c r="K1155" s="32" t="b">
        <v>1</v>
      </c>
      <c r="L1155" s="32" t="s">
        <v>47</v>
      </c>
      <c r="M1155" s="32" t="s">
        <v>48</v>
      </c>
      <c r="N1155" s="34">
        <v>46180</v>
      </c>
      <c r="O1155" s="35" t="str">
        <f t="shared" si="4"/>
        <v>Võ Quang Duy</v>
      </c>
    </row>
    <row r="1156" spans="1:15">
      <c r="A1156" s="32" t="s">
        <v>136</v>
      </c>
      <c r="B1156" s="32" t="s">
        <v>44</v>
      </c>
      <c r="C1156" s="33">
        <v>46023</v>
      </c>
      <c r="D1156" s="32">
        <v>917773898</v>
      </c>
      <c r="E1156" s="32">
        <v>505313750</v>
      </c>
      <c r="F1156" s="32" t="s">
        <v>122</v>
      </c>
      <c r="G1156" s="32" t="s">
        <v>46</v>
      </c>
      <c r="H1156" s="32" t="s">
        <v>51</v>
      </c>
      <c r="I1156" s="32">
        <v>1136.1500000000001</v>
      </c>
      <c r="J1156" s="32">
        <v>145.80099999999999</v>
      </c>
      <c r="K1156" s="32" t="b">
        <v>1</v>
      </c>
      <c r="L1156" s="32" t="s">
        <v>47</v>
      </c>
      <c r="M1156" s="32" t="s">
        <v>48</v>
      </c>
      <c r="N1156" s="34">
        <v>46063</v>
      </c>
      <c r="O1156" s="35" t="str">
        <f t="shared" si="4"/>
        <v>Lê Xuân Trình</v>
      </c>
    </row>
    <row r="1157" spans="1:15">
      <c r="A1157" s="32" t="s">
        <v>242</v>
      </c>
      <c r="B1157" s="32" t="s">
        <v>44</v>
      </c>
      <c r="C1157" s="33">
        <v>46023</v>
      </c>
      <c r="D1157" s="32">
        <v>919990052</v>
      </c>
      <c r="E1157" s="32">
        <v>473395439</v>
      </c>
      <c r="F1157" s="32" t="s">
        <v>243</v>
      </c>
      <c r="G1157" s="32" t="s">
        <v>46</v>
      </c>
      <c r="H1157" s="32" t="s">
        <v>18</v>
      </c>
      <c r="I1157" s="32">
        <v>639.30899999999997</v>
      </c>
      <c r="J1157" s="32">
        <v>92.206000000000003</v>
      </c>
      <c r="K1157" s="32" t="b">
        <v>1</v>
      </c>
      <c r="L1157" s="32" t="s">
        <v>47</v>
      </c>
      <c r="M1157" s="32" t="s">
        <v>48</v>
      </c>
      <c r="N1157" s="32" t="s">
        <v>158</v>
      </c>
      <c r="O1157" s="35" t="str">
        <f t="shared" si="4"/>
        <v>Nguyễn Thế Sự</v>
      </c>
    </row>
    <row r="1158" spans="1:15">
      <c r="A1158" s="32" t="s">
        <v>241</v>
      </c>
      <c r="B1158" s="32" t="s">
        <v>44</v>
      </c>
      <c r="C1158" s="33">
        <v>46023</v>
      </c>
      <c r="D1158" s="32">
        <v>913443091</v>
      </c>
      <c r="E1158" s="32">
        <v>497825954</v>
      </c>
      <c r="F1158" s="32" t="s">
        <v>50</v>
      </c>
      <c r="G1158" s="32" t="s">
        <v>46</v>
      </c>
      <c r="H1158" s="32" t="s">
        <v>51</v>
      </c>
      <c r="I1158" s="32">
        <v>184.22300000000001</v>
      </c>
      <c r="J1158" s="32">
        <v>76.149000000000001</v>
      </c>
      <c r="K1158" s="32" t="b">
        <v>1</v>
      </c>
      <c r="L1158" s="32" t="s">
        <v>47</v>
      </c>
      <c r="M1158" s="32" t="s">
        <v>48</v>
      </c>
      <c r="N1158" s="34">
        <v>46239</v>
      </c>
      <c r="O1158" s="35" t="str">
        <f t="shared" si="4"/>
        <v>Nguyễn Khương Minh</v>
      </c>
    </row>
    <row r="1159" spans="1:15">
      <c r="A1159" s="32" t="s">
        <v>241</v>
      </c>
      <c r="B1159" s="32" t="s">
        <v>44</v>
      </c>
      <c r="C1159" s="33">
        <v>46023</v>
      </c>
      <c r="D1159" s="32">
        <v>913443091</v>
      </c>
      <c r="E1159" s="32">
        <v>497825954</v>
      </c>
      <c r="F1159" s="32" t="s">
        <v>50</v>
      </c>
      <c r="G1159" s="32" t="s">
        <v>46</v>
      </c>
      <c r="H1159" s="32" t="s">
        <v>51</v>
      </c>
      <c r="I1159" s="32">
        <v>184.22300000000001</v>
      </c>
      <c r="J1159" s="32">
        <v>76.149000000000001</v>
      </c>
      <c r="K1159" s="32" t="b">
        <v>1</v>
      </c>
      <c r="L1159" s="32" t="s">
        <v>47</v>
      </c>
      <c r="M1159" s="32" t="s">
        <v>48</v>
      </c>
      <c r="N1159" s="34">
        <v>46239</v>
      </c>
      <c r="O1159" s="35" t="str">
        <f t="shared" si="4"/>
        <v>Nguyễn Khương Minh</v>
      </c>
    </row>
    <row r="1160" spans="1:15">
      <c r="A1160" s="32" t="s">
        <v>89</v>
      </c>
      <c r="B1160" s="32" t="s">
        <v>44</v>
      </c>
      <c r="C1160" s="33">
        <v>46023</v>
      </c>
      <c r="D1160" s="32">
        <v>837012768</v>
      </c>
      <c r="E1160" s="32">
        <v>276156622</v>
      </c>
      <c r="F1160" s="32" t="s">
        <v>90</v>
      </c>
      <c r="G1160" s="32" t="s">
        <v>46</v>
      </c>
      <c r="H1160" s="32" t="s">
        <v>51</v>
      </c>
      <c r="I1160" s="32">
        <v>629.53700000000003</v>
      </c>
      <c r="J1160" s="32">
        <v>106.197</v>
      </c>
      <c r="K1160" s="32" t="b">
        <v>1</v>
      </c>
      <c r="L1160" s="32" t="s">
        <v>47</v>
      </c>
      <c r="M1160" s="32" t="s">
        <v>63</v>
      </c>
      <c r="N1160" s="34">
        <v>46184</v>
      </c>
      <c r="O1160" s="35" t="str">
        <f t="shared" si="4"/>
        <v>Nguyễn Thành Chí</v>
      </c>
    </row>
    <row r="1161" spans="1:15">
      <c r="A1161" s="32" t="s">
        <v>49</v>
      </c>
      <c r="B1161" s="32" t="s">
        <v>44</v>
      </c>
      <c r="C1161" s="33">
        <v>46023</v>
      </c>
      <c r="D1161" s="32">
        <v>828926567</v>
      </c>
      <c r="E1161" s="32">
        <v>493854272</v>
      </c>
      <c r="F1161" s="32" t="s">
        <v>50</v>
      </c>
      <c r="G1161" s="32" t="s">
        <v>46</v>
      </c>
      <c r="H1161" s="32" t="s">
        <v>58</v>
      </c>
      <c r="I1161" s="32">
        <v>1107.7439999999999</v>
      </c>
      <c r="J1161" s="32">
        <v>159.916</v>
      </c>
      <c r="K1161" s="32" t="b">
        <v>0</v>
      </c>
      <c r="L1161" s="32" t="s">
        <v>47</v>
      </c>
      <c r="M1161" s="32" t="s">
        <v>48</v>
      </c>
      <c r="N1161" s="34">
        <v>46028</v>
      </c>
      <c r="O1161" s="35" t="str">
        <f t="shared" si="4"/>
        <v>Phạm Nguyễn Quang Huy</v>
      </c>
    </row>
    <row r="1162" spans="1:15">
      <c r="A1162" s="32" t="s">
        <v>49</v>
      </c>
      <c r="B1162" s="32" t="s">
        <v>44</v>
      </c>
      <c r="C1162" s="33">
        <v>46023</v>
      </c>
      <c r="D1162" s="32">
        <v>947245878</v>
      </c>
      <c r="E1162" s="32">
        <v>493854272</v>
      </c>
      <c r="F1162" s="32" t="s">
        <v>50</v>
      </c>
      <c r="G1162" s="32" t="s">
        <v>46</v>
      </c>
      <c r="H1162" s="32" t="s">
        <v>58</v>
      </c>
      <c r="I1162" s="32">
        <v>1107.7439999999999</v>
      </c>
      <c r="J1162" s="32">
        <v>159.916</v>
      </c>
      <c r="K1162" s="32" t="b">
        <v>0</v>
      </c>
      <c r="L1162" s="32" t="s">
        <v>47</v>
      </c>
      <c r="M1162" s="32" t="s">
        <v>48</v>
      </c>
      <c r="N1162" s="34">
        <v>46028</v>
      </c>
      <c r="O1162" s="35" t="str">
        <f t="shared" si="4"/>
        <v>Phạm Nguyễn Quang Huy</v>
      </c>
    </row>
    <row r="1163" spans="1:15">
      <c r="A1163" s="32" t="s">
        <v>241</v>
      </c>
      <c r="B1163" s="32" t="s">
        <v>44</v>
      </c>
      <c r="C1163" s="33">
        <v>46023</v>
      </c>
      <c r="D1163" s="32">
        <v>913443091</v>
      </c>
      <c r="E1163" s="32">
        <v>497825954</v>
      </c>
      <c r="F1163" s="32" t="s">
        <v>50</v>
      </c>
      <c r="G1163" s="32" t="s">
        <v>46</v>
      </c>
      <c r="H1163" s="32" t="s">
        <v>58</v>
      </c>
      <c r="I1163" s="32">
        <v>977.22900000000004</v>
      </c>
      <c r="J1163" s="32">
        <v>110.72</v>
      </c>
      <c r="K1163" s="32" t="b">
        <v>1</v>
      </c>
      <c r="L1163" s="32" t="s">
        <v>47</v>
      </c>
      <c r="M1163" s="32" t="s">
        <v>48</v>
      </c>
      <c r="N1163" s="34">
        <v>46205</v>
      </c>
      <c r="O1163" s="35" t="str">
        <f t="shared" si="4"/>
        <v>Nguyễn Khương Minh</v>
      </c>
    </row>
    <row r="1164" spans="1:15">
      <c r="A1164" s="32" t="s">
        <v>241</v>
      </c>
      <c r="B1164" s="32" t="s">
        <v>44</v>
      </c>
      <c r="C1164" s="33">
        <v>46023</v>
      </c>
      <c r="D1164" s="32">
        <v>913443091</v>
      </c>
      <c r="E1164" s="32">
        <v>497825954</v>
      </c>
      <c r="F1164" s="32" t="s">
        <v>50</v>
      </c>
      <c r="G1164" s="32" t="s">
        <v>46</v>
      </c>
      <c r="H1164" s="32" t="s">
        <v>58</v>
      </c>
      <c r="I1164" s="32">
        <v>977.22900000000004</v>
      </c>
      <c r="J1164" s="32">
        <v>110.72</v>
      </c>
      <c r="K1164" s="32" t="b">
        <v>1</v>
      </c>
      <c r="L1164" s="32" t="s">
        <v>47</v>
      </c>
      <c r="M1164" s="32" t="s">
        <v>48</v>
      </c>
      <c r="N1164" s="34">
        <v>46205</v>
      </c>
      <c r="O1164" s="35" t="str">
        <f t="shared" si="4"/>
        <v>Nguyễn Khương Minh</v>
      </c>
    </row>
    <row r="1165" spans="1:15">
      <c r="A1165" s="32" t="s">
        <v>241</v>
      </c>
      <c r="B1165" s="32" t="s">
        <v>44</v>
      </c>
      <c r="C1165" s="33">
        <v>46023</v>
      </c>
      <c r="D1165" s="32">
        <v>913443091</v>
      </c>
      <c r="E1165" s="32">
        <v>497825954</v>
      </c>
      <c r="F1165" s="32" t="s">
        <v>50</v>
      </c>
      <c r="G1165" s="32" t="s">
        <v>46</v>
      </c>
      <c r="H1165" s="32" t="s">
        <v>58</v>
      </c>
      <c r="I1165" s="32">
        <v>919.72</v>
      </c>
      <c r="J1165" s="32">
        <v>161.18700000000001</v>
      </c>
      <c r="K1165" s="32" t="b">
        <v>1</v>
      </c>
      <c r="L1165" s="32" t="s">
        <v>47</v>
      </c>
      <c r="M1165" s="32" t="s">
        <v>48</v>
      </c>
      <c r="N1165" s="34">
        <v>46026</v>
      </c>
      <c r="O1165" s="35" t="str">
        <f t="shared" si="4"/>
        <v>Nguyễn Khương Minh</v>
      </c>
    </row>
    <row r="1166" spans="1:15">
      <c r="A1166" s="32" t="s">
        <v>241</v>
      </c>
      <c r="B1166" s="32" t="s">
        <v>44</v>
      </c>
      <c r="C1166" s="33">
        <v>46023</v>
      </c>
      <c r="D1166" s="32">
        <v>913443091</v>
      </c>
      <c r="E1166" s="32">
        <v>497825954</v>
      </c>
      <c r="F1166" s="32" t="s">
        <v>50</v>
      </c>
      <c r="G1166" s="32" t="s">
        <v>46</v>
      </c>
      <c r="H1166" s="32" t="s">
        <v>58</v>
      </c>
      <c r="I1166" s="32">
        <v>919.72</v>
      </c>
      <c r="J1166" s="32">
        <v>161.18700000000001</v>
      </c>
      <c r="K1166" s="32" t="b">
        <v>1</v>
      </c>
      <c r="L1166" s="32" t="s">
        <v>47</v>
      </c>
      <c r="M1166" s="32" t="s">
        <v>48</v>
      </c>
      <c r="N1166" s="34">
        <v>46026</v>
      </c>
      <c r="O1166" s="35" t="str">
        <f t="shared" si="4"/>
        <v>Nguyễn Khương Minh</v>
      </c>
    </row>
    <row r="1167" spans="1:15">
      <c r="A1167" s="32" t="s">
        <v>241</v>
      </c>
      <c r="B1167" s="32" t="s">
        <v>44</v>
      </c>
      <c r="C1167" s="33">
        <v>46023</v>
      </c>
      <c r="D1167" s="32">
        <v>913443091</v>
      </c>
      <c r="E1167" s="32">
        <v>497825954</v>
      </c>
      <c r="F1167" s="32" t="s">
        <v>50</v>
      </c>
      <c r="G1167" s="32" t="s">
        <v>46</v>
      </c>
      <c r="H1167" s="32" t="s">
        <v>58</v>
      </c>
      <c r="I1167" s="32">
        <v>161.87100000000001</v>
      </c>
      <c r="J1167" s="32">
        <v>76.451999999999998</v>
      </c>
      <c r="K1167" s="32" t="b">
        <v>1</v>
      </c>
      <c r="L1167" s="32" t="s">
        <v>47</v>
      </c>
      <c r="M1167" s="32" t="s">
        <v>48</v>
      </c>
      <c r="N1167" s="34">
        <v>46086</v>
      </c>
      <c r="O1167" s="35" t="str">
        <f t="shared" si="4"/>
        <v>Nguyễn Khương Minh</v>
      </c>
    </row>
    <row r="1168" spans="1:15">
      <c r="A1168" s="32" t="s">
        <v>241</v>
      </c>
      <c r="B1168" s="32" t="s">
        <v>44</v>
      </c>
      <c r="C1168" s="33">
        <v>46023</v>
      </c>
      <c r="D1168" s="32">
        <v>913443091</v>
      </c>
      <c r="E1168" s="32">
        <v>497825954</v>
      </c>
      <c r="F1168" s="32" t="s">
        <v>50</v>
      </c>
      <c r="G1168" s="32" t="s">
        <v>46</v>
      </c>
      <c r="H1168" s="32" t="s">
        <v>58</v>
      </c>
      <c r="I1168" s="32">
        <v>161.87100000000001</v>
      </c>
      <c r="J1168" s="32">
        <v>76.451999999999998</v>
      </c>
      <c r="K1168" s="32" t="b">
        <v>1</v>
      </c>
      <c r="L1168" s="32" t="s">
        <v>47</v>
      </c>
      <c r="M1168" s="32" t="s">
        <v>48</v>
      </c>
      <c r="N1168" s="34">
        <v>46086</v>
      </c>
      <c r="O1168" s="35" t="str">
        <f t="shared" si="4"/>
        <v>Nguyễn Khương Minh</v>
      </c>
    </row>
    <row r="1169" spans="1:15">
      <c r="A1169" s="32" t="s">
        <v>241</v>
      </c>
      <c r="B1169" s="32" t="s">
        <v>44</v>
      </c>
      <c r="C1169" s="33">
        <v>46023</v>
      </c>
      <c r="D1169" s="32">
        <v>913443091</v>
      </c>
      <c r="E1169" s="32">
        <v>497825954</v>
      </c>
      <c r="F1169" s="32" t="s">
        <v>50</v>
      </c>
      <c r="G1169" s="32" t="s">
        <v>46</v>
      </c>
      <c r="H1169" s="32" t="s">
        <v>58</v>
      </c>
      <c r="I1169" s="32">
        <v>138.03800000000001</v>
      </c>
      <c r="J1169" s="32">
        <v>57.441000000000003</v>
      </c>
      <c r="K1169" s="32" t="b">
        <v>1</v>
      </c>
      <c r="L1169" s="32" t="s">
        <v>47</v>
      </c>
      <c r="M1169" s="32" t="s">
        <v>48</v>
      </c>
      <c r="N1169" s="34">
        <v>46086</v>
      </c>
      <c r="O1169" s="35" t="str">
        <f t="shared" si="4"/>
        <v>Nguyễn Khương Minh</v>
      </c>
    </row>
    <row r="1170" spans="1:15">
      <c r="A1170" s="32" t="s">
        <v>241</v>
      </c>
      <c r="B1170" s="32" t="s">
        <v>44</v>
      </c>
      <c r="C1170" s="33">
        <v>46023</v>
      </c>
      <c r="D1170" s="32">
        <v>913443091</v>
      </c>
      <c r="E1170" s="32">
        <v>497825954</v>
      </c>
      <c r="F1170" s="32" t="s">
        <v>50</v>
      </c>
      <c r="G1170" s="32" t="s">
        <v>46</v>
      </c>
      <c r="H1170" s="32" t="s">
        <v>58</v>
      </c>
      <c r="I1170" s="32">
        <v>138.03800000000001</v>
      </c>
      <c r="J1170" s="32">
        <v>57.441000000000003</v>
      </c>
      <c r="K1170" s="32" t="b">
        <v>1</v>
      </c>
      <c r="L1170" s="32" t="s">
        <v>47</v>
      </c>
      <c r="M1170" s="32" t="s">
        <v>48</v>
      </c>
      <c r="N1170" s="34">
        <v>46086</v>
      </c>
      <c r="O1170" s="35" t="str">
        <f t="shared" si="4"/>
        <v>Nguyễn Khương Minh</v>
      </c>
    </row>
    <row r="1171" spans="1:15">
      <c r="A1171" s="32" t="s">
        <v>241</v>
      </c>
      <c r="B1171" s="32" t="s">
        <v>44</v>
      </c>
      <c r="C1171" s="33">
        <v>46023</v>
      </c>
      <c r="D1171" s="32">
        <v>913443091</v>
      </c>
      <c r="E1171" s="32">
        <v>497825954</v>
      </c>
      <c r="F1171" s="32" t="s">
        <v>50</v>
      </c>
      <c r="G1171" s="32" t="s">
        <v>46</v>
      </c>
      <c r="H1171" s="32" t="s">
        <v>58</v>
      </c>
      <c r="I1171" s="32">
        <v>32.524999999999999</v>
      </c>
      <c r="J1171" s="32">
        <v>35.494</v>
      </c>
      <c r="K1171" s="32" t="b">
        <v>1</v>
      </c>
      <c r="L1171" s="32" t="s">
        <v>47</v>
      </c>
      <c r="M1171" s="32" t="s">
        <v>48</v>
      </c>
      <c r="N1171" s="34">
        <v>46028</v>
      </c>
      <c r="O1171" s="35" t="str">
        <f t="shared" si="4"/>
        <v>Nguyễn Khương Minh</v>
      </c>
    </row>
    <row r="1172" spans="1:15">
      <c r="A1172" s="32" t="s">
        <v>241</v>
      </c>
      <c r="B1172" s="32" t="s">
        <v>44</v>
      </c>
      <c r="C1172" s="33">
        <v>46023</v>
      </c>
      <c r="D1172" s="32">
        <v>913443091</v>
      </c>
      <c r="E1172" s="32">
        <v>497825954</v>
      </c>
      <c r="F1172" s="32" t="s">
        <v>50</v>
      </c>
      <c r="G1172" s="32" t="s">
        <v>46</v>
      </c>
      <c r="H1172" s="32" t="s">
        <v>58</v>
      </c>
      <c r="I1172" s="32">
        <v>32.524999999999999</v>
      </c>
      <c r="J1172" s="32">
        <v>35.494</v>
      </c>
      <c r="K1172" s="32" t="b">
        <v>1</v>
      </c>
      <c r="L1172" s="32" t="s">
        <v>47</v>
      </c>
      <c r="M1172" s="32" t="s">
        <v>48</v>
      </c>
      <c r="N1172" s="34">
        <v>46028</v>
      </c>
      <c r="O1172" s="35" t="str">
        <f t="shared" si="4"/>
        <v>Nguyễn Khương Minh</v>
      </c>
    </row>
    <row r="1173" spans="1:15">
      <c r="A1173" s="32" t="s">
        <v>81</v>
      </c>
      <c r="B1173" s="32" t="s">
        <v>44</v>
      </c>
      <c r="C1173" s="33">
        <v>46023</v>
      </c>
      <c r="D1173" s="32">
        <v>852226484</v>
      </c>
      <c r="E1173" s="32">
        <v>494036091</v>
      </c>
      <c r="F1173" s="32" t="s">
        <v>82</v>
      </c>
      <c r="G1173" s="32" t="s">
        <v>46</v>
      </c>
      <c r="H1173" s="32" t="s">
        <v>51</v>
      </c>
      <c r="I1173" s="32">
        <v>90.484999999999999</v>
      </c>
      <c r="J1173" s="32">
        <v>32.69</v>
      </c>
      <c r="K1173" s="32" t="b">
        <v>1</v>
      </c>
      <c r="L1173" s="32" t="s">
        <v>79</v>
      </c>
      <c r="M1173" s="32" t="s">
        <v>48</v>
      </c>
      <c r="N1173" s="34">
        <v>46150</v>
      </c>
      <c r="O1173" s="35" t="str">
        <f t="shared" si="4"/>
        <v>Phù Hoàng Thành</v>
      </c>
    </row>
    <row r="1174" spans="1:15">
      <c r="A1174" s="32" t="s">
        <v>81</v>
      </c>
      <c r="B1174" s="32" t="s">
        <v>44</v>
      </c>
      <c r="C1174" s="33">
        <v>46023</v>
      </c>
      <c r="D1174" s="32">
        <v>832428439</v>
      </c>
      <c r="E1174" s="32">
        <v>494036091</v>
      </c>
      <c r="F1174" s="32" t="s">
        <v>82</v>
      </c>
      <c r="G1174" s="32" t="s">
        <v>46</v>
      </c>
      <c r="H1174" s="32" t="s">
        <v>51</v>
      </c>
      <c r="I1174" s="32">
        <v>90.484999999999999</v>
      </c>
      <c r="J1174" s="32">
        <v>32.69</v>
      </c>
      <c r="K1174" s="32" t="b">
        <v>1</v>
      </c>
      <c r="L1174" s="32" t="s">
        <v>79</v>
      </c>
      <c r="M1174" s="32" t="s">
        <v>48</v>
      </c>
      <c r="N1174" s="34">
        <v>46150</v>
      </c>
      <c r="O1174" s="35" t="str">
        <f t="shared" si="4"/>
        <v>Phù Hoàng Thành</v>
      </c>
    </row>
    <row r="1175" spans="1:15">
      <c r="A1175" s="32" t="s">
        <v>81</v>
      </c>
      <c r="B1175" s="32" t="s">
        <v>44</v>
      </c>
      <c r="C1175" s="33">
        <v>46023</v>
      </c>
      <c r="D1175" s="32">
        <v>832428439</v>
      </c>
      <c r="E1175" s="32">
        <v>494036091</v>
      </c>
      <c r="F1175" s="32" t="s">
        <v>82</v>
      </c>
      <c r="G1175" s="32" t="s">
        <v>46</v>
      </c>
      <c r="H1175" s="32" t="s">
        <v>51</v>
      </c>
      <c r="I1175" s="32">
        <v>118.851</v>
      </c>
      <c r="J1175" s="32">
        <v>30.923999999999999</v>
      </c>
      <c r="K1175" s="32" t="b">
        <v>1</v>
      </c>
      <c r="L1175" s="32" t="s">
        <v>79</v>
      </c>
      <c r="M1175" s="32" t="s">
        <v>48</v>
      </c>
      <c r="N1175" s="34">
        <v>46120</v>
      </c>
      <c r="O1175" s="35" t="str">
        <f t="shared" si="4"/>
        <v>Phù Hoàng Thành</v>
      </c>
    </row>
    <row r="1176" spans="1:15">
      <c r="A1176" s="32" t="s">
        <v>81</v>
      </c>
      <c r="B1176" s="32" t="s">
        <v>44</v>
      </c>
      <c r="C1176" s="33">
        <v>46023</v>
      </c>
      <c r="D1176" s="32">
        <v>852226484</v>
      </c>
      <c r="E1176" s="32">
        <v>494036091</v>
      </c>
      <c r="F1176" s="32" t="s">
        <v>82</v>
      </c>
      <c r="G1176" s="32" t="s">
        <v>46</v>
      </c>
      <c r="H1176" s="32" t="s">
        <v>51</v>
      </c>
      <c r="I1176" s="32">
        <v>118.851</v>
      </c>
      <c r="J1176" s="32">
        <v>30.923999999999999</v>
      </c>
      <c r="K1176" s="32" t="b">
        <v>1</v>
      </c>
      <c r="L1176" s="32" t="s">
        <v>79</v>
      </c>
      <c r="M1176" s="32" t="s">
        <v>48</v>
      </c>
      <c r="N1176" s="34">
        <v>46120</v>
      </c>
      <c r="O1176" s="35" t="str">
        <f t="shared" si="4"/>
        <v>Phù Hoàng Thành</v>
      </c>
    </row>
    <row r="1177" spans="1:15">
      <c r="A1177" s="32" t="s">
        <v>85</v>
      </c>
      <c r="B1177" s="32" t="s">
        <v>44</v>
      </c>
      <c r="C1177" s="33">
        <v>46023</v>
      </c>
      <c r="D1177" s="32">
        <v>918128333</v>
      </c>
      <c r="E1177" s="32">
        <v>362213178</v>
      </c>
      <c r="F1177" s="32" t="s">
        <v>86</v>
      </c>
      <c r="G1177" s="32" t="s">
        <v>46</v>
      </c>
      <c r="H1177" s="32" t="s">
        <v>261</v>
      </c>
      <c r="I1177" s="32">
        <v>769.66200000000003</v>
      </c>
      <c r="J1177" s="32">
        <v>108.41200000000001</v>
      </c>
      <c r="K1177" s="32" t="b">
        <v>1</v>
      </c>
      <c r="L1177" s="32" t="s">
        <v>47</v>
      </c>
      <c r="M1177" s="32" t="s">
        <v>48</v>
      </c>
      <c r="N1177" s="34">
        <v>46253</v>
      </c>
      <c r="O1177" s="35" t="str">
        <f t="shared" si="4"/>
        <v>Trần Minh Tuấn1</v>
      </c>
    </row>
    <row r="1178" spans="1:15">
      <c r="A1178" s="32"/>
      <c r="B1178" s="32"/>
      <c r="C1178" s="33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4"/>
    </row>
    <row r="1179" spans="1:15">
      <c r="A1179" s="32"/>
      <c r="B1179" s="32"/>
      <c r="C1179" s="33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4"/>
    </row>
    <row r="1180" spans="1:15">
      <c r="A1180" s="32"/>
      <c r="B1180" s="32"/>
      <c r="C1180" s="33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4"/>
    </row>
    <row r="1181" spans="1:15">
      <c r="A1181" s="32"/>
      <c r="B1181" s="32"/>
      <c r="C1181" s="33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4"/>
    </row>
    <row r="1182" spans="1:15">
      <c r="A1182" s="32"/>
      <c r="B1182" s="32"/>
      <c r="C1182" s="33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4"/>
    </row>
    <row r="1183" spans="1:15">
      <c r="A1183" s="32"/>
      <c r="B1183" s="32"/>
      <c r="C1183" s="33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4"/>
    </row>
    <row r="1184" spans="1:15">
      <c r="A1184" s="32"/>
      <c r="B1184" s="32"/>
      <c r="C1184" s="33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4"/>
    </row>
    <row r="1185" spans="1:14">
      <c r="A1185" s="32"/>
      <c r="B1185" s="32"/>
      <c r="C1185" s="33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4"/>
    </row>
    <row r="1186" spans="1:14">
      <c r="A1186" s="32"/>
      <c r="B1186" s="32"/>
      <c r="C1186" s="33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4"/>
    </row>
    <row r="1187" spans="1:14">
      <c r="A1187" s="32"/>
      <c r="B1187" s="32"/>
      <c r="C1187" s="33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4"/>
    </row>
    <row r="1188" spans="1:14">
      <c r="A1188" s="32"/>
      <c r="B1188" s="32"/>
      <c r="C1188" s="33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4"/>
    </row>
    <row r="1189" spans="1:14">
      <c r="A1189" s="32"/>
      <c r="B1189" s="32"/>
      <c r="C1189" s="33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4"/>
    </row>
    <row r="1190" spans="1:14">
      <c r="A1190" s="32"/>
      <c r="B1190" s="32"/>
      <c r="C1190" s="33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4"/>
    </row>
    <row r="1191" spans="1:14">
      <c r="A1191" s="32"/>
      <c r="B1191" s="32"/>
      <c r="C1191" s="33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4"/>
    </row>
    <row r="1192" spans="1:14">
      <c r="A1192" s="32"/>
      <c r="B1192" s="32"/>
      <c r="C1192" s="33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4"/>
    </row>
    <row r="1193" spans="1:14">
      <c r="A1193" s="32"/>
      <c r="B1193" s="32"/>
      <c r="C1193" s="33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4"/>
    </row>
    <row r="1194" spans="1:14">
      <c r="A1194" s="32"/>
      <c r="B1194" s="32"/>
      <c r="C1194" s="33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4"/>
    </row>
    <row r="1195" spans="1:14">
      <c r="A1195" s="32"/>
      <c r="B1195" s="32"/>
      <c r="C1195" s="33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4"/>
    </row>
    <row r="1196" spans="1:14">
      <c r="A1196" s="32"/>
      <c r="B1196" s="32"/>
      <c r="C1196" s="33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4"/>
    </row>
    <row r="1197" spans="1:14">
      <c r="A1197" s="32"/>
      <c r="B1197" s="32"/>
      <c r="C1197" s="33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4"/>
    </row>
    <row r="1198" spans="1:14">
      <c r="A1198" s="32"/>
      <c r="B1198" s="32"/>
      <c r="C1198" s="33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4"/>
    </row>
    <row r="1199" spans="1:14">
      <c r="A1199" s="32"/>
      <c r="B1199" s="32"/>
      <c r="C1199" s="33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4"/>
    </row>
    <row r="1200" spans="1:14">
      <c r="A1200" s="32"/>
      <c r="B1200" s="32"/>
      <c r="C1200" s="33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4"/>
    </row>
    <row r="1201" spans="1:14">
      <c r="A1201" s="32"/>
      <c r="B1201" s="32"/>
      <c r="C1201" s="33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4"/>
    </row>
    <row r="1202" spans="1:14">
      <c r="A1202" s="32"/>
      <c r="B1202" s="32"/>
      <c r="C1202" s="33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4"/>
    </row>
    <row r="1203" spans="1:14">
      <c r="A1203" s="32"/>
      <c r="B1203" s="32"/>
      <c r="C1203" s="33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4"/>
    </row>
    <row r="1204" spans="1:14">
      <c r="A1204" s="32"/>
      <c r="B1204" s="32"/>
      <c r="C1204" s="33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4"/>
    </row>
    <row r="1205" spans="1:14">
      <c r="A1205" s="32"/>
      <c r="B1205" s="32"/>
      <c r="C1205" s="33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4"/>
    </row>
    <row r="1206" spans="1:14">
      <c r="A1206" s="32"/>
      <c r="B1206" s="32"/>
      <c r="C1206" s="33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4"/>
    </row>
    <row r="1207" spans="1:14">
      <c r="A1207" s="32"/>
      <c r="B1207" s="32"/>
      <c r="C1207" s="33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4"/>
    </row>
    <row r="1208" spans="1:14">
      <c r="A1208" s="32"/>
      <c r="B1208" s="32"/>
      <c r="C1208" s="33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4"/>
    </row>
    <row r="1209" spans="1:14">
      <c r="A1209" s="32"/>
      <c r="B1209" s="32"/>
      <c r="C1209" s="33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4"/>
    </row>
    <row r="1210" spans="1:14">
      <c r="A1210" s="32"/>
      <c r="B1210" s="32"/>
      <c r="C1210" s="33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4"/>
    </row>
    <row r="1211" spans="1:14">
      <c r="A1211" s="32"/>
      <c r="B1211" s="32"/>
      <c r="C1211" s="33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4"/>
    </row>
    <row r="1212" spans="1:14">
      <c r="A1212" s="32"/>
      <c r="B1212" s="32"/>
      <c r="C1212" s="33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4"/>
    </row>
    <row r="1213" spans="1:14">
      <c r="A1213" s="32"/>
      <c r="B1213" s="32"/>
      <c r="C1213" s="33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4"/>
    </row>
    <row r="1214" spans="1:14">
      <c r="A1214" s="32"/>
      <c r="B1214" s="32"/>
      <c r="C1214" s="33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4"/>
    </row>
    <row r="1215" spans="1:14">
      <c r="A1215" s="32"/>
      <c r="B1215" s="32"/>
      <c r="C1215" s="33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4"/>
    </row>
    <row r="1216" spans="1:14">
      <c r="A1216" s="32"/>
      <c r="B1216" s="32"/>
      <c r="C1216" s="33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4"/>
    </row>
    <row r="1217" spans="1:14">
      <c r="A1217" s="32"/>
      <c r="B1217" s="32"/>
      <c r="C1217" s="33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4"/>
    </row>
    <row r="1218" spans="1:14">
      <c r="A1218" s="32"/>
      <c r="B1218" s="32"/>
      <c r="C1218" s="33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4"/>
    </row>
    <row r="1219" spans="1:14">
      <c r="A1219" s="32"/>
      <c r="B1219" s="32"/>
      <c r="C1219" s="33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4"/>
    </row>
    <row r="1220" spans="1:14">
      <c r="A1220" s="32"/>
      <c r="B1220" s="32"/>
      <c r="C1220" s="33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4"/>
    </row>
    <row r="1221" spans="1:14">
      <c r="A1221" s="32"/>
      <c r="B1221" s="32"/>
      <c r="C1221" s="33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4"/>
    </row>
    <row r="1222" spans="1:14">
      <c r="A1222" s="32"/>
      <c r="B1222" s="32"/>
      <c r="C1222" s="33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4"/>
    </row>
    <row r="1223" spans="1:14">
      <c r="A1223" s="32"/>
      <c r="B1223" s="32"/>
      <c r="C1223" s="33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4"/>
    </row>
    <row r="1224" spans="1:14">
      <c r="A1224" s="32"/>
      <c r="B1224" s="32"/>
      <c r="C1224" s="33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4"/>
    </row>
    <row r="1225" spans="1:14">
      <c r="A1225" s="32"/>
      <c r="B1225" s="32"/>
      <c r="C1225" s="33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4"/>
    </row>
    <row r="1226" spans="1:14">
      <c r="A1226" s="32"/>
      <c r="B1226" s="32"/>
      <c r="C1226" s="33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4"/>
    </row>
    <row r="1227" spans="1:14">
      <c r="A1227" s="32"/>
      <c r="B1227" s="32"/>
      <c r="C1227" s="33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4"/>
    </row>
    <row r="1228" spans="1:14">
      <c r="A1228" s="32"/>
      <c r="B1228" s="32"/>
      <c r="C1228" s="33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4"/>
    </row>
    <row r="1229" spans="1:14">
      <c r="A1229" s="32"/>
      <c r="B1229" s="32"/>
      <c r="C1229" s="33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4"/>
    </row>
    <row r="1230" spans="1:14">
      <c r="A1230" s="32"/>
      <c r="B1230" s="32"/>
      <c r="C1230" s="33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4"/>
    </row>
    <row r="1231" spans="1:14">
      <c r="A1231" s="32"/>
      <c r="B1231" s="32"/>
      <c r="C1231" s="33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4"/>
    </row>
    <row r="1232" spans="1:14">
      <c r="A1232" s="32"/>
      <c r="B1232" s="32"/>
      <c r="C1232" s="33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4"/>
    </row>
    <row r="1233" spans="1:14">
      <c r="A1233" s="32"/>
      <c r="B1233" s="32"/>
      <c r="C1233" s="33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4"/>
    </row>
    <row r="1234" spans="1:14">
      <c r="A1234" s="32"/>
      <c r="B1234" s="32"/>
      <c r="C1234" s="33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4"/>
    </row>
    <row r="1235" spans="1:14">
      <c r="A1235" s="32"/>
      <c r="B1235" s="32"/>
      <c r="C1235" s="33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4"/>
    </row>
    <row r="1236" spans="1:14">
      <c r="A1236" s="32"/>
      <c r="B1236" s="32"/>
      <c r="C1236" s="33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4"/>
    </row>
    <row r="1237" spans="1:14">
      <c r="A1237" s="32"/>
      <c r="B1237" s="32"/>
      <c r="C1237" s="33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4"/>
    </row>
    <row r="1238" spans="1:14">
      <c r="A1238" s="32"/>
      <c r="B1238" s="32"/>
      <c r="C1238" s="33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4"/>
    </row>
    <row r="1239" spans="1:14">
      <c r="A1239" s="32"/>
      <c r="B1239" s="32"/>
      <c r="C1239" s="33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4"/>
    </row>
    <row r="1240" spans="1:14">
      <c r="A1240" s="32"/>
      <c r="B1240" s="32"/>
      <c r="C1240" s="33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4"/>
    </row>
    <row r="1241" spans="1:14">
      <c r="A1241" s="32"/>
      <c r="B1241" s="32"/>
      <c r="C1241" s="33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4"/>
    </row>
    <row r="1242" spans="1:14">
      <c r="A1242" s="32"/>
      <c r="B1242" s="32"/>
      <c r="C1242" s="33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4"/>
    </row>
    <row r="1243" spans="1:14">
      <c r="A1243" s="32"/>
      <c r="B1243" s="32"/>
      <c r="C1243" s="33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4"/>
    </row>
    <row r="1244" spans="1:14">
      <c r="A1244" s="32"/>
      <c r="B1244" s="32"/>
      <c r="C1244" s="33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4"/>
    </row>
    <row r="1245" spans="1:14">
      <c r="A1245" s="32"/>
      <c r="B1245" s="32"/>
      <c r="C1245" s="33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4"/>
    </row>
    <row r="1246" spans="1:14">
      <c r="A1246" s="32"/>
      <c r="B1246" s="32"/>
      <c r="C1246" s="33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4"/>
    </row>
    <row r="1247" spans="1:14">
      <c r="A1247" s="32"/>
      <c r="B1247" s="32"/>
      <c r="C1247" s="33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4"/>
    </row>
    <row r="1248" spans="1:14">
      <c r="A1248" s="32"/>
      <c r="B1248" s="32"/>
      <c r="C1248" s="33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4"/>
    </row>
    <row r="1249" spans="1:14">
      <c r="A1249" s="32"/>
      <c r="B1249" s="32"/>
      <c r="C1249" s="33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4"/>
    </row>
    <row r="1250" spans="1:14">
      <c r="A1250" s="32"/>
      <c r="B1250" s="32"/>
      <c r="C1250" s="33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4"/>
    </row>
    <row r="1251" spans="1:14">
      <c r="A1251" s="32"/>
      <c r="B1251" s="32"/>
      <c r="C1251" s="33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4"/>
    </row>
    <row r="1252" spans="1:14">
      <c r="A1252" s="32"/>
      <c r="B1252" s="32"/>
      <c r="C1252" s="33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4"/>
    </row>
    <row r="1253" spans="1:14">
      <c r="A1253" s="32"/>
      <c r="B1253" s="32"/>
      <c r="C1253" s="33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4"/>
    </row>
    <row r="1254" spans="1:14">
      <c r="A1254" s="32"/>
      <c r="B1254" s="32"/>
      <c r="C1254" s="33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4"/>
    </row>
    <row r="1255" spans="1:14">
      <c r="A1255" s="32"/>
      <c r="B1255" s="32"/>
      <c r="C1255" s="33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4"/>
    </row>
    <row r="1256" spans="1:14">
      <c r="A1256" s="32"/>
      <c r="B1256" s="32"/>
      <c r="C1256" s="33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4"/>
    </row>
    <row r="1257" spans="1:14">
      <c r="A1257" s="32"/>
      <c r="B1257" s="32"/>
      <c r="C1257" s="33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4"/>
    </row>
    <row r="1258" spans="1:14">
      <c r="A1258" s="32"/>
      <c r="B1258" s="32"/>
      <c r="C1258" s="33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4"/>
    </row>
    <row r="1259" spans="1:14">
      <c r="A1259" s="32"/>
      <c r="B1259" s="32"/>
      <c r="C1259" s="33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4"/>
    </row>
    <row r="1260" spans="1:14">
      <c r="A1260" s="32"/>
      <c r="B1260" s="32"/>
      <c r="C1260" s="33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4"/>
    </row>
    <row r="1261" spans="1:14">
      <c r="A1261" s="32"/>
      <c r="B1261" s="32"/>
      <c r="C1261" s="33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4"/>
    </row>
    <row r="1262" spans="1:14">
      <c r="A1262" s="32"/>
      <c r="B1262" s="32"/>
      <c r="C1262" s="33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4"/>
    </row>
    <row r="1263" spans="1:14">
      <c r="A1263" s="32"/>
      <c r="B1263" s="32"/>
      <c r="C1263" s="33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4"/>
    </row>
    <row r="1264" spans="1:14">
      <c r="A1264" s="32"/>
      <c r="B1264" s="32"/>
      <c r="C1264" s="33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4"/>
    </row>
    <row r="1265" spans="1:14">
      <c r="A1265" s="32"/>
      <c r="B1265" s="32"/>
      <c r="C1265" s="33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4"/>
    </row>
    <row r="1266" spans="1:14">
      <c r="A1266" s="32"/>
      <c r="B1266" s="32"/>
      <c r="C1266" s="33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4"/>
    </row>
    <row r="1267" spans="1:14">
      <c r="A1267" s="32"/>
      <c r="B1267" s="32"/>
      <c r="C1267" s="33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4"/>
    </row>
    <row r="1268" spans="1:14">
      <c r="A1268" s="32"/>
      <c r="B1268" s="32"/>
      <c r="C1268" s="33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4"/>
    </row>
    <row r="1269" spans="1:14">
      <c r="A1269" s="32"/>
      <c r="B1269" s="32"/>
      <c r="C1269" s="33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4"/>
    </row>
    <row r="1270" spans="1:14">
      <c r="A1270" s="32"/>
      <c r="B1270" s="32"/>
      <c r="C1270" s="33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4"/>
    </row>
    <row r="1271" spans="1:14">
      <c r="A1271" s="32"/>
      <c r="B1271" s="32"/>
      <c r="C1271" s="33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4"/>
    </row>
    <row r="1272" spans="1:14">
      <c r="A1272" s="32"/>
      <c r="B1272" s="32"/>
      <c r="C1272" s="33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4"/>
    </row>
    <row r="1273" spans="1:14">
      <c r="A1273" s="32"/>
      <c r="B1273" s="32"/>
      <c r="C1273" s="33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4"/>
    </row>
    <row r="1274" spans="1:14">
      <c r="A1274" s="32"/>
      <c r="B1274" s="32"/>
      <c r="C1274" s="33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4"/>
    </row>
    <row r="1275" spans="1:14">
      <c r="A1275" s="32"/>
      <c r="B1275" s="32"/>
      <c r="C1275" s="33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4"/>
    </row>
    <row r="1276" spans="1:14">
      <c r="A1276" s="32"/>
      <c r="B1276" s="32"/>
      <c r="C1276" s="33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4"/>
    </row>
    <row r="1277" spans="1:14">
      <c r="A1277" s="32"/>
      <c r="B1277" s="32"/>
      <c r="C1277" s="33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70"/>
  <sheetViews>
    <sheetView workbookViewId="0">
      <pane ySplit="6" topLeftCell="A234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1.710937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21.28515625" customWidth="1"/>
    <col min="13" max="13" width="7.42578125" customWidth="1"/>
    <col min="14" max="14" width="9.7109375" customWidth="1"/>
    <col min="15" max="15" width="16" customWidth="1"/>
  </cols>
  <sheetData>
    <row r="1" spans="1:29" ht="15.75" customHeight="1">
      <c r="A1" s="566" t="s">
        <v>268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48" t="s">
        <v>269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101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0.6633663366336634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43" t="s">
        <v>280</v>
      </c>
      <c r="K6" s="44" t="s">
        <v>281</v>
      </c>
      <c r="L6" s="559"/>
      <c r="M6" s="45">
        <f t="shared" ref="M6:N6" ca="1" si="0">SUM(M7:M470)</f>
        <v>110</v>
      </c>
      <c r="N6" s="45">
        <f t="shared" ca="1" si="0"/>
        <v>101</v>
      </c>
      <c r="O6" s="45">
        <f ca="1">SUM(O7:O999)</f>
        <v>67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(2+QUOTIENT(ROW()-ROW($A$7),16)))="","",ROW()-ROW($A$7)+1)</f>
        <v>1</v>
      </c>
      <c r="B7" s="47" t="str">
        <f ca="1">IF(A7="","","Tổ Hạ tầng " &amp; 'Báo cáo'!B2)</f>
        <v>Tổ Hạ tầng Bến Lức</v>
      </c>
      <c r="C7" s="48" t="str">
        <f t="shared" ref="C7:C261" ca="1" si="2">IF(A7="","",INDIRECT("'DS nhân viên Speedtest'!B"&amp; (2+QUOTIENT(A7-1,16))))</f>
        <v>Đinh Phú Trung</v>
      </c>
      <c r="D7" s="49">
        <f t="shared" ref="D7:D261" ca="1" si="3">IF(A7="","",INDIRECT("'DS nhân viên Speedtest'!C"&amp; (2+QUOTIENT(A7-1,16))))</f>
        <v>918606989</v>
      </c>
      <c r="E7" s="50" t="str">
        <f t="shared" ref="E7:E261" ca="1" si="4">IF(A7="","",INDIRECT("'DS nhân viên Speedtest'!D"&amp; (2+QUOTIENT(A7-1,16))))</f>
        <v>trungdp.lan@vnpt.vn</v>
      </c>
      <c r="F7" s="51" t="str">
        <f t="shared" ref="F7:F261" ca="1" si="5">IF(A7="","","Lần "&amp;(MOD(ROW()-ROW($A$7),16)+1))</f>
        <v>Lần 1</v>
      </c>
      <c r="G7" s="52">
        <v>46204</v>
      </c>
      <c r="H7" s="53">
        <v>275</v>
      </c>
      <c r="I7" s="53" t="s">
        <v>282</v>
      </c>
      <c r="J7" s="54">
        <v>617</v>
      </c>
      <c r="K7" s="54" t="s">
        <v>283</v>
      </c>
      <c r="L7" s="55"/>
      <c r="M7" s="56">
        <f t="shared" ref="M7:M261" ca="1" si="6">IF(B7="","",IF(OR(G7="",H7="",I7=""),0,1))</f>
        <v>1</v>
      </c>
      <c r="N7" s="57">
        <f t="shared" ref="N7:N261" ca="1" si="7">IF(B7="","",IF(OR(G7="",J7="",K7=""),0,1))</f>
        <v>1</v>
      </c>
      <c r="O7" s="58">
        <f t="shared" ref="O7:O261" ca="1" si="8">IF(B7="","",IF((J7-0)&gt;200,1,0))</f>
        <v>1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60" t="str">
        <f t="shared" ref="B8:B262" ca="1" si="9">IF(A8="","",B7)</f>
        <v>Tổ Hạ tầng Bến Lức</v>
      </c>
      <c r="C8" s="61" t="str">
        <f t="shared" ca="1" si="2"/>
        <v>Đinh Phú Trung</v>
      </c>
      <c r="D8" s="62">
        <f t="shared" ca="1" si="3"/>
        <v>918606989</v>
      </c>
      <c r="E8" s="63" t="str">
        <f t="shared" ca="1" si="4"/>
        <v>trungdp.lan@vnpt.vn</v>
      </c>
      <c r="F8" s="64" t="str">
        <f t="shared" ca="1" si="5"/>
        <v>Lần 2</v>
      </c>
      <c r="G8" s="52">
        <v>46204</v>
      </c>
      <c r="H8" s="53">
        <v>284</v>
      </c>
      <c r="I8" s="53" t="s">
        <v>284</v>
      </c>
      <c r="J8" s="54">
        <v>756</v>
      </c>
      <c r="K8" s="54" t="s">
        <v>285</v>
      </c>
      <c r="L8" s="65"/>
      <c r="M8" s="66">
        <f t="shared" ca="1" si="6"/>
        <v>1</v>
      </c>
      <c r="N8" s="67">
        <f t="shared" ca="1" si="7"/>
        <v>1</v>
      </c>
      <c r="O8" s="68">
        <f t="shared" ca="1" si="8"/>
        <v>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60" t="str">
        <f t="shared" ca="1" si="9"/>
        <v>Tổ Hạ tầng Bến Lức</v>
      </c>
      <c r="C9" s="61" t="str">
        <f t="shared" ca="1" si="2"/>
        <v>Đinh Phú Trung</v>
      </c>
      <c r="D9" s="62">
        <f t="shared" ca="1" si="3"/>
        <v>918606989</v>
      </c>
      <c r="E9" s="63" t="str">
        <f t="shared" ca="1" si="4"/>
        <v>trungdp.lan@vnpt.vn</v>
      </c>
      <c r="F9" s="64" t="str">
        <f t="shared" ca="1" si="5"/>
        <v>Lần 3</v>
      </c>
      <c r="G9" s="52">
        <v>46205</v>
      </c>
      <c r="H9" s="53">
        <v>107</v>
      </c>
      <c r="I9" s="53" t="s">
        <v>286</v>
      </c>
      <c r="J9" s="54">
        <v>653</v>
      </c>
      <c r="K9" s="54" t="s">
        <v>286</v>
      </c>
      <c r="L9" s="65"/>
      <c r="M9" s="66">
        <f t="shared" ca="1" si="6"/>
        <v>1</v>
      </c>
      <c r="N9" s="67">
        <f t="shared" ca="1" si="7"/>
        <v>1</v>
      </c>
      <c r="O9" s="68">
        <f t="shared" ca="1" si="8"/>
        <v>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60" t="str">
        <f t="shared" ca="1" si="9"/>
        <v>Tổ Hạ tầng Bến Lức</v>
      </c>
      <c r="C10" s="61" t="str">
        <f t="shared" ca="1" si="2"/>
        <v>Đinh Phú Trung</v>
      </c>
      <c r="D10" s="62">
        <f t="shared" ca="1" si="3"/>
        <v>918606989</v>
      </c>
      <c r="E10" s="63" t="str">
        <f t="shared" ca="1" si="4"/>
        <v>trungdp.lan@vnpt.vn</v>
      </c>
      <c r="F10" s="64" t="str">
        <f t="shared" ca="1" si="5"/>
        <v>Lần 4</v>
      </c>
      <c r="G10" s="52">
        <v>46205</v>
      </c>
      <c r="H10" s="53">
        <v>112</v>
      </c>
      <c r="I10" s="53" t="s">
        <v>287</v>
      </c>
      <c r="J10" s="54">
        <v>692</v>
      </c>
      <c r="K10" s="54" t="s">
        <v>288</v>
      </c>
      <c r="L10" s="65"/>
      <c r="M10" s="66">
        <f t="shared" ca="1" si="6"/>
        <v>1</v>
      </c>
      <c r="N10" s="67">
        <f t="shared" ca="1" si="7"/>
        <v>1</v>
      </c>
      <c r="O10" s="68">
        <f t="shared" ca="1" si="8"/>
        <v>1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60" t="str">
        <f t="shared" ca="1" si="9"/>
        <v>Tổ Hạ tầng Bến Lức</v>
      </c>
      <c r="C11" s="61" t="str">
        <f t="shared" ca="1" si="2"/>
        <v>Đinh Phú Trung</v>
      </c>
      <c r="D11" s="62">
        <f t="shared" ca="1" si="3"/>
        <v>918606989</v>
      </c>
      <c r="E11" s="63" t="str">
        <f t="shared" ca="1" si="4"/>
        <v>trungdp.lan@vnpt.vn</v>
      </c>
      <c r="F11" s="64" t="str">
        <f t="shared" ca="1" si="5"/>
        <v>Lần 5</v>
      </c>
      <c r="G11" s="52">
        <v>46205</v>
      </c>
      <c r="H11" s="53">
        <v>109</v>
      </c>
      <c r="I11" s="53">
        <v>34</v>
      </c>
      <c r="J11" s="54">
        <v>748</v>
      </c>
      <c r="K11" s="69" t="s">
        <v>289</v>
      </c>
      <c r="L11" s="65"/>
      <c r="M11" s="66">
        <f t="shared" ca="1" si="6"/>
        <v>1</v>
      </c>
      <c r="N11" s="67">
        <f t="shared" ca="1" si="7"/>
        <v>1</v>
      </c>
      <c r="O11" s="68">
        <f t="shared" ca="1" si="8"/>
        <v>1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60" t="str">
        <f t="shared" ca="1" si="9"/>
        <v>Tổ Hạ tầng Bến Lức</v>
      </c>
      <c r="C12" s="61" t="str">
        <f t="shared" ca="1" si="2"/>
        <v>Đinh Phú Trung</v>
      </c>
      <c r="D12" s="62">
        <f t="shared" ca="1" si="3"/>
        <v>918606989</v>
      </c>
      <c r="E12" s="63" t="str">
        <f t="shared" ca="1" si="4"/>
        <v>trungdp.lan@vnpt.vn</v>
      </c>
      <c r="F12" s="64" t="str">
        <f t="shared" ca="1" si="5"/>
        <v>Lần 6</v>
      </c>
      <c r="G12" s="52">
        <v>46205</v>
      </c>
      <c r="H12" s="53" t="s">
        <v>290</v>
      </c>
      <c r="I12" s="53">
        <v>34</v>
      </c>
      <c r="J12" s="54">
        <v>748</v>
      </c>
      <c r="K12" s="69" t="s">
        <v>291</v>
      </c>
      <c r="L12" s="65"/>
      <c r="M12" s="66">
        <f t="shared" ca="1" si="6"/>
        <v>1</v>
      </c>
      <c r="N12" s="67">
        <f t="shared" ca="1" si="7"/>
        <v>1</v>
      </c>
      <c r="O12" s="68">
        <f t="shared" ca="1" si="8"/>
        <v>1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60" t="str">
        <f t="shared" ca="1" si="9"/>
        <v>Tổ Hạ tầng Bến Lức</v>
      </c>
      <c r="C13" s="61" t="str">
        <f t="shared" ca="1" si="2"/>
        <v>Đinh Phú Trung</v>
      </c>
      <c r="D13" s="62">
        <f t="shared" ca="1" si="3"/>
        <v>918606989</v>
      </c>
      <c r="E13" s="63" t="str">
        <f t="shared" ca="1" si="4"/>
        <v>trungdp.lan@vnpt.vn</v>
      </c>
      <c r="F13" s="64" t="str">
        <f t="shared" ca="1" si="5"/>
        <v>Lần 7</v>
      </c>
      <c r="G13" s="70">
        <v>46208</v>
      </c>
      <c r="H13" s="71">
        <v>78</v>
      </c>
      <c r="I13" s="71">
        <v>14</v>
      </c>
      <c r="J13" s="72">
        <v>73</v>
      </c>
      <c r="K13" s="73">
        <v>11</v>
      </c>
      <c r="L13" s="65"/>
      <c r="M13" s="66">
        <f t="shared" ca="1" si="6"/>
        <v>1</v>
      </c>
      <c r="N13" s="67">
        <f t="shared" ca="1" si="7"/>
        <v>1</v>
      </c>
      <c r="O13" s="68">
        <f t="shared" ca="1" si="8"/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60" t="str">
        <f t="shared" ca="1" si="9"/>
        <v>Tổ Hạ tầng Bến Lức</v>
      </c>
      <c r="C14" s="61" t="str">
        <f t="shared" ca="1" si="2"/>
        <v>Đinh Phú Trung</v>
      </c>
      <c r="D14" s="62">
        <f t="shared" ca="1" si="3"/>
        <v>918606989</v>
      </c>
      <c r="E14" s="63" t="str">
        <f t="shared" ca="1" si="4"/>
        <v>trungdp.lan@vnpt.vn</v>
      </c>
      <c r="F14" s="64" t="str">
        <f t="shared" ca="1" si="5"/>
        <v>Lần 8</v>
      </c>
      <c r="G14" s="74">
        <v>46209</v>
      </c>
      <c r="H14" s="71">
        <v>132</v>
      </c>
      <c r="I14" s="71">
        <v>21</v>
      </c>
      <c r="J14" s="72">
        <v>100</v>
      </c>
      <c r="K14" s="72">
        <v>14</v>
      </c>
      <c r="L14" s="65"/>
      <c r="M14" s="66">
        <f t="shared" ca="1" si="6"/>
        <v>1</v>
      </c>
      <c r="N14" s="67">
        <f t="shared" ca="1" si="7"/>
        <v>1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60" t="str">
        <f t="shared" ca="1" si="9"/>
        <v>Tổ Hạ tầng Bến Lức</v>
      </c>
      <c r="C15" s="61" t="str">
        <f t="shared" ca="1" si="2"/>
        <v>Đinh Phú Trung</v>
      </c>
      <c r="D15" s="62">
        <f t="shared" ca="1" si="3"/>
        <v>918606989</v>
      </c>
      <c r="E15" s="63" t="str">
        <f t="shared" ca="1" si="4"/>
        <v>trungdp.lan@vnpt.vn</v>
      </c>
      <c r="F15" s="64" t="str">
        <f t="shared" ca="1" si="5"/>
        <v>Lần 9</v>
      </c>
      <c r="G15" s="74">
        <v>46209</v>
      </c>
      <c r="H15" s="71">
        <v>107</v>
      </c>
      <c r="I15" s="71">
        <v>15</v>
      </c>
      <c r="J15" s="72">
        <v>98</v>
      </c>
      <c r="K15" s="72">
        <v>21</v>
      </c>
      <c r="L15" s="65"/>
      <c r="M15" s="66">
        <f t="shared" ca="1" si="6"/>
        <v>1</v>
      </c>
      <c r="N15" s="67">
        <f t="shared" ca="1" si="7"/>
        <v>1</v>
      </c>
      <c r="O15" s="68">
        <f t="shared" ca="1" si="8"/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60" t="str">
        <f t="shared" ca="1" si="9"/>
        <v>Tổ Hạ tầng Bến Lức</v>
      </c>
      <c r="C16" s="61" t="str">
        <f t="shared" ca="1" si="2"/>
        <v>Đinh Phú Trung</v>
      </c>
      <c r="D16" s="62">
        <f t="shared" ca="1" si="3"/>
        <v>918606989</v>
      </c>
      <c r="E16" s="63" t="str">
        <f t="shared" ca="1" si="4"/>
        <v>trungdp.lan@vnpt.vn</v>
      </c>
      <c r="F16" s="64" t="str">
        <f t="shared" ca="1" si="5"/>
        <v>Lần 10</v>
      </c>
      <c r="G16" s="74">
        <v>46209</v>
      </c>
      <c r="H16" s="71">
        <v>77</v>
      </c>
      <c r="I16" s="71">
        <v>46</v>
      </c>
      <c r="J16" s="72">
        <v>82</v>
      </c>
      <c r="K16" s="72">
        <v>13</v>
      </c>
      <c r="L16" s="65"/>
      <c r="M16" s="66">
        <f t="shared" ca="1" si="6"/>
        <v>1</v>
      </c>
      <c r="N16" s="67">
        <f t="shared" ca="1" si="7"/>
        <v>1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60" t="str">
        <f t="shared" ca="1" si="9"/>
        <v>Tổ Hạ tầng Bến Lức</v>
      </c>
      <c r="C17" s="61" t="str">
        <f t="shared" ca="1" si="2"/>
        <v>Đinh Phú Trung</v>
      </c>
      <c r="D17" s="62">
        <f t="shared" ca="1" si="3"/>
        <v>918606989</v>
      </c>
      <c r="E17" s="63" t="str">
        <f t="shared" ca="1" si="4"/>
        <v>trungdp.lan@vnpt.vn</v>
      </c>
      <c r="F17" s="64" t="str">
        <f t="shared" ca="1" si="5"/>
        <v>Lần 11</v>
      </c>
      <c r="G17" s="74">
        <v>46209</v>
      </c>
      <c r="H17" s="75">
        <v>95</v>
      </c>
      <c r="I17" s="75">
        <v>53</v>
      </c>
      <c r="J17" s="72">
        <v>93</v>
      </c>
      <c r="K17" s="73">
        <v>47</v>
      </c>
      <c r="L17" s="65"/>
      <c r="M17" s="66">
        <f t="shared" ca="1" si="6"/>
        <v>1</v>
      </c>
      <c r="N17" s="67">
        <f t="shared" ca="1" si="7"/>
        <v>1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60" t="str">
        <f t="shared" ca="1" si="9"/>
        <v>Tổ Hạ tầng Bến Lức</v>
      </c>
      <c r="C18" s="61" t="str">
        <f t="shared" ca="1" si="2"/>
        <v>Đinh Phú Trung</v>
      </c>
      <c r="D18" s="62">
        <f t="shared" ca="1" si="3"/>
        <v>918606989</v>
      </c>
      <c r="E18" s="63" t="str">
        <f t="shared" ca="1" si="4"/>
        <v>trungdp.lan@vnpt.vn</v>
      </c>
      <c r="F18" s="64" t="str">
        <f t="shared" ca="1" si="5"/>
        <v>Lần 12</v>
      </c>
      <c r="G18" s="76"/>
      <c r="H18" s="75"/>
      <c r="I18" s="75"/>
      <c r="J18" s="75"/>
      <c r="K18" s="75"/>
      <c r="L18" s="65"/>
      <c r="M18" s="66">
        <f t="shared" ca="1" si="6"/>
        <v>0</v>
      </c>
      <c r="N18" s="67">
        <f t="shared" ca="1" si="7"/>
        <v>0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60" t="str">
        <f t="shared" ca="1" si="9"/>
        <v>Tổ Hạ tầng Bến Lức</v>
      </c>
      <c r="C19" s="61" t="str">
        <f t="shared" ca="1" si="2"/>
        <v>Đinh Phú Trung</v>
      </c>
      <c r="D19" s="62">
        <f t="shared" ca="1" si="3"/>
        <v>918606989</v>
      </c>
      <c r="E19" s="63" t="str">
        <f t="shared" ca="1" si="4"/>
        <v>trungdp.lan@vnpt.vn</v>
      </c>
      <c r="F19" s="64" t="str">
        <f t="shared" ca="1" si="5"/>
        <v>Lần 13</v>
      </c>
      <c r="G19" s="77"/>
      <c r="H19" s="78"/>
      <c r="I19" s="78"/>
      <c r="J19" s="79"/>
      <c r="K19" s="79"/>
      <c r="L19" s="65"/>
      <c r="M19" s="66">
        <f t="shared" ca="1" si="6"/>
        <v>0</v>
      </c>
      <c r="N19" s="67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60" t="str">
        <f t="shared" ca="1" si="9"/>
        <v>Tổ Hạ tầng Bến Lức</v>
      </c>
      <c r="C20" s="61" t="str">
        <f t="shared" ca="1" si="2"/>
        <v>Đinh Phú Trung</v>
      </c>
      <c r="D20" s="62">
        <f t="shared" ca="1" si="3"/>
        <v>918606989</v>
      </c>
      <c r="E20" s="63" t="str">
        <f t="shared" ca="1" si="4"/>
        <v>trungdp.lan@vnpt.vn</v>
      </c>
      <c r="F20" s="64" t="str">
        <f t="shared" ca="1" si="5"/>
        <v>Lần 14</v>
      </c>
      <c r="G20" s="77"/>
      <c r="H20" s="78"/>
      <c r="I20" s="78"/>
      <c r="J20" s="79"/>
      <c r="K20" s="79"/>
      <c r="L20" s="65"/>
      <c r="M20" s="66">
        <f t="shared" ca="1" si="6"/>
        <v>0</v>
      </c>
      <c r="N20" s="67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60" t="str">
        <f t="shared" ca="1" si="9"/>
        <v>Tổ Hạ tầng Bến Lức</v>
      </c>
      <c r="C21" s="61" t="str">
        <f t="shared" ca="1" si="2"/>
        <v>Đinh Phú Trung</v>
      </c>
      <c r="D21" s="62">
        <f t="shared" ca="1" si="3"/>
        <v>918606989</v>
      </c>
      <c r="E21" s="63" t="str">
        <f t="shared" ca="1" si="4"/>
        <v>trungdp.lan@vnpt.vn</v>
      </c>
      <c r="F21" s="64" t="str">
        <f t="shared" ca="1" si="5"/>
        <v>Lần 15</v>
      </c>
      <c r="G21" s="77"/>
      <c r="H21" s="78"/>
      <c r="I21" s="78"/>
      <c r="J21" s="79"/>
      <c r="K21" s="79"/>
      <c r="L21" s="65"/>
      <c r="M21" s="66">
        <f t="shared" ca="1" si="6"/>
        <v>0</v>
      </c>
      <c r="N21" s="67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81" t="str">
        <f t="shared" ca="1" si="9"/>
        <v>Tổ Hạ tầng Bến Lức</v>
      </c>
      <c r="C22" s="82" t="str">
        <f t="shared" ca="1" si="2"/>
        <v>Đinh Phú Trung</v>
      </c>
      <c r="D22" s="83">
        <f t="shared" ca="1" si="3"/>
        <v>918606989</v>
      </c>
      <c r="E22" s="84" t="str">
        <f t="shared" ca="1" si="4"/>
        <v>trungdp.lan@vnpt.vn</v>
      </c>
      <c r="F22" s="85" t="str">
        <f t="shared" ca="1" si="5"/>
        <v>Lần 16</v>
      </c>
      <c r="G22" s="77"/>
      <c r="H22" s="78"/>
      <c r="I22" s="78"/>
      <c r="J22" s="79"/>
      <c r="K22" s="79"/>
      <c r="L22" s="65"/>
      <c r="M22" s="66">
        <f t="shared" ca="1" si="6"/>
        <v>0</v>
      </c>
      <c r="N22" s="67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47" t="str">
        <f t="shared" ca="1" si="9"/>
        <v>Tổ Hạ tầng Bến Lức</v>
      </c>
      <c r="C23" s="48" t="str">
        <f t="shared" ca="1" si="2"/>
        <v>Nguyễn Phước Lộc</v>
      </c>
      <c r="D23" s="49">
        <f t="shared" ca="1" si="3"/>
        <v>813232338</v>
      </c>
      <c r="E23" s="50" t="str">
        <f t="shared" ca="1" si="4"/>
        <v>locnp.lan@vnpt.vn</v>
      </c>
      <c r="F23" s="51" t="str">
        <f t="shared" ca="1" si="5"/>
        <v>Lần 1</v>
      </c>
      <c r="G23" s="52">
        <v>46205</v>
      </c>
      <c r="H23" s="86">
        <v>280</v>
      </c>
      <c r="I23" s="86" t="s">
        <v>292</v>
      </c>
      <c r="J23" s="87">
        <v>768</v>
      </c>
      <c r="K23" s="87" t="s">
        <v>293</v>
      </c>
      <c r="L23" s="88"/>
      <c r="M23" s="66">
        <f t="shared" ca="1" si="6"/>
        <v>1</v>
      </c>
      <c r="N23" s="67">
        <f t="shared" ca="1" si="7"/>
        <v>1</v>
      </c>
      <c r="O23" s="68">
        <f t="shared" ca="1" si="8"/>
        <v>1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60" t="str">
        <f t="shared" ca="1" si="9"/>
        <v>Tổ Hạ tầng Bến Lức</v>
      </c>
      <c r="C24" s="61" t="str">
        <f t="shared" ca="1" si="2"/>
        <v>Nguyễn Phước Lộc</v>
      </c>
      <c r="D24" s="62">
        <f t="shared" ca="1" si="3"/>
        <v>813232338</v>
      </c>
      <c r="E24" s="63" t="str">
        <f t="shared" ca="1" si="4"/>
        <v>locnp.lan@vnpt.vn</v>
      </c>
      <c r="F24" s="64" t="str">
        <f t="shared" ca="1" si="5"/>
        <v>Lần 2</v>
      </c>
      <c r="G24" s="89">
        <v>46206</v>
      </c>
      <c r="H24" s="69">
        <v>332</v>
      </c>
      <c r="I24" s="69" t="s">
        <v>294</v>
      </c>
      <c r="J24" s="54">
        <v>657</v>
      </c>
      <c r="K24" s="54" t="s">
        <v>116</v>
      </c>
      <c r="L24" s="88"/>
      <c r="M24" s="66">
        <f t="shared" ca="1" si="6"/>
        <v>1</v>
      </c>
      <c r="N24" s="67">
        <f t="shared" ca="1" si="7"/>
        <v>1</v>
      </c>
      <c r="O24" s="68">
        <f t="shared" ca="1" si="8"/>
        <v>1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60" t="str">
        <f t="shared" ca="1" si="9"/>
        <v>Tổ Hạ tầng Bến Lức</v>
      </c>
      <c r="C25" s="61" t="str">
        <f t="shared" ca="1" si="2"/>
        <v>Nguyễn Phước Lộc</v>
      </c>
      <c r="D25" s="62">
        <f t="shared" ca="1" si="3"/>
        <v>813232338</v>
      </c>
      <c r="E25" s="63" t="str">
        <f t="shared" ca="1" si="4"/>
        <v>locnp.lan@vnpt.vn</v>
      </c>
      <c r="F25" s="64" t="str">
        <f t="shared" ca="1" si="5"/>
        <v>Lần 3</v>
      </c>
      <c r="G25" s="89">
        <v>46209</v>
      </c>
      <c r="H25" s="53">
        <v>311</v>
      </c>
      <c r="I25" s="53" t="s">
        <v>295</v>
      </c>
      <c r="J25" s="90">
        <v>747</v>
      </c>
      <c r="K25" s="90" t="s">
        <v>296</v>
      </c>
      <c r="L25" s="88"/>
      <c r="M25" s="66">
        <f t="shared" ca="1" si="6"/>
        <v>1</v>
      </c>
      <c r="N25" s="67">
        <f t="shared" ca="1" si="7"/>
        <v>1</v>
      </c>
      <c r="O25" s="68">
        <f t="shared" ca="1" si="8"/>
        <v>1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60" t="str">
        <f t="shared" ca="1" si="9"/>
        <v>Tổ Hạ tầng Bến Lức</v>
      </c>
      <c r="C26" s="61" t="str">
        <f t="shared" ca="1" si="2"/>
        <v>Nguyễn Phước Lộc</v>
      </c>
      <c r="D26" s="62">
        <f t="shared" ca="1" si="3"/>
        <v>813232338</v>
      </c>
      <c r="E26" s="63" t="str">
        <f t="shared" ca="1" si="4"/>
        <v>locnp.lan@vnpt.vn</v>
      </c>
      <c r="F26" s="64" t="str">
        <f t="shared" ca="1" si="5"/>
        <v>Lần 4</v>
      </c>
      <c r="G26" s="89">
        <v>46209</v>
      </c>
      <c r="H26" s="53">
        <v>322</v>
      </c>
      <c r="I26" s="53" t="s">
        <v>293</v>
      </c>
      <c r="J26" s="90">
        <v>1100</v>
      </c>
      <c r="K26" s="90">
        <v>121</v>
      </c>
      <c r="L26" s="88"/>
      <c r="M26" s="66">
        <f t="shared" ca="1" si="6"/>
        <v>1</v>
      </c>
      <c r="N26" s="67">
        <f t="shared" ca="1" si="7"/>
        <v>1</v>
      </c>
      <c r="O26" s="68">
        <f t="shared" ca="1" si="8"/>
        <v>1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60" t="str">
        <f t="shared" ca="1" si="9"/>
        <v>Tổ Hạ tầng Bến Lức</v>
      </c>
      <c r="C27" s="61" t="str">
        <f t="shared" ca="1" si="2"/>
        <v>Nguyễn Phước Lộc</v>
      </c>
      <c r="D27" s="62">
        <f t="shared" ca="1" si="3"/>
        <v>813232338</v>
      </c>
      <c r="E27" s="63" t="str">
        <f t="shared" ca="1" si="4"/>
        <v>locnp.lan@vnpt.vn</v>
      </c>
      <c r="F27" s="64" t="str">
        <f t="shared" ca="1" si="5"/>
        <v>Lần 5</v>
      </c>
      <c r="G27" s="89">
        <v>46210</v>
      </c>
      <c r="H27" s="53">
        <v>309</v>
      </c>
      <c r="I27" s="53" t="s">
        <v>297</v>
      </c>
      <c r="J27" s="54">
        <v>929</v>
      </c>
      <c r="K27" s="54">
        <v>143</v>
      </c>
      <c r="L27" s="91"/>
      <c r="M27" s="66">
        <f t="shared" ca="1" si="6"/>
        <v>1</v>
      </c>
      <c r="N27" s="67">
        <f t="shared" ca="1" si="7"/>
        <v>1</v>
      </c>
      <c r="O27" s="68">
        <f t="shared" ca="1" si="8"/>
        <v>1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60" t="str">
        <f t="shared" ca="1" si="9"/>
        <v>Tổ Hạ tầng Bến Lức</v>
      </c>
      <c r="C28" s="61" t="str">
        <f t="shared" ca="1" si="2"/>
        <v>Nguyễn Phước Lộc</v>
      </c>
      <c r="D28" s="62">
        <f t="shared" ca="1" si="3"/>
        <v>813232338</v>
      </c>
      <c r="E28" s="63" t="str">
        <f t="shared" ca="1" si="4"/>
        <v>locnp.lan@vnpt.vn</v>
      </c>
      <c r="F28" s="64" t="str">
        <f t="shared" ca="1" si="5"/>
        <v>Lần 6</v>
      </c>
      <c r="G28" s="89">
        <v>46210</v>
      </c>
      <c r="H28" s="53">
        <v>293</v>
      </c>
      <c r="I28" s="53" t="s">
        <v>298</v>
      </c>
      <c r="J28" s="54">
        <v>763</v>
      </c>
      <c r="K28" s="54" t="s">
        <v>218</v>
      </c>
      <c r="L28" s="91"/>
      <c r="M28" s="66">
        <f t="shared" ca="1" si="6"/>
        <v>1</v>
      </c>
      <c r="N28" s="67">
        <f t="shared" ca="1" si="7"/>
        <v>1</v>
      </c>
      <c r="O28" s="68">
        <f t="shared" ca="1" si="8"/>
        <v>1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60" t="str">
        <f t="shared" ca="1" si="9"/>
        <v>Tổ Hạ tầng Bến Lức</v>
      </c>
      <c r="C29" s="61" t="str">
        <f t="shared" ca="1" si="2"/>
        <v>Nguyễn Phước Lộc</v>
      </c>
      <c r="D29" s="62">
        <f t="shared" ca="1" si="3"/>
        <v>813232338</v>
      </c>
      <c r="E29" s="63" t="str">
        <f t="shared" ca="1" si="4"/>
        <v>locnp.lan@vnpt.vn</v>
      </c>
      <c r="F29" s="64" t="str">
        <f t="shared" ca="1" si="5"/>
        <v>Lần 7</v>
      </c>
      <c r="G29" s="89">
        <v>46210</v>
      </c>
      <c r="H29" s="53">
        <v>283</v>
      </c>
      <c r="I29" s="53" t="s">
        <v>299</v>
      </c>
      <c r="J29" s="54">
        <v>799</v>
      </c>
      <c r="K29" s="54" t="s">
        <v>300</v>
      </c>
      <c r="L29" s="91"/>
      <c r="M29" s="66">
        <f t="shared" ca="1" si="6"/>
        <v>1</v>
      </c>
      <c r="N29" s="67">
        <f t="shared" ca="1" si="7"/>
        <v>1</v>
      </c>
      <c r="O29" s="68">
        <f t="shared" ca="1" si="8"/>
        <v>1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60" t="str">
        <f t="shared" ca="1" si="9"/>
        <v>Tổ Hạ tầng Bến Lức</v>
      </c>
      <c r="C30" s="61" t="str">
        <f t="shared" ca="1" si="2"/>
        <v>Nguyễn Phước Lộc</v>
      </c>
      <c r="D30" s="62">
        <f t="shared" ca="1" si="3"/>
        <v>813232338</v>
      </c>
      <c r="E30" s="63" t="str">
        <f t="shared" ca="1" si="4"/>
        <v>locnp.lan@vnpt.vn</v>
      </c>
      <c r="F30" s="64" t="str">
        <f t="shared" ca="1" si="5"/>
        <v>Lần 8</v>
      </c>
      <c r="G30" s="89">
        <v>46211</v>
      </c>
      <c r="H30" s="53">
        <v>281</v>
      </c>
      <c r="I30" s="92">
        <v>46081</v>
      </c>
      <c r="J30" s="54">
        <v>740</v>
      </c>
      <c r="K30" s="54" t="s">
        <v>265</v>
      </c>
      <c r="L30" s="91"/>
      <c r="M30" s="66">
        <f t="shared" ca="1" si="6"/>
        <v>1</v>
      </c>
      <c r="N30" s="67">
        <f t="shared" ca="1" si="7"/>
        <v>1</v>
      </c>
      <c r="O30" s="68">
        <f t="shared" ca="1" si="8"/>
        <v>1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60" t="str">
        <f t="shared" ca="1" si="9"/>
        <v>Tổ Hạ tầng Bến Lức</v>
      </c>
      <c r="C31" s="61" t="str">
        <f t="shared" ca="1" si="2"/>
        <v>Nguyễn Phước Lộc</v>
      </c>
      <c r="D31" s="62">
        <f t="shared" ca="1" si="3"/>
        <v>813232338</v>
      </c>
      <c r="E31" s="63" t="str">
        <f t="shared" ca="1" si="4"/>
        <v>locnp.lan@vnpt.vn</v>
      </c>
      <c r="F31" s="64" t="str">
        <f t="shared" ca="1" si="5"/>
        <v>Lần 9</v>
      </c>
      <c r="G31" s="93">
        <v>46213</v>
      </c>
      <c r="H31" s="75">
        <v>351</v>
      </c>
      <c r="I31" s="75">
        <v>72.900000000000006</v>
      </c>
      <c r="J31" s="94">
        <v>659</v>
      </c>
      <c r="K31" s="94">
        <v>64.8</v>
      </c>
      <c r="L31" s="91"/>
      <c r="M31" s="66">
        <f t="shared" ca="1" si="6"/>
        <v>1</v>
      </c>
      <c r="N31" s="67">
        <f t="shared" ca="1" si="7"/>
        <v>1</v>
      </c>
      <c r="O31" s="68">
        <f t="shared" ca="1" si="8"/>
        <v>1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60" t="str">
        <f t="shared" ca="1" si="9"/>
        <v>Tổ Hạ tầng Bến Lức</v>
      </c>
      <c r="C32" s="61" t="str">
        <f t="shared" ca="1" si="2"/>
        <v>Nguyễn Phước Lộc</v>
      </c>
      <c r="D32" s="62">
        <f t="shared" ca="1" si="3"/>
        <v>813232338</v>
      </c>
      <c r="E32" s="63" t="str">
        <f t="shared" ca="1" si="4"/>
        <v>locnp.lan@vnpt.vn</v>
      </c>
      <c r="F32" s="64" t="str">
        <f t="shared" ca="1" si="5"/>
        <v>Lần 10</v>
      </c>
      <c r="G32" s="93">
        <v>46213</v>
      </c>
      <c r="H32" s="75">
        <v>260</v>
      </c>
      <c r="I32" s="75">
        <v>67.900000000000006</v>
      </c>
      <c r="J32" s="94">
        <v>669</v>
      </c>
      <c r="K32" s="94">
        <v>67.3</v>
      </c>
      <c r="L32" s="91"/>
      <c r="M32" s="66">
        <f t="shared" ca="1" si="6"/>
        <v>1</v>
      </c>
      <c r="N32" s="67">
        <f t="shared" ca="1" si="7"/>
        <v>1</v>
      </c>
      <c r="O32" s="68">
        <f t="shared" ca="1" si="8"/>
        <v>1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60" t="str">
        <f t="shared" ca="1" si="9"/>
        <v>Tổ Hạ tầng Bến Lức</v>
      </c>
      <c r="C33" s="61" t="str">
        <f t="shared" ca="1" si="2"/>
        <v>Nguyễn Phước Lộc</v>
      </c>
      <c r="D33" s="62">
        <f t="shared" ca="1" si="3"/>
        <v>813232338</v>
      </c>
      <c r="E33" s="63" t="str">
        <f t="shared" ca="1" si="4"/>
        <v>locnp.lan@vnpt.vn</v>
      </c>
      <c r="F33" s="64" t="str">
        <f t="shared" ca="1" si="5"/>
        <v>Lần 11</v>
      </c>
      <c r="G33" s="93">
        <v>46213</v>
      </c>
      <c r="H33" s="75">
        <v>268</v>
      </c>
      <c r="I33" s="75">
        <v>64.8</v>
      </c>
      <c r="J33" s="94">
        <v>623</v>
      </c>
      <c r="K33" s="94">
        <v>64.7</v>
      </c>
      <c r="L33" s="95"/>
      <c r="M33" s="66">
        <f t="shared" ca="1" si="6"/>
        <v>1</v>
      </c>
      <c r="N33" s="67">
        <f t="shared" ca="1" si="7"/>
        <v>1</v>
      </c>
      <c r="O33" s="68">
        <f t="shared" ca="1" si="8"/>
        <v>1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60" t="str">
        <f t="shared" ca="1" si="9"/>
        <v>Tổ Hạ tầng Bến Lức</v>
      </c>
      <c r="C34" s="61" t="str">
        <f t="shared" ca="1" si="2"/>
        <v>Nguyễn Phước Lộc</v>
      </c>
      <c r="D34" s="62">
        <f t="shared" ca="1" si="3"/>
        <v>813232338</v>
      </c>
      <c r="E34" s="63" t="str">
        <f t="shared" ca="1" si="4"/>
        <v>locnp.lan@vnpt.vn</v>
      </c>
      <c r="F34" s="64" t="str">
        <f t="shared" ca="1" si="5"/>
        <v>Lần 12</v>
      </c>
      <c r="G34" s="93">
        <v>46213</v>
      </c>
      <c r="H34" s="75">
        <v>329</v>
      </c>
      <c r="I34" s="75">
        <v>73</v>
      </c>
      <c r="J34" s="94">
        <v>594</v>
      </c>
      <c r="K34" s="94">
        <v>64.599999999999994</v>
      </c>
      <c r="L34" s="96"/>
      <c r="M34" s="66">
        <f t="shared" ca="1" si="6"/>
        <v>1</v>
      </c>
      <c r="N34" s="67">
        <f t="shared" ca="1" si="7"/>
        <v>1</v>
      </c>
      <c r="O34" s="68">
        <f t="shared" ca="1" si="8"/>
        <v>1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60" t="str">
        <f t="shared" ca="1" si="9"/>
        <v>Tổ Hạ tầng Bến Lức</v>
      </c>
      <c r="C35" s="61" t="str">
        <f t="shared" ca="1" si="2"/>
        <v>Nguyễn Phước Lộc</v>
      </c>
      <c r="D35" s="62">
        <f t="shared" ca="1" si="3"/>
        <v>813232338</v>
      </c>
      <c r="E35" s="63" t="str">
        <f t="shared" ca="1" si="4"/>
        <v>locnp.lan@vnpt.vn</v>
      </c>
      <c r="F35" s="64" t="str">
        <f t="shared" ca="1" si="5"/>
        <v>Lần 13</v>
      </c>
      <c r="G35" s="77"/>
      <c r="H35" s="71"/>
      <c r="I35" s="71"/>
      <c r="J35" s="72"/>
      <c r="K35" s="72"/>
      <c r="L35" s="96"/>
      <c r="M35" s="66">
        <f t="shared" ca="1" si="6"/>
        <v>0</v>
      </c>
      <c r="N35" s="67">
        <f t="shared" ca="1" si="7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60" t="str">
        <f t="shared" ca="1" si="9"/>
        <v>Tổ Hạ tầng Bến Lức</v>
      </c>
      <c r="C36" s="61" t="str">
        <f t="shared" ca="1" si="2"/>
        <v>Nguyễn Phước Lộc</v>
      </c>
      <c r="D36" s="62">
        <f t="shared" ca="1" si="3"/>
        <v>813232338</v>
      </c>
      <c r="E36" s="63" t="str">
        <f t="shared" ca="1" si="4"/>
        <v>locnp.lan@vnpt.vn</v>
      </c>
      <c r="F36" s="64" t="str">
        <f t="shared" ca="1" si="5"/>
        <v>Lần 14</v>
      </c>
      <c r="G36" s="77"/>
      <c r="H36" s="71"/>
      <c r="I36" s="71"/>
      <c r="J36" s="72"/>
      <c r="K36" s="72"/>
      <c r="L36" s="96"/>
      <c r="M36" s="66">
        <f t="shared" ca="1" si="6"/>
        <v>0</v>
      </c>
      <c r="N36" s="67">
        <f t="shared" ca="1" si="7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60" t="str">
        <f t="shared" ca="1" si="9"/>
        <v>Tổ Hạ tầng Bến Lức</v>
      </c>
      <c r="C37" s="61" t="str">
        <f t="shared" ca="1" si="2"/>
        <v>Nguyễn Phước Lộc</v>
      </c>
      <c r="D37" s="62">
        <f t="shared" ca="1" si="3"/>
        <v>813232338</v>
      </c>
      <c r="E37" s="63" t="str">
        <f t="shared" ca="1" si="4"/>
        <v>locnp.lan@vnpt.vn</v>
      </c>
      <c r="F37" s="64" t="str">
        <f t="shared" ca="1" si="5"/>
        <v>Lần 15</v>
      </c>
      <c r="G37" s="97"/>
      <c r="H37" s="98"/>
      <c r="I37" s="99"/>
      <c r="J37" s="98"/>
      <c r="K37" s="99"/>
      <c r="L37" s="96"/>
      <c r="M37" s="66">
        <f t="shared" ca="1" si="6"/>
        <v>0</v>
      </c>
      <c r="N37" s="67">
        <f t="shared" ca="1" si="7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01" t="str">
        <f t="shared" ca="1" si="9"/>
        <v>Tổ Hạ tầng Bến Lức</v>
      </c>
      <c r="C38" s="102" t="str">
        <f t="shared" ca="1" si="2"/>
        <v>Nguyễn Phước Lộc</v>
      </c>
      <c r="D38" s="103">
        <f t="shared" ca="1" si="3"/>
        <v>813232338</v>
      </c>
      <c r="E38" s="104" t="str">
        <f t="shared" ca="1" si="4"/>
        <v>locnp.lan@vnpt.vn</v>
      </c>
      <c r="F38" s="105" t="str">
        <f t="shared" ca="1" si="5"/>
        <v>Lần 16</v>
      </c>
      <c r="G38" s="97"/>
      <c r="H38" s="99"/>
      <c r="I38" s="98"/>
      <c r="J38" s="99"/>
      <c r="K38" s="98"/>
      <c r="L38" s="96"/>
      <c r="M38" s="66">
        <f t="shared" ca="1" si="6"/>
        <v>0</v>
      </c>
      <c r="N38" s="67">
        <f t="shared" ca="1" si="7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107" t="str">
        <f t="shared" ca="1" si="9"/>
        <v>Tổ Hạ tầng Bến Lức</v>
      </c>
      <c r="C39" s="108" t="str">
        <f t="shared" ca="1" si="2"/>
        <v>Nguyễn Khương Minh</v>
      </c>
      <c r="D39" s="109">
        <f t="shared" ca="1" si="3"/>
        <v>913443091</v>
      </c>
      <c r="E39" s="110" t="str">
        <f t="shared" ca="1" si="4"/>
        <v>minhnk.lan@vnpt.vn</v>
      </c>
      <c r="F39" s="111" t="str">
        <f t="shared" ca="1" si="5"/>
        <v>Lần 1</v>
      </c>
      <c r="G39" s="112">
        <v>46204</v>
      </c>
      <c r="H39" s="113" t="s">
        <v>301</v>
      </c>
      <c r="I39" s="113" t="s">
        <v>302</v>
      </c>
      <c r="J39" s="113" t="s">
        <v>303</v>
      </c>
      <c r="K39" s="113" t="s">
        <v>304</v>
      </c>
      <c r="L39" s="95"/>
      <c r="M39" s="66">
        <f t="shared" ca="1" si="6"/>
        <v>1</v>
      </c>
      <c r="N39" s="67">
        <f t="shared" ca="1" si="7"/>
        <v>1</v>
      </c>
      <c r="O39" s="68">
        <f t="shared" ca="1" si="8"/>
        <v>1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60" t="str">
        <f t="shared" ca="1" si="9"/>
        <v>Tổ Hạ tầng Bến Lức</v>
      </c>
      <c r="C40" s="61" t="str">
        <f t="shared" ca="1" si="2"/>
        <v>Nguyễn Khương Minh</v>
      </c>
      <c r="D40" s="62">
        <f t="shared" ca="1" si="3"/>
        <v>913443091</v>
      </c>
      <c r="E40" s="63" t="str">
        <f t="shared" ca="1" si="4"/>
        <v>minhnk.lan@vnpt.vn</v>
      </c>
      <c r="F40" s="64" t="str">
        <f t="shared" ca="1" si="5"/>
        <v>Lần 2</v>
      </c>
      <c r="G40" s="112">
        <v>46204</v>
      </c>
      <c r="H40" s="113" t="s">
        <v>305</v>
      </c>
      <c r="I40" s="113" t="s">
        <v>306</v>
      </c>
      <c r="J40" s="114" t="s">
        <v>307</v>
      </c>
      <c r="K40" s="114" t="s">
        <v>308</v>
      </c>
      <c r="L40" s="95"/>
      <c r="M40" s="66">
        <f t="shared" ca="1" si="6"/>
        <v>1</v>
      </c>
      <c r="N40" s="67">
        <f t="shared" ca="1" si="7"/>
        <v>1</v>
      </c>
      <c r="O40" s="68">
        <f t="shared" ca="1" si="8"/>
        <v>1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60" t="str">
        <f t="shared" ca="1" si="9"/>
        <v>Tổ Hạ tầng Bến Lức</v>
      </c>
      <c r="C41" s="61" t="str">
        <f t="shared" ca="1" si="2"/>
        <v>Nguyễn Khương Minh</v>
      </c>
      <c r="D41" s="62">
        <f t="shared" ca="1" si="3"/>
        <v>913443091</v>
      </c>
      <c r="E41" s="63" t="str">
        <f t="shared" ca="1" si="4"/>
        <v>minhnk.lan@vnpt.vn</v>
      </c>
      <c r="F41" s="64" t="str">
        <f t="shared" ca="1" si="5"/>
        <v>Lần 3</v>
      </c>
      <c r="G41" s="112">
        <v>46205</v>
      </c>
      <c r="H41" s="113" t="s">
        <v>309</v>
      </c>
      <c r="I41" s="113" t="s">
        <v>310</v>
      </c>
      <c r="J41" s="114" t="s">
        <v>311</v>
      </c>
      <c r="K41" s="114" t="s">
        <v>312</v>
      </c>
      <c r="L41" s="95"/>
      <c r="M41" s="66">
        <f t="shared" ca="1" si="6"/>
        <v>1</v>
      </c>
      <c r="N41" s="67">
        <f t="shared" ca="1" si="7"/>
        <v>1</v>
      </c>
      <c r="O41" s="68">
        <f t="shared" ca="1" si="8"/>
        <v>1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60" t="str">
        <f t="shared" ca="1" si="9"/>
        <v>Tổ Hạ tầng Bến Lức</v>
      </c>
      <c r="C42" s="61" t="str">
        <f t="shared" ca="1" si="2"/>
        <v>Nguyễn Khương Minh</v>
      </c>
      <c r="D42" s="62">
        <f t="shared" ca="1" si="3"/>
        <v>913443091</v>
      </c>
      <c r="E42" s="63" t="str">
        <f t="shared" ca="1" si="4"/>
        <v>minhnk.lan@vnpt.vn</v>
      </c>
      <c r="F42" s="64" t="str">
        <f t="shared" ca="1" si="5"/>
        <v>Lần 4</v>
      </c>
      <c r="G42" s="112">
        <v>46205</v>
      </c>
      <c r="H42" s="113" t="s">
        <v>313</v>
      </c>
      <c r="I42" s="113" t="s">
        <v>314</v>
      </c>
      <c r="J42" s="113" t="s">
        <v>315</v>
      </c>
      <c r="K42" s="113" t="s">
        <v>316</v>
      </c>
      <c r="L42" s="95"/>
      <c r="M42" s="66">
        <f t="shared" ca="1" si="6"/>
        <v>1</v>
      </c>
      <c r="N42" s="67">
        <f t="shared" ca="1" si="7"/>
        <v>1</v>
      </c>
      <c r="O42" s="68">
        <f t="shared" ca="1" si="8"/>
        <v>1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60" t="str">
        <f t="shared" ca="1" si="9"/>
        <v>Tổ Hạ tầng Bến Lức</v>
      </c>
      <c r="C43" s="61" t="str">
        <f t="shared" ca="1" si="2"/>
        <v>Nguyễn Khương Minh</v>
      </c>
      <c r="D43" s="62">
        <f t="shared" ca="1" si="3"/>
        <v>913443091</v>
      </c>
      <c r="E43" s="63" t="str">
        <f t="shared" ca="1" si="4"/>
        <v>minhnk.lan@vnpt.vn</v>
      </c>
      <c r="F43" s="64" t="str">
        <f t="shared" ca="1" si="5"/>
        <v>Lần 5</v>
      </c>
      <c r="G43" s="112">
        <v>46205</v>
      </c>
      <c r="H43" s="113" t="s">
        <v>317</v>
      </c>
      <c r="I43" s="113" t="s">
        <v>308</v>
      </c>
      <c r="J43" s="114" t="s">
        <v>318</v>
      </c>
      <c r="K43" s="114" t="s">
        <v>319</v>
      </c>
      <c r="L43" s="95"/>
      <c r="M43" s="66">
        <f t="shared" ca="1" si="6"/>
        <v>1</v>
      </c>
      <c r="N43" s="67">
        <f t="shared" ca="1" si="7"/>
        <v>1</v>
      </c>
      <c r="O43" s="68">
        <f t="shared" ca="1" si="8"/>
        <v>1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60" t="str">
        <f t="shared" ca="1" si="9"/>
        <v>Tổ Hạ tầng Bến Lức</v>
      </c>
      <c r="C44" s="61" t="str">
        <f t="shared" ca="1" si="2"/>
        <v>Nguyễn Khương Minh</v>
      </c>
      <c r="D44" s="62">
        <f t="shared" ca="1" si="3"/>
        <v>913443091</v>
      </c>
      <c r="E44" s="63" t="str">
        <f t="shared" ca="1" si="4"/>
        <v>minhnk.lan@vnpt.vn</v>
      </c>
      <c r="F44" s="64" t="str">
        <f t="shared" ca="1" si="5"/>
        <v>Lần 6</v>
      </c>
      <c r="G44" s="112">
        <v>46206</v>
      </c>
      <c r="H44" s="113" t="s">
        <v>320</v>
      </c>
      <c r="I44" s="113" t="s">
        <v>321</v>
      </c>
      <c r="J44" s="114" t="s">
        <v>311</v>
      </c>
      <c r="K44" s="114" t="s">
        <v>312</v>
      </c>
      <c r="L44" s="95"/>
      <c r="M44" s="66">
        <f t="shared" ca="1" si="6"/>
        <v>1</v>
      </c>
      <c r="N44" s="67">
        <f t="shared" ca="1" si="7"/>
        <v>1</v>
      </c>
      <c r="O44" s="68">
        <f t="shared" ca="1" si="8"/>
        <v>1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60" t="str">
        <f t="shared" ca="1" si="9"/>
        <v>Tổ Hạ tầng Bến Lức</v>
      </c>
      <c r="C45" s="61" t="str">
        <f t="shared" ca="1" si="2"/>
        <v>Nguyễn Khương Minh</v>
      </c>
      <c r="D45" s="62">
        <f t="shared" ca="1" si="3"/>
        <v>913443091</v>
      </c>
      <c r="E45" s="63" t="str">
        <f t="shared" ca="1" si="4"/>
        <v>minhnk.lan@vnpt.vn</v>
      </c>
      <c r="F45" s="64" t="str">
        <f t="shared" ca="1" si="5"/>
        <v>Lần 7</v>
      </c>
      <c r="G45" s="112">
        <v>46206</v>
      </c>
      <c r="H45" s="113" t="s">
        <v>322</v>
      </c>
      <c r="I45" s="113" t="s">
        <v>323</v>
      </c>
      <c r="J45" s="113" t="s">
        <v>315</v>
      </c>
      <c r="K45" s="113" t="s">
        <v>316</v>
      </c>
      <c r="L45" s="95"/>
      <c r="M45" s="66">
        <f t="shared" ca="1" si="6"/>
        <v>1</v>
      </c>
      <c r="N45" s="67">
        <f t="shared" ca="1" si="7"/>
        <v>1</v>
      </c>
      <c r="O45" s="68">
        <f t="shared" ca="1" si="8"/>
        <v>1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60" t="str">
        <f t="shared" ca="1" si="9"/>
        <v>Tổ Hạ tầng Bến Lức</v>
      </c>
      <c r="C46" s="61" t="str">
        <f t="shared" ca="1" si="2"/>
        <v>Nguyễn Khương Minh</v>
      </c>
      <c r="D46" s="62">
        <f t="shared" ca="1" si="3"/>
        <v>913443091</v>
      </c>
      <c r="E46" s="63" t="str">
        <f t="shared" ca="1" si="4"/>
        <v>minhnk.lan@vnpt.vn</v>
      </c>
      <c r="F46" s="64" t="str">
        <f t="shared" ca="1" si="5"/>
        <v>Lần 8</v>
      </c>
      <c r="G46" s="112">
        <v>46214</v>
      </c>
      <c r="H46" s="113" t="s">
        <v>324</v>
      </c>
      <c r="I46" s="113" t="s">
        <v>325</v>
      </c>
      <c r="J46" s="113" t="s">
        <v>326</v>
      </c>
      <c r="K46" s="113" t="s">
        <v>327</v>
      </c>
      <c r="L46" s="95"/>
      <c r="M46" s="66">
        <f t="shared" ca="1" si="6"/>
        <v>1</v>
      </c>
      <c r="N46" s="67">
        <f t="shared" ca="1" si="7"/>
        <v>1</v>
      </c>
      <c r="O46" s="68">
        <f t="shared" ca="1" si="8"/>
        <v>1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60" t="str">
        <f t="shared" ca="1" si="9"/>
        <v>Tổ Hạ tầng Bến Lức</v>
      </c>
      <c r="C47" s="61" t="str">
        <f t="shared" ca="1" si="2"/>
        <v>Nguyễn Khương Minh</v>
      </c>
      <c r="D47" s="62">
        <f t="shared" ca="1" si="3"/>
        <v>913443091</v>
      </c>
      <c r="E47" s="63" t="str">
        <f t="shared" ca="1" si="4"/>
        <v>minhnk.lan@vnpt.vn</v>
      </c>
      <c r="F47" s="64" t="str">
        <f t="shared" ca="1" si="5"/>
        <v>Lần 9</v>
      </c>
      <c r="G47" s="112">
        <v>46214</v>
      </c>
      <c r="H47" s="115" t="s">
        <v>328</v>
      </c>
      <c r="I47" s="115" t="s">
        <v>314</v>
      </c>
      <c r="J47" s="114" t="s">
        <v>329</v>
      </c>
      <c r="K47" s="114" t="s">
        <v>330</v>
      </c>
      <c r="L47" s="116"/>
      <c r="M47" s="66">
        <f t="shared" ca="1" si="6"/>
        <v>1</v>
      </c>
      <c r="N47" s="67">
        <f t="shared" ca="1" si="7"/>
        <v>1</v>
      </c>
      <c r="O47" s="68">
        <f t="shared" ca="1" si="8"/>
        <v>1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60" t="str">
        <f t="shared" ca="1" si="9"/>
        <v>Tổ Hạ tầng Bến Lức</v>
      </c>
      <c r="C48" s="61" t="str">
        <f t="shared" ca="1" si="2"/>
        <v>Nguyễn Khương Minh</v>
      </c>
      <c r="D48" s="62">
        <f t="shared" ca="1" si="3"/>
        <v>913443091</v>
      </c>
      <c r="E48" s="63" t="str">
        <f t="shared" ca="1" si="4"/>
        <v>minhnk.lan@vnpt.vn</v>
      </c>
      <c r="F48" s="64" t="str">
        <f t="shared" ca="1" si="5"/>
        <v>Lần 10</v>
      </c>
      <c r="G48" s="93">
        <v>46214</v>
      </c>
      <c r="H48" s="117" t="s">
        <v>331</v>
      </c>
      <c r="I48" s="117" t="s">
        <v>319</v>
      </c>
      <c r="J48" s="118" t="s">
        <v>332</v>
      </c>
      <c r="K48" s="118" t="s">
        <v>333</v>
      </c>
      <c r="L48" s="116"/>
      <c r="M48" s="66">
        <f t="shared" ca="1" si="6"/>
        <v>1</v>
      </c>
      <c r="N48" s="67">
        <f t="shared" ca="1" si="7"/>
        <v>1</v>
      </c>
      <c r="O48" s="68">
        <f t="shared" ca="1" si="8"/>
        <v>1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60" t="str">
        <f t="shared" ca="1" si="9"/>
        <v>Tổ Hạ tầng Bến Lức</v>
      </c>
      <c r="C49" s="61" t="str">
        <f t="shared" ca="1" si="2"/>
        <v>Nguyễn Khương Minh</v>
      </c>
      <c r="D49" s="62">
        <f t="shared" ca="1" si="3"/>
        <v>913443091</v>
      </c>
      <c r="E49" s="63" t="str">
        <f t="shared" ca="1" si="4"/>
        <v>minhnk.lan@vnpt.vn</v>
      </c>
      <c r="F49" s="64" t="str">
        <f t="shared" ca="1" si="5"/>
        <v>Lần 11</v>
      </c>
      <c r="G49" s="93">
        <v>46214</v>
      </c>
      <c r="H49" s="117" t="s">
        <v>334</v>
      </c>
      <c r="I49" s="117" t="s">
        <v>335</v>
      </c>
      <c r="J49" s="118" t="s">
        <v>336</v>
      </c>
      <c r="K49" s="118" t="s">
        <v>337</v>
      </c>
      <c r="L49" s="116"/>
      <c r="M49" s="66">
        <f t="shared" ca="1" si="6"/>
        <v>1</v>
      </c>
      <c r="N49" s="67">
        <f t="shared" ca="1" si="7"/>
        <v>1</v>
      </c>
      <c r="O49" s="68">
        <f t="shared" ca="1" si="8"/>
        <v>1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60" t="str">
        <f t="shared" ca="1" si="9"/>
        <v>Tổ Hạ tầng Bến Lức</v>
      </c>
      <c r="C50" s="61" t="str">
        <f t="shared" ca="1" si="2"/>
        <v>Nguyễn Khương Minh</v>
      </c>
      <c r="D50" s="62">
        <f t="shared" ca="1" si="3"/>
        <v>913443091</v>
      </c>
      <c r="E50" s="63" t="str">
        <f t="shared" ca="1" si="4"/>
        <v>minhnk.lan@vnpt.vn</v>
      </c>
      <c r="F50" s="64" t="str">
        <f t="shared" ca="1" si="5"/>
        <v>Lần 12</v>
      </c>
      <c r="G50" s="97"/>
      <c r="H50" s="98"/>
      <c r="I50" s="98"/>
      <c r="J50" s="98"/>
      <c r="K50" s="98"/>
      <c r="L50" s="116"/>
      <c r="M50" s="66">
        <f t="shared" ca="1" si="6"/>
        <v>0</v>
      </c>
      <c r="N50" s="67">
        <f t="shared" ca="1" si="7"/>
        <v>0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60" t="str">
        <f t="shared" ca="1" si="9"/>
        <v>Tổ Hạ tầng Bến Lức</v>
      </c>
      <c r="C51" s="61" t="str">
        <f t="shared" ca="1" si="2"/>
        <v>Nguyễn Khương Minh</v>
      </c>
      <c r="D51" s="62">
        <f t="shared" ca="1" si="3"/>
        <v>913443091</v>
      </c>
      <c r="E51" s="63" t="str">
        <f t="shared" ca="1" si="4"/>
        <v>minhnk.lan@vnpt.vn</v>
      </c>
      <c r="F51" s="64" t="str">
        <f t="shared" ca="1" si="5"/>
        <v>Lần 13</v>
      </c>
      <c r="G51" s="97"/>
      <c r="H51" s="98"/>
      <c r="I51" s="98"/>
      <c r="J51" s="98"/>
      <c r="K51" s="98"/>
      <c r="L51" s="116"/>
      <c r="M51" s="66">
        <f t="shared" ca="1" si="6"/>
        <v>0</v>
      </c>
      <c r="N51" s="67">
        <f t="shared" ca="1" si="7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60" t="str">
        <f t="shared" ca="1" si="9"/>
        <v>Tổ Hạ tầng Bến Lức</v>
      </c>
      <c r="C52" s="61" t="str">
        <f t="shared" ca="1" si="2"/>
        <v>Nguyễn Khương Minh</v>
      </c>
      <c r="D52" s="62">
        <f t="shared" ca="1" si="3"/>
        <v>913443091</v>
      </c>
      <c r="E52" s="63" t="str">
        <f t="shared" ca="1" si="4"/>
        <v>minhnk.lan@vnpt.vn</v>
      </c>
      <c r="F52" s="64" t="str">
        <f t="shared" ca="1" si="5"/>
        <v>Lần 14</v>
      </c>
      <c r="G52" s="97"/>
      <c r="H52" s="98"/>
      <c r="I52" s="98"/>
      <c r="J52" s="98"/>
      <c r="K52" s="98"/>
      <c r="L52" s="116"/>
      <c r="M52" s="66">
        <f t="shared" ca="1" si="6"/>
        <v>0</v>
      </c>
      <c r="N52" s="67">
        <f t="shared" ca="1" si="7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60" t="str">
        <f t="shared" ca="1" si="9"/>
        <v>Tổ Hạ tầng Bến Lức</v>
      </c>
      <c r="C53" s="61" t="str">
        <f t="shared" ca="1" si="2"/>
        <v>Nguyễn Khương Minh</v>
      </c>
      <c r="D53" s="62">
        <f t="shared" ca="1" si="3"/>
        <v>913443091</v>
      </c>
      <c r="E53" s="63" t="str">
        <f t="shared" ca="1" si="4"/>
        <v>minhnk.lan@vnpt.vn</v>
      </c>
      <c r="F53" s="64" t="str">
        <f t="shared" ca="1" si="5"/>
        <v>Lần 15</v>
      </c>
      <c r="G53" s="97"/>
      <c r="H53" s="98"/>
      <c r="I53" s="98"/>
      <c r="J53" s="98"/>
      <c r="K53" s="98"/>
      <c r="L53" s="116"/>
      <c r="M53" s="66">
        <f t="shared" ca="1" si="6"/>
        <v>0</v>
      </c>
      <c r="N53" s="67">
        <f t="shared" ca="1" si="7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81" t="str">
        <f t="shared" ca="1" si="9"/>
        <v>Tổ Hạ tầng Bến Lức</v>
      </c>
      <c r="C54" s="82" t="str">
        <f t="shared" ca="1" si="2"/>
        <v>Nguyễn Khương Minh</v>
      </c>
      <c r="D54" s="83">
        <f t="shared" ca="1" si="3"/>
        <v>913443091</v>
      </c>
      <c r="E54" s="84" t="str">
        <f t="shared" ca="1" si="4"/>
        <v>minhnk.lan@vnpt.vn</v>
      </c>
      <c r="F54" s="85" t="str">
        <f t="shared" ca="1" si="5"/>
        <v>Lần 16</v>
      </c>
      <c r="G54" s="97"/>
      <c r="H54" s="75"/>
      <c r="I54" s="75"/>
      <c r="J54" s="119"/>
      <c r="K54" s="119"/>
      <c r="L54" s="116"/>
      <c r="M54" s="66">
        <f t="shared" ca="1" si="6"/>
        <v>0</v>
      </c>
      <c r="N54" s="67">
        <f t="shared" ca="1" si="7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47" t="str">
        <f t="shared" ca="1" si="9"/>
        <v>Tổ Hạ tầng Bến Lức</v>
      </c>
      <c r="C55" s="48" t="str">
        <f t="shared" ca="1" si="2"/>
        <v>Bùi Tấn Bảo</v>
      </c>
      <c r="D55" s="49">
        <f t="shared" ca="1" si="3"/>
        <v>918760639</v>
      </c>
      <c r="E55" s="50" t="str">
        <f t="shared" ca="1" si="4"/>
        <v>baobt.lan@vnpt.vn</v>
      </c>
      <c r="F55" s="51" t="str">
        <f t="shared" ca="1" si="5"/>
        <v>Lần 1</v>
      </c>
      <c r="G55" s="93">
        <v>46212</v>
      </c>
      <c r="H55" s="71">
        <v>97.3</v>
      </c>
      <c r="I55" s="71">
        <v>45.5</v>
      </c>
      <c r="J55" s="94">
        <v>72.8</v>
      </c>
      <c r="K55" s="94">
        <v>43.2</v>
      </c>
      <c r="L55" s="91"/>
      <c r="M55" s="66">
        <f t="shared" ca="1" si="6"/>
        <v>1</v>
      </c>
      <c r="N55" s="67">
        <f t="shared" ca="1" si="7"/>
        <v>1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60" t="str">
        <f t="shared" ca="1" si="9"/>
        <v>Tổ Hạ tầng Bến Lức</v>
      </c>
      <c r="C56" s="61" t="str">
        <f t="shared" ca="1" si="2"/>
        <v>Bùi Tấn Bảo</v>
      </c>
      <c r="D56" s="62">
        <f t="shared" ca="1" si="3"/>
        <v>918760639</v>
      </c>
      <c r="E56" s="63" t="str">
        <f t="shared" ca="1" si="4"/>
        <v>baobt.lan@vnpt.vn</v>
      </c>
      <c r="F56" s="64" t="str">
        <f t="shared" ca="1" si="5"/>
        <v>Lần 2</v>
      </c>
      <c r="G56" s="93">
        <v>46212</v>
      </c>
      <c r="H56" s="75">
        <v>87</v>
      </c>
      <c r="I56" s="75">
        <v>42.4</v>
      </c>
      <c r="J56" s="94">
        <v>91.4</v>
      </c>
      <c r="K56" s="94">
        <v>40.6</v>
      </c>
      <c r="L56" s="91"/>
      <c r="M56" s="66">
        <f t="shared" ca="1" si="6"/>
        <v>1</v>
      </c>
      <c r="N56" s="67">
        <f t="shared" ca="1" si="7"/>
        <v>1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60" t="str">
        <f t="shared" ca="1" si="9"/>
        <v>Tổ Hạ tầng Bến Lức</v>
      </c>
      <c r="C57" s="61" t="str">
        <f t="shared" ca="1" si="2"/>
        <v>Bùi Tấn Bảo</v>
      </c>
      <c r="D57" s="62">
        <f t="shared" ca="1" si="3"/>
        <v>918760639</v>
      </c>
      <c r="E57" s="63" t="str">
        <f t="shared" ca="1" si="4"/>
        <v>baobt.lan@vnpt.vn</v>
      </c>
      <c r="F57" s="64" t="str">
        <f t="shared" ca="1" si="5"/>
        <v>Lần 3</v>
      </c>
      <c r="G57" s="93">
        <v>46212</v>
      </c>
      <c r="H57" s="75">
        <v>80.8</v>
      </c>
      <c r="I57" s="75">
        <v>44.6</v>
      </c>
      <c r="J57" s="94">
        <v>92.2</v>
      </c>
      <c r="K57" s="94">
        <v>41.7</v>
      </c>
      <c r="L57" s="91"/>
      <c r="M57" s="66">
        <f t="shared" ca="1" si="6"/>
        <v>1</v>
      </c>
      <c r="N57" s="67">
        <f t="shared" ca="1" si="7"/>
        <v>1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60" t="str">
        <f t="shared" ca="1" si="9"/>
        <v>Tổ Hạ tầng Bến Lức</v>
      </c>
      <c r="C58" s="61" t="str">
        <f t="shared" ca="1" si="2"/>
        <v>Bùi Tấn Bảo</v>
      </c>
      <c r="D58" s="62">
        <f t="shared" ca="1" si="3"/>
        <v>918760639</v>
      </c>
      <c r="E58" s="63" t="str">
        <f t="shared" ca="1" si="4"/>
        <v>baobt.lan@vnpt.vn</v>
      </c>
      <c r="F58" s="64" t="str">
        <f t="shared" ca="1" si="5"/>
        <v>Lần 4</v>
      </c>
      <c r="G58" s="93">
        <v>46213</v>
      </c>
      <c r="H58" s="75">
        <v>351</v>
      </c>
      <c r="I58" s="75">
        <v>72.900000000000006</v>
      </c>
      <c r="J58" s="94">
        <v>659</v>
      </c>
      <c r="K58" s="94">
        <v>64.8</v>
      </c>
      <c r="L58" s="91"/>
      <c r="M58" s="66">
        <f t="shared" ca="1" si="6"/>
        <v>1</v>
      </c>
      <c r="N58" s="67">
        <f t="shared" ca="1" si="7"/>
        <v>1</v>
      </c>
      <c r="O58" s="68">
        <f t="shared" ca="1" si="8"/>
        <v>1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60" t="str">
        <f t="shared" ca="1" si="9"/>
        <v>Tổ Hạ tầng Bến Lức</v>
      </c>
      <c r="C59" s="61" t="str">
        <f t="shared" ca="1" si="2"/>
        <v>Bùi Tấn Bảo</v>
      </c>
      <c r="D59" s="62">
        <f t="shared" ca="1" si="3"/>
        <v>918760639</v>
      </c>
      <c r="E59" s="63" t="str">
        <f t="shared" ca="1" si="4"/>
        <v>baobt.lan@vnpt.vn</v>
      </c>
      <c r="F59" s="64" t="str">
        <f t="shared" ca="1" si="5"/>
        <v>Lần 5</v>
      </c>
      <c r="G59" s="93">
        <v>46213</v>
      </c>
      <c r="H59" s="75">
        <v>260</v>
      </c>
      <c r="I59" s="75">
        <v>67.900000000000006</v>
      </c>
      <c r="J59" s="94">
        <v>669</v>
      </c>
      <c r="K59" s="94">
        <v>67.3</v>
      </c>
      <c r="L59" s="91"/>
      <c r="M59" s="66">
        <f t="shared" ca="1" si="6"/>
        <v>1</v>
      </c>
      <c r="N59" s="67">
        <f t="shared" ca="1" si="7"/>
        <v>1</v>
      </c>
      <c r="O59" s="68">
        <f t="shared" ca="1" si="8"/>
        <v>1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60" t="str">
        <f t="shared" ca="1" si="9"/>
        <v>Tổ Hạ tầng Bến Lức</v>
      </c>
      <c r="C60" s="61" t="str">
        <f t="shared" ca="1" si="2"/>
        <v>Bùi Tấn Bảo</v>
      </c>
      <c r="D60" s="62">
        <f t="shared" ca="1" si="3"/>
        <v>918760639</v>
      </c>
      <c r="E60" s="63" t="str">
        <f t="shared" ca="1" si="4"/>
        <v>baobt.lan@vnpt.vn</v>
      </c>
      <c r="F60" s="64" t="str">
        <f t="shared" ca="1" si="5"/>
        <v>Lần 6</v>
      </c>
      <c r="G60" s="93">
        <v>46213</v>
      </c>
      <c r="H60" s="75">
        <v>268</v>
      </c>
      <c r="I60" s="75">
        <v>64.8</v>
      </c>
      <c r="J60" s="94">
        <v>623</v>
      </c>
      <c r="K60" s="94">
        <v>64.7</v>
      </c>
      <c r="L60" s="91"/>
      <c r="M60" s="66">
        <f t="shared" ca="1" si="6"/>
        <v>1</v>
      </c>
      <c r="N60" s="67">
        <f t="shared" ca="1" si="7"/>
        <v>1</v>
      </c>
      <c r="O60" s="68">
        <f t="shared" ca="1" si="8"/>
        <v>1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60" t="str">
        <f t="shared" ca="1" si="9"/>
        <v>Tổ Hạ tầng Bến Lức</v>
      </c>
      <c r="C61" s="61" t="str">
        <f t="shared" ca="1" si="2"/>
        <v>Bùi Tấn Bảo</v>
      </c>
      <c r="D61" s="62">
        <f t="shared" ca="1" si="3"/>
        <v>918760639</v>
      </c>
      <c r="E61" s="63" t="str">
        <f t="shared" ca="1" si="4"/>
        <v>baobt.lan@vnpt.vn</v>
      </c>
      <c r="F61" s="64" t="str">
        <f t="shared" ca="1" si="5"/>
        <v>Lần 7</v>
      </c>
      <c r="G61" s="93">
        <v>46213</v>
      </c>
      <c r="H61" s="75">
        <v>329</v>
      </c>
      <c r="I61" s="75">
        <v>73</v>
      </c>
      <c r="J61" s="94">
        <v>594</v>
      </c>
      <c r="K61" s="94">
        <v>64.599999999999994</v>
      </c>
      <c r="L61" s="91"/>
      <c r="M61" s="66">
        <f t="shared" ca="1" si="6"/>
        <v>1</v>
      </c>
      <c r="N61" s="67">
        <f t="shared" ca="1" si="7"/>
        <v>1</v>
      </c>
      <c r="O61" s="68">
        <f t="shared" ca="1" si="8"/>
        <v>1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60" t="str">
        <f t="shared" ca="1" si="9"/>
        <v>Tổ Hạ tầng Bến Lức</v>
      </c>
      <c r="C62" s="61" t="str">
        <f t="shared" ca="1" si="2"/>
        <v>Bùi Tấn Bảo</v>
      </c>
      <c r="D62" s="62">
        <f t="shared" ca="1" si="3"/>
        <v>918760639</v>
      </c>
      <c r="E62" s="63" t="str">
        <f t="shared" ca="1" si="4"/>
        <v>baobt.lan@vnpt.vn</v>
      </c>
      <c r="F62" s="64" t="str">
        <f t="shared" ca="1" si="5"/>
        <v>Lần 8</v>
      </c>
      <c r="G62" s="77"/>
      <c r="H62" s="75"/>
      <c r="I62" s="75"/>
      <c r="J62" s="94"/>
      <c r="K62" s="94"/>
      <c r="L62" s="95"/>
      <c r="M62" s="66">
        <f t="shared" ca="1" si="6"/>
        <v>0</v>
      </c>
      <c r="N62" s="67">
        <f t="shared" ca="1" si="7"/>
        <v>0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60" t="str">
        <f t="shared" ca="1" si="9"/>
        <v>Tổ Hạ tầng Bến Lức</v>
      </c>
      <c r="C63" s="61" t="str">
        <f t="shared" ca="1" si="2"/>
        <v>Bùi Tấn Bảo</v>
      </c>
      <c r="D63" s="62">
        <f t="shared" ca="1" si="3"/>
        <v>918760639</v>
      </c>
      <c r="E63" s="63" t="str">
        <f t="shared" ca="1" si="4"/>
        <v>baobt.lan@vnpt.vn</v>
      </c>
      <c r="F63" s="64" t="str">
        <f t="shared" ca="1" si="5"/>
        <v>Lần 9</v>
      </c>
      <c r="G63" s="77"/>
      <c r="H63" s="75"/>
      <c r="I63" s="75"/>
      <c r="J63" s="94"/>
      <c r="K63" s="94"/>
      <c r="L63" s="95"/>
      <c r="M63" s="66">
        <f t="shared" ca="1" si="6"/>
        <v>0</v>
      </c>
      <c r="N63" s="67">
        <f t="shared" ca="1" si="7"/>
        <v>0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60" t="str">
        <f t="shared" ca="1" si="9"/>
        <v>Tổ Hạ tầng Bến Lức</v>
      </c>
      <c r="C64" s="61" t="str">
        <f t="shared" ca="1" si="2"/>
        <v>Bùi Tấn Bảo</v>
      </c>
      <c r="D64" s="62">
        <f t="shared" ca="1" si="3"/>
        <v>918760639</v>
      </c>
      <c r="E64" s="63" t="str">
        <f t="shared" ca="1" si="4"/>
        <v>baobt.lan@vnpt.vn</v>
      </c>
      <c r="F64" s="64" t="str">
        <f t="shared" ca="1" si="5"/>
        <v>Lần 10</v>
      </c>
      <c r="G64" s="74"/>
      <c r="H64" s="120"/>
      <c r="I64" s="120"/>
      <c r="J64" s="120"/>
      <c r="K64" s="120"/>
      <c r="L64" s="95"/>
      <c r="M64" s="66">
        <f t="shared" ca="1" si="6"/>
        <v>0</v>
      </c>
      <c r="N64" s="67">
        <f t="shared" ca="1" si="7"/>
        <v>0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60" t="str">
        <f t="shared" ca="1" si="9"/>
        <v>Tổ Hạ tầng Bến Lức</v>
      </c>
      <c r="C65" s="61" t="str">
        <f t="shared" ca="1" si="2"/>
        <v>Bùi Tấn Bảo</v>
      </c>
      <c r="D65" s="62">
        <f t="shared" ca="1" si="3"/>
        <v>918760639</v>
      </c>
      <c r="E65" s="63" t="str">
        <f t="shared" ca="1" si="4"/>
        <v>baobt.lan@vnpt.vn</v>
      </c>
      <c r="F65" s="64" t="str">
        <f t="shared" ca="1" si="5"/>
        <v>Lần 11</v>
      </c>
      <c r="G65" s="74"/>
      <c r="H65" s="120"/>
      <c r="I65" s="120"/>
      <c r="J65" s="120"/>
      <c r="K65" s="120"/>
      <c r="L65" s="95"/>
      <c r="M65" s="66">
        <f t="shared" ca="1" si="6"/>
        <v>0</v>
      </c>
      <c r="N65" s="67">
        <f t="shared" ca="1" si="7"/>
        <v>0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60" t="str">
        <f t="shared" ca="1" si="9"/>
        <v>Tổ Hạ tầng Bến Lức</v>
      </c>
      <c r="C66" s="61" t="str">
        <f t="shared" ca="1" si="2"/>
        <v>Bùi Tấn Bảo</v>
      </c>
      <c r="D66" s="62">
        <f t="shared" ca="1" si="3"/>
        <v>918760639</v>
      </c>
      <c r="E66" s="63" t="str">
        <f t="shared" ca="1" si="4"/>
        <v>baobt.lan@vnpt.vn</v>
      </c>
      <c r="F66" s="64" t="str">
        <f t="shared" ca="1" si="5"/>
        <v>Lần 12</v>
      </c>
      <c r="G66" s="74"/>
      <c r="H66" s="120"/>
      <c r="I66" s="120"/>
      <c r="J66" s="120"/>
      <c r="K66" s="120"/>
      <c r="L66" s="95"/>
      <c r="M66" s="66">
        <f t="shared" ca="1" si="6"/>
        <v>0</v>
      </c>
      <c r="N66" s="67">
        <f t="shared" ca="1" si="7"/>
        <v>0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60" t="str">
        <f t="shared" ca="1" si="9"/>
        <v>Tổ Hạ tầng Bến Lức</v>
      </c>
      <c r="C67" s="61" t="str">
        <f t="shared" ca="1" si="2"/>
        <v>Bùi Tấn Bảo</v>
      </c>
      <c r="D67" s="62">
        <f t="shared" ca="1" si="3"/>
        <v>918760639</v>
      </c>
      <c r="E67" s="63" t="str">
        <f t="shared" ca="1" si="4"/>
        <v>baobt.lan@vnpt.vn</v>
      </c>
      <c r="F67" s="64" t="str">
        <f t="shared" ca="1" si="5"/>
        <v>Lần 13</v>
      </c>
      <c r="G67" s="74"/>
      <c r="H67" s="120"/>
      <c r="I67" s="120"/>
      <c r="J67" s="120"/>
      <c r="K67" s="120"/>
      <c r="L67" s="95"/>
      <c r="M67" s="66">
        <f t="shared" ca="1" si="6"/>
        <v>0</v>
      </c>
      <c r="N67" s="67">
        <f t="shared" ca="1" si="7"/>
        <v>0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60" t="str">
        <f t="shared" ca="1" si="9"/>
        <v>Tổ Hạ tầng Bến Lức</v>
      </c>
      <c r="C68" s="61" t="str">
        <f t="shared" ca="1" si="2"/>
        <v>Bùi Tấn Bảo</v>
      </c>
      <c r="D68" s="62">
        <f t="shared" ca="1" si="3"/>
        <v>918760639</v>
      </c>
      <c r="E68" s="63" t="str">
        <f t="shared" ca="1" si="4"/>
        <v>baobt.lan@vnpt.vn</v>
      </c>
      <c r="F68" s="64" t="str">
        <f t="shared" ca="1" si="5"/>
        <v>Lần 14</v>
      </c>
      <c r="G68" s="74"/>
      <c r="H68" s="120"/>
      <c r="I68" s="120"/>
      <c r="J68" s="120"/>
      <c r="K68" s="120"/>
      <c r="L68" s="95"/>
      <c r="M68" s="66">
        <f t="shared" ca="1" si="6"/>
        <v>0</v>
      </c>
      <c r="N68" s="67">
        <f t="shared" ca="1" si="7"/>
        <v>0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60" t="str">
        <f t="shared" ca="1" si="9"/>
        <v>Tổ Hạ tầng Bến Lức</v>
      </c>
      <c r="C69" s="61" t="str">
        <f t="shared" ca="1" si="2"/>
        <v>Bùi Tấn Bảo</v>
      </c>
      <c r="D69" s="62">
        <f t="shared" ca="1" si="3"/>
        <v>918760639</v>
      </c>
      <c r="E69" s="63" t="str">
        <f t="shared" ca="1" si="4"/>
        <v>baobt.lan@vnpt.vn</v>
      </c>
      <c r="F69" s="64" t="str">
        <f t="shared" ca="1" si="5"/>
        <v>Lần 15</v>
      </c>
      <c r="G69" s="74"/>
      <c r="H69" s="120"/>
      <c r="I69" s="120"/>
      <c r="J69" s="120"/>
      <c r="K69" s="120"/>
      <c r="L69" s="95"/>
      <c r="M69" s="66">
        <f t="shared" ca="1" si="6"/>
        <v>0</v>
      </c>
      <c r="N69" s="67">
        <f t="shared" ca="1" si="7"/>
        <v>0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01" t="str">
        <f t="shared" ca="1" si="9"/>
        <v>Tổ Hạ tầng Bến Lức</v>
      </c>
      <c r="C70" s="102" t="str">
        <f t="shared" ca="1" si="2"/>
        <v>Bùi Tấn Bảo</v>
      </c>
      <c r="D70" s="103">
        <f t="shared" ca="1" si="3"/>
        <v>918760639</v>
      </c>
      <c r="E70" s="104" t="str">
        <f t="shared" ca="1" si="4"/>
        <v>baobt.lan@vnpt.vn</v>
      </c>
      <c r="F70" s="105" t="str">
        <f t="shared" ca="1" si="5"/>
        <v>Lần 16</v>
      </c>
      <c r="G70" s="77"/>
      <c r="H70" s="78"/>
      <c r="I70" s="78"/>
      <c r="J70" s="79"/>
      <c r="K70" s="79"/>
      <c r="L70" s="95"/>
      <c r="M70" s="66">
        <f t="shared" ca="1" si="6"/>
        <v>0</v>
      </c>
      <c r="N70" s="67">
        <f t="shared" ca="1" si="7"/>
        <v>0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107" t="str">
        <f t="shared" ca="1" si="9"/>
        <v>Tổ Hạ tầng Bến Lức</v>
      </c>
      <c r="C71" s="108" t="str">
        <f t="shared" ca="1" si="2"/>
        <v>Đoàn Tấn Phương</v>
      </c>
      <c r="D71" s="109">
        <f t="shared" ca="1" si="3"/>
        <v>949250049</v>
      </c>
      <c r="E71" s="110" t="str">
        <f t="shared" ca="1" si="4"/>
        <v>phuongdt.lan@vnpt.vn</v>
      </c>
      <c r="F71" s="111" t="str">
        <f t="shared" ca="1" si="5"/>
        <v>Lần 1</v>
      </c>
      <c r="G71" s="97">
        <v>46209</v>
      </c>
      <c r="H71" s="121">
        <v>137</v>
      </c>
      <c r="I71" s="121" t="s">
        <v>338</v>
      </c>
      <c r="J71" s="94">
        <v>633</v>
      </c>
      <c r="K71" s="94">
        <v>93.5</v>
      </c>
      <c r="L71" s="88"/>
      <c r="M71" s="66">
        <f t="shared" ca="1" si="6"/>
        <v>1</v>
      </c>
      <c r="N71" s="67">
        <f t="shared" ca="1" si="7"/>
        <v>1</v>
      </c>
      <c r="O71" s="68">
        <f t="shared" ca="1" si="8"/>
        <v>1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60" t="str">
        <f t="shared" ca="1" si="9"/>
        <v>Tổ Hạ tầng Bến Lức</v>
      </c>
      <c r="C72" s="61" t="str">
        <f t="shared" ca="1" si="2"/>
        <v>Đoàn Tấn Phương</v>
      </c>
      <c r="D72" s="62">
        <f t="shared" ca="1" si="3"/>
        <v>949250049</v>
      </c>
      <c r="E72" s="63" t="str">
        <f t="shared" ca="1" si="4"/>
        <v>phuongdt.lan@vnpt.vn</v>
      </c>
      <c r="F72" s="64" t="str">
        <f t="shared" ca="1" si="5"/>
        <v>Lần 2</v>
      </c>
      <c r="G72" s="97">
        <v>46209</v>
      </c>
      <c r="H72" s="121">
        <v>162</v>
      </c>
      <c r="I72" s="121" t="s">
        <v>339</v>
      </c>
      <c r="J72" s="94">
        <v>435</v>
      </c>
      <c r="K72" s="94">
        <v>63.7</v>
      </c>
      <c r="L72" s="88"/>
      <c r="M72" s="66">
        <f t="shared" ca="1" si="6"/>
        <v>1</v>
      </c>
      <c r="N72" s="67">
        <f t="shared" ca="1" si="7"/>
        <v>1</v>
      </c>
      <c r="O72" s="68">
        <f t="shared" ca="1" si="8"/>
        <v>1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60" t="str">
        <f t="shared" ca="1" si="9"/>
        <v>Tổ Hạ tầng Bến Lức</v>
      </c>
      <c r="C73" s="61" t="str">
        <f t="shared" ca="1" si="2"/>
        <v>Đoàn Tấn Phương</v>
      </c>
      <c r="D73" s="62">
        <f t="shared" ca="1" si="3"/>
        <v>949250049</v>
      </c>
      <c r="E73" s="63" t="str">
        <f t="shared" ca="1" si="4"/>
        <v>phuongdt.lan@vnpt.vn</v>
      </c>
      <c r="F73" s="64" t="str">
        <f t="shared" ca="1" si="5"/>
        <v>Lần 3</v>
      </c>
      <c r="G73" s="97">
        <v>46209</v>
      </c>
      <c r="H73" s="121">
        <v>165</v>
      </c>
      <c r="I73" s="121" t="s">
        <v>340</v>
      </c>
      <c r="J73" s="94">
        <v>750</v>
      </c>
      <c r="K73" s="94">
        <v>87</v>
      </c>
      <c r="L73" s="88"/>
      <c r="M73" s="66">
        <f t="shared" ca="1" si="6"/>
        <v>1</v>
      </c>
      <c r="N73" s="67">
        <f t="shared" ca="1" si="7"/>
        <v>1</v>
      </c>
      <c r="O73" s="68">
        <f t="shared" ca="1" si="8"/>
        <v>1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60" t="str">
        <f t="shared" ca="1" si="9"/>
        <v>Tổ Hạ tầng Bến Lức</v>
      </c>
      <c r="C74" s="61" t="str">
        <f t="shared" ca="1" si="2"/>
        <v>Đoàn Tấn Phương</v>
      </c>
      <c r="D74" s="62">
        <f t="shared" ca="1" si="3"/>
        <v>949250049</v>
      </c>
      <c r="E74" s="63" t="str">
        <f t="shared" ca="1" si="4"/>
        <v>phuongdt.lan@vnpt.vn</v>
      </c>
      <c r="F74" s="64" t="str">
        <f t="shared" ca="1" si="5"/>
        <v>Lần 4</v>
      </c>
      <c r="G74" s="97">
        <v>46209</v>
      </c>
      <c r="H74" s="121">
        <v>158</v>
      </c>
      <c r="I74" s="121" t="s">
        <v>341</v>
      </c>
      <c r="J74" s="94">
        <v>506</v>
      </c>
      <c r="K74" s="94">
        <v>32.700000000000003</v>
      </c>
      <c r="L74" s="88"/>
      <c r="M74" s="66">
        <f t="shared" ca="1" si="6"/>
        <v>1</v>
      </c>
      <c r="N74" s="67">
        <f t="shared" ca="1" si="7"/>
        <v>1</v>
      </c>
      <c r="O74" s="68">
        <f t="shared" ca="1" si="8"/>
        <v>1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60" t="str">
        <f t="shared" ca="1" si="9"/>
        <v>Tổ Hạ tầng Bến Lức</v>
      </c>
      <c r="C75" s="61" t="str">
        <f t="shared" ca="1" si="2"/>
        <v>Đoàn Tấn Phương</v>
      </c>
      <c r="D75" s="62">
        <f t="shared" ca="1" si="3"/>
        <v>949250049</v>
      </c>
      <c r="E75" s="63" t="str">
        <f t="shared" ca="1" si="4"/>
        <v>phuongdt.lan@vnpt.vn</v>
      </c>
      <c r="F75" s="64" t="str">
        <f t="shared" ca="1" si="5"/>
        <v>Lần 5</v>
      </c>
      <c r="G75" s="97">
        <v>46209</v>
      </c>
      <c r="H75" s="122">
        <v>136</v>
      </c>
      <c r="I75" s="122" t="s">
        <v>342</v>
      </c>
      <c r="J75" s="54">
        <v>114</v>
      </c>
      <c r="K75" s="54">
        <v>52.7</v>
      </c>
      <c r="L75" s="91"/>
      <c r="M75" s="66">
        <f t="shared" ca="1" si="6"/>
        <v>1</v>
      </c>
      <c r="N75" s="67">
        <f t="shared" ca="1" si="7"/>
        <v>1</v>
      </c>
      <c r="O75" s="68">
        <f t="shared" ca="1" si="8"/>
        <v>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60" t="str">
        <f t="shared" ca="1" si="9"/>
        <v>Tổ Hạ tầng Bến Lức</v>
      </c>
      <c r="C76" s="61" t="str">
        <f t="shared" ca="1" si="2"/>
        <v>Đoàn Tấn Phương</v>
      </c>
      <c r="D76" s="62">
        <f t="shared" ca="1" si="3"/>
        <v>949250049</v>
      </c>
      <c r="E76" s="63" t="str">
        <f t="shared" ca="1" si="4"/>
        <v>phuongdt.lan@vnpt.vn</v>
      </c>
      <c r="F76" s="64" t="str">
        <f t="shared" ca="1" si="5"/>
        <v>Lần 6</v>
      </c>
      <c r="G76" s="97">
        <v>46209</v>
      </c>
      <c r="H76" s="122">
        <v>167</v>
      </c>
      <c r="I76" s="122" t="s">
        <v>343</v>
      </c>
      <c r="J76" s="54">
        <v>93.5</v>
      </c>
      <c r="K76" s="54">
        <v>51.4</v>
      </c>
      <c r="L76" s="91"/>
      <c r="M76" s="66">
        <f t="shared" ca="1" si="6"/>
        <v>1</v>
      </c>
      <c r="N76" s="67">
        <f t="shared" ca="1" si="7"/>
        <v>1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60" t="str">
        <f t="shared" ca="1" si="9"/>
        <v>Tổ Hạ tầng Bến Lức</v>
      </c>
      <c r="C77" s="61" t="str">
        <f t="shared" ca="1" si="2"/>
        <v>Đoàn Tấn Phương</v>
      </c>
      <c r="D77" s="62">
        <f t="shared" ca="1" si="3"/>
        <v>949250049</v>
      </c>
      <c r="E77" s="63" t="str">
        <f t="shared" ca="1" si="4"/>
        <v>phuongdt.lan@vnpt.vn</v>
      </c>
      <c r="F77" s="64" t="str">
        <f t="shared" ca="1" si="5"/>
        <v>Lần 7</v>
      </c>
      <c r="G77" s="97">
        <v>46209</v>
      </c>
      <c r="H77" s="122">
        <v>155</v>
      </c>
      <c r="I77" s="122" t="s">
        <v>344</v>
      </c>
      <c r="J77" s="54">
        <v>102</v>
      </c>
      <c r="K77" s="54">
        <v>47.4</v>
      </c>
      <c r="L77" s="91"/>
      <c r="M77" s="66">
        <f t="shared" ca="1" si="6"/>
        <v>1</v>
      </c>
      <c r="N77" s="67">
        <f t="shared" ca="1" si="7"/>
        <v>1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60" t="str">
        <f t="shared" ca="1" si="9"/>
        <v>Tổ Hạ tầng Bến Lức</v>
      </c>
      <c r="C78" s="61" t="str">
        <f t="shared" ca="1" si="2"/>
        <v>Đoàn Tấn Phương</v>
      </c>
      <c r="D78" s="62">
        <f t="shared" ca="1" si="3"/>
        <v>949250049</v>
      </c>
      <c r="E78" s="63" t="str">
        <f t="shared" ca="1" si="4"/>
        <v>phuongdt.lan@vnpt.vn</v>
      </c>
      <c r="F78" s="64" t="str">
        <f t="shared" ca="1" si="5"/>
        <v>Lần 8</v>
      </c>
      <c r="G78" s="97">
        <v>46215</v>
      </c>
      <c r="H78" s="122">
        <v>112</v>
      </c>
      <c r="I78" s="122" t="s">
        <v>345</v>
      </c>
      <c r="J78" s="98"/>
      <c r="K78" s="98"/>
      <c r="L78" s="91"/>
      <c r="M78" s="66">
        <f t="shared" ca="1" si="6"/>
        <v>1</v>
      </c>
      <c r="N78" s="67">
        <f t="shared" ca="1" si="7"/>
        <v>0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60" t="str">
        <f t="shared" ca="1" si="9"/>
        <v>Tổ Hạ tầng Bến Lức</v>
      </c>
      <c r="C79" s="61" t="str">
        <f t="shared" ca="1" si="2"/>
        <v>Đoàn Tấn Phương</v>
      </c>
      <c r="D79" s="62">
        <f t="shared" ca="1" si="3"/>
        <v>949250049</v>
      </c>
      <c r="E79" s="63" t="str">
        <f t="shared" ca="1" si="4"/>
        <v>phuongdt.lan@vnpt.vn</v>
      </c>
      <c r="F79" s="64" t="str">
        <f t="shared" ca="1" si="5"/>
        <v>Lần 9</v>
      </c>
      <c r="G79" s="97">
        <v>46215</v>
      </c>
      <c r="H79" s="122">
        <v>122</v>
      </c>
      <c r="I79" s="122" t="s">
        <v>346</v>
      </c>
      <c r="J79" s="98"/>
      <c r="K79" s="98"/>
      <c r="L79" s="91"/>
      <c r="M79" s="66">
        <f t="shared" ca="1" si="6"/>
        <v>1</v>
      </c>
      <c r="N79" s="67">
        <f t="shared" ca="1" si="7"/>
        <v>0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60" t="str">
        <f t="shared" ca="1" si="9"/>
        <v>Tổ Hạ tầng Bến Lức</v>
      </c>
      <c r="C80" s="61" t="str">
        <f t="shared" ca="1" si="2"/>
        <v>Đoàn Tấn Phương</v>
      </c>
      <c r="D80" s="62">
        <f t="shared" ca="1" si="3"/>
        <v>949250049</v>
      </c>
      <c r="E80" s="63" t="str">
        <f t="shared" ca="1" si="4"/>
        <v>phuongdt.lan@vnpt.vn</v>
      </c>
      <c r="F80" s="64" t="str">
        <f t="shared" ca="1" si="5"/>
        <v>Lần 10</v>
      </c>
      <c r="G80" s="97">
        <v>46215</v>
      </c>
      <c r="H80" s="121">
        <v>112</v>
      </c>
      <c r="I80" s="121" t="s">
        <v>347</v>
      </c>
      <c r="J80" s="98"/>
      <c r="K80" s="98"/>
      <c r="L80" s="91"/>
      <c r="M80" s="66">
        <f t="shared" ca="1" si="6"/>
        <v>1</v>
      </c>
      <c r="N80" s="67">
        <f t="shared" ca="1" si="7"/>
        <v>0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60" t="str">
        <f t="shared" ca="1" si="9"/>
        <v>Tổ Hạ tầng Bến Lức</v>
      </c>
      <c r="C81" s="61" t="str">
        <f t="shared" ca="1" si="2"/>
        <v>Đoàn Tấn Phương</v>
      </c>
      <c r="D81" s="62">
        <f t="shared" ca="1" si="3"/>
        <v>949250049</v>
      </c>
      <c r="E81" s="63" t="str">
        <f t="shared" ca="1" si="4"/>
        <v>phuongdt.lan@vnpt.vn</v>
      </c>
      <c r="F81" s="64" t="str">
        <f t="shared" ca="1" si="5"/>
        <v>Lần 11</v>
      </c>
      <c r="G81" s="97">
        <v>46215</v>
      </c>
      <c r="H81" s="121" t="s">
        <v>348</v>
      </c>
      <c r="I81" s="121" t="s">
        <v>349</v>
      </c>
      <c r="J81" s="98"/>
      <c r="K81" s="98"/>
      <c r="L81" s="91"/>
      <c r="M81" s="66">
        <f t="shared" ca="1" si="6"/>
        <v>1</v>
      </c>
      <c r="N81" s="67">
        <f t="shared" ca="1" si="7"/>
        <v>0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60" t="str">
        <f t="shared" ca="1" si="9"/>
        <v>Tổ Hạ tầng Bến Lức</v>
      </c>
      <c r="C82" s="61" t="str">
        <f t="shared" ca="1" si="2"/>
        <v>Đoàn Tấn Phương</v>
      </c>
      <c r="D82" s="62">
        <f t="shared" ca="1" si="3"/>
        <v>949250049</v>
      </c>
      <c r="E82" s="63" t="str">
        <f t="shared" ca="1" si="4"/>
        <v>phuongdt.lan@vnpt.vn</v>
      </c>
      <c r="F82" s="64" t="str">
        <f t="shared" ca="1" si="5"/>
        <v>Lần 12</v>
      </c>
      <c r="G82" s="97">
        <v>46215</v>
      </c>
      <c r="H82" s="121">
        <v>105</v>
      </c>
      <c r="I82" s="121" t="s">
        <v>300</v>
      </c>
      <c r="J82" s="99"/>
      <c r="K82" s="99"/>
      <c r="L82" s="91"/>
      <c r="M82" s="66">
        <f t="shared" ca="1" si="6"/>
        <v>1</v>
      </c>
      <c r="N82" s="67">
        <f t="shared" ca="1" si="7"/>
        <v>0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60" t="str">
        <f t="shared" ca="1" si="9"/>
        <v>Tổ Hạ tầng Bến Lức</v>
      </c>
      <c r="C83" s="61" t="str">
        <f t="shared" ca="1" si="2"/>
        <v>Đoàn Tấn Phương</v>
      </c>
      <c r="D83" s="62">
        <f t="shared" ca="1" si="3"/>
        <v>949250049</v>
      </c>
      <c r="E83" s="63" t="str">
        <f t="shared" ca="1" si="4"/>
        <v>phuongdt.lan@vnpt.vn</v>
      </c>
      <c r="F83" s="64" t="str">
        <f t="shared" ca="1" si="5"/>
        <v>Lần 13</v>
      </c>
      <c r="G83" s="97">
        <v>46215</v>
      </c>
      <c r="H83" s="121">
        <v>124</v>
      </c>
      <c r="I83" s="121" t="s">
        <v>350</v>
      </c>
      <c r="J83" s="99"/>
      <c r="K83" s="99"/>
      <c r="L83" s="91"/>
      <c r="M83" s="66">
        <f t="shared" ca="1" si="6"/>
        <v>1</v>
      </c>
      <c r="N83" s="67">
        <f t="shared" ca="1" si="7"/>
        <v>0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60" t="str">
        <f t="shared" ca="1" si="9"/>
        <v>Tổ Hạ tầng Bến Lức</v>
      </c>
      <c r="C84" s="61" t="str">
        <f t="shared" ca="1" si="2"/>
        <v>Đoàn Tấn Phương</v>
      </c>
      <c r="D84" s="62">
        <f t="shared" ca="1" si="3"/>
        <v>949250049</v>
      </c>
      <c r="E84" s="63" t="str">
        <f t="shared" ca="1" si="4"/>
        <v>phuongdt.lan@vnpt.vn</v>
      </c>
      <c r="F84" s="64" t="str">
        <f t="shared" ca="1" si="5"/>
        <v>Lần 14</v>
      </c>
      <c r="G84" s="97">
        <v>46215</v>
      </c>
      <c r="H84" s="122">
        <v>121</v>
      </c>
      <c r="I84" s="122" t="s">
        <v>351</v>
      </c>
      <c r="J84" s="98"/>
      <c r="K84" s="98"/>
      <c r="L84" s="91"/>
      <c r="M84" s="66">
        <f t="shared" ca="1" si="6"/>
        <v>1</v>
      </c>
      <c r="N84" s="67">
        <f t="shared" ca="1" si="7"/>
        <v>0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60" t="str">
        <f t="shared" ca="1" si="9"/>
        <v>Tổ Hạ tầng Bến Lức</v>
      </c>
      <c r="C85" s="61" t="str">
        <f t="shared" ca="1" si="2"/>
        <v>Đoàn Tấn Phương</v>
      </c>
      <c r="D85" s="62">
        <f t="shared" ca="1" si="3"/>
        <v>949250049</v>
      </c>
      <c r="E85" s="63" t="str">
        <f t="shared" ca="1" si="4"/>
        <v>phuongdt.lan@vnpt.vn</v>
      </c>
      <c r="F85" s="64" t="str">
        <f t="shared" ca="1" si="5"/>
        <v>Lần 15</v>
      </c>
      <c r="G85" s="97">
        <v>46215</v>
      </c>
      <c r="H85" s="75" t="s">
        <v>352</v>
      </c>
      <c r="I85" s="75">
        <v>30</v>
      </c>
      <c r="J85" s="98"/>
      <c r="K85" s="98"/>
      <c r="L85" s="91"/>
      <c r="M85" s="66">
        <f t="shared" ca="1" si="6"/>
        <v>1</v>
      </c>
      <c r="N85" s="67">
        <f t="shared" ca="1" si="7"/>
        <v>0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81" t="str">
        <f t="shared" ca="1" si="9"/>
        <v>Tổ Hạ tầng Bến Lức</v>
      </c>
      <c r="C86" s="82" t="str">
        <f t="shared" ca="1" si="2"/>
        <v>Đoàn Tấn Phương</v>
      </c>
      <c r="D86" s="83">
        <f t="shared" ca="1" si="3"/>
        <v>949250049</v>
      </c>
      <c r="E86" s="84" t="str">
        <f t="shared" ca="1" si="4"/>
        <v>phuongdt.lan@vnpt.vn</v>
      </c>
      <c r="F86" s="85" t="str">
        <f t="shared" ca="1" si="5"/>
        <v>Lần 16</v>
      </c>
      <c r="G86" s="97">
        <v>46215</v>
      </c>
      <c r="H86" s="122" t="s">
        <v>353</v>
      </c>
      <c r="I86" s="122" t="s">
        <v>354</v>
      </c>
      <c r="J86" s="98"/>
      <c r="K86" s="98"/>
      <c r="L86" s="91"/>
      <c r="M86" s="66">
        <f t="shared" ca="1" si="6"/>
        <v>1</v>
      </c>
      <c r="N86" s="67">
        <f t="shared" ca="1" si="7"/>
        <v>0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47" t="str">
        <f t="shared" ca="1" si="9"/>
        <v>Tổ Hạ tầng Bến Lức</v>
      </c>
      <c r="C87" s="48" t="str">
        <f t="shared" ca="1" si="2"/>
        <v>Mai Thiện Phương</v>
      </c>
      <c r="D87" s="49">
        <f t="shared" ca="1" si="3"/>
        <v>835880097</v>
      </c>
      <c r="E87" s="50" t="str">
        <f t="shared" ca="1" si="4"/>
        <v>phuongmt.lan@vnpt.vn</v>
      </c>
      <c r="F87" s="51" t="str">
        <f t="shared" ca="1" si="5"/>
        <v>Lần 1</v>
      </c>
      <c r="G87" s="93">
        <v>46213</v>
      </c>
      <c r="H87" s="75">
        <v>269</v>
      </c>
      <c r="I87" s="75">
        <v>57</v>
      </c>
      <c r="J87" s="94">
        <v>633</v>
      </c>
      <c r="K87" s="94">
        <v>93.5</v>
      </c>
      <c r="L87" s="96"/>
      <c r="M87" s="66">
        <f t="shared" ca="1" si="6"/>
        <v>1</v>
      </c>
      <c r="N87" s="67">
        <f t="shared" ca="1" si="7"/>
        <v>1</v>
      </c>
      <c r="O87" s="68">
        <f t="shared" ca="1" si="8"/>
        <v>1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60" t="str">
        <f t="shared" ca="1" si="9"/>
        <v>Tổ Hạ tầng Bến Lức</v>
      </c>
      <c r="C88" s="61" t="str">
        <f t="shared" ca="1" si="2"/>
        <v>Mai Thiện Phương</v>
      </c>
      <c r="D88" s="62">
        <f t="shared" ca="1" si="3"/>
        <v>835880097</v>
      </c>
      <c r="E88" s="63" t="str">
        <f t="shared" ca="1" si="4"/>
        <v>phuongmt.lan@vnpt.vn</v>
      </c>
      <c r="F88" s="64" t="str">
        <f t="shared" ca="1" si="5"/>
        <v>Lần 2</v>
      </c>
      <c r="G88" s="93">
        <v>46213</v>
      </c>
      <c r="H88" s="75">
        <v>331</v>
      </c>
      <c r="I88" s="75">
        <v>70.8</v>
      </c>
      <c r="J88" s="94">
        <v>435</v>
      </c>
      <c r="K88" s="94">
        <v>63.7</v>
      </c>
      <c r="L88" s="96"/>
      <c r="M88" s="66">
        <f t="shared" ca="1" si="6"/>
        <v>1</v>
      </c>
      <c r="N88" s="67">
        <f t="shared" ca="1" si="7"/>
        <v>1</v>
      </c>
      <c r="O88" s="68">
        <f t="shared" ca="1" si="8"/>
        <v>1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60" t="str">
        <f t="shared" ca="1" si="9"/>
        <v>Tổ Hạ tầng Bến Lức</v>
      </c>
      <c r="C89" s="61" t="str">
        <f t="shared" ca="1" si="2"/>
        <v>Mai Thiện Phương</v>
      </c>
      <c r="D89" s="62">
        <f t="shared" ca="1" si="3"/>
        <v>835880097</v>
      </c>
      <c r="E89" s="63" t="str">
        <f t="shared" ca="1" si="4"/>
        <v>phuongmt.lan@vnpt.vn</v>
      </c>
      <c r="F89" s="64" t="str">
        <f t="shared" ca="1" si="5"/>
        <v>Lần 3</v>
      </c>
      <c r="G89" s="93">
        <v>46213</v>
      </c>
      <c r="H89" s="75">
        <v>356</v>
      </c>
      <c r="I89" s="75">
        <v>77.3</v>
      </c>
      <c r="J89" s="94">
        <v>750</v>
      </c>
      <c r="K89" s="94">
        <v>87</v>
      </c>
      <c r="L89" s="96"/>
      <c r="M89" s="66">
        <f t="shared" ca="1" si="6"/>
        <v>1</v>
      </c>
      <c r="N89" s="67">
        <f t="shared" ca="1" si="7"/>
        <v>1</v>
      </c>
      <c r="O89" s="68">
        <f t="shared" ca="1" si="8"/>
        <v>1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60" t="str">
        <f t="shared" ca="1" si="9"/>
        <v>Tổ Hạ tầng Bến Lức</v>
      </c>
      <c r="C90" s="61" t="str">
        <f t="shared" ca="1" si="2"/>
        <v>Mai Thiện Phương</v>
      </c>
      <c r="D90" s="62">
        <f t="shared" ca="1" si="3"/>
        <v>835880097</v>
      </c>
      <c r="E90" s="63" t="str">
        <f t="shared" ca="1" si="4"/>
        <v>phuongmt.lan@vnpt.vn</v>
      </c>
      <c r="F90" s="64" t="str">
        <f t="shared" ca="1" si="5"/>
        <v>Lần 4</v>
      </c>
      <c r="G90" s="93">
        <v>46213</v>
      </c>
      <c r="H90" s="75">
        <v>74.599999999999994</v>
      </c>
      <c r="I90" s="75">
        <v>17.5</v>
      </c>
      <c r="J90" s="94">
        <v>506</v>
      </c>
      <c r="K90" s="94">
        <v>32.700000000000003</v>
      </c>
      <c r="L90" s="95"/>
      <c r="M90" s="66">
        <f t="shared" ca="1" si="6"/>
        <v>1</v>
      </c>
      <c r="N90" s="67">
        <f t="shared" ca="1" si="7"/>
        <v>1</v>
      </c>
      <c r="O90" s="68">
        <f t="shared" ca="1" si="8"/>
        <v>1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60" t="str">
        <f t="shared" ca="1" si="9"/>
        <v>Tổ Hạ tầng Bến Lức</v>
      </c>
      <c r="C91" s="61" t="str">
        <f t="shared" ca="1" si="2"/>
        <v>Mai Thiện Phương</v>
      </c>
      <c r="D91" s="62">
        <f t="shared" ca="1" si="3"/>
        <v>835880097</v>
      </c>
      <c r="E91" s="63" t="str">
        <f t="shared" ca="1" si="4"/>
        <v>phuongmt.lan@vnpt.vn</v>
      </c>
      <c r="F91" s="64" t="str">
        <f t="shared" ca="1" si="5"/>
        <v>Lần 5</v>
      </c>
      <c r="G91" s="77"/>
      <c r="H91" s="123"/>
      <c r="I91" s="123"/>
      <c r="J91" s="123"/>
      <c r="K91" s="124"/>
      <c r="L91" s="91"/>
      <c r="M91" s="66">
        <f t="shared" ca="1" si="6"/>
        <v>0</v>
      </c>
      <c r="N91" s="67">
        <f t="shared" ca="1" si="7"/>
        <v>0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60" t="str">
        <f t="shared" ca="1" si="9"/>
        <v>Tổ Hạ tầng Bến Lức</v>
      </c>
      <c r="C92" s="61" t="str">
        <f t="shared" ca="1" si="2"/>
        <v>Mai Thiện Phương</v>
      </c>
      <c r="D92" s="62">
        <f t="shared" ca="1" si="3"/>
        <v>835880097</v>
      </c>
      <c r="E92" s="63" t="str">
        <f t="shared" ca="1" si="4"/>
        <v>phuongmt.lan@vnpt.vn</v>
      </c>
      <c r="F92" s="64" t="str">
        <f t="shared" ca="1" si="5"/>
        <v>Lần 6</v>
      </c>
      <c r="G92" s="77"/>
      <c r="H92" s="123"/>
      <c r="I92" s="123"/>
      <c r="J92" s="124"/>
      <c r="K92" s="124"/>
      <c r="L92" s="91"/>
      <c r="M92" s="66">
        <f t="shared" ca="1" si="6"/>
        <v>0</v>
      </c>
      <c r="N92" s="67">
        <f t="shared" ca="1" si="7"/>
        <v>0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60" t="str">
        <f t="shared" ca="1" si="9"/>
        <v>Tổ Hạ tầng Bến Lức</v>
      </c>
      <c r="C93" s="61" t="str">
        <f t="shared" ca="1" si="2"/>
        <v>Mai Thiện Phương</v>
      </c>
      <c r="D93" s="62">
        <f t="shared" ca="1" si="3"/>
        <v>835880097</v>
      </c>
      <c r="E93" s="63" t="str">
        <f t="shared" ca="1" si="4"/>
        <v>phuongmt.lan@vnpt.vn</v>
      </c>
      <c r="F93" s="64" t="str">
        <f t="shared" ca="1" si="5"/>
        <v>Lần 7</v>
      </c>
      <c r="G93" s="77"/>
      <c r="H93" s="123"/>
      <c r="I93" s="123"/>
      <c r="J93" s="124"/>
      <c r="K93" s="124"/>
      <c r="L93" s="91"/>
      <c r="M93" s="66">
        <f t="shared" ca="1" si="6"/>
        <v>0</v>
      </c>
      <c r="N93" s="67">
        <f t="shared" ca="1" si="7"/>
        <v>0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60" t="str">
        <f t="shared" ca="1" si="9"/>
        <v>Tổ Hạ tầng Bến Lức</v>
      </c>
      <c r="C94" s="61" t="str">
        <f t="shared" ca="1" si="2"/>
        <v>Mai Thiện Phương</v>
      </c>
      <c r="D94" s="62">
        <f t="shared" ca="1" si="3"/>
        <v>835880097</v>
      </c>
      <c r="E94" s="63" t="str">
        <f t="shared" ca="1" si="4"/>
        <v>phuongmt.lan@vnpt.vn</v>
      </c>
      <c r="F94" s="64" t="str">
        <f t="shared" ca="1" si="5"/>
        <v>Lần 8</v>
      </c>
      <c r="G94" s="77"/>
      <c r="H94" s="123"/>
      <c r="I94" s="123"/>
      <c r="J94" s="124"/>
      <c r="K94" s="124"/>
      <c r="L94" s="91"/>
      <c r="M94" s="66">
        <f t="shared" ca="1" si="6"/>
        <v>0</v>
      </c>
      <c r="N94" s="67">
        <f t="shared" ca="1" si="7"/>
        <v>0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60" t="str">
        <f t="shared" ca="1" si="9"/>
        <v>Tổ Hạ tầng Bến Lức</v>
      </c>
      <c r="C95" s="61" t="str">
        <f t="shared" ca="1" si="2"/>
        <v>Mai Thiện Phương</v>
      </c>
      <c r="D95" s="62">
        <f t="shared" ca="1" si="3"/>
        <v>835880097</v>
      </c>
      <c r="E95" s="63" t="str">
        <f t="shared" ca="1" si="4"/>
        <v>phuongmt.lan@vnpt.vn</v>
      </c>
      <c r="F95" s="64" t="str">
        <f t="shared" ca="1" si="5"/>
        <v>Lần 9</v>
      </c>
      <c r="G95" s="77"/>
      <c r="H95" s="123"/>
      <c r="I95" s="123"/>
      <c r="J95" s="124"/>
      <c r="K95" s="124"/>
      <c r="L95" s="91"/>
      <c r="M95" s="66">
        <f t="shared" ca="1" si="6"/>
        <v>0</v>
      </c>
      <c r="N95" s="67">
        <f t="shared" ca="1" si="7"/>
        <v>0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60" t="str">
        <f t="shared" ca="1" si="9"/>
        <v>Tổ Hạ tầng Bến Lức</v>
      </c>
      <c r="C96" s="61" t="str">
        <f t="shared" ca="1" si="2"/>
        <v>Mai Thiện Phương</v>
      </c>
      <c r="D96" s="62">
        <f t="shared" ca="1" si="3"/>
        <v>835880097</v>
      </c>
      <c r="E96" s="63" t="str">
        <f t="shared" ca="1" si="4"/>
        <v>phuongmt.lan@vnpt.vn</v>
      </c>
      <c r="F96" s="64" t="str">
        <f t="shared" ca="1" si="5"/>
        <v>Lần 10</v>
      </c>
      <c r="G96" s="77"/>
      <c r="H96" s="122"/>
      <c r="I96" s="122"/>
      <c r="J96" s="98"/>
      <c r="K96" s="98"/>
      <c r="L96" s="91"/>
      <c r="M96" s="66">
        <f t="shared" ca="1" si="6"/>
        <v>0</v>
      </c>
      <c r="N96" s="67">
        <f t="shared" ca="1" si="7"/>
        <v>0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60" t="str">
        <f t="shared" ca="1" si="9"/>
        <v>Tổ Hạ tầng Bến Lức</v>
      </c>
      <c r="C97" s="61" t="str">
        <f t="shared" ca="1" si="2"/>
        <v>Mai Thiện Phương</v>
      </c>
      <c r="D97" s="62">
        <f t="shared" ca="1" si="3"/>
        <v>835880097</v>
      </c>
      <c r="E97" s="63" t="str">
        <f t="shared" ca="1" si="4"/>
        <v>phuongmt.lan@vnpt.vn</v>
      </c>
      <c r="F97" s="64" t="str">
        <f t="shared" ca="1" si="5"/>
        <v>Lần 11</v>
      </c>
      <c r="G97" s="97"/>
      <c r="H97" s="122"/>
      <c r="I97" s="122"/>
      <c r="J97" s="98"/>
      <c r="K97" s="98"/>
      <c r="L97" s="91"/>
      <c r="M97" s="66">
        <f t="shared" ca="1" si="6"/>
        <v>0</v>
      </c>
      <c r="N97" s="67">
        <f t="shared" ca="1" si="7"/>
        <v>0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60" t="str">
        <f t="shared" ca="1" si="9"/>
        <v>Tổ Hạ tầng Bến Lức</v>
      </c>
      <c r="C98" s="61" t="str">
        <f t="shared" ca="1" si="2"/>
        <v>Mai Thiện Phương</v>
      </c>
      <c r="D98" s="62">
        <f t="shared" ca="1" si="3"/>
        <v>835880097</v>
      </c>
      <c r="E98" s="63" t="str">
        <f t="shared" ca="1" si="4"/>
        <v>phuongmt.lan@vnpt.vn</v>
      </c>
      <c r="F98" s="64" t="str">
        <f t="shared" ca="1" si="5"/>
        <v>Lần 12</v>
      </c>
      <c r="G98" s="97"/>
      <c r="H98" s="122"/>
      <c r="I98" s="122"/>
      <c r="J98" s="98"/>
      <c r="K98" s="98"/>
      <c r="L98" s="96"/>
      <c r="M98" s="66">
        <f t="shared" ca="1" si="6"/>
        <v>0</v>
      </c>
      <c r="N98" s="67">
        <f t="shared" ca="1" si="7"/>
        <v>0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60" t="str">
        <f t="shared" ca="1" si="9"/>
        <v>Tổ Hạ tầng Bến Lức</v>
      </c>
      <c r="C99" s="61" t="str">
        <f t="shared" ca="1" si="2"/>
        <v>Mai Thiện Phương</v>
      </c>
      <c r="D99" s="62">
        <f t="shared" ca="1" si="3"/>
        <v>835880097</v>
      </c>
      <c r="E99" s="63" t="str">
        <f t="shared" ca="1" si="4"/>
        <v>phuongmt.lan@vnpt.vn</v>
      </c>
      <c r="F99" s="64" t="str">
        <f t="shared" ca="1" si="5"/>
        <v>Lần 13</v>
      </c>
      <c r="G99" s="97"/>
      <c r="H99" s="122"/>
      <c r="I99" s="122"/>
      <c r="J99" s="98"/>
      <c r="K99" s="98"/>
      <c r="L99" s="96"/>
      <c r="M99" s="66">
        <f t="shared" ca="1" si="6"/>
        <v>0</v>
      </c>
      <c r="N99" s="67">
        <f t="shared" ca="1" si="7"/>
        <v>0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60" t="str">
        <f t="shared" ca="1" si="9"/>
        <v>Tổ Hạ tầng Bến Lức</v>
      </c>
      <c r="C100" s="61" t="str">
        <f t="shared" ca="1" si="2"/>
        <v>Mai Thiện Phương</v>
      </c>
      <c r="D100" s="62">
        <f t="shared" ca="1" si="3"/>
        <v>835880097</v>
      </c>
      <c r="E100" s="63" t="str">
        <f t="shared" ca="1" si="4"/>
        <v>phuongmt.lan@vnpt.vn</v>
      </c>
      <c r="F100" s="64" t="str">
        <f t="shared" ca="1" si="5"/>
        <v>Lần 14</v>
      </c>
      <c r="G100" s="97"/>
      <c r="H100" s="122"/>
      <c r="I100" s="122"/>
      <c r="J100" s="98"/>
      <c r="K100" s="98"/>
      <c r="L100" s="96"/>
      <c r="M100" s="66">
        <f t="shared" ca="1" si="6"/>
        <v>0</v>
      </c>
      <c r="N100" s="67">
        <f t="shared" ca="1" si="7"/>
        <v>0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60" t="str">
        <f t="shared" ca="1" si="9"/>
        <v>Tổ Hạ tầng Bến Lức</v>
      </c>
      <c r="C101" s="61" t="str">
        <f t="shared" ca="1" si="2"/>
        <v>Mai Thiện Phương</v>
      </c>
      <c r="D101" s="62">
        <f t="shared" ca="1" si="3"/>
        <v>835880097</v>
      </c>
      <c r="E101" s="63" t="str">
        <f t="shared" ca="1" si="4"/>
        <v>phuongmt.lan@vnpt.vn</v>
      </c>
      <c r="F101" s="64" t="str">
        <f t="shared" ca="1" si="5"/>
        <v>Lần 15</v>
      </c>
      <c r="G101" s="97"/>
      <c r="H101" s="122"/>
      <c r="I101" s="122"/>
      <c r="J101" s="98"/>
      <c r="K101" s="98"/>
      <c r="L101" s="96"/>
      <c r="M101" s="66">
        <f t="shared" ca="1" si="6"/>
        <v>0</v>
      </c>
      <c r="N101" s="67">
        <f t="shared" ca="1" si="7"/>
        <v>0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01" t="str">
        <f t="shared" ca="1" si="9"/>
        <v>Tổ Hạ tầng Bến Lức</v>
      </c>
      <c r="C102" s="102" t="str">
        <f t="shared" ca="1" si="2"/>
        <v>Mai Thiện Phương</v>
      </c>
      <c r="D102" s="103">
        <f t="shared" ca="1" si="3"/>
        <v>835880097</v>
      </c>
      <c r="E102" s="104" t="str">
        <f t="shared" ca="1" si="4"/>
        <v>phuongmt.lan@vnpt.vn</v>
      </c>
      <c r="F102" s="105" t="str">
        <f t="shared" ca="1" si="5"/>
        <v>Lần 16</v>
      </c>
      <c r="G102" s="97"/>
      <c r="H102" s="122"/>
      <c r="I102" s="122"/>
      <c r="J102" s="98"/>
      <c r="K102" s="98"/>
      <c r="L102" s="96"/>
      <c r="M102" s="66">
        <f t="shared" ca="1" si="6"/>
        <v>0</v>
      </c>
      <c r="N102" s="67">
        <f t="shared" ca="1" si="7"/>
        <v>0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107" t="str">
        <f t="shared" ca="1" si="9"/>
        <v>Tổ Hạ tầng Bến Lức</v>
      </c>
      <c r="C103" s="108" t="str">
        <f t="shared" ca="1" si="2"/>
        <v>Trương Anh Pha</v>
      </c>
      <c r="D103" s="109">
        <f t="shared" ca="1" si="3"/>
        <v>916234929</v>
      </c>
      <c r="E103" s="110" t="str">
        <f t="shared" ca="1" si="4"/>
        <v>phata.lan@vnpt.vn</v>
      </c>
      <c r="F103" s="111" t="str">
        <f t="shared" ca="1" si="5"/>
        <v>Lần 1</v>
      </c>
      <c r="G103" s="52">
        <v>46205</v>
      </c>
      <c r="H103" s="125">
        <v>406</v>
      </c>
      <c r="I103" s="125">
        <v>23.7</v>
      </c>
      <c r="J103" s="126">
        <v>626</v>
      </c>
      <c r="K103" s="126">
        <v>24.5</v>
      </c>
      <c r="L103" s="127" t="s">
        <v>279</v>
      </c>
      <c r="M103" s="66">
        <f t="shared" ca="1" si="6"/>
        <v>1</v>
      </c>
      <c r="N103" s="67">
        <f t="shared" ca="1" si="7"/>
        <v>1</v>
      </c>
      <c r="O103" s="68">
        <f t="shared" ca="1" si="8"/>
        <v>1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60" t="str">
        <f t="shared" ca="1" si="9"/>
        <v>Tổ Hạ tầng Bến Lức</v>
      </c>
      <c r="C104" s="61" t="str">
        <f t="shared" ca="1" si="2"/>
        <v>Trương Anh Pha</v>
      </c>
      <c r="D104" s="62">
        <f t="shared" ca="1" si="3"/>
        <v>916234929</v>
      </c>
      <c r="E104" s="63" t="str">
        <f t="shared" ca="1" si="4"/>
        <v>phata.lan@vnpt.vn</v>
      </c>
      <c r="F104" s="64" t="str">
        <f t="shared" ca="1" si="5"/>
        <v>Lần 2</v>
      </c>
      <c r="G104" s="89">
        <v>46208</v>
      </c>
      <c r="H104" s="125">
        <v>655</v>
      </c>
      <c r="I104" s="125">
        <v>58.6</v>
      </c>
      <c r="J104" s="126">
        <v>1032</v>
      </c>
      <c r="K104" s="126">
        <v>163</v>
      </c>
      <c r="L104" s="127" t="s">
        <v>279</v>
      </c>
      <c r="M104" s="66">
        <f t="shared" ca="1" si="6"/>
        <v>1</v>
      </c>
      <c r="N104" s="67">
        <f t="shared" ca="1" si="7"/>
        <v>1</v>
      </c>
      <c r="O104" s="68">
        <f t="shared" ca="1" si="8"/>
        <v>1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60" t="str">
        <f t="shared" ca="1" si="9"/>
        <v>Tổ Hạ tầng Bến Lức</v>
      </c>
      <c r="C105" s="61" t="str">
        <f t="shared" ca="1" si="2"/>
        <v>Trương Anh Pha</v>
      </c>
      <c r="D105" s="62">
        <f t="shared" ca="1" si="3"/>
        <v>916234929</v>
      </c>
      <c r="E105" s="63" t="str">
        <f t="shared" ca="1" si="4"/>
        <v>phata.lan@vnpt.vn</v>
      </c>
      <c r="F105" s="64" t="str">
        <f t="shared" ca="1" si="5"/>
        <v>Lần 3</v>
      </c>
      <c r="G105" s="89">
        <v>46208</v>
      </c>
      <c r="H105" s="125">
        <v>575</v>
      </c>
      <c r="I105" s="125">
        <v>74.099999999999994</v>
      </c>
      <c r="J105" s="126">
        <v>1174</v>
      </c>
      <c r="K105" s="126">
        <v>163</v>
      </c>
      <c r="L105" s="127" t="s">
        <v>279</v>
      </c>
      <c r="M105" s="66">
        <f t="shared" ca="1" si="6"/>
        <v>1</v>
      </c>
      <c r="N105" s="67">
        <f t="shared" ca="1" si="7"/>
        <v>1</v>
      </c>
      <c r="O105" s="68">
        <f t="shared" ca="1" si="8"/>
        <v>1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60" t="str">
        <f t="shared" ca="1" si="9"/>
        <v>Tổ Hạ tầng Bến Lức</v>
      </c>
      <c r="C106" s="61" t="str">
        <f t="shared" ca="1" si="2"/>
        <v>Trương Anh Pha</v>
      </c>
      <c r="D106" s="62">
        <f t="shared" ca="1" si="3"/>
        <v>916234929</v>
      </c>
      <c r="E106" s="63" t="str">
        <f t="shared" ca="1" si="4"/>
        <v>phata.lan@vnpt.vn</v>
      </c>
      <c r="F106" s="64" t="str">
        <f t="shared" ca="1" si="5"/>
        <v>Lần 4</v>
      </c>
      <c r="G106" s="89">
        <v>46208</v>
      </c>
      <c r="H106" s="125">
        <v>564</v>
      </c>
      <c r="I106" s="125">
        <v>68.8</v>
      </c>
      <c r="J106" s="126">
        <v>948</v>
      </c>
      <c r="K106" s="126">
        <v>160</v>
      </c>
      <c r="L106" s="127" t="s">
        <v>279</v>
      </c>
      <c r="M106" s="66">
        <f t="shared" ca="1" si="6"/>
        <v>1</v>
      </c>
      <c r="N106" s="67">
        <f t="shared" ca="1" si="7"/>
        <v>1</v>
      </c>
      <c r="O106" s="68">
        <f t="shared" ca="1" si="8"/>
        <v>1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60" t="str">
        <f t="shared" ca="1" si="9"/>
        <v>Tổ Hạ tầng Bến Lức</v>
      </c>
      <c r="C107" s="61" t="str">
        <f t="shared" ca="1" si="2"/>
        <v>Trương Anh Pha</v>
      </c>
      <c r="D107" s="62">
        <f t="shared" ca="1" si="3"/>
        <v>916234929</v>
      </c>
      <c r="E107" s="63" t="str">
        <f t="shared" ca="1" si="4"/>
        <v>phata.lan@vnpt.vn</v>
      </c>
      <c r="F107" s="64" t="str">
        <f t="shared" ca="1" si="5"/>
        <v>Lần 5</v>
      </c>
      <c r="G107" s="77"/>
      <c r="H107" s="78"/>
      <c r="I107" s="78"/>
      <c r="J107" s="79"/>
      <c r="K107" s="79"/>
      <c r="L107" s="88"/>
      <c r="M107" s="66">
        <f t="shared" ca="1" si="6"/>
        <v>0</v>
      </c>
      <c r="N107" s="67">
        <f t="shared" ca="1" si="7"/>
        <v>0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60" t="str">
        <f t="shared" ca="1" si="9"/>
        <v>Tổ Hạ tầng Bến Lức</v>
      </c>
      <c r="C108" s="61" t="str">
        <f t="shared" ca="1" si="2"/>
        <v>Trương Anh Pha</v>
      </c>
      <c r="D108" s="62">
        <f t="shared" ca="1" si="3"/>
        <v>916234929</v>
      </c>
      <c r="E108" s="63" t="str">
        <f t="shared" ca="1" si="4"/>
        <v>phata.lan@vnpt.vn</v>
      </c>
      <c r="F108" s="64" t="str">
        <f t="shared" ca="1" si="5"/>
        <v>Lần 6</v>
      </c>
      <c r="G108" s="77"/>
      <c r="H108" s="78"/>
      <c r="I108" s="78"/>
      <c r="J108" s="79"/>
      <c r="K108" s="79"/>
      <c r="L108" s="88"/>
      <c r="M108" s="66">
        <f t="shared" ca="1" si="6"/>
        <v>0</v>
      </c>
      <c r="N108" s="67">
        <f t="shared" ca="1" si="7"/>
        <v>0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60" t="str">
        <f t="shared" ca="1" si="9"/>
        <v>Tổ Hạ tầng Bến Lức</v>
      </c>
      <c r="C109" s="61" t="str">
        <f t="shared" ca="1" si="2"/>
        <v>Trương Anh Pha</v>
      </c>
      <c r="D109" s="62">
        <f t="shared" ca="1" si="3"/>
        <v>916234929</v>
      </c>
      <c r="E109" s="63" t="str">
        <f t="shared" ca="1" si="4"/>
        <v>phata.lan@vnpt.vn</v>
      </c>
      <c r="F109" s="64" t="str">
        <f t="shared" ca="1" si="5"/>
        <v>Lần 7</v>
      </c>
      <c r="G109" s="77"/>
      <c r="H109" s="123"/>
      <c r="I109" s="123"/>
      <c r="J109" s="124"/>
      <c r="K109" s="124"/>
      <c r="L109" s="88"/>
      <c r="M109" s="66">
        <f t="shared" ca="1" si="6"/>
        <v>0</v>
      </c>
      <c r="N109" s="67">
        <f t="shared" ca="1" si="7"/>
        <v>0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60" t="str">
        <f t="shared" ca="1" si="9"/>
        <v>Tổ Hạ tầng Bến Lức</v>
      </c>
      <c r="C110" s="61" t="str">
        <f t="shared" ca="1" si="2"/>
        <v>Trương Anh Pha</v>
      </c>
      <c r="D110" s="62">
        <f t="shared" ca="1" si="3"/>
        <v>916234929</v>
      </c>
      <c r="E110" s="63" t="str">
        <f t="shared" ca="1" si="4"/>
        <v>phata.lan@vnpt.vn</v>
      </c>
      <c r="F110" s="64" t="str">
        <f t="shared" ca="1" si="5"/>
        <v>Lần 8</v>
      </c>
      <c r="G110" s="77"/>
      <c r="H110" s="123"/>
      <c r="I110" s="123"/>
      <c r="J110" s="124"/>
      <c r="K110" s="124"/>
      <c r="L110" s="88"/>
      <c r="M110" s="66">
        <f t="shared" ca="1" si="6"/>
        <v>0</v>
      </c>
      <c r="N110" s="67">
        <f t="shared" ca="1" si="7"/>
        <v>0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60" t="str">
        <f t="shared" ca="1" si="9"/>
        <v>Tổ Hạ tầng Bến Lức</v>
      </c>
      <c r="C111" s="61" t="str">
        <f t="shared" ca="1" si="2"/>
        <v>Trương Anh Pha</v>
      </c>
      <c r="D111" s="62">
        <f t="shared" ca="1" si="3"/>
        <v>916234929</v>
      </c>
      <c r="E111" s="63" t="str">
        <f t="shared" ca="1" si="4"/>
        <v>phata.lan@vnpt.vn</v>
      </c>
      <c r="F111" s="64" t="str">
        <f t="shared" ca="1" si="5"/>
        <v>Lần 9</v>
      </c>
      <c r="G111" s="77"/>
      <c r="H111" s="123"/>
      <c r="I111" s="123"/>
      <c r="J111" s="124"/>
      <c r="K111" s="124"/>
      <c r="L111" s="88"/>
      <c r="M111" s="66">
        <f t="shared" ca="1" si="6"/>
        <v>0</v>
      </c>
      <c r="N111" s="67">
        <f t="shared" ca="1" si="7"/>
        <v>0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60" t="str">
        <f t="shared" ca="1" si="9"/>
        <v>Tổ Hạ tầng Bến Lức</v>
      </c>
      <c r="C112" s="61" t="str">
        <f t="shared" ca="1" si="2"/>
        <v>Trương Anh Pha</v>
      </c>
      <c r="D112" s="62">
        <f t="shared" ca="1" si="3"/>
        <v>916234929</v>
      </c>
      <c r="E112" s="63" t="str">
        <f t="shared" ca="1" si="4"/>
        <v>phata.lan@vnpt.vn</v>
      </c>
      <c r="F112" s="64" t="str">
        <f t="shared" ca="1" si="5"/>
        <v>Lần 10</v>
      </c>
      <c r="G112" s="77"/>
      <c r="H112" s="123"/>
      <c r="I112" s="123"/>
      <c r="J112" s="124"/>
      <c r="K112" s="124"/>
      <c r="L112" s="88"/>
      <c r="M112" s="66">
        <f t="shared" ca="1" si="6"/>
        <v>0</v>
      </c>
      <c r="N112" s="67">
        <f t="shared" ca="1" si="7"/>
        <v>0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60" t="str">
        <f t="shared" ca="1" si="9"/>
        <v>Tổ Hạ tầng Bến Lức</v>
      </c>
      <c r="C113" s="61" t="str">
        <f t="shared" ca="1" si="2"/>
        <v>Trương Anh Pha</v>
      </c>
      <c r="D113" s="62">
        <f t="shared" ca="1" si="3"/>
        <v>916234929</v>
      </c>
      <c r="E113" s="63" t="str">
        <f t="shared" ca="1" si="4"/>
        <v>phata.lan@vnpt.vn</v>
      </c>
      <c r="F113" s="64" t="str">
        <f t="shared" ca="1" si="5"/>
        <v>Lần 11</v>
      </c>
      <c r="G113" s="77"/>
      <c r="H113" s="123"/>
      <c r="I113" s="123"/>
      <c r="J113" s="124"/>
      <c r="K113" s="124"/>
      <c r="L113" s="88"/>
      <c r="M113" s="66">
        <f t="shared" ca="1" si="6"/>
        <v>0</v>
      </c>
      <c r="N113" s="67">
        <f t="shared" ca="1" si="7"/>
        <v>0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60" t="str">
        <f t="shared" ca="1" si="9"/>
        <v>Tổ Hạ tầng Bến Lức</v>
      </c>
      <c r="C114" s="61" t="str">
        <f t="shared" ca="1" si="2"/>
        <v>Trương Anh Pha</v>
      </c>
      <c r="D114" s="62">
        <f t="shared" ca="1" si="3"/>
        <v>916234929</v>
      </c>
      <c r="E114" s="63" t="str">
        <f t="shared" ca="1" si="4"/>
        <v>phata.lan@vnpt.vn</v>
      </c>
      <c r="F114" s="64" t="str">
        <f t="shared" ca="1" si="5"/>
        <v>Lần 12</v>
      </c>
      <c r="G114" s="77"/>
      <c r="H114" s="123"/>
      <c r="I114" s="123"/>
      <c r="J114" s="124"/>
      <c r="K114" s="124"/>
      <c r="L114" s="88"/>
      <c r="M114" s="66">
        <f t="shared" ca="1" si="6"/>
        <v>0</v>
      </c>
      <c r="N114" s="67">
        <f t="shared" ca="1" si="7"/>
        <v>0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60" t="str">
        <f t="shared" ca="1" si="9"/>
        <v>Tổ Hạ tầng Bến Lức</v>
      </c>
      <c r="C115" s="61" t="str">
        <f t="shared" ca="1" si="2"/>
        <v>Trương Anh Pha</v>
      </c>
      <c r="D115" s="62">
        <f t="shared" ca="1" si="3"/>
        <v>916234929</v>
      </c>
      <c r="E115" s="63" t="str">
        <f t="shared" ca="1" si="4"/>
        <v>phata.lan@vnpt.vn</v>
      </c>
      <c r="F115" s="64" t="str">
        <f t="shared" ca="1" si="5"/>
        <v>Lần 13</v>
      </c>
      <c r="G115" s="77"/>
      <c r="H115" s="123"/>
      <c r="I115" s="123"/>
      <c r="J115" s="124"/>
      <c r="K115" s="124"/>
      <c r="L115" s="88"/>
      <c r="M115" s="66">
        <f t="shared" ca="1" si="6"/>
        <v>0</v>
      </c>
      <c r="N115" s="67">
        <f t="shared" ca="1" si="7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60" t="str">
        <f t="shared" ca="1" si="9"/>
        <v>Tổ Hạ tầng Bến Lức</v>
      </c>
      <c r="C116" s="61" t="str">
        <f t="shared" ca="1" si="2"/>
        <v>Trương Anh Pha</v>
      </c>
      <c r="D116" s="62">
        <f t="shared" ca="1" si="3"/>
        <v>916234929</v>
      </c>
      <c r="E116" s="63" t="str">
        <f t="shared" ca="1" si="4"/>
        <v>phata.lan@vnpt.vn</v>
      </c>
      <c r="F116" s="64" t="str">
        <f t="shared" ca="1" si="5"/>
        <v>Lần 14</v>
      </c>
      <c r="G116" s="77"/>
      <c r="H116" s="123"/>
      <c r="I116" s="123"/>
      <c r="J116" s="124"/>
      <c r="K116" s="124"/>
      <c r="L116" s="88"/>
      <c r="M116" s="66">
        <f t="shared" ca="1" si="6"/>
        <v>0</v>
      </c>
      <c r="N116" s="67">
        <f t="shared" ca="1" si="7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60" t="str">
        <f t="shared" ca="1" si="9"/>
        <v>Tổ Hạ tầng Bến Lức</v>
      </c>
      <c r="C117" s="61" t="str">
        <f t="shared" ca="1" si="2"/>
        <v>Trương Anh Pha</v>
      </c>
      <c r="D117" s="62">
        <f t="shared" ca="1" si="3"/>
        <v>916234929</v>
      </c>
      <c r="E117" s="63" t="str">
        <f t="shared" ca="1" si="4"/>
        <v>phata.lan@vnpt.vn</v>
      </c>
      <c r="F117" s="64" t="str">
        <f t="shared" ca="1" si="5"/>
        <v>Lần 15</v>
      </c>
      <c r="G117" s="77"/>
      <c r="H117" s="123"/>
      <c r="I117" s="123"/>
      <c r="J117" s="124"/>
      <c r="K117" s="124"/>
      <c r="L117" s="88"/>
      <c r="M117" s="66">
        <f t="shared" ca="1" si="6"/>
        <v>0</v>
      </c>
      <c r="N117" s="67">
        <f t="shared" ca="1" si="7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81" t="str">
        <f t="shared" ca="1" si="9"/>
        <v>Tổ Hạ tầng Bến Lức</v>
      </c>
      <c r="C118" s="82" t="str">
        <f t="shared" ca="1" si="2"/>
        <v>Trương Anh Pha</v>
      </c>
      <c r="D118" s="83">
        <f t="shared" ca="1" si="3"/>
        <v>916234929</v>
      </c>
      <c r="E118" s="84" t="str">
        <f t="shared" ca="1" si="4"/>
        <v>phata.lan@vnpt.vn</v>
      </c>
      <c r="F118" s="85" t="str">
        <f t="shared" ca="1" si="5"/>
        <v>Lần 16</v>
      </c>
      <c r="G118" s="77"/>
      <c r="H118" s="123"/>
      <c r="I118" s="123"/>
      <c r="J118" s="124"/>
      <c r="K118" s="124"/>
      <c r="L118" s="88"/>
      <c r="M118" s="66">
        <f t="shared" ca="1" si="6"/>
        <v>0</v>
      </c>
      <c r="N118" s="67">
        <f t="shared" ca="1" si="7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47" t="str">
        <f t="shared" ca="1" si="9"/>
        <v>Tổ Hạ tầng Bến Lức</v>
      </c>
      <c r="C119" s="48" t="str">
        <f t="shared" ca="1" si="2"/>
        <v>Đặng Hoàng Vũ</v>
      </c>
      <c r="D119" s="49">
        <f t="shared" ca="1" si="3"/>
        <v>918616787</v>
      </c>
      <c r="E119" s="50" t="str">
        <f t="shared" ca="1" si="4"/>
        <v>vudh.lan@vnpt.vn</v>
      </c>
      <c r="F119" s="51" t="str">
        <f t="shared" ca="1" si="5"/>
        <v>Lần 1</v>
      </c>
      <c r="G119" s="89">
        <v>46207</v>
      </c>
      <c r="H119" s="53">
        <v>80.400000000000006</v>
      </c>
      <c r="I119" s="53">
        <v>37.200000000000003</v>
      </c>
      <c r="J119" s="90">
        <v>95.5</v>
      </c>
      <c r="K119" s="90">
        <v>37.9</v>
      </c>
      <c r="L119" s="95"/>
      <c r="M119" s="66">
        <f t="shared" ca="1" si="6"/>
        <v>1</v>
      </c>
      <c r="N119" s="67">
        <f t="shared" ca="1" si="7"/>
        <v>1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60" t="str">
        <f t="shared" ca="1" si="9"/>
        <v>Tổ Hạ tầng Bến Lức</v>
      </c>
      <c r="C120" s="61" t="str">
        <f t="shared" ca="1" si="2"/>
        <v>Đặng Hoàng Vũ</v>
      </c>
      <c r="D120" s="62">
        <f t="shared" ca="1" si="3"/>
        <v>918616787</v>
      </c>
      <c r="E120" s="63" t="str">
        <f t="shared" ca="1" si="4"/>
        <v>vudh.lan@vnpt.vn</v>
      </c>
      <c r="F120" s="64" t="str">
        <f t="shared" ca="1" si="5"/>
        <v>Lần 2</v>
      </c>
      <c r="G120" s="89">
        <v>46207</v>
      </c>
      <c r="H120" s="53">
        <v>77</v>
      </c>
      <c r="I120" s="53">
        <v>39</v>
      </c>
      <c r="J120" s="90">
        <v>83.3</v>
      </c>
      <c r="K120" s="90">
        <v>38.700000000000003</v>
      </c>
      <c r="L120" s="96"/>
      <c r="M120" s="66">
        <f t="shared" ca="1" si="6"/>
        <v>1</v>
      </c>
      <c r="N120" s="67">
        <f t="shared" ca="1" si="7"/>
        <v>1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60" t="str">
        <f t="shared" ca="1" si="9"/>
        <v>Tổ Hạ tầng Bến Lức</v>
      </c>
      <c r="C121" s="61" t="str">
        <f t="shared" ca="1" si="2"/>
        <v>Đặng Hoàng Vũ</v>
      </c>
      <c r="D121" s="62">
        <f t="shared" ca="1" si="3"/>
        <v>918616787</v>
      </c>
      <c r="E121" s="63" t="str">
        <f t="shared" ca="1" si="4"/>
        <v>vudh.lan@vnpt.vn</v>
      </c>
      <c r="F121" s="64" t="str">
        <f t="shared" ca="1" si="5"/>
        <v>Lần 3</v>
      </c>
      <c r="G121" s="89">
        <v>46211</v>
      </c>
      <c r="H121" s="53">
        <v>77.3</v>
      </c>
      <c r="I121" s="53">
        <v>30.8</v>
      </c>
      <c r="J121" s="90">
        <v>77.7</v>
      </c>
      <c r="K121" s="90">
        <v>27.9</v>
      </c>
      <c r="L121" s="96"/>
      <c r="M121" s="66">
        <f t="shared" ca="1" si="6"/>
        <v>1</v>
      </c>
      <c r="N121" s="67">
        <f t="shared" ca="1" si="7"/>
        <v>1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60" t="str">
        <f t="shared" ca="1" si="9"/>
        <v>Tổ Hạ tầng Bến Lức</v>
      </c>
      <c r="C122" s="61" t="str">
        <f t="shared" ca="1" si="2"/>
        <v>Đặng Hoàng Vũ</v>
      </c>
      <c r="D122" s="62">
        <f t="shared" ca="1" si="3"/>
        <v>918616787</v>
      </c>
      <c r="E122" s="63" t="str">
        <f t="shared" ca="1" si="4"/>
        <v>vudh.lan@vnpt.vn</v>
      </c>
      <c r="F122" s="64" t="str">
        <f t="shared" ca="1" si="5"/>
        <v>Lần 4</v>
      </c>
      <c r="G122" s="77"/>
      <c r="H122" s="123"/>
      <c r="I122" s="123"/>
      <c r="J122" s="124"/>
      <c r="K122" s="124"/>
      <c r="L122" s="95"/>
      <c r="M122" s="66">
        <f t="shared" ca="1" si="6"/>
        <v>0</v>
      </c>
      <c r="N122" s="67">
        <f t="shared" ca="1" si="7"/>
        <v>0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60" t="str">
        <f t="shared" ca="1" si="9"/>
        <v>Tổ Hạ tầng Bến Lức</v>
      </c>
      <c r="C123" s="61" t="str">
        <f t="shared" ca="1" si="2"/>
        <v>Đặng Hoàng Vũ</v>
      </c>
      <c r="D123" s="62">
        <f t="shared" ca="1" si="3"/>
        <v>918616787</v>
      </c>
      <c r="E123" s="63" t="str">
        <f t="shared" ca="1" si="4"/>
        <v>vudh.lan@vnpt.vn</v>
      </c>
      <c r="F123" s="64" t="str">
        <f t="shared" ca="1" si="5"/>
        <v>Lần 5</v>
      </c>
      <c r="G123" s="77"/>
      <c r="H123" s="123"/>
      <c r="I123" s="123"/>
      <c r="J123" s="124"/>
      <c r="K123" s="124"/>
      <c r="L123" s="96"/>
      <c r="M123" s="66">
        <f t="shared" ca="1" si="6"/>
        <v>0</v>
      </c>
      <c r="N123" s="67">
        <f t="shared" ca="1" si="7"/>
        <v>0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60" t="str">
        <f t="shared" ca="1" si="9"/>
        <v>Tổ Hạ tầng Bến Lức</v>
      </c>
      <c r="C124" s="61" t="str">
        <f t="shared" ca="1" si="2"/>
        <v>Đặng Hoàng Vũ</v>
      </c>
      <c r="D124" s="62">
        <f t="shared" ca="1" si="3"/>
        <v>918616787</v>
      </c>
      <c r="E124" s="63" t="str">
        <f t="shared" ca="1" si="4"/>
        <v>vudh.lan@vnpt.vn</v>
      </c>
      <c r="F124" s="64" t="str">
        <f t="shared" ca="1" si="5"/>
        <v>Lần 6</v>
      </c>
      <c r="G124" s="77"/>
      <c r="H124" s="123"/>
      <c r="I124" s="123"/>
      <c r="J124" s="124"/>
      <c r="K124" s="124"/>
      <c r="L124" s="95"/>
      <c r="M124" s="66">
        <f t="shared" ca="1" si="6"/>
        <v>0</v>
      </c>
      <c r="N124" s="67">
        <f t="shared" ca="1" si="7"/>
        <v>0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60" t="str">
        <f t="shared" ca="1" si="9"/>
        <v>Tổ Hạ tầng Bến Lức</v>
      </c>
      <c r="C125" s="61" t="str">
        <f t="shared" ca="1" si="2"/>
        <v>Đặng Hoàng Vũ</v>
      </c>
      <c r="D125" s="62">
        <f t="shared" ca="1" si="3"/>
        <v>918616787</v>
      </c>
      <c r="E125" s="63" t="str">
        <f t="shared" ca="1" si="4"/>
        <v>vudh.lan@vnpt.vn</v>
      </c>
      <c r="F125" s="64" t="str">
        <f t="shared" ca="1" si="5"/>
        <v>Lần 7</v>
      </c>
      <c r="G125" s="77"/>
      <c r="H125" s="78"/>
      <c r="I125" s="128"/>
      <c r="J125" s="129"/>
      <c r="K125" s="129"/>
      <c r="L125" s="95"/>
      <c r="M125" s="66">
        <f t="shared" ca="1" si="6"/>
        <v>0</v>
      </c>
      <c r="N125" s="67">
        <f t="shared" ca="1" si="7"/>
        <v>0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60" t="str">
        <f t="shared" ca="1" si="9"/>
        <v>Tổ Hạ tầng Bến Lức</v>
      </c>
      <c r="C126" s="61" t="str">
        <f t="shared" ca="1" si="2"/>
        <v>Đặng Hoàng Vũ</v>
      </c>
      <c r="D126" s="62">
        <f t="shared" ca="1" si="3"/>
        <v>918616787</v>
      </c>
      <c r="E126" s="63" t="str">
        <f t="shared" ca="1" si="4"/>
        <v>vudh.lan@vnpt.vn</v>
      </c>
      <c r="F126" s="64" t="str">
        <f t="shared" ca="1" si="5"/>
        <v>Lần 8</v>
      </c>
      <c r="G126" s="77"/>
      <c r="H126" s="78"/>
      <c r="I126" s="78"/>
      <c r="J126" s="129"/>
      <c r="K126" s="129"/>
      <c r="L126" s="95"/>
      <c r="M126" s="66">
        <f t="shared" ca="1" si="6"/>
        <v>0</v>
      </c>
      <c r="N126" s="67">
        <f t="shared" ca="1" si="7"/>
        <v>0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60" t="str">
        <f t="shared" ca="1" si="9"/>
        <v>Tổ Hạ tầng Bến Lức</v>
      </c>
      <c r="C127" s="61" t="str">
        <f t="shared" ca="1" si="2"/>
        <v>Đặng Hoàng Vũ</v>
      </c>
      <c r="D127" s="62">
        <f t="shared" ca="1" si="3"/>
        <v>918616787</v>
      </c>
      <c r="E127" s="63" t="str">
        <f t="shared" ca="1" si="4"/>
        <v>vudh.lan@vnpt.vn</v>
      </c>
      <c r="F127" s="64" t="str">
        <f t="shared" ca="1" si="5"/>
        <v>Lần 9</v>
      </c>
      <c r="G127" s="77"/>
      <c r="H127" s="78"/>
      <c r="I127" s="78"/>
      <c r="J127" s="129"/>
      <c r="K127" s="129"/>
      <c r="L127" s="96"/>
      <c r="M127" s="66">
        <f t="shared" ca="1" si="6"/>
        <v>0</v>
      </c>
      <c r="N127" s="67">
        <f t="shared" ca="1" si="7"/>
        <v>0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60" t="str">
        <f t="shared" ca="1" si="9"/>
        <v>Tổ Hạ tầng Bến Lức</v>
      </c>
      <c r="C128" s="61" t="str">
        <f t="shared" ca="1" si="2"/>
        <v>Đặng Hoàng Vũ</v>
      </c>
      <c r="D128" s="62">
        <f t="shared" ca="1" si="3"/>
        <v>918616787</v>
      </c>
      <c r="E128" s="63" t="str">
        <f t="shared" ca="1" si="4"/>
        <v>vudh.lan@vnpt.vn</v>
      </c>
      <c r="F128" s="64" t="str">
        <f t="shared" ca="1" si="5"/>
        <v>Lần 10</v>
      </c>
      <c r="G128" s="77"/>
      <c r="H128" s="78"/>
      <c r="I128" s="78"/>
      <c r="J128" s="79"/>
      <c r="K128" s="79"/>
      <c r="L128" s="95"/>
      <c r="M128" s="66">
        <f t="shared" ca="1" si="6"/>
        <v>0</v>
      </c>
      <c r="N128" s="67">
        <f t="shared" ca="1" si="7"/>
        <v>0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60" t="str">
        <f t="shared" ca="1" si="9"/>
        <v>Tổ Hạ tầng Bến Lức</v>
      </c>
      <c r="C129" s="61" t="str">
        <f t="shared" ca="1" si="2"/>
        <v>Đặng Hoàng Vũ</v>
      </c>
      <c r="D129" s="62">
        <f t="shared" ca="1" si="3"/>
        <v>918616787</v>
      </c>
      <c r="E129" s="63" t="str">
        <f t="shared" ca="1" si="4"/>
        <v>vudh.lan@vnpt.vn</v>
      </c>
      <c r="F129" s="64" t="str">
        <f t="shared" ca="1" si="5"/>
        <v>Lần 11</v>
      </c>
      <c r="G129" s="93"/>
      <c r="H129" s="75"/>
      <c r="I129" s="75"/>
      <c r="J129" s="94"/>
      <c r="K129" s="94"/>
      <c r="L129" s="95"/>
      <c r="M129" s="66">
        <f t="shared" ca="1" si="6"/>
        <v>0</v>
      </c>
      <c r="N129" s="67">
        <f t="shared" ca="1" si="7"/>
        <v>0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60" t="str">
        <f t="shared" ca="1" si="9"/>
        <v>Tổ Hạ tầng Bến Lức</v>
      </c>
      <c r="C130" s="61" t="str">
        <f t="shared" ca="1" si="2"/>
        <v>Đặng Hoàng Vũ</v>
      </c>
      <c r="D130" s="62">
        <f t="shared" ca="1" si="3"/>
        <v>918616787</v>
      </c>
      <c r="E130" s="63" t="str">
        <f t="shared" ca="1" si="4"/>
        <v>vudh.lan@vnpt.vn</v>
      </c>
      <c r="F130" s="64" t="str">
        <f t="shared" ca="1" si="5"/>
        <v>Lần 12</v>
      </c>
      <c r="G130" s="93"/>
      <c r="H130" s="75"/>
      <c r="I130" s="75"/>
      <c r="J130" s="94"/>
      <c r="K130" s="94"/>
      <c r="L130" s="95"/>
      <c r="M130" s="66">
        <f t="shared" ca="1" si="6"/>
        <v>0</v>
      </c>
      <c r="N130" s="67">
        <f t="shared" ca="1" si="7"/>
        <v>0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60" t="str">
        <f t="shared" ca="1" si="9"/>
        <v>Tổ Hạ tầng Bến Lức</v>
      </c>
      <c r="C131" s="61" t="str">
        <f t="shared" ca="1" si="2"/>
        <v>Đặng Hoàng Vũ</v>
      </c>
      <c r="D131" s="62">
        <f t="shared" ca="1" si="3"/>
        <v>918616787</v>
      </c>
      <c r="E131" s="63" t="str">
        <f t="shared" ca="1" si="4"/>
        <v>vudh.lan@vnpt.vn</v>
      </c>
      <c r="F131" s="64" t="str">
        <f t="shared" ca="1" si="5"/>
        <v>Lần 13</v>
      </c>
      <c r="G131" s="93"/>
      <c r="H131" s="75"/>
      <c r="I131" s="75"/>
      <c r="J131" s="94"/>
      <c r="K131" s="94"/>
      <c r="L131" s="95"/>
      <c r="M131" s="66">
        <f t="shared" ca="1" si="6"/>
        <v>0</v>
      </c>
      <c r="N131" s="67">
        <f t="shared" ca="1" si="7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60" t="str">
        <f t="shared" ca="1" si="9"/>
        <v>Tổ Hạ tầng Bến Lức</v>
      </c>
      <c r="C132" s="61" t="str">
        <f t="shared" ca="1" si="2"/>
        <v>Đặng Hoàng Vũ</v>
      </c>
      <c r="D132" s="62">
        <f t="shared" ca="1" si="3"/>
        <v>918616787</v>
      </c>
      <c r="E132" s="63" t="str">
        <f t="shared" ca="1" si="4"/>
        <v>vudh.lan@vnpt.vn</v>
      </c>
      <c r="F132" s="64" t="str">
        <f t="shared" ca="1" si="5"/>
        <v>Lần 14</v>
      </c>
      <c r="G132" s="93"/>
      <c r="H132" s="75"/>
      <c r="I132" s="75"/>
      <c r="J132" s="94"/>
      <c r="K132" s="94"/>
      <c r="L132" s="96"/>
      <c r="M132" s="66">
        <f t="shared" ca="1" si="6"/>
        <v>0</v>
      </c>
      <c r="N132" s="67">
        <f t="shared" ca="1" si="7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60" t="str">
        <f t="shared" ca="1" si="9"/>
        <v>Tổ Hạ tầng Bến Lức</v>
      </c>
      <c r="C133" s="61" t="str">
        <f t="shared" ca="1" si="2"/>
        <v>Đặng Hoàng Vũ</v>
      </c>
      <c r="D133" s="62">
        <f t="shared" ca="1" si="3"/>
        <v>918616787</v>
      </c>
      <c r="E133" s="63" t="str">
        <f t="shared" ca="1" si="4"/>
        <v>vudh.lan@vnpt.vn</v>
      </c>
      <c r="F133" s="64" t="str">
        <f t="shared" ca="1" si="5"/>
        <v>Lần 15</v>
      </c>
      <c r="G133" s="77"/>
      <c r="H133" s="123"/>
      <c r="I133" s="123"/>
      <c r="J133" s="124"/>
      <c r="K133" s="124"/>
      <c r="L133" s="95"/>
      <c r="M133" s="66">
        <f t="shared" ca="1" si="6"/>
        <v>0</v>
      </c>
      <c r="N133" s="67">
        <f t="shared" ca="1" si="7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01" t="str">
        <f t="shared" ca="1" si="9"/>
        <v>Tổ Hạ tầng Bến Lức</v>
      </c>
      <c r="C134" s="102" t="str">
        <f t="shared" ca="1" si="2"/>
        <v>Đặng Hoàng Vũ</v>
      </c>
      <c r="D134" s="103">
        <f t="shared" ca="1" si="3"/>
        <v>918616787</v>
      </c>
      <c r="E134" s="104" t="str">
        <f t="shared" ca="1" si="4"/>
        <v>vudh.lan@vnpt.vn</v>
      </c>
      <c r="F134" s="105" t="str">
        <f t="shared" ca="1" si="5"/>
        <v>Lần 16</v>
      </c>
      <c r="G134" s="77"/>
      <c r="H134" s="123"/>
      <c r="I134" s="123"/>
      <c r="J134" s="124"/>
      <c r="K134" s="124"/>
      <c r="L134" s="96"/>
      <c r="M134" s="66">
        <f t="shared" ca="1" si="6"/>
        <v>0</v>
      </c>
      <c r="N134" s="67">
        <f t="shared" ca="1" si="7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107" t="str">
        <f t="shared" ca="1" si="9"/>
        <v>Tổ Hạ tầng Bến Lức</v>
      </c>
      <c r="C135" s="108" t="str">
        <f t="shared" ca="1" si="2"/>
        <v>Huỳnh Minh Triết</v>
      </c>
      <c r="D135" s="109">
        <f t="shared" ca="1" si="3"/>
        <v>919113959</v>
      </c>
      <c r="E135" s="110" t="str">
        <f t="shared" ca="1" si="4"/>
        <v>triethm.lan@vnpt.vn</v>
      </c>
      <c r="F135" s="111" t="str">
        <f t="shared" ca="1" si="5"/>
        <v>Lần 1</v>
      </c>
      <c r="G135" s="130">
        <v>46209</v>
      </c>
      <c r="H135" s="73" t="s">
        <v>355</v>
      </c>
      <c r="I135" s="131">
        <v>46214</v>
      </c>
      <c r="J135" s="72">
        <v>82.7</v>
      </c>
      <c r="K135" s="72" t="s">
        <v>356</v>
      </c>
      <c r="L135" s="116" t="s">
        <v>357</v>
      </c>
      <c r="M135" s="66">
        <f t="shared" ca="1" si="6"/>
        <v>1</v>
      </c>
      <c r="N135" s="67">
        <f t="shared" ca="1" si="7"/>
        <v>1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60" t="str">
        <f t="shared" ca="1" si="9"/>
        <v>Tổ Hạ tầng Bến Lức</v>
      </c>
      <c r="C136" s="61" t="str">
        <f t="shared" ca="1" si="2"/>
        <v>Huỳnh Minh Triết</v>
      </c>
      <c r="D136" s="62">
        <f t="shared" ca="1" si="3"/>
        <v>919113959</v>
      </c>
      <c r="E136" s="63" t="str">
        <f t="shared" ca="1" si="4"/>
        <v>triethm.lan@vnpt.vn</v>
      </c>
      <c r="F136" s="64" t="str">
        <f t="shared" ca="1" si="5"/>
        <v>Lần 2</v>
      </c>
      <c r="G136" s="130">
        <v>46209</v>
      </c>
      <c r="H136" s="73" t="s">
        <v>358</v>
      </c>
      <c r="I136" s="131">
        <v>46093</v>
      </c>
      <c r="J136" s="72">
        <v>109</v>
      </c>
      <c r="K136" s="72" t="s">
        <v>359</v>
      </c>
      <c r="L136" s="132" t="s">
        <v>357</v>
      </c>
      <c r="M136" s="66">
        <f t="shared" ca="1" si="6"/>
        <v>1</v>
      </c>
      <c r="N136" s="67">
        <f t="shared" ca="1" si="7"/>
        <v>1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60" t="str">
        <f t="shared" ca="1" si="9"/>
        <v>Tổ Hạ tầng Bến Lức</v>
      </c>
      <c r="C137" s="61" t="str">
        <f t="shared" ca="1" si="2"/>
        <v>Huỳnh Minh Triết</v>
      </c>
      <c r="D137" s="62">
        <f t="shared" ca="1" si="3"/>
        <v>919113959</v>
      </c>
      <c r="E137" s="63" t="str">
        <f t="shared" ca="1" si="4"/>
        <v>triethm.lan@vnpt.vn</v>
      </c>
      <c r="F137" s="64" t="str">
        <f t="shared" ca="1" si="5"/>
        <v>Lần 3</v>
      </c>
      <c r="G137" s="130">
        <v>46213</v>
      </c>
      <c r="H137" s="133">
        <v>102</v>
      </c>
      <c r="I137" s="133" t="s">
        <v>360</v>
      </c>
      <c r="J137" s="72">
        <v>113</v>
      </c>
      <c r="K137" s="72" t="s">
        <v>361</v>
      </c>
      <c r="L137" s="132" t="s">
        <v>357</v>
      </c>
      <c r="M137" s="66">
        <f t="shared" ca="1" si="6"/>
        <v>1</v>
      </c>
      <c r="N137" s="67">
        <f t="shared" ca="1" si="7"/>
        <v>1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60" t="str">
        <f t="shared" ca="1" si="9"/>
        <v>Tổ Hạ tầng Bến Lức</v>
      </c>
      <c r="C138" s="61" t="str">
        <f t="shared" ca="1" si="2"/>
        <v>Huỳnh Minh Triết</v>
      </c>
      <c r="D138" s="62">
        <f t="shared" ca="1" si="3"/>
        <v>919113959</v>
      </c>
      <c r="E138" s="63" t="str">
        <f t="shared" ca="1" si="4"/>
        <v>triethm.lan@vnpt.vn</v>
      </c>
      <c r="F138" s="64" t="str">
        <f t="shared" ca="1" si="5"/>
        <v>Lần 4</v>
      </c>
      <c r="G138" s="130">
        <v>46213</v>
      </c>
      <c r="H138" s="133" t="s">
        <v>362</v>
      </c>
      <c r="I138" s="133">
        <v>11</v>
      </c>
      <c r="J138" s="72">
        <v>73.8</v>
      </c>
      <c r="K138" s="72" t="s">
        <v>363</v>
      </c>
      <c r="L138" s="132" t="s">
        <v>357</v>
      </c>
      <c r="M138" s="66">
        <f t="shared" ca="1" si="6"/>
        <v>1</v>
      </c>
      <c r="N138" s="67">
        <f t="shared" ca="1" si="7"/>
        <v>1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60" t="str">
        <f t="shared" ca="1" si="9"/>
        <v>Tổ Hạ tầng Bến Lức</v>
      </c>
      <c r="C139" s="61" t="str">
        <f t="shared" ca="1" si="2"/>
        <v>Huỳnh Minh Triết</v>
      </c>
      <c r="D139" s="62">
        <f t="shared" ca="1" si="3"/>
        <v>919113959</v>
      </c>
      <c r="E139" s="63" t="str">
        <f t="shared" ca="1" si="4"/>
        <v>triethm.lan@vnpt.vn</v>
      </c>
      <c r="F139" s="64" t="str">
        <f t="shared" ca="1" si="5"/>
        <v>Lần 5</v>
      </c>
      <c r="G139" s="130">
        <v>46213</v>
      </c>
      <c r="H139" s="133">
        <v>108</v>
      </c>
      <c r="I139" s="134">
        <v>46275</v>
      </c>
      <c r="J139" s="72">
        <v>90.6</v>
      </c>
      <c r="K139" s="72" t="s">
        <v>364</v>
      </c>
      <c r="L139" s="132" t="s">
        <v>357</v>
      </c>
      <c r="M139" s="66">
        <f t="shared" ca="1" si="6"/>
        <v>1</v>
      </c>
      <c r="N139" s="67">
        <f t="shared" ca="1" si="7"/>
        <v>1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60" t="str">
        <f t="shared" ca="1" si="9"/>
        <v>Tổ Hạ tầng Bến Lức</v>
      </c>
      <c r="C140" s="61" t="str">
        <f t="shared" ca="1" si="2"/>
        <v>Huỳnh Minh Triết</v>
      </c>
      <c r="D140" s="62">
        <f t="shared" ca="1" si="3"/>
        <v>919113959</v>
      </c>
      <c r="E140" s="63" t="str">
        <f t="shared" ca="1" si="4"/>
        <v>triethm.lan@vnpt.vn</v>
      </c>
      <c r="F140" s="64" t="str">
        <f t="shared" ca="1" si="5"/>
        <v>Lần 6</v>
      </c>
      <c r="G140" s="76"/>
      <c r="H140" s="123"/>
      <c r="I140" s="123"/>
      <c r="J140" s="124"/>
      <c r="K140" s="124"/>
      <c r="L140" s="91"/>
      <c r="M140" s="66">
        <f t="shared" ca="1" si="6"/>
        <v>0</v>
      </c>
      <c r="N140" s="67">
        <f t="shared" ca="1" si="7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60" t="str">
        <f t="shared" ca="1" si="9"/>
        <v>Tổ Hạ tầng Bến Lức</v>
      </c>
      <c r="C141" s="61" t="str">
        <f t="shared" ca="1" si="2"/>
        <v>Huỳnh Minh Triết</v>
      </c>
      <c r="D141" s="62">
        <f t="shared" ca="1" si="3"/>
        <v>919113959</v>
      </c>
      <c r="E141" s="63" t="str">
        <f t="shared" ca="1" si="4"/>
        <v>triethm.lan@vnpt.vn</v>
      </c>
      <c r="F141" s="64" t="str">
        <f t="shared" ca="1" si="5"/>
        <v>Lần 7</v>
      </c>
      <c r="G141" s="76"/>
      <c r="H141" s="123"/>
      <c r="I141" s="123"/>
      <c r="J141" s="124"/>
      <c r="K141" s="124"/>
      <c r="L141" s="91"/>
      <c r="M141" s="66">
        <f t="shared" ca="1" si="6"/>
        <v>0</v>
      </c>
      <c r="N141" s="67">
        <f t="shared" ca="1" si="7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60" t="str">
        <f t="shared" ca="1" si="9"/>
        <v>Tổ Hạ tầng Bến Lức</v>
      </c>
      <c r="C142" s="61" t="str">
        <f t="shared" ca="1" si="2"/>
        <v>Huỳnh Minh Triết</v>
      </c>
      <c r="D142" s="62">
        <f t="shared" ca="1" si="3"/>
        <v>919113959</v>
      </c>
      <c r="E142" s="63" t="str">
        <f t="shared" ca="1" si="4"/>
        <v>triethm.lan@vnpt.vn</v>
      </c>
      <c r="F142" s="64" t="str">
        <f t="shared" ca="1" si="5"/>
        <v>Lần 8</v>
      </c>
      <c r="G142" s="76"/>
      <c r="H142" s="123"/>
      <c r="I142" s="123"/>
      <c r="J142" s="124"/>
      <c r="K142" s="124"/>
      <c r="L142" s="91"/>
      <c r="M142" s="66">
        <f t="shared" ca="1" si="6"/>
        <v>0</v>
      </c>
      <c r="N142" s="67">
        <f t="shared" ca="1" si="7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60" t="str">
        <f t="shared" ca="1" si="9"/>
        <v>Tổ Hạ tầng Bến Lức</v>
      </c>
      <c r="C143" s="61" t="str">
        <f t="shared" ca="1" si="2"/>
        <v>Huỳnh Minh Triết</v>
      </c>
      <c r="D143" s="62">
        <f t="shared" ca="1" si="3"/>
        <v>919113959</v>
      </c>
      <c r="E143" s="63" t="str">
        <f t="shared" ca="1" si="4"/>
        <v>triethm.lan@vnpt.vn</v>
      </c>
      <c r="F143" s="64" t="str">
        <f t="shared" ca="1" si="5"/>
        <v>Lần 9</v>
      </c>
      <c r="G143" s="76"/>
      <c r="H143" s="135"/>
      <c r="I143" s="135"/>
      <c r="J143" s="79"/>
      <c r="K143" s="79"/>
      <c r="L143" s="91"/>
      <c r="M143" s="66">
        <f t="shared" ca="1" si="6"/>
        <v>0</v>
      </c>
      <c r="N143" s="67">
        <f t="shared" ca="1" si="7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60" t="str">
        <f t="shared" ca="1" si="9"/>
        <v>Tổ Hạ tầng Bến Lức</v>
      </c>
      <c r="C144" s="61" t="str">
        <f t="shared" ca="1" si="2"/>
        <v>Huỳnh Minh Triết</v>
      </c>
      <c r="D144" s="62">
        <f t="shared" ca="1" si="3"/>
        <v>919113959</v>
      </c>
      <c r="E144" s="63" t="str">
        <f t="shared" ca="1" si="4"/>
        <v>triethm.lan@vnpt.vn</v>
      </c>
      <c r="F144" s="64" t="str">
        <f t="shared" ca="1" si="5"/>
        <v>Lần 10</v>
      </c>
      <c r="G144" s="76"/>
      <c r="H144" s="135"/>
      <c r="I144" s="135"/>
      <c r="J144" s="79"/>
      <c r="K144" s="79"/>
      <c r="L144" s="91"/>
      <c r="M144" s="66">
        <f t="shared" ca="1" si="6"/>
        <v>0</v>
      </c>
      <c r="N144" s="67">
        <f t="shared" ca="1" si="7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60" t="str">
        <f t="shared" ca="1" si="9"/>
        <v>Tổ Hạ tầng Bến Lức</v>
      </c>
      <c r="C145" s="61" t="str">
        <f t="shared" ca="1" si="2"/>
        <v>Huỳnh Minh Triết</v>
      </c>
      <c r="D145" s="62">
        <f t="shared" ca="1" si="3"/>
        <v>919113959</v>
      </c>
      <c r="E145" s="63" t="str">
        <f t="shared" ca="1" si="4"/>
        <v>triethm.lan@vnpt.vn</v>
      </c>
      <c r="F145" s="64" t="str">
        <f t="shared" ca="1" si="5"/>
        <v>Lần 11</v>
      </c>
      <c r="G145" s="76"/>
      <c r="H145" s="78"/>
      <c r="I145" s="78"/>
      <c r="J145" s="129"/>
      <c r="K145" s="129"/>
      <c r="L145" s="91"/>
      <c r="M145" s="66">
        <f t="shared" ca="1" si="6"/>
        <v>0</v>
      </c>
      <c r="N145" s="67">
        <f t="shared" ca="1" si="7"/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60" t="str">
        <f t="shared" ca="1" si="9"/>
        <v>Tổ Hạ tầng Bến Lức</v>
      </c>
      <c r="C146" s="61" t="str">
        <f t="shared" ca="1" si="2"/>
        <v>Huỳnh Minh Triết</v>
      </c>
      <c r="D146" s="62">
        <f t="shared" ca="1" si="3"/>
        <v>919113959</v>
      </c>
      <c r="E146" s="63" t="str">
        <f t="shared" ca="1" si="4"/>
        <v>triethm.lan@vnpt.vn</v>
      </c>
      <c r="F146" s="64" t="str">
        <f t="shared" ca="1" si="5"/>
        <v>Lần 12</v>
      </c>
      <c r="G146" s="77"/>
      <c r="H146" s="75"/>
      <c r="I146" s="75"/>
      <c r="J146" s="94"/>
      <c r="K146" s="94"/>
      <c r="L146" s="91"/>
      <c r="M146" s="66">
        <f t="shared" ca="1" si="6"/>
        <v>0</v>
      </c>
      <c r="N146" s="67">
        <f t="shared" ca="1" si="7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60" t="str">
        <f t="shared" ca="1" si="9"/>
        <v>Tổ Hạ tầng Bến Lức</v>
      </c>
      <c r="C147" s="61" t="str">
        <f t="shared" ca="1" si="2"/>
        <v>Huỳnh Minh Triết</v>
      </c>
      <c r="D147" s="62">
        <f t="shared" ca="1" si="3"/>
        <v>919113959</v>
      </c>
      <c r="E147" s="63" t="str">
        <f t="shared" ca="1" si="4"/>
        <v>triethm.lan@vnpt.vn</v>
      </c>
      <c r="F147" s="64" t="str">
        <f t="shared" ca="1" si="5"/>
        <v>Lần 13</v>
      </c>
      <c r="G147" s="77"/>
      <c r="H147" s="75"/>
      <c r="I147" s="75"/>
      <c r="J147" s="94"/>
      <c r="K147" s="94"/>
      <c r="L147" s="91"/>
      <c r="M147" s="66">
        <f t="shared" ca="1" si="6"/>
        <v>0</v>
      </c>
      <c r="N147" s="67">
        <f t="shared" ca="1" si="7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60" t="str">
        <f t="shared" ca="1" si="9"/>
        <v>Tổ Hạ tầng Bến Lức</v>
      </c>
      <c r="C148" s="61" t="str">
        <f t="shared" ca="1" si="2"/>
        <v>Huỳnh Minh Triết</v>
      </c>
      <c r="D148" s="62">
        <f t="shared" ca="1" si="3"/>
        <v>919113959</v>
      </c>
      <c r="E148" s="63" t="str">
        <f t="shared" ca="1" si="4"/>
        <v>triethm.lan@vnpt.vn</v>
      </c>
      <c r="F148" s="64" t="str">
        <f t="shared" ca="1" si="5"/>
        <v>Lần 14</v>
      </c>
      <c r="G148" s="77"/>
      <c r="H148" s="78"/>
      <c r="I148" s="78"/>
      <c r="J148" s="79"/>
      <c r="K148" s="79"/>
      <c r="L148" s="91"/>
      <c r="M148" s="66">
        <f t="shared" ca="1" si="6"/>
        <v>0</v>
      </c>
      <c r="N148" s="67">
        <f t="shared" ca="1" si="7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60" t="str">
        <f t="shared" ca="1" si="9"/>
        <v>Tổ Hạ tầng Bến Lức</v>
      </c>
      <c r="C149" s="61" t="str">
        <f t="shared" ca="1" si="2"/>
        <v>Huỳnh Minh Triết</v>
      </c>
      <c r="D149" s="62">
        <f t="shared" ca="1" si="3"/>
        <v>919113959</v>
      </c>
      <c r="E149" s="63" t="str">
        <f t="shared" ca="1" si="4"/>
        <v>triethm.lan@vnpt.vn</v>
      </c>
      <c r="F149" s="64" t="str">
        <f t="shared" ca="1" si="5"/>
        <v>Lần 15</v>
      </c>
      <c r="G149" s="77"/>
      <c r="H149" s="78"/>
      <c r="I149" s="78"/>
      <c r="J149" s="79"/>
      <c r="K149" s="79"/>
      <c r="L149" s="91"/>
      <c r="M149" s="66">
        <f t="shared" ca="1" si="6"/>
        <v>0</v>
      </c>
      <c r="N149" s="67">
        <f t="shared" ca="1" si="7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81" t="str">
        <f t="shared" ca="1" si="9"/>
        <v>Tổ Hạ tầng Bến Lức</v>
      </c>
      <c r="C150" s="82" t="str">
        <f t="shared" ca="1" si="2"/>
        <v>Huỳnh Minh Triết</v>
      </c>
      <c r="D150" s="83">
        <f t="shared" ca="1" si="3"/>
        <v>919113959</v>
      </c>
      <c r="E150" s="84" t="str">
        <f t="shared" ca="1" si="4"/>
        <v>triethm.lan@vnpt.vn</v>
      </c>
      <c r="F150" s="85" t="str">
        <f t="shared" ca="1" si="5"/>
        <v>Lần 16</v>
      </c>
      <c r="G150" s="136"/>
      <c r="H150" s="75"/>
      <c r="I150" s="75"/>
      <c r="J150" s="137"/>
      <c r="K150" s="138"/>
      <c r="L150" s="91"/>
      <c r="M150" s="66">
        <f t="shared" ca="1" si="6"/>
        <v>0</v>
      </c>
      <c r="N150" s="67">
        <f t="shared" ca="1" si="7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47" t="str">
        <f t="shared" ca="1" si="9"/>
        <v>Tổ Hạ tầng Bến Lức</v>
      </c>
      <c r="C151" s="48" t="str">
        <f t="shared" ca="1" si="2"/>
        <v>Lê Minh Hòa</v>
      </c>
      <c r="D151" s="49">
        <f t="shared" ca="1" si="3"/>
        <v>919684007</v>
      </c>
      <c r="E151" s="50" t="str">
        <f t="shared" ca="1" si="4"/>
        <v>hoalm.lan@vnpt.vn</v>
      </c>
      <c r="F151" s="51" t="str">
        <f t="shared" ca="1" si="5"/>
        <v>Lần 1</v>
      </c>
      <c r="G151" s="97">
        <v>46206</v>
      </c>
      <c r="H151" s="121">
        <v>700</v>
      </c>
      <c r="I151" s="121">
        <v>60</v>
      </c>
      <c r="J151" s="98">
        <v>750</v>
      </c>
      <c r="K151" s="98">
        <v>69</v>
      </c>
      <c r="L151" s="96"/>
      <c r="M151" s="66">
        <f t="shared" ca="1" si="6"/>
        <v>1</v>
      </c>
      <c r="N151" s="67">
        <f t="shared" ca="1" si="7"/>
        <v>1</v>
      </c>
      <c r="O151" s="68">
        <f t="shared" ca="1" si="8"/>
        <v>1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60" t="str">
        <f t="shared" ca="1" si="9"/>
        <v>Tổ Hạ tầng Bến Lức</v>
      </c>
      <c r="C152" s="61" t="str">
        <f t="shared" ca="1" si="2"/>
        <v>Lê Minh Hòa</v>
      </c>
      <c r="D152" s="62">
        <f t="shared" ca="1" si="3"/>
        <v>919684007</v>
      </c>
      <c r="E152" s="63" t="str">
        <f t="shared" ca="1" si="4"/>
        <v>hoalm.lan@vnpt.vn</v>
      </c>
      <c r="F152" s="64" t="str">
        <f t="shared" ca="1" si="5"/>
        <v>Lần 2</v>
      </c>
      <c r="G152" s="97">
        <v>46206</v>
      </c>
      <c r="H152" s="121">
        <v>750</v>
      </c>
      <c r="I152" s="121">
        <v>58</v>
      </c>
      <c r="J152" s="121">
        <v>769</v>
      </c>
      <c r="K152" s="99">
        <v>77</v>
      </c>
      <c r="L152" s="96"/>
      <c r="M152" s="66">
        <f t="shared" ca="1" si="6"/>
        <v>1</v>
      </c>
      <c r="N152" s="67">
        <f t="shared" ca="1" si="7"/>
        <v>1</v>
      </c>
      <c r="O152" s="68">
        <f t="shared" ca="1" si="8"/>
        <v>1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60" t="str">
        <f t="shared" ca="1" si="9"/>
        <v>Tổ Hạ tầng Bến Lức</v>
      </c>
      <c r="C153" s="61" t="str">
        <f t="shared" ca="1" si="2"/>
        <v>Lê Minh Hòa</v>
      </c>
      <c r="D153" s="62">
        <f t="shared" ca="1" si="3"/>
        <v>919684007</v>
      </c>
      <c r="E153" s="63" t="str">
        <f t="shared" ca="1" si="4"/>
        <v>hoalm.lan@vnpt.vn</v>
      </c>
      <c r="F153" s="64" t="str">
        <f t="shared" ca="1" si="5"/>
        <v>Lần 3</v>
      </c>
      <c r="G153" s="97">
        <v>46208</v>
      </c>
      <c r="H153" s="121">
        <v>220</v>
      </c>
      <c r="I153" s="121">
        <v>49</v>
      </c>
      <c r="J153" s="121">
        <v>250</v>
      </c>
      <c r="K153" s="121">
        <v>70</v>
      </c>
      <c r="L153" s="96"/>
      <c r="M153" s="66">
        <f t="shared" ca="1" si="6"/>
        <v>1</v>
      </c>
      <c r="N153" s="67">
        <f t="shared" ca="1" si="7"/>
        <v>1</v>
      </c>
      <c r="O153" s="68">
        <f t="shared" ca="1" si="8"/>
        <v>1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60" t="str">
        <f t="shared" ca="1" si="9"/>
        <v>Tổ Hạ tầng Bến Lức</v>
      </c>
      <c r="C154" s="61" t="str">
        <f t="shared" ca="1" si="2"/>
        <v>Lê Minh Hòa</v>
      </c>
      <c r="D154" s="62">
        <f t="shared" ca="1" si="3"/>
        <v>919684007</v>
      </c>
      <c r="E154" s="63" t="str">
        <f t="shared" ca="1" si="4"/>
        <v>hoalm.lan@vnpt.vn</v>
      </c>
      <c r="F154" s="64" t="str">
        <f t="shared" ca="1" si="5"/>
        <v>Lần 4</v>
      </c>
      <c r="G154" s="97">
        <v>46211</v>
      </c>
      <c r="H154" s="122">
        <v>667</v>
      </c>
      <c r="I154" s="122">
        <v>55</v>
      </c>
      <c r="J154" s="98">
        <v>701</v>
      </c>
      <c r="K154" s="60">
        <v>54</v>
      </c>
      <c r="L154" s="96"/>
      <c r="M154" s="66">
        <f t="shared" ca="1" si="6"/>
        <v>1</v>
      </c>
      <c r="N154" s="67">
        <f t="shared" ca="1" si="7"/>
        <v>1</v>
      </c>
      <c r="O154" s="68">
        <f t="shared" ca="1" si="8"/>
        <v>1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60" t="str">
        <f t="shared" ca="1" si="9"/>
        <v>Tổ Hạ tầng Bến Lức</v>
      </c>
      <c r="C155" s="61" t="str">
        <f t="shared" ca="1" si="2"/>
        <v>Lê Minh Hòa</v>
      </c>
      <c r="D155" s="62">
        <f t="shared" ca="1" si="3"/>
        <v>919684007</v>
      </c>
      <c r="E155" s="63" t="str">
        <f t="shared" ca="1" si="4"/>
        <v>hoalm.lan@vnpt.vn</v>
      </c>
      <c r="F155" s="64" t="str">
        <f t="shared" ca="1" si="5"/>
        <v>Lần 5</v>
      </c>
      <c r="G155" s="97">
        <v>46212</v>
      </c>
      <c r="H155" s="122">
        <v>804</v>
      </c>
      <c r="I155" s="122">
        <v>56</v>
      </c>
      <c r="J155" s="60">
        <v>810</v>
      </c>
      <c r="K155" s="60">
        <v>43</v>
      </c>
      <c r="L155" s="96"/>
      <c r="M155" s="66">
        <f t="shared" ca="1" si="6"/>
        <v>1</v>
      </c>
      <c r="N155" s="67">
        <f t="shared" ca="1" si="7"/>
        <v>1</v>
      </c>
      <c r="O155" s="68">
        <f t="shared" ca="1" si="8"/>
        <v>1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60" t="str">
        <f t="shared" ca="1" si="9"/>
        <v>Tổ Hạ tầng Bến Lức</v>
      </c>
      <c r="C156" s="61" t="str">
        <f t="shared" ca="1" si="2"/>
        <v>Lê Minh Hòa</v>
      </c>
      <c r="D156" s="62">
        <f t="shared" ca="1" si="3"/>
        <v>919684007</v>
      </c>
      <c r="E156" s="63" t="str">
        <f t="shared" ca="1" si="4"/>
        <v>hoalm.lan@vnpt.vn</v>
      </c>
      <c r="F156" s="64" t="str">
        <f t="shared" ca="1" si="5"/>
        <v>Lần 6</v>
      </c>
      <c r="G156" s="77"/>
      <c r="H156" s="123"/>
      <c r="I156" s="123"/>
      <c r="J156" s="124"/>
      <c r="K156" s="124"/>
      <c r="L156" s="96"/>
      <c r="M156" s="66">
        <f t="shared" ca="1" si="6"/>
        <v>0</v>
      </c>
      <c r="N156" s="67">
        <f t="shared" ca="1" si="7"/>
        <v>0</v>
      </c>
      <c r="O156" s="68">
        <f t="shared" ca="1" si="8"/>
        <v>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60" t="str">
        <f t="shared" ca="1" si="9"/>
        <v>Tổ Hạ tầng Bến Lức</v>
      </c>
      <c r="C157" s="61" t="str">
        <f t="shared" ca="1" si="2"/>
        <v>Lê Minh Hòa</v>
      </c>
      <c r="D157" s="62">
        <f t="shared" ca="1" si="3"/>
        <v>919684007</v>
      </c>
      <c r="E157" s="63" t="str">
        <f t="shared" ca="1" si="4"/>
        <v>hoalm.lan@vnpt.vn</v>
      </c>
      <c r="F157" s="64" t="str">
        <f t="shared" ca="1" si="5"/>
        <v>Lần 7</v>
      </c>
      <c r="G157" s="77"/>
      <c r="H157" s="75"/>
      <c r="I157" s="75"/>
      <c r="J157" s="94"/>
      <c r="K157" s="94"/>
      <c r="L157" s="96"/>
      <c r="M157" s="66">
        <f t="shared" ca="1" si="6"/>
        <v>0</v>
      </c>
      <c r="N157" s="67">
        <f t="shared" ca="1" si="7"/>
        <v>0</v>
      </c>
      <c r="O157" s="68">
        <f t="shared" ca="1" si="8"/>
        <v>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60" t="str">
        <f t="shared" ca="1" si="9"/>
        <v>Tổ Hạ tầng Bến Lức</v>
      </c>
      <c r="C158" s="61" t="str">
        <f t="shared" ca="1" si="2"/>
        <v>Lê Minh Hòa</v>
      </c>
      <c r="D158" s="62">
        <f t="shared" ca="1" si="3"/>
        <v>919684007</v>
      </c>
      <c r="E158" s="63" t="str">
        <f t="shared" ca="1" si="4"/>
        <v>hoalm.lan@vnpt.vn</v>
      </c>
      <c r="F158" s="64" t="str">
        <f t="shared" ca="1" si="5"/>
        <v>Lần 8</v>
      </c>
      <c r="G158" s="77"/>
      <c r="H158" s="75"/>
      <c r="I158" s="75"/>
      <c r="J158" s="94"/>
      <c r="K158" s="94"/>
      <c r="L158" s="96"/>
      <c r="M158" s="66">
        <f t="shared" ca="1" si="6"/>
        <v>0</v>
      </c>
      <c r="N158" s="67">
        <f t="shared" ca="1" si="7"/>
        <v>0</v>
      </c>
      <c r="O158" s="68">
        <f t="shared" ca="1" si="8"/>
        <v>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60" t="str">
        <f t="shared" ca="1" si="9"/>
        <v>Tổ Hạ tầng Bến Lức</v>
      </c>
      <c r="C159" s="61" t="str">
        <f t="shared" ca="1" si="2"/>
        <v>Lê Minh Hòa</v>
      </c>
      <c r="D159" s="62">
        <f t="shared" ca="1" si="3"/>
        <v>919684007</v>
      </c>
      <c r="E159" s="63" t="str">
        <f t="shared" ca="1" si="4"/>
        <v>hoalm.lan@vnpt.vn</v>
      </c>
      <c r="F159" s="64" t="str">
        <f t="shared" ca="1" si="5"/>
        <v>Lần 9</v>
      </c>
      <c r="G159" s="97"/>
      <c r="H159" s="122"/>
      <c r="I159" s="122"/>
      <c r="J159" s="122"/>
      <c r="K159" s="122"/>
      <c r="L159" s="96"/>
      <c r="M159" s="66">
        <f t="shared" ca="1" si="6"/>
        <v>0</v>
      </c>
      <c r="N159" s="67">
        <f t="shared" ca="1" si="7"/>
        <v>0</v>
      </c>
      <c r="O159" s="68">
        <f t="shared" ca="1" si="8"/>
        <v>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60" t="str">
        <f t="shared" ca="1" si="9"/>
        <v>Tổ Hạ tầng Bến Lức</v>
      </c>
      <c r="C160" s="61" t="str">
        <f t="shared" ca="1" si="2"/>
        <v>Lê Minh Hòa</v>
      </c>
      <c r="D160" s="62">
        <f t="shared" ca="1" si="3"/>
        <v>919684007</v>
      </c>
      <c r="E160" s="63" t="str">
        <f t="shared" ca="1" si="4"/>
        <v>hoalm.lan@vnpt.vn</v>
      </c>
      <c r="F160" s="64" t="str">
        <f t="shared" ca="1" si="5"/>
        <v>Lần 10</v>
      </c>
      <c r="G160" s="97"/>
      <c r="H160" s="122"/>
      <c r="I160" s="122"/>
      <c r="J160" s="122"/>
      <c r="K160" s="122"/>
      <c r="L160" s="96"/>
      <c r="M160" s="66">
        <f t="shared" ca="1" si="6"/>
        <v>0</v>
      </c>
      <c r="N160" s="67">
        <f t="shared" ca="1" si="7"/>
        <v>0</v>
      </c>
      <c r="O160" s="68">
        <f t="shared" ca="1" si="8"/>
        <v>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60" t="str">
        <f t="shared" ca="1" si="9"/>
        <v>Tổ Hạ tầng Bến Lức</v>
      </c>
      <c r="C161" s="61" t="str">
        <f t="shared" ca="1" si="2"/>
        <v>Lê Minh Hòa</v>
      </c>
      <c r="D161" s="62">
        <f t="shared" ca="1" si="3"/>
        <v>919684007</v>
      </c>
      <c r="E161" s="63" t="str">
        <f t="shared" ca="1" si="4"/>
        <v>hoalm.lan@vnpt.vn</v>
      </c>
      <c r="F161" s="64" t="str">
        <f t="shared" ca="1" si="5"/>
        <v>Lần 11</v>
      </c>
      <c r="G161" s="97"/>
      <c r="H161" s="122"/>
      <c r="I161" s="122"/>
      <c r="J161" s="122"/>
      <c r="K161" s="122"/>
      <c r="L161" s="96"/>
      <c r="M161" s="66">
        <f t="shared" ca="1" si="6"/>
        <v>0</v>
      </c>
      <c r="N161" s="67">
        <f t="shared" ca="1" si="7"/>
        <v>0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60" t="str">
        <f t="shared" ca="1" si="9"/>
        <v>Tổ Hạ tầng Bến Lức</v>
      </c>
      <c r="C162" s="61" t="str">
        <f t="shared" ca="1" si="2"/>
        <v>Lê Minh Hòa</v>
      </c>
      <c r="D162" s="62">
        <f t="shared" ca="1" si="3"/>
        <v>919684007</v>
      </c>
      <c r="E162" s="63" t="str">
        <f t="shared" ca="1" si="4"/>
        <v>hoalm.lan@vnpt.vn</v>
      </c>
      <c r="F162" s="64" t="str">
        <f t="shared" ca="1" si="5"/>
        <v>Lần 12</v>
      </c>
      <c r="G162" s="97"/>
      <c r="H162" s="122"/>
      <c r="I162" s="122"/>
      <c r="J162" s="122"/>
      <c r="K162" s="122"/>
      <c r="L162" s="96"/>
      <c r="M162" s="66">
        <f t="shared" ca="1" si="6"/>
        <v>0</v>
      </c>
      <c r="N162" s="67">
        <f t="shared" ca="1" si="7"/>
        <v>0</v>
      </c>
      <c r="O162" s="68">
        <f t="shared" ca="1" si="8"/>
        <v>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60" t="str">
        <f t="shared" ca="1" si="9"/>
        <v>Tổ Hạ tầng Bến Lức</v>
      </c>
      <c r="C163" s="61" t="str">
        <f t="shared" ca="1" si="2"/>
        <v>Lê Minh Hòa</v>
      </c>
      <c r="D163" s="62">
        <f t="shared" ca="1" si="3"/>
        <v>919684007</v>
      </c>
      <c r="E163" s="63" t="str">
        <f t="shared" ca="1" si="4"/>
        <v>hoalm.lan@vnpt.vn</v>
      </c>
      <c r="F163" s="64" t="str">
        <f t="shared" ca="1" si="5"/>
        <v>Lần 13</v>
      </c>
      <c r="G163" s="97"/>
      <c r="H163" s="122"/>
      <c r="I163" s="122"/>
      <c r="J163" s="122"/>
      <c r="K163" s="122"/>
      <c r="L163" s="96"/>
      <c r="M163" s="66">
        <f t="shared" ca="1" si="6"/>
        <v>0</v>
      </c>
      <c r="N163" s="67">
        <f t="shared" ca="1" si="7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60" t="str">
        <f t="shared" ca="1" si="9"/>
        <v>Tổ Hạ tầng Bến Lức</v>
      </c>
      <c r="C164" s="61" t="str">
        <f t="shared" ca="1" si="2"/>
        <v>Lê Minh Hòa</v>
      </c>
      <c r="D164" s="62">
        <f t="shared" ca="1" si="3"/>
        <v>919684007</v>
      </c>
      <c r="E164" s="63" t="str">
        <f t="shared" ca="1" si="4"/>
        <v>hoalm.lan@vnpt.vn</v>
      </c>
      <c r="F164" s="64" t="str">
        <f t="shared" ca="1" si="5"/>
        <v>Lần 14</v>
      </c>
      <c r="G164" s="139"/>
      <c r="H164" s="122"/>
      <c r="I164" s="122"/>
      <c r="J164" s="122"/>
      <c r="K164" s="122"/>
      <c r="L164" s="96"/>
      <c r="M164" s="66">
        <f t="shared" ca="1" si="6"/>
        <v>0</v>
      </c>
      <c r="N164" s="67">
        <f t="shared" ca="1" si="7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60" t="str">
        <f t="shared" ca="1" si="9"/>
        <v>Tổ Hạ tầng Bến Lức</v>
      </c>
      <c r="C165" s="61" t="str">
        <f t="shared" ca="1" si="2"/>
        <v>Lê Minh Hòa</v>
      </c>
      <c r="D165" s="62">
        <f t="shared" ca="1" si="3"/>
        <v>919684007</v>
      </c>
      <c r="E165" s="63" t="str">
        <f t="shared" ca="1" si="4"/>
        <v>hoalm.lan@vnpt.vn</v>
      </c>
      <c r="F165" s="64" t="str">
        <f t="shared" ca="1" si="5"/>
        <v>Lần 15</v>
      </c>
      <c r="G165" s="139"/>
      <c r="H165" s="122"/>
      <c r="I165" s="122"/>
      <c r="J165" s="122"/>
      <c r="K165" s="122"/>
      <c r="L165" s="96"/>
      <c r="M165" s="66">
        <f t="shared" ca="1" si="6"/>
        <v>0</v>
      </c>
      <c r="N165" s="67">
        <f t="shared" ca="1" si="7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01" t="str">
        <f t="shared" ca="1" si="9"/>
        <v>Tổ Hạ tầng Bến Lức</v>
      </c>
      <c r="C166" s="102" t="str">
        <f t="shared" ca="1" si="2"/>
        <v>Lê Minh Hòa</v>
      </c>
      <c r="D166" s="103">
        <f t="shared" ca="1" si="3"/>
        <v>919684007</v>
      </c>
      <c r="E166" s="104" t="str">
        <f t="shared" ca="1" si="4"/>
        <v>hoalm.lan@vnpt.vn</v>
      </c>
      <c r="F166" s="105" t="str">
        <f t="shared" ca="1" si="5"/>
        <v>Lần 16</v>
      </c>
      <c r="G166" s="139"/>
      <c r="H166" s="122"/>
      <c r="I166" s="122"/>
      <c r="J166" s="122"/>
      <c r="K166" s="122"/>
      <c r="L166" s="96"/>
      <c r="M166" s="66">
        <f t="shared" ca="1" si="6"/>
        <v>0</v>
      </c>
      <c r="N166" s="67">
        <f t="shared" ca="1" si="7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107" t="str">
        <f t="shared" ca="1" si="9"/>
        <v>Tổ Hạ tầng Bến Lức</v>
      </c>
      <c r="C167" s="108" t="str">
        <f t="shared" ca="1" si="2"/>
        <v>Trần Văn Bình</v>
      </c>
      <c r="D167" s="109">
        <f t="shared" ca="1" si="3"/>
        <v>838800286</v>
      </c>
      <c r="E167" s="110" t="str">
        <f t="shared" ca="1" si="4"/>
        <v>binhtv.tnh@vnpt.vn</v>
      </c>
      <c r="F167" s="111" t="str">
        <f t="shared" ca="1" si="5"/>
        <v>Lần 1</v>
      </c>
      <c r="G167" s="93">
        <v>46209</v>
      </c>
      <c r="H167" s="75">
        <v>420.92</v>
      </c>
      <c r="I167" s="75">
        <v>48.22</v>
      </c>
      <c r="J167" s="94">
        <v>594</v>
      </c>
      <c r="K167" s="94">
        <v>98.3</v>
      </c>
      <c r="L167" s="91"/>
      <c r="M167" s="66">
        <f t="shared" ca="1" si="6"/>
        <v>1</v>
      </c>
      <c r="N167" s="67">
        <f t="shared" ca="1" si="7"/>
        <v>1</v>
      </c>
      <c r="O167" s="68">
        <f t="shared" ca="1" si="8"/>
        <v>1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60" t="str">
        <f t="shared" ca="1" si="9"/>
        <v>Tổ Hạ tầng Bến Lức</v>
      </c>
      <c r="C168" s="61" t="str">
        <f t="shared" ca="1" si="2"/>
        <v>Trần Văn Bình</v>
      </c>
      <c r="D168" s="62">
        <f t="shared" ca="1" si="3"/>
        <v>838800286</v>
      </c>
      <c r="E168" s="63" t="str">
        <f t="shared" ca="1" si="4"/>
        <v>binhtv.tnh@vnpt.vn</v>
      </c>
      <c r="F168" s="64" t="str">
        <f t="shared" ca="1" si="5"/>
        <v>Lần 2</v>
      </c>
      <c r="G168" s="93">
        <v>46209</v>
      </c>
      <c r="H168" s="75">
        <v>442.63</v>
      </c>
      <c r="I168" s="75">
        <v>50.41</v>
      </c>
      <c r="J168" s="94">
        <v>546</v>
      </c>
      <c r="K168" s="94">
        <v>96.6</v>
      </c>
      <c r="L168" s="91"/>
      <c r="M168" s="66">
        <f t="shared" ca="1" si="6"/>
        <v>1</v>
      </c>
      <c r="N168" s="67">
        <f t="shared" ca="1" si="7"/>
        <v>1</v>
      </c>
      <c r="O168" s="68">
        <f t="shared" ca="1" si="8"/>
        <v>1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60" t="str">
        <f t="shared" ca="1" si="9"/>
        <v>Tổ Hạ tầng Bến Lức</v>
      </c>
      <c r="C169" s="61" t="str">
        <f t="shared" ca="1" si="2"/>
        <v>Trần Văn Bình</v>
      </c>
      <c r="D169" s="62">
        <f t="shared" ca="1" si="3"/>
        <v>838800286</v>
      </c>
      <c r="E169" s="63" t="str">
        <f t="shared" ca="1" si="4"/>
        <v>binhtv.tnh@vnpt.vn</v>
      </c>
      <c r="F169" s="64" t="str">
        <f t="shared" ca="1" si="5"/>
        <v>Lần 3</v>
      </c>
      <c r="G169" s="93">
        <v>46209</v>
      </c>
      <c r="H169" s="75">
        <v>421.56</v>
      </c>
      <c r="I169" s="75">
        <v>49.41</v>
      </c>
      <c r="J169" s="94">
        <v>599</v>
      </c>
      <c r="K169" s="94">
        <v>113</v>
      </c>
      <c r="L169" s="91"/>
      <c r="M169" s="66">
        <f t="shared" ca="1" si="6"/>
        <v>1</v>
      </c>
      <c r="N169" s="67">
        <f t="shared" ca="1" si="7"/>
        <v>1</v>
      </c>
      <c r="O169" s="68">
        <f t="shared" ca="1" si="8"/>
        <v>1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60" t="str">
        <f t="shared" ca="1" si="9"/>
        <v>Tổ Hạ tầng Bến Lức</v>
      </c>
      <c r="C170" s="61" t="str">
        <f t="shared" ca="1" si="2"/>
        <v>Trần Văn Bình</v>
      </c>
      <c r="D170" s="62">
        <f t="shared" ca="1" si="3"/>
        <v>838800286</v>
      </c>
      <c r="E170" s="63" t="str">
        <f t="shared" ca="1" si="4"/>
        <v>binhtv.tnh@vnpt.vn</v>
      </c>
      <c r="F170" s="64" t="str">
        <f t="shared" ca="1" si="5"/>
        <v>Lần 4</v>
      </c>
      <c r="G170" s="93">
        <v>46209</v>
      </c>
      <c r="H170" s="75">
        <v>442.13</v>
      </c>
      <c r="I170" s="75">
        <v>47.69</v>
      </c>
      <c r="J170" s="94">
        <v>650</v>
      </c>
      <c r="K170" s="94">
        <v>116</v>
      </c>
      <c r="L170" s="91"/>
      <c r="M170" s="66">
        <f t="shared" ca="1" si="6"/>
        <v>1</v>
      </c>
      <c r="N170" s="67">
        <f t="shared" ca="1" si="7"/>
        <v>1</v>
      </c>
      <c r="O170" s="68">
        <f t="shared" ca="1" si="8"/>
        <v>1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60" t="str">
        <f t="shared" ca="1" si="9"/>
        <v>Tổ Hạ tầng Bến Lức</v>
      </c>
      <c r="C171" s="61" t="str">
        <f t="shared" ca="1" si="2"/>
        <v>Trần Văn Bình</v>
      </c>
      <c r="D171" s="62">
        <f t="shared" ca="1" si="3"/>
        <v>838800286</v>
      </c>
      <c r="E171" s="63" t="str">
        <f t="shared" ca="1" si="4"/>
        <v>binhtv.tnh@vnpt.vn</v>
      </c>
      <c r="F171" s="64" t="str">
        <f t="shared" ca="1" si="5"/>
        <v>Lần 5</v>
      </c>
      <c r="G171" s="93">
        <v>46209</v>
      </c>
      <c r="H171" s="75">
        <v>417.95</v>
      </c>
      <c r="I171" s="75">
        <v>48.21</v>
      </c>
      <c r="J171" s="94">
        <v>661</v>
      </c>
      <c r="K171" s="94">
        <v>91.1</v>
      </c>
      <c r="L171" s="91"/>
      <c r="M171" s="66">
        <f t="shared" ca="1" si="6"/>
        <v>1</v>
      </c>
      <c r="N171" s="67">
        <f t="shared" ca="1" si="7"/>
        <v>1</v>
      </c>
      <c r="O171" s="68">
        <f t="shared" ca="1" si="8"/>
        <v>1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60" t="str">
        <f t="shared" ca="1" si="9"/>
        <v>Tổ Hạ tầng Bến Lức</v>
      </c>
      <c r="C172" s="61" t="str">
        <f t="shared" ca="1" si="2"/>
        <v>Trần Văn Bình</v>
      </c>
      <c r="D172" s="62">
        <f t="shared" ca="1" si="3"/>
        <v>838800286</v>
      </c>
      <c r="E172" s="63" t="str">
        <f t="shared" ca="1" si="4"/>
        <v>binhtv.tnh@vnpt.vn</v>
      </c>
      <c r="F172" s="64" t="str">
        <f t="shared" ca="1" si="5"/>
        <v>Lần 6</v>
      </c>
      <c r="G172" s="76"/>
      <c r="H172" s="78"/>
      <c r="I172" s="78"/>
      <c r="J172" s="79"/>
      <c r="K172" s="79"/>
      <c r="L172" s="91"/>
      <c r="M172" s="66">
        <f t="shared" ca="1" si="6"/>
        <v>0</v>
      </c>
      <c r="N172" s="67">
        <f t="shared" ca="1" si="7"/>
        <v>0</v>
      </c>
      <c r="O172" s="68">
        <f t="shared" ca="1" si="8"/>
        <v>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60" t="str">
        <f t="shared" ca="1" si="9"/>
        <v>Tổ Hạ tầng Bến Lức</v>
      </c>
      <c r="C173" s="61" t="str">
        <f t="shared" ca="1" si="2"/>
        <v>Trần Văn Bình</v>
      </c>
      <c r="D173" s="62">
        <f t="shared" ca="1" si="3"/>
        <v>838800286</v>
      </c>
      <c r="E173" s="63" t="str">
        <f t="shared" ca="1" si="4"/>
        <v>binhtv.tnh@vnpt.vn</v>
      </c>
      <c r="F173" s="64" t="str">
        <f t="shared" ca="1" si="5"/>
        <v>Lần 7</v>
      </c>
      <c r="G173" s="76"/>
      <c r="H173" s="78"/>
      <c r="I173" s="78"/>
      <c r="J173" s="79"/>
      <c r="K173" s="79"/>
      <c r="L173" s="91"/>
      <c r="M173" s="66">
        <f t="shared" ca="1" si="6"/>
        <v>0</v>
      </c>
      <c r="N173" s="67">
        <f t="shared" ca="1" si="7"/>
        <v>0</v>
      </c>
      <c r="O173" s="68">
        <f t="shared" ca="1" si="8"/>
        <v>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60" t="str">
        <f t="shared" ca="1" si="9"/>
        <v>Tổ Hạ tầng Bến Lức</v>
      </c>
      <c r="C174" s="61" t="str">
        <f t="shared" ca="1" si="2"/>
        <v>Trần Văn Bình</v>
      </c>
      <c r="D174" s="62">
        <f t="shared" ca="1" si="3"/>
        <v>838800286</v>
      </c>
      <c r="E174" s="63" t="str">
        <f t="shared" ca="1" si="4"/>
        <v>binhtv.tnh@vnpt.vn</v>
      </c>
      <c r="F174" s="64" t="str">
        <f t="shared" ca="1" si="5"/>
        <v>Lần 8</v>
      </c>
      <c r="G174" s="76"/>
      <c r="H174" s="78"/>
      <c r="I174" s="128"/>
      <c r="J174" s="79"/>
      <c r="K174" s="79"/>
      <c r="L174" s="91"/>
      <c r="M174" s="66">
        <f t="shared" ca="1" si="6"/>
        <v>0</v>
      </c>
      <c r="N174" s="67">
        <f t="shared" ca="1" si="7"/>
        <v>0</v>
      </c>
      <c r="O174" s="68">
        <f t="shared" ca="1" si="8"/>
        <v>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60" t="str">
        <f t="shared" ca="1" si="9"/>
        <v>Tổ Hạ tầng Bến Lức</v>
      </c>
      <c r="C175" s="61" t="str">
        <f t="shared" ca="1" si="2"/>
        <v>Trần Văn Bình</v>
      </c>
      <c r="D175" s="62">
        <f t="shared" ca="1" si="3"/>
        <v>838800286</v>
      </c>
      <c r="E175" s="63" t="str">
        <f t="shared" ca="1" si="4"/>
        <v>binhtv.tnh@vnpt.vn</v>
      </c>
      <c r="F175" s="64" t="str">
        <f t="shared" ca="1" si="5"/>
        <v>Lần 9</v>
      </c>
      <c r="G175" s="76"/>
      <c r="H175" s="78"/>
      <c r="I175" s="128"/>
      <c r="J175" s="79"/>
      <c r="K175" s="79"/>
      <c r="L175" s="91"/>
      <c r="M175" s="66">
        <f t="shared" ca="1" si="6"/>
        <v>0</v>
      </c>
      <c r="N175" s="67">
        <f t="shared" ca="1" si="7"/>
        <v>0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60" t="str">
        <f t="shared" ca="1" si="9"/>
        <v>Tổ Hạ tầng Bến Lức</v>
      </c>
      <c r="C176" s="61" t="str">
        <f t="shared" ca="1" si="2"/>
        <v>Trần Văn Bình</v>
      </c>
      <c r="D176" s="62">
        <f t="shared" ca="1" si="3"/>
        <v>838800286</v>
      </c>
      <c r="E176" s="63" t="str">
        <f t="shared" ca="1" si="4"/>
        <v>binhtv.tnh@vnpt.vn</v>
      </c>
      <c r="F176" s="64" t="str">
        <f t="shared" ca="1" si="5"/>
        <v>Lần 10</v>
      </c>
      <c r="G176" s="76"/>
      <c r="H176" s="78"/>
      <c r="I176" s="78"/>
      <c r="J176" s="79"/>
      <c r="K176" s="79"/>
      <c r="L176" s="91"/>
      <c r="M176" s="66">
        <f t="shared" ca="1" si="6"/>
        <v>0</v>
      </c>
      <c r="N176" s="67">
        <f t="shared" ca="1" si="7"/>
        <v>0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60" t="str">
        <f t="shared" ca="1" si="9"/>
        <v>Tổ Hạ tầng Bến Lức</v>
      </c>
      <c r="C177" s="61" t="str">
        <f t="shared" ca="1" si="2"/>
        <v>Trần Văn Bình</v>
      </c>
      <c r="D177" s="62">
        <f t="shared" ca="1" si="3"/>
        <v>838800286</v>
      </c>
      <c r="E177" s="63" t="str">
        <f t="shared" ca="1" si="4"/>
        <v>binhtv.tnh@vnpt.vn</v>
      </c>
      <c r="F177" s="64" t="str">
        <f t="shared" ca="1" si="5"/>
        <v>Lần 11</v>
      </c>
      <c r="G177" s="76"/>
      <c r="H177" s="121"/>
      <c r="I177" s="121"/>
      <c r="J177" s="121"/>
      <c r="K177" s="121"/>
      <c r="L177" s="91"/>
      <c r="M177" s="66">
        <f t="shared" ca="1" si="6"/>
        <v>0</v>
      </c>
      <c r="N177" s="67">
        <f t="shared" ca="1" si="7"/>
        <v>0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60" t="str">
        <f t="shared" ca="1" si="9"/>
        <v>Tổ Hạ tầng Bến Lức</v>
      </c>
      <c r="C178" s="61" t="str">
        <f t="shared" ca="1" si="2"/>
        <v>Trần Văn Bình</v>
      </c>
      <c r="D178" s="62">
        <f t="shared" ca="1" si="3"/>
        <v>838800286</v>
      </c>
      <c r="E178" s="63" t="str">
        <f t="shared" ca="1" si="4"/>
        <v>binhtv.tnh@vnpt.vn</v>
      </c>
      <c r="F178" s="64" t="str">
        <f t="shared" ca="1" si="5"/>
        <v>Lần 12</v>
      </c>
      <c r="G178" s="76"/>
      <c r="H178" s="121"/>
      <c r="I178" s="121"/>
      <c r="J178" s="121"/>
      <c r="K178" s="121"/>
      <c r="L178" s="91"/>
      <c r="M178" s="66">
        <f t="shared" ca="1" si="6"/>
        <v>0</v>
      </c>
      <c r="N178" s="67">
        <f t="shared" ca="1" si="7"/>
        <v>0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60" t="str">
        <f t="shared" ca="1" si="9"/>
        <v>Tổ Hạ tầng Bến Lức</v>
      </c>
      <c r="C179" s="61" t="str">
        <f t="shared" ca="1" si="2"/>
        <v>Trần Văn Bình</v>
      </c>
      <c r="D179" s="62">
        <f t="shared" ca="1" si="3"/>
        <v>838800286</v>
      </c>
      <c r="E179" s="63" t="str">
        <f t="shared" ca="1" si="4"/>
        <v>binhtv.tnh@vnpt.vn</v>
      </c>
      <c r="F179" s="64" t="str">
        <f t="shared" ca="1" si="5"/>
        <v>Lần 13</v>
      </c>
      <c r="G179" s="76"/>
      <c r="H179" s="121"/>
      <c r="I179" s="121"/>
      <c r="J179" s="121"/>
      <c r="K179" s="121"/>
      <c r="L179" s="91"/>
      <c r="M179" s="66">
        <f t="shared" ca="1" si="6"/>
        <v>0</v>
      </c>
      <c r="N179" s="67">
        <f t="shared" ca="1" si="7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60" t="str">
        <f t="shared" ca="1" si="9"/>
        <v>Tổ Hạ tầng Bến Lức</v>
      </c>
      <c r="C180" s="61" t="str">
        <f t="shared" ca="1" si="2"/>
        <v>Trần Văn Bình</v>
      </c>
      <c r="D180" s="62">
        <f t="shared" ca="1" si="3"/>
        <v>838800286</v>
      </c>
      <c r="E180" s="63" t="str">
        <f t="shared" ca="1" si="4"/>
        <v>binhtv.tnh@vnpt.vn</v>
      </c>
      <c r="F180" s="64" t="str">
        <f t="shared" ca="1" si="5"/>
        <v>Lần 14</v>
      </c>
      <c r="G180" s="76"/>
      <c r="H180" s="122"/>
      <c r="I180" s="122"/>
      <c r="J180" s="121"/>
      <c r="K180" s="121"/>
      <c r="L180" s="91"/>
      <c r="M180" s="66">
        <f t="shared" ca="1" si="6"/>
        <v>0</v>
      </c>
      <c r="N180" s="67">
        <f t="shared" ca="1" si="7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60" t="str">
        <f t="shared" ca="1" si="9"/>
        <v>Tổ Hạ tầng Bến Lức</v>
      </c>
      <c r="C181" s="61" t="str">
        <f t="shared" ca="1" si="2"/>
        <v>Trần Văn Bình</v>
      </c>
      <c r="D181" s="62">
        <f t="shared" ca="1" si="3"/>
        <v>838800286</v>
      </c>
      <c r="E181" s="63" t="str">
        <f t="shared" ca="1" si="4"/>
        <v>binhtv.tnh@vnpt.vn</v>
      </c>
      <c r="F181" s="64" t="str">
        <f t="shared" ca="1" si="5"/>
        <v>Lần 15</v>
      </c>
      <c r="G181" s="76"/>
      <c r="H181" s="122"/>
      <c r="I181" s="122"/>
      <c r="J181" s="121"/>
      <c r="K181" s="121"/>
      <c r="L181" s="91"/>
      <c r="M181" s="66">
        <f t="shared" ca="1" si="6"/>
        <v>0</v>
      </c>
      <c r="N181" s="67">
        <f t="shared" ca="1" si="7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81" t="str">
        <f t="shared" ca="1" si="9"/>
        <v>Tổ Hạ tầng Bến Lức</v>
      </c>
      <c r="C182" s="82" t="str">
        <f t="shared" ca="1" si="2"/>
        <v>Trần Văn Bình</v>
      </c>
      <c r="D182" s="83">
        <f t="shared" ca="1" si="3"/>
        <v>838800286</v>
      </c>
      <c r="E182" s="84" t="str">
        <f t="shared" ca="1" si="4"/>
        <v>binhtv.tnh@vnpt.vn</v>
      </c>
      <c r="F182" s="85" t="str">
        <f t="shared" ca="1" si="5"/>
        <v>Lần 16</v>
      </c>
      <c r="G182" s="76"/>
      <c r="H182" s="78"/>
      <c r="I182" s="78"/>
      <c r="J182" s="79"/>
      <c r="K182" s="79"/>
      <c r="L182" s="91"/>
      <c r="M182" s="66">
        <f t="shared" ca="1" si="6"/>
        <v>0</v>
      </c>
      <c r="N182" s="67">
        <f t="shared" ca="1" si="7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47" t="str">
        <f t="shared" ca="1" si="9"/>
        <v>Tổ Hạ tầng Bến Lức</v>
      </c>
      <c r="C183" s="48" t="str">
        <f t="shared" ca="1" si="2"/>
        <v>Trịnh Minh Trí</v>
      </c>
      <c r="D183" s="49">
        <f t="shared" ca="1" si="3"/>
        <v>918278345</v>
      </c>
      <c r="E183" s="50" t="str">
        <f t="shared" ca="1" si="4"/>
        <v>tritm.lan@vnpt.vn</v>
      </c>
      <c r="F183" s="51" t="str">
        <f t="shared" ca="1" si="5"/>
        <v>Lần 1</v>
      </c>
      <c r="G183" s="97">
        <v>46206</v>
      </c>
      <c r="H183" s="122" t="s">
        <v>365</v>
      </c>
      <c r="I183" s="140">
        <v>46034</v>
      </c>
      <c r="J183" s="98">
        <v>96</v>
      </c>
      <c r="K183" s="98" t="s">
        <v>366</v>
      </c>
      <c r="L183" s="91" t="s">
        <v>357</v>
      </c>
      <c r="M183" s="66">
        <f t="shared" ca="1" si="6"/>
        <v>1</v>
      </c>
      <c r="N183" s="67">
        <f t="shared" ca="1" si="7"/>
        <v>1</v>
      </c>
      <c r="O183" s="68">
        <f t="shared" ca="1" si="8"/>
        <v>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60" t="str">
        <f t="shared" ca="1" si="9"/>
        <v>Tổ Hạ tầng Bến Lức</v>
      </c>
      <c r="C184" s="61" t="str">
        <f t="shared" ca="1" si="2"/>
        <v>Trịnh Minh Trí</v>
      </c>
      <c r="D184" s="62">
        <f t="shared" ca="1" si="3"/>
        <v>918278345</v>
      </c>
      <c r="E184" s="63" t="str">
        <f t="shared" ca="1" si="4"/>
        <v>tritm.lan@vnpt.vn</v>
      </c>
      <c r="F184" s="64" t="str">
        <f t="shared" ca="1" si="5"/>
        <v>Lần 2</v>
      </c>
      <c r="G184" s="97">
        <v>46209</v>
      </c>
      <c r="H184" s="122">
        <v>150</v>
      </c>
      <c r="I184" s="140">
        <v>46034</v>
      </c>
      <c r="J184" s="98">
        <v>147</v>
      </c>
      <c r="K184" s="98" t="s">
        <v>367</v>
      </c>
      <c r="L184" s="91" t="s">
        <v>357</v>
      </c>
      <c r="M184" s="66">
        <f t="shared" ca="1" si="6"/>
        <v>1</v>
      </c>
      <c r="N184" s="67">
        <f t="shared" ca="1" si="7"/>
        <v>1</v>
      </c>
      <c r="O184" s="68">
        <f t="shared" ca="1" si="8"/>
        <v>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60" t="str">
        <f t="shared" ca="1" si="9"/>
        <v>Tổ Hạ tầng Bến Lức</v>
      </c>
      <c r="C185" s="61" t="str">
        <f t="shared" ca="1" si="2"/>
        <v>Trịnh Minh Trí</v>
      </c>
      <c r="D185" s="62">
        <f t="shared" ca="1" si="3"/>
        <v>918278345</v>
      </c>
      <c r="E185" s="63" t="str">
        <f t="shared" ca="1" si="4"/>
        <v>tritm.lan@vnpt.vn</v>
      </c>
      <c r="F185" s="64" t="str">
        <f t="shared" ca="1" si="5"/>
        <v>Lần 3</v>
      </c>
      <c r="G185" s="139">
        <v>46209</v>
      </c>
      <c r="H185" s="122">
        <v>147</v>
      </c>
      <c r="I185" s="140">
        <v>46245</v>
      </c>
      <c r="J185" s="98">
        <v>141</v>
      </c>
      <c r="K185" s="98" t="s">
        <v>253</v>
      </c>
      <c r="L185" s="91" t="s">
        <v>357</v>
      </c>
      <c r="M185" s="66">
        <f t="shared" ca="1" si="6"/>
        <v>1</v>
      </c>
      <c r="N185" s="67">
        <f t="shared" ca="1" si="7"/>
        <v>1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60" t="str">
        <f t="shared" ca="1" si="9"/>
        <v>Tổ Hạ tầng Bến Lức</v>
      </c>
      <c r="C186" s="61" t="str">
        <f t="shared" ca="1" si="2"/>
        <v>Trịnh Minh Trí</v>
      </c>
      <c r="D186" s="62">
        <f t="shared" ca="1" si="3"/>
        <v>918278345</v>
      </c>
      <c r="E186" s="63" t="str">
        <f t="shared" ca="1" si="4"/>
        <v>tritm.lan@vnpt.vn</v>
      </c>
      <c r="F186" s="64" t="str">
        <f t="shared" ca="1" si="5"/>
        <v>Lần 4</v>
      </c>
      <c r="G186" s="139">
        <v>46209</v>
      </c>
      <c r="H186" s="122">
        <v>150</v>
      </c>
      <c r="I186" s="140">
        <v>46094</v>
      </c>
      <c r="J186" s="98">
        <v>166</v>
      </c>
      <c r="K186" s="98" t="s">
        <v>368</v>
      </c>
      <c r="L186" s="91" t="s">
        <v>357</v>
      </c>
      <c r="M186" s="66">
        <f t="shared" ca="1" si="6"/>
        <v>1</v>
      </c>
      <c r="N186" s="67">
        <f t="shared" ca="1" si="7"/>
        <v>1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60" t="str">
        <f t="shared" ca="1" si="9"/>
        <v>Tổ Hạ tầng Bến Lức</v>
      </c>
      <c r="C187" s="61" t="str">
        <f t="shared" ca="1" si="2"/>
        <v>Trịnh Minh Trí</v>
      </c>
      <c r="D187" s="62">
        <f t="shared" ca="1" si="3"/>
        <v>918278345</v>
      </c>
      <c r="E187" s="63" t="str">
        <f t="shared" ca="1" si="4"/>
        <v>tritm.lan@vnpt.vn</v>
      </c>
      <c r="F187" s="64" t="str">
        <f t="shared" ca="1" si="5"/>
        <v>Lần 5</v>
      </c>
      <c r="G187" s="89">
        <v>46212</v>
      </c>
      <c r="H187" s="53">
        <v>983</v>
      </c>
      <c r="I187" s="53">
        <v>117</v>
      </c>
      <c r="J187" s="54">
        <v>1054</v>
      </c>
      <c r="K187" s="54">
        <v>117</v>
      </c>
      <c r="L187" s="95"/>
      <c r="M187" s="66">
        <f t="shared" ca="1" si="6"/>
        <v>1</v>
      </c>
      <c r="N187" s="67">
        <f t="shared" ca="1" si="7"/>
        <v>1</v>
      </c>
      <c r="O187" s="68">
        <f t="shared" ca="1" si="8"/>
        <v>1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60" t="str">
        <f t="shared" ca="1" si="9"/>
        <v>Tổ Hạ tầng Bến Lức</v>
      </c>
      <c r="C188" s="61" t="str">
        <f t="shared" ca="1" si="2"/>
        <v>Trịnh Minh Trí</v>
      </c>
      <c r="D188" s="62">
        <f t="shared" ca="1" si="3"/>
        <v>918278345</v>
      </c>
      <c r="E188" s="63" t="str">
        <f t="shared" ca="1" si="4"/>
        <v>tritm.lan@vnpt.vn</v>
      </c>
      <c r="F188" s="64" t="str">
        <f t="shared" ca="1" si="5"/>
        <v>Lần 6</v>
      </c>
      <c r="G188" s="89">
        <v>46212</v>
      </c>
      <c r="H188" s="53">
        <v>969</v>
      </c>
      <c r="I188" s="53">
        <v>115</v>
      </c>
      <c r="J188" s="54">
        <v>1009</v>
      </c>
      <c r="K188" s="54">
        <v>124</v>
      </c>
      <c r="L188" s="95"/>
      <c r="M188" s="66">
        <f t="shared" ca="1" si="6"/>
        <v>1</v>
      </c>
      <c r="N188" s="67">
        <f t="shared" ca="1" si="7"/>
        <v>1</v>
      </c>
      <c r="O188" s="68">
        <f t="shared" ca="1" si="8"/>
        <v>1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60" t="str">
        <f t="shared" ca="1" si="9"/>
        <v>Tổ Hạ tầng Bến Lức</v>
      </c>
      <c r="C189" s="61" t="str">
        <f t="shared" ca="1" si="2"/>
        <v>Trịnh Minh Trí</v>
      </c>
      <c r="D189" s="62">
        <f t="shared" ca="1" si="3"/>
        <v>918278345</v>
      </c>
      <c r="E189" s="63" t="str">
        <f t="shared" ca="1" si="4"/>
        <v>tritm.lan@vnpt.vn</v>
      </c>
      <c r="F189" s="64" t="str">
        <f t="shared" ca="1" si="5"/>
        <v>Lần 7</v>
      </c>
      <c r="G189" s="89">
        <v>46212</v>
      </c>
      <c r="H189" s="53">
        <v>883</v>
      </c>
      <c r="I189" s="53">
        <v>120</v>
      </c>
      <c r="J189" s="54">
        <v>1141</v>
      </c>
      <c r="K189" s="54">
        <v>119</v>
      </c>
      <c r="L189" s="95"/>
      <c r="M189" s="66">
        <f t="shared" ca="1" si="6"/>
        <v>1</v>
      </c>
      <c r="N189" s="67">
        <f t="shared" ca="1" si="7"/>
        <v>1</v>
      </c>
      <c r="O189" s="68">
        <f t="shared" ca="1" si="8"/>
        <v>1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60" t="str">
        <f t="shared" ca="1" si="9"/>
        <v>Tổ Hạ tầng Bến Lức</v>
      </c>
      <c r="C190" s="61" t="str">
        <f t="shared" ca="1" si="2"/>
        <v>Trịnh Minh Trí</v>
      </c>
      <c r="D190" s="62">
        <f t="shared" ca="1" si="3"/>
        <v>918278345</v>
      </c>
      <c r="E190" s="63" t="str">
        <f t="shared" ca="1" si="4"/>
        <v>tritm.lan@vnpt.vn</v>
      </c>
      <c r="F190" s="64" t="str">
        <f t="shared" ca="1" si="5"/>
        <v>Lần 8</v>
      </c>
      <c r="G190" s="89">
        <v>46212</v>
      </c>
      <c r="H190" s="78">
        <v>1089</v>
      </c>
      <c r="I190" s="78">
        <v>123</v>
      </c>
      <c r="J190" s="79">
        <v>1041</v>
      </c>
      <c r="K190" s="79">
        <v>117</v>
      </c>
      <c r="L190" s="95"/>
      <c r="M190" s="66">
        <f t="shared" ca="1" si="6"/>
        <v>1</v>
      </c>
      <c r="N190" s="67">
        <f t="shared" ca="1" si="7"/>
        <v>1</v>
      </c>
      <c r="O190" s="68">
        <f t="shared" ca="1" si="8"/>
        <v>1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60" t="str">
        <f t="shared" ca="1" si="9"/>
        <v>Tổ Hạ tầng Bến Lức</v>
      </c>
      <c r="C191" s="61" t="str">
        <f t="shared" ca="1" si="2"/>
        <v>Trịnh Minh Trí</v>
      </c>
      <c r="D191" s="62">
        <f t="shared" ca="1" si="3"/>
        <v>918278345</v>
      </c>
      <c r="E191" s="63" t="str">
        <f t="shared" ca="1" si="4"/>
        <v>tritm.lan@vnpt.vn</v>
      </c>
      <c r="F191" s="64" t="str">
        <f t="shared" ca="1" si="5"/>
        <v>Lần 9</v>
      </c>
      <c r="G191" s="97"/>
      <c r="H191" s="122"/>
      <c r="I191" s="122"/>
      <c r="J191" s="121"/>
      <c r="K191" s="121"/>
      <c r="L191" s="95"/>
      <c r="M191" s="66">
        <f t="shared" ca="1" si="6"/>
        <v>0</v>
      </c>
      <c r="N191" s="67">
        <f t="shared" ca="1" si="7"/>
        <v>0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60" t="str">
        <f t="shared" ca="1" si="9"/>
        <v>Tổ Hạ tầng Bến Lức</v>
      </c>
      <c r="C192" s="61" t="str">
        <f t="shared" ca="1" si="2"/>
        <v>Trịnh Minh Trí</v>
      </c>
      <c r="D192" s="62">
        <f t="shared" ca="1" si="3"/>
        <v>918278345</v>
      </c>
      <c r="E192" s="63" t="str">
        <f t="shared" ca="1" si="4"/>
        <v>tritm.lan@vnpt.vn</v>
      </c>
      <c r="F192" s="64" t="str">
        <f t="shared" ca="1" si="5"/>
        <v>Lần 10</v>
      </c>
      <c r="G192" s="97"/>
      <c r="H192" s="122"/>
      <c r="I192" s="122"/>
      <c r="J192" s="121"/>
      <c r="K192" s="121"/>
      <c r="L192" s="95"/>
      <c r="M192" s="66">
        <f t="shared" ca="1" si="6"/>
        <v>0</v>
      </c>
      <c r="N192" s="67">
        <f t="shared" ca="1" si="7"/>
        <v>0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60" t="str">
        <f t="shared" ca="1" si="9"/>
        <v>Tổ Hạ tầng Bến Lức</v>
      </c>
      <c r="C193" s="61" t="str">
        <f t="shared" ca="1" si="2"/>
        <v>Trịnh Minh Trí</v>
      </c>
      <c r="D193" s="62">
        <f t="shared" ca="1" si="3"/>
        <v>918278345</v>
      </c>
      <c r="E193" s="63" t="str">
        <f t="shared" ca="1" si="4"/>
        <v>tritm.lan@vnpt.vn</v>
      </c>
      <c r="F193" s="64" t="str">
        <f t="shared" ca="1" si="5"/>
        <v>Lần 11</v>
      </c>
      <c r="G193" s="97"/>
      <c r="H193" s="122"/>
      <c r="I193" s="122"/>
      <c r="J193" s="121"/>
      <c r="K193" s="121"/>
      <c r="L193" s="95"/>
      <c r="M193" s="66">
        <f t="shared" ca="1" si="6"/>
        <v>0</v>
      </c>
      <c r="N193" s="67">
        <f t="shared" ca="1" si="7"/>
        <v>0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60" t="str">
        <f t="shared" ca="1" si="9"/>
        <v>Tổ Hạ tầng Bến Lức</v>
      </c>
      <c r="C194" s="61" t="str">
        <f t="shared" ca="1" si="2"/>
        <v>Trịnh Minh Trí</v>
      </c>
      <c r="D194" s="62">
        <f t="shared" ca="1" si="3"/>
        <v>918278345</v>
      </c>
      <c r="E194" s="63" t="str">
        <f t="shared" ca="1" si="4"/>
        <v>tritm.lan@vnpt.vn</v>
      </c>
      <c r="F194" s="64" t="str">
        <f t="shared" ca="1" si="5"/>
        <v>Lần 12</v>
      </c>
      <c r="G194" s="97"/>
      <c r="H194" s="122"/>
      <c r="I194" s="122"/>
      <c r="J194" s="98"/>
      <c r="K194" s="98"/>
      <c r="L194" s="95"/>
      <c r="M194" s="66">
        <f t="shared" ca="1" si="6"/>
        <v>0</v>
      </c>
      <c r="N194" s="67">
        <f t="shared" ca="1" si="7"/>
        <v>0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60" t="str">
        <f t="shared" ca="1" si="9"/>
        <v>Tổ Hạ tầng Bến Lức</v>
      </c>
      <c r="C195" s="61" t="str">
        <f t="shared" ca="1" si="2"/>
        <v>Trịnh Minh Trí</v>
      </c>
      <c r="D195" s="62">
        <f t="shared" ca="1" si="3"/>
        <v>918278345</v>
      </c>
      <c r="E195" s="63" t="str">
        <f t="shared" ca="1" si="4"/>
        <v>tritm.lan@vnpt.vn</v>
      </c>
      <c r="F195" s="64" t="str">
        <f t="shared" ca="1" si="5"/>
        <v>Lần 13</v>
      </c>
      <c r="G195" s="97"/>
      <c r="H195" s="122"/>
      <c r="I195" s="122"/>
      <c r="J195" s="98"/>
      <c r="K195" s="98"/>
      <c r="L195" s="95"/>
      <c r="M195" s="66">
        <f t="shared" ca="1" si="6"/>
        <v>0</v>
      </c>
      <c r="N195" s="67">
        <f t="shared" ca="1" si="7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60" t="str">
        <f t="shared" ca="1" si="9"/>
        <v>Tổ Hạ tầng Bến Lức</v>
      </c>
      <c r="C196" s="61" t="str">
        <f t="shared" ca="1" si="2"/>
        <v>Trịnh Minh Trí</v>
      </c>
      <c r="D196" s="62">
        <f t="shared" ca="1" si="3"/>
        <v>918278345</v>
      </c>
      <c r="E196" s="63" t="str">
        <f t="shared" ca="1" si="4"/>
        <v>tritm.lan@vnpt.vn</v>
      </c>
      <c r="F196" s="64" t="str">
        <f t="shared" ca="1" si="5"/>
        <v>Lần 14</v>
      </c>
      <c r="G196" s="97"/>
      <c r="H196" s="122"/>
      <c r="I196" s="122"/>
      <c r="J196" s="98"/>
      <c r="K196" s="141"/>
      <c r="L196" s="95"/>
      <c r="M196" s="66">
        <f t="shared" ca="1" si="6"/>
        <v>0</v>
      </c>
      <c r="N196" s="67">
        <f t="shared" ca="1" si="7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60" t="str">
        <f t="shared" ca="1" si="9"/>
        <v>Tổ Hạ tầng Bến Lức</v>
      </c>
      <c r="C197" s="61" t="str">
        <f t="shared" ca="1" si="2"/>
        <v>Trịnh Minh Trí</v>
      </c>
      <c r="D197" s="62">
        <f t="shared" ca="1" si="3"/>
        <v>918278345</v>
      </c>
      <c r="E197" s="63" t="str">
        <f t="shared" ca="1" si="4"/>
        <v>tritm.lan@vnpt.vn</v>
      </c>
      <c r="F197" s="64" t="str">
        <f t="shared" ca="1" si="5"/>
        <v>Lần 15</v>
      </c>
      <c r="G197" s="97"/>
      <c r="H197" s="122"/>
      <c r="I197" s="122"/>
      <c r="J197" s="98"/>
      <c r="K197" s="141"/>
      <c r="L197" s="95"/>
      <c r="M197" s="66">
        <f t="shared" ca="1" si="6"/>
        <v>0</v>
      </c>
      <c r="N197" s="67">
        <f t="shared" ca="1" si="7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01" t="str">
        <f t="shared" ca="1" si="9"/>
        <v>Tổ Hạ tầng Bến Lức</v>
      </c>
      <c r="C198" s="102" t="str">
        <f t="shared" ca="1" si="2"/>
        <v>Trịnh Minh Trí</v>
      </c>
      <c r="D198" s="103">
        <f t="shared" ca="1" si="3"/>
        <v>918278345</v>
      </c>
      <c r="E198" s="104" t="str">
        <f t="shared" ca="1" si="4"/>
        <v>tritm.lan@vnpt.vn</v>
      </c>
      <c r="F198" s="105" t="str">
        <f t="shared" ca="1" si="5"/>
        <v>Lần 16</v>
      </c>
      <c r="G198" s="77"/>
      <c r="H198" s="123"/>
      <c r="I198" s="123"/>
      <c r="J198" s="124"/>
      <c r="K198" s="124"/>
      <c r="L198" s="95"/>
      <c r="M198" s="66">
        <f t="shared" ca="1" si="6"/>
        <v>0</v>
      </c>
      <c r="N198" s="67">
        <f t="shared" ca="1" si="7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106">
        <f t="shared" ca="1" si="1"/>
        <v>193</v>
      </c>
      <c r="B199" s="107" t="str">
        <f t="shared" ca="1" si="9"/>
        <v>Tổ Hạ tầng Bến Lức</v>
      </c>
      <c r="C199" s="108" t="str">
        <f t="shared" ca="1" si="2"/>
        <v>Võ Hoàng Anh Tiến</v>
      </c>
      <c r="D199" s="109">
        <f t="shared" ca="1" si="3"/>
        <v>839859849</v>
      </c>
      <c r="E199" s="110" t="str">
        <f t="shared" ca="1" si="4"/>
        <v>tienvha.lan@vnpt.vn</v>
      </c>
      <c r="F199" s="111" t="str">
        <f t="shared" ca="1" si="5"/>
        <v>Lần 1</v>
      </c>
      <c r="G199" s="89">
        <v>46209</v>
      </c>
      <c r="H199" s="123">
        <v>101</v>
      </c>
      <c r="I199" s="123">
        <v>55.5</v>
      </c>
      <c r="J199" s="129">
        <v>93.7</v>
      </c>
      <c r="K199" s="78">
        <v>53.1</v>
      </c>
      <c r="L199" s="88"/>
      <c r="M199" s="66">
        <f t="shared" ca="1" si="6"/>
        <v>1</v>
      </c>
      <c r="N199" s="67">
        <f t="shared" ca="1" si="7"/>
        <v>1</v>
      </c>
      <c r="O199" s="68">
        <f t="shared" ca="1" si="8"/>
        <v>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60" t="str">
        <f t="shared" ca="1" si="9"/>
        <v>Tổ Hạ tầng Bến Lức</v>
      </c>
      <c r="C200" s="61" t="str">
        <f t="shared" ca="1" si="2"/>
        <v>Võ Hoàng Anh Tiến</v>
      </c>
      <c r="D200" s="62">
        <f t="shared" ca="1" si="3"/>
        <v>839859849</v>
      </c>
      <c r="E200" s="63" t="str">
        <f t="shared" ca="1" si="4"/>
        <v>tienvha.lan@vnpt.vn</v>
      </c>
      <c r="F200" s="64" t="str">
        <f t="shared" ca="1" si="5"/>
        <v>Lần 2</v>
      </c>
      <c r="G200" s="89">
        <v>46209</v>
      </c>
      <c r="H200" s="125">
        <v>85.8</v>
      </c>
      <c r="I200" s="125">
        <v>52.8</v>
      </c>
      <c r="J200" s="90">
        <v>95.3</v>
      </c>
      <c r="K200" s="90">
        <v>54.3</v>
      </c>
      <c r="L200" s="88"/>
      <c r="M200" s="66">
        <f t="shared" ca="1" si="6"/>
        <v>1</v>
      </c>
      <c r="N200" s="67">
        <f t="shared" ca="1" si="7"/>
        <v>1</v>
      </c>
      <c r="O200" s="68">
        <f t="shared" ca="1" si="8"/>
        <v>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60" t="str">
        <f t="shared" ca="1" si="9"/>
        <v>Tổ Hạ tầng Bến Lức</v>
      </c>
      <c r="C201" s="61" t="str">
        <f t="shared" ca="1" si="2"/>
        <v>Võ Hoàng Anh Tiến</v>
      </c>
      <c r="D201" s="62">
        <f t="shared" ca="1" si="3"/>
        <v>839859849</v>
      </c>
      <c r="E201" s="63" t="str">
        <f t="shared" ca="1" si="4"/>
        <v>tienvha.lan@vnpt.vn</v>
      </c>
      <c r="F201" s="64" t="str">
        <f t="shared" ca="1" si="5"/>
        <v>Lần 3</v>
      </c>
      <c r="G201" s="89">
        <v>46213</v>
      </c>
      <c r="H201" s="125">
        <v>124</v>
      </c>
      <c r="I201" s="125">
        <v>54.2</v>
      </c>
      <c r="J201" s="69">
        <v>124</v>
      </c>
      <c r="K201" s="54">
        <v>51.5</v>
      </c>
      <c r="L201" s="88"/>
      <c r="M201" s="66">
        <f t="shared" ca="1" si="6"/>
        <v>1</v>
      </c>
      <c r="N201" s="67">
        <f t="shared" ca="1" si="7"/>
        <v>1</v>
      </c>
      <c r="O201" s="68">
        <f t="shared" ca="1" si="8"/>
        <v>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60" t="str">
        <f t="shared" ca="1" si="9"/>
        <v>Tổ Hạ tầng Bến Lức</v>
      </c>
      <c r="C202" s="61" t="str">
        <f t="shared" ca="1" si="2"/>
        <v>Võ Hoàng Anh Tiến</v>
      </c>
      <c r="D202" s="62">
        <f t="shared" ca="1" si="3"/>
        <v>839859849</v>
      </c>
      <c r="E202" s="63" t="str">
        <f t="shared" ca="1" si="4"/>
        <v>tienvha.lan@vnpt.vn</v>
      </c>
      <c r="F202" s="64" t="str">
        <f t="shared" ca="1" si="5"/>
        <v>Lần 4</v>
      </c>
      <c r="G202" s="89">
        <v>46213</v>
      </c>
      <c r="H202" s="125">
        <v>115</v>
      </c>
      <c r="I202" s="125">
        <v>45.1</v>
      </c>
      <c r="J202" s="54">
        <v>105</v>
      </c>
      <c r="K202" s="69">
        <v>50.4</v>
      </c>
      <c r="L202" s="88"/>
      <c r="M202" s="66">
        <f t="shared" ca="1" si="6"/>
        <v>1</v>
      </c>
      <c r="N202" s="67">
        <f t="shared" ca="1" si="7"/>
        <v>1</v>
      </c>
      <c r="O202" s="68">
        <f t="shared" ca="1" si="8"/>
        <v>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60" t="str">
        <f t="shared" ca="1" si="9"/>
        <v>Tổ Hạ tầng Bến Lức</v>
      </c>
      <c r="C203" s="61" t="str">
        <f t="shared" ca="1" si="2"/>
        <v>Võ Hoàng Anh Tiến</v>
      </c>
      <c r="D203" s="62">
        <f t="shared" ca="1" si="3"/>
        <v>839859849</v>
      </c>
      <c r="E203" s="63" t="str">
        <f t="shared" ca="1" si="4"/>
        <v>tienvha.lan@vnpt.vn</v>
      </c>
      <c r="F203" s="64" t="str">
        <f t="shared" ca="1" si="5"/>
        <v>Lần 5</v>
      </c>
      <c r="G203" s="77"/>
      <c r="H203" s="78"/>
      <c r="I203" s="78"/>
      <c r="J203" s="79"/>
      <c r="K203" s="79"/>
      <c r="L203" s="88"/>
      <c r="M203" s="66">
        <f t="shared" ca="1" si="6"/>
        <v>0</v>
      </c>
      <c r="N203" s="67">
        <f t="shared" ca="1" si="7"/>
        <v>0</v>
      </c>
      <c r="O203" s="68">
        <f t="shared" ca="1" si="8"/>
        <v>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60" t="str">
        <f t="shared" ca="1" si="9"/>
        <v>Tổ Hạ tầng Bến Lức</v>
      </c>
      <c r="C204" s="61" t="str">
        <f t="shared" ca="1" si="2"/>
        <v>Võ Hoàng Anh Tiến</v>
      </c>
      <c r="D204" s="62">
        <f t="shared" ca="1" si="3"/>
        <v>839859849</v>
      </c>
      <c r="E204" s="63" t="str">
        <f t="shared" ca="1" si="4"/>
        <v>tienvha.lan@vnpt.vn</v>
      </c>
      <c r="F204" s="64" t="str">
        <f t="shared" ca="1" si="5"/>
        <v>Lần 6</v>
      </c>
      <c r="G204" s="77"/>
      <c r="H204" s="78"/>
      <c r="I204" s="78"/>
      <c r="J204" s="79"/>
      <c r="K204" s="79"/>
      <c r="L204" s="88"/>
      <c r="M204" s="66">
        <f t="shared" ca="1" si="6"/>
        <v>0</v>
      </c>
      <c r="N204" s="67">
        <f t="shared" ca="1" si="7"/>
        <v>0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60" t="str">
        <f t="shared" ca="1" si="9"/>
        <v>Tổ Hạ tầng Bến Lức</v>
      </c>
      <c r="C205" s="61" t="str">
        <f t="shared" ca="1" si="2"/>
        <v>Võ Hoàng Anh Tiến</v>
      </c>
      <c r="D205" s="62">
        <f t="shared" ca="1" si="3"/>
        <v>839859849</v>
      </c>
      <c r="E205" s="63" t="str">
        <f t="shared" ca="1" si="4"/>
        <v>tienvha.lan@vnpt.vn</v>
      </c>
      <c r="F205" s="64" t="str">
        <f t="shared" ca="1" si="5"/>
        <v>Lần 7</v>
      </c>
      <c r="G205" s="77"/>
      <c r="H205" s="78"/>
      <c r="I205" s="78"/>
      <c r="J205" s="79"/>
      <c r="K205" s="79"/>
      <c r="L205" s="88"/>
      <c r="M205" s="66">
        <f t="shared" ca="1" si="6"/>
        <v>0</v>
      </c>
      <c r="N205" s="67">
        <f t="shared" ca="1" si="7"/>
        <v>0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60" t="str">
        <f t="shared" ca="1" si="9"/>
        <v>Tổ Hạ tầng Bến Lức</v>
      </c>
      <c r="C206" s="61" t="str">
        <f t="shared" ca="1" si="2"/>
        <v>Võ Hoàng Anh Tiến</v>
      </c>
      <c r="D206" s="62">
        <f t="shared" ca="1" si="3"/>
        <v>839859849</v>
      </c>
      <c r="E206" s="63" t="str">
        <f t="shared" ca="1" si="4"/>
        <v>tienvha.lan@vnpt.vn</v>
      </c>
      <c r="F206" s="64" t="str">
        <f t="shared" ca="1" si="5"/>
        <v>Lần 8</v>
      </c>
      <c r="G206" s="77"/>
      <c r="H206" s="78"/>
      <c r="I206" s="78"/>
      <c r="J206" s="79"/>
      <c r="K206" s="79"/>
      <c r="L206" s="88"/>
      <c r="M206" s="66">
        <f t="shared" ca="1" si="6"/>
        <v>0</v>
      </c>
      <c r="N206" s="67">
        <f t="shared" ca="1" si="7"/>
        <v>0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60" t="str">
        <f t="shared" ca="1" si="9"/>
        <v>Tổ Hạ tầng Bến Lức</v>
      </c>
      <c r="C207" s="61" t="str">
        <f t="shared" ca="1" si="2"/>
        <v>Võ Hoàng Anh Tiến</v>
      </c>
      <c r="D207" s="62">
        <f t="shared" ca="1" si="3"/>
        <v>839859849</v>
      </c>
      <c r="E207" s="63" t="str">
        <f t="shared" ca="1" si="4"/>
        <v>tienvha.lan@vnpt.vn</v>
      </c>
      <c r="F207" s="64" t="str">
        <f t="shared" ca="1" si="5"/>
        <v>Lần 9</v>
      </c>
      <c r="G207" s="77"/>
      <c r="H207" s="78"/>
      <c r="I207" s="78"/>
      <c r="J207" s="79"/>
      <c r="K207" s="79"/>
      <c r="L207" s="88"/>
      <c r="M207" s="66">
        <f t="shared" ca="1" si="6"/>
        <v>0</v>
      </c>
      <c r="N207" s="67">
        <f t="shared" ca="1" si="7"/>
        <v>0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60" t="str">
        <f t="shared" ca="1" si="9"/>
        <v>Tổ Hạ tầng Bến Lức</v>
      </c>
      <c r="C208" s="61" t="str">
        <f t="shared" ca="1" si="2"/>
        <v>Võ Hoàng Anh Tiến</v>
      </c>
      <c r="D208" s="62">
        <f t="shared" ca="1" si="3"/>
        <v>839859849</v>
      </c>
      <c r="E208" s="63" t="str">
        <f t="shared" ca="1" si="4"/>
        <v>tienvha.lan@vnpt.vn</v>
      </c>
      <c r="F208" s="64" t="str">
        <f t="shared" ca="1" si="5"/>
        <v>Lần 10</v>
      </c>
      <c r="G208" s="77"/>
      <c r="H208" s="78"/>
      <c r="I208" s="78"/>
      <c r="J208" s="79"/>
      <c r="K208" s="79"/>
      <c r="L208" s="88"/>
      <c r="M208" s="66">
        <f t="shared" ca="1" si="6"/>
        <v>0</v>
      </c>
      <c r="N208" s="67">
        <f t="shared" ca="1" si="7"/>
        <v>0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60" t="str">
        <f t="shared" ca="1" si="9"/>
        <v>Tổ Hạ tầng Bến Lức</v>
      </c>
      <c r="C209" s="61" t="str">
        <f t="shared" ca="1" si="2"/>
        <v>Võ Hoàng Anh Tiến</v>
      </c>
      <c r="D209" s="62">
        <f t="shared" ca="1" si="3"/>
        <v>839859849</v>
      </c>
      <c r="E209" s="63" t="str">
        <f t="shared" ca="1" si="4"/>
        <v>tienvha.lan@vnpt.vn</v>
      </c>
      <c r="F209" s="64" t="str">
        <f t="shared" ca="1" si="5"/>
        <v>Lần 11</v>
      </c>
      <c r="G209" s="77"/>
      <c r="H209" s="78"/>
      <c r="I209" s="78"/>
      <c r="J209" s="79"/>
      <c r="K209" s="79"/>
      <c r="L209" s="88"/>
      <c r="M209" s="66">
        <f t="shared" ca="1" si="6"/>
        <v>0</v>
      </c>
      <c r="N209" s="67">
        <f t="shared" ca="1" si="7"/>
        <v>0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60" t="str">
        <f t="shared" ca="1" si="9"/>
        <v>Tổ Hạ tầng Bến Lức</v>
      </c>
      <c r="C210" s="61" t="str">
        <f t="shared" ca="1" si="2"/>
        <v>Võ Hoàng Anh Tiến</v>
      </c>
      <c r="D210" s="62">
        <f t="shared" ca="1" si="3"/>
        <v>839859849</v>
      </c>
      <c r="E210" s="63" t="str">
        <f t="shared" ca="1" si="4"/>
        <v>tienvha.lan@vnpt.vn</v>
      </c>
      <c r="F210" s="64" t="str">
        <f t="shared" ca="1" si="5"/>
        <v>Lần 12</v>
      </c>
      <c r="G210" s="77"/>
      <c r="H210" s="78"/>
      <c r="I210" s="78"/>
      <c r="J210" s="79"/>
      <c r="K210" s="79"/>
      <c r="L210" s="88"/>
      <c r="M210" s="66">
        <f t="shared" ca="1" si="6"/>
        <v>0</v>
      </c>
      <c r="N210" s="67">
        <f t="shared" ca="1" si="7"/>
        <v>0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60" t="str">
        <f t="shared" ca="1" si="9"/>
        <v>Tổ Hạ tầng Bến Lức</v>
      </c>
      <c r="C211" s="61" t="str">
        <f t="shared" ca="1" si="2"/>
        <v>Võ Hoàng Anh Tiến</v>
      </c>
      <c r="D211" s="62">
        <f t="shared" ca="1" si="3"/>
        <v>839859849</v>
      </c>
      <c r="E211" s="63" t="str">
        <f t="shared" ca="1" si="4"/>
        <v>tienvha.lan@vnpt.vn</v>
      </c>
      <c r="F211" s="64" t="str">
        <f t="shared" ca="1" si="5"/>
        <v>Lần 13</v>
      </c>
      <c r="G211" s="136"/>
      <c r="H211" s="75"/>
      <c r="I211" s="75"/>
      <c r="J211" s="137"/>
      <c r="K211" s="138"/>
      <c r="L211" s="88"/>
      <c r="M211" s="66">
        <f t="shared" ca="1" si="6"/>
        <v>0</v>
      </c>
      <c r="N211" s="67">
        <f t="shared" ca="1" si="7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60" t="str">
        <f t="shared" ca="1" si="9"/>
        <v>Tổ Hạ tầng Bến Lức</v>
      </c>
      <c r="C212" s="61" t="str">
        <f t="shared" ca="1" si="2"/>
        <v>Võ Hoàng Anh Tiến</v>
      </c>
      <c r="D212" s="62">
        <f t="shared" ca="1" si="3"/>
        <v>839859849</v>
      </c>
      <c r="E212" s="63" t="str">
        <f t="shared" ca="1" si="4"/>
        <v>tienvha.lan@vnpt.vn</v>
      </c>
      <c r="F212" s="64" t="str">
        <f t="shared" ca="1" si="5"/>
        <v>Lần 14</v>
      </c>
      <c r="G212" s="136"/>
      <c r="H212" s="75"/>
      <c r="I212" s="75"/>
      <c r="J212" s="137"/>
      <c r="K212" s="138"/>
      <c r="L212" s="88"/>
      <c r="M212" s="66">
        <f t="shared" ca="1" si="6"/>
        <v>0</v>
      </c>
      <c r="N212" s="67">
        <f t="shared" ca="1" si="7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60" t="str">
        <f t="shared" ca="1" si="9"/>
        <v>Tổ Hạ tầng Bến Lức</v>
      </c>
      <c r="C213" s="61" t="str">
        <f t="shared" ca="1" si="2"/>
        <v>Võ Hoàng Anh Tiến</v>
      </c>
      <c r="D213" s="62">
        <f t="shared" ca="1" si="3"/>
        <v>839859849</v>
      </c>
      <c r="E213" s="63" t="str">
        <f t="shared" ca="1" si="4"/>
        <v>tienvha.lan@vnpt.vn</v>
      </c>
      <c r="F213" s="64" t="str">
        <f t="shared" ca="1" si="5"/>
        <v>Lần 15</v>
      </c>
      <c r="G213" s="136"/>
      <c r="H213" s="75"/>
      <c r="I213" s="75"/>
      <c r="J213" s="137"/>
      <c r="K213" s="138"/>
      <c r="L213" s="88"/>
      <c r="M213" s="66">
        <f t="shared" ca="1" si="6"/>
        <v>0</v>
      </c>
      <c r="N213" s="67">
        <f t="shared" ca="1" si="7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80">
        <f t="shared" ca="1" si="1"/>
        <v>208</v>
      </c>
      <c r="B214" s="81" t="str">
        <f t="shared" ca="1" si="9"/>
        <v>Tổ Hạ tầng Bến Lức</v>
      </c>
      <c r="C214" s="82" t="str">
        <f t="shared" ca="1" si="2"/>
        <v>Võ Hoàng Anh Tiến</v>
      </c>
      <c r="D214" s="83">
        <f t="shared" ca="1" si="3"/>
        <v>839859849</v>
      </c>
      <c r="E214" s="84" t="str">
        <f t="shared" ca="1" si="4"/>
        <v>tienvha.lan@vnpt.vn</v>
      </c>
      <c r="F214" s="85" t="str">
        <f t="shared" ca="1" si="5"/>
        <v>Lần 16</v>
      </c>
      <c r="G214" s="136"/>
      <c r="H214" s="75"/>
      <c r="I214" s="75"/>
      <c r="J214" s="137"/>
      <c r="K214" s="138"/>
      <c r="L214" s="88"/>
      <c r="M214" s="66">
        <f t="shared" ca="1" si="6"/>
        <v>0</v>
      </c>
      <c r="N214" s="67">
        <f t="shared" ca="1" si="7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46">
        <f t="shared" ca="1" si="1"/>
        <v>209</v>
      </c>
      <c r="B215" s="47" t="str">
        <f t="shared" ca="1" si="9"/>
        <v>Tổ Hạ tầng Bến Lức</v>
      </c>
      <c r="C215" s="48" t="str">
        <f t="shared" ca="1" si="2"/>
        <v>Nguyễn Văn Đờ Rét Mười Lăm</v>
      </c>
      <c r="D215" s="49">
        <f t="shared" ca="1" si="3"/>
        <v>916127115</v>
      </c>
      <c r="E215" s="50" t="str">
        <f t="shared" ca="1" si="4"/>
        <v>15nvdr.lan@vnpt.vn</v>
      </c>
      <c r="F215" s="51" t="str">
        <f t="shared" ca="1" si="5"/>
        <v>Lần 1</v>
      </c>
      <c r="G215" s="70">
        <v>46211</v>
      </c>
      <c r="H215" s="142">
        <v>100</v>
      </c>
      <c r="I215" s="142">
        <v>47.2</v>
      </c>
      <c r="J215" s="142">
        <v>127</v>
      </c>
      <c r="K215" s="142">
        <v>54.6</v>
      </c>
      <c r="L215" s="95"/>
      <c r="M215" s="66">
        <f t="shared" ca="1" si="6"/>
        <v>1</v>
      </c>
      <c r="N215" s="67">
        <f t="shared" ca="1" si="7"/>
        <v>1</v>
      </c>
      <c r="O215" s="68">
        <f t="shared" ca="1" si="8"/>
        <v>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60" t="str">
        <f t="shared" ca="1" si="9"/>
        <v>Tổ Hạ tầng Bến Lức</v>
      </c>
      <c r="C216" s="61" t="str">
        <f t="shared" ca="1" si="2"/>
        <v>Nguyễn Văn Đờ Rét Mười Lăm</v>
      </c>
      <c r="D216" s="62">
        <f t="shared" ca="1" si="3"/>
        <v>916127115</v>
      </c>
      <c r="E216" s="63" t="str">
        <f t="shared" ca="1" si="4"/>
        <v>15nvdr.lan@vnpt.vn</v>
      </c>
      <c r="F216" s="64" t="str">
        <f t="shared" ca="1" si="5"/>
        <v>Lần 2</v>
      </c>
      <c r="G216" s="70">
        <v>46211</v>
      </c>
      <c r="H216" s="71">
        <v>92.3</v>
      </c>
      <c r="I216" s="71">
        <v>41.4</v>
      </c>
      <c r="J216" s="71">
        <v>96.8</v>
      </c>
      <c r="K216" s="71">
        <v>56</v>
      </c>
      <c r="L216" s="95"/>
      <c r="M216" s="66">
        <f t="shared" ca="1" si="6"/>
        <v>1</v>
      </c>
      <c r="N216" s="67">
        <f t="shared" ca="1" si="7"/>
        <v>1</v>
      </c>
      <c r="O216" s="68">
        <f t="shared" ca="1" si="8"/>
        <v>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60" t="str">
        <f t="shared" ca="1" si="9"/>
        <v>Tổ Hạ tầng Bến Lức</v>
      </c>
      <c r="C217" s="61" t="str">
        <f t="shared" ca="1" si="2"/>
        <v>Nguyễn Văn Đờ Rét Mười Lăm</v>
      </c>
      <c r="D217" s="62">
        <f t="shared" ca="1" si="3"/>
        <v>916127115</v>
      </c>
      <c r="E217" s="63" t="str">
        <f t="shared" ca="1" si="4"/>
        <v>15nvdr.lan@vnpt.vn</v>
      </c>
      <c r="F217" s="64" t="str">
        <f t="shared" ca="1" si="5"/>
        <v>Lần 3</v>
      </c>
      <c r="G217" s="70">
        <v>46211</v>
      </c>
      <c r="H217" s="71">
        <v>116</v>
      </c>
      <c r="I217" s="71">
        <v>40.1</v>
      </c>
      <c r="J217" s="71">
        <v>118</v>
      </c>
      <c r="K217" s="71">
        <v>55.1</v>
      </c>
      <c r="L217" s="95"/>
      <c r="M217" s="66">
        <f t="shared" ca="1" si="6"/>
        <v>1</v>
      </c>
      <c r="N217" s="67">
        <f t="shared" ca="1" si="7"/>
        <v>1</v>
      </c>
      <c r="O217" s="68">
        <f t="shared" ca="1" si="8"/>
        <v>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60" t="str">
        <f t="shared" ca="1" si="9"/>
        <v>Tổ Hạ tầng Bến Lức</v>
      </c>
      <c r="C218" s="61" t="str">
        <f t="shared" ca="1" si="2"/>
        <v>Nguyễn Văn Đờ Rét Mười Lăm</v>
      </c>
      <c r="D218" s="62">
        <f t="shared" ca="1" si="3"/>
        <v>916127115</v>
      </c>
      <c r="E218" s="63" t="str">
        <f t="shared" ca="1" si="4"/>
        <v>15nvdr.lan@vnpt.vn</v>
      </c>
      <c r="F218" s="64" t="str">
        <f t="shared" ca="1" si="5"/>
        <v>Lần 4</v>
      </c>
      <c r="G218" s="70">
        <v>46211</v>
      </c>
      <c r="H218" s="75">
        <v>113</v>
      </c>
      <c r="I218" s="75">
        <v>38.5</v>
      </c>
      <c r="J218" s="75">
        <v>107</v>
      </c>
      <c r="K218" s="75">
        <v>57.7</v>
      </c>
      <c r="L218" s="95"/>
      <c r="M218" s="66">
        <f t="shared" ca="1" si="6"/>
        <v>1</v>
      </c>
      <c r="N218" s="67">
        <f t="shared" ca="1" si="7"/>
        <v>1</v>
      </c>
      <c r="O218" s="68">
        <f t="shared" ca="1" si="8"/>
        <v>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60" t="str">
        <f t="shared" ca="1" si="9"/>
        <v>Tổ Hạ tầng Bến Lức</v>
      </c>
      <c r="C219" s="61" t="str">
        <f t="shared" ca="1" si="2"/>
        <v>Nguyễn Văn Đờ Rét Mười Lăm</v>
      </c>
      <c r="D219" s="62">
        <f t="shared" ca="1" si="3"/>
        <v>916127115</v>
      </c>
      <c r="E219" s="63" t="str">
        <f t="shared" ca="1" si="4"/>
        <v>15nvdr.lan@vnpt.vn</v>
      </c>
      <c r="F219" s="64" t="str">
        <f t="shared" ca="1" si="5"/>
        <v>Lần 5</v>
      </c>
      <c r="G219" s="70">
        <v>46211</v>
      </c>
      <c r="H219" s="75">
        <v>124</v>
      </c>
      <c r="I219" s="75">
        <v>42.4</v>
      </c>
      <c r="J219" s="75">
        <v>104</v>
      </c>
      <c r="K219" s="75">
        <v>54.6</v>
      </c>
      <c r="L219" s="143"/>
      <c r="M219" s="66">
        <f t="shared" ca="1" si="6"/>
        <v>1</v>
      </c>
      <c r="N219" s="67">
        <f t="shared" ca="1" si="7"/>
        <v>1</v>
      </c>
      <c r="O219" s="68">
        <f t="shared" ca="1" si="8"/>
        <v>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60" t="str">
        <f t="shared" ca="1" si="9"/>
        <v>Tổ Hạ tầng Bến Lức</v>
      </c>
      <c r="C220" s="61" t="str">
        <f t="shared" ca="1" si="2"/>
        <v>Nguyễn Văn Đờ Rét Mười Lăm</v>
      </c>
      <c r="D220" s="62">
        <f t="shared" ca="1" si="3"/>
        <v>916127115</v>
      </c>
      <c r="E220" s="63" t="str">
        <f t="shared" ca="1" si="4"/>
        <v>15nvdr.lan@vnpt.vn</v>
      </c>
      <c r="F220" s="64" t="str">
        <f t="shared" ca="1" si="5"/>
        <v>Lần 6</v>
      </c>
      <c r="G220" s="70">
        <v>46211</v>
      </c>
      <c r="H220" s="75">
        <v>113</v>
      </c>
      <c r="I220" s="75">
        <v>38.5</v>
      </c>
      <c r="J220" s="75">
        <v>133</v>
      </c>
      <c r="K220" s="75">
        <v>57.3</v>
      </c>
      <c r="L220" s="143"/>
      <c r="M220" s="66">
        <f t="shared" ca="1" si="6"/>
        <v>1</v>
      </c>
      <c r="N220" s="67">
        <f t="shared" ca="1" si="7"/>
        <v>1</v>
      </c>
      <c r="O220" s="68">
        <f t="shared" ca="1" si="8"/>
        <v>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60" t="str">
        <f t="shared" ca="1" si="9"/>
        <v>Tổ Hạ tầng Bến Lức</v>
      </c>
      <c r="C221" s="61" t="str">
        <f t="shared" ca="1" si="2"/>
        <v>Nguyễn Văn Đờ Rét Mười Lăm</v>
      </c>
      <c r="D221" s="62">
        <f t="shared" ca="1" si="3"/>
        <v>916127115</v>
      </c>
      <c r="E221" s="63" t="str">
        <f t="shared" ca="1" si="4"/>
        <v>15nvdr.lan@vnpt.vn</v>
      </c>
      <c r="F221" s="64" t="str">
        <f t="shared" ca="1" si="5"/>
        <v>Lần 7</v>
      </c>
      <c r="G221" s="70">
        <v>46211</v>
      </c>
      <c r="H221" s="75">
        <v>116</v>
      </c>
      <c r="I221" s="75">
        <v>37.700000000000003</v>
      </c>
      <c r="J221" s="75">
        <v>120</v>
      </c>
      <c r="K221" s="75">
        <v>55.7</v>
      </c>
      <c r="L221" s="143"/>
      <c r="M221" s="66">
        <f t="shared" ca="1" si="6"/>
        <v>1</v>
      </c>
      <c r="N221" s="67">
        <f t="shared" ca="1" si="7"/>
        <v>1</v>
      </c>
      <c r="O221" s="68">
        <f t="shared" ca="1" si="8"/>
        <v>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60" t="str">
        <f t="shared" ca="1" si="9"/>
        <v>Tổ Hạ tầng Bến Lức</v>
      </c>
      <c r="C222" s="61" t="str">
        <f t="shared" ca="1" si="2"/>
        <v>Nguyễn Văn Đờ Rét Mười Lăm</v>
      </c>
      <c r="D222" s="62">
        <f t="shared" ca="1" si="3"/>
        <v>916127115</v>
      </c>
      <c r="E222" s="63" t="str">
        <f t="shared" ca="1" si="4"/>
        <v>15nvdr.lan@vnpt.vn</v>
      </c>
      <c r="F222" s="64" t="str">
        <f t="shared" ca="1" si="5"/>
        <v>Lần 8</v>
      </c>
      <c r="G222" s="93">
        <v>46212</v>
      </c>
      <c r="H222" s="78">
        <v>223</v>
      </c>
      <c r="I222" s="78">
        <v>56</v>
      </c>
      <c r="J222" s="129">
        <v>335</v>
      </c>
      <c r="K222" s="129">
        <v>89</v>
      </c>
      <c r="L222" s="143"/>
      <c r="M222" s="66">
        <f t="shared" ca="1" si="6"/>
        <v>1</v>
      </c>
      <c r="N222" s="67">
        <f t="shared" ca="1" si="7"/>
        <v>1</v>
      </c>
      <c r="O222" s="68">
        <f t="shared" ca="1" si="8"/>
        <v>1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60" t="str">
        <f t="shared" ca="1" si="9"/>
        <v>Tổ Hạ tầng Bến Lức</v>
      </c>
      <c r="C223" s="61" t="str">
        <f t="shared" ca="1" si="2"/>
        <v>Nguyễn Văn Đờ Rét Mười Lăm</v>
      </c>
      <c r="D223" s="62">
        <f t="shared" ca="1" si="3"/>
        <v>916127115</v>
      </c>
      <c r="E223" s="63" t="str">
        <f t="shared" ca="1" si="4"/>
        <v>15nvdr.lan@vnpt.vn</v>
      </c>
      <c r="F223" s="64" t="str">
        <f t="shared" ca="1" si="5"/>
        <v>Lần 9</v>
      </c>
      <c r="G223" s="93">
        <v>46212</v>
      </c>
      <c r="H223" s="78">
        <v>242</v>
      </c>
      <c r="I223" s="78">
        <v>56</v>
      </c>
      <c r="J223" s="79">
        <v>335</v>
      </c>
      <c r="K223" s="79">
        <v>87</v>
      </c>
      <c r="L223" s="143"/>
      <c r="M223" s="66">
        <f t="shared" ca="1" si="6"/>
        <v>1</v>
      </c>
      <c r="N223" s="67">
        <f t="shared" ca="1" si="7"/>
        <v>1</v>
      </c>
      <c r="O223" s="68">
        <f t="shared" ca="1" si="8"/>
        <v>1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60" t="str">
        <f t="shared" ca="1" si="9"/>
        <v>Tổ Hạ tầng Bến Lức</v>
      </c>
      <c r="C224" s="61" t="str">
        <f t="shared" ca="1" si="2"/>
        <v>Nguyễn Văn Đờ Rét Mười Lăm</v>
      </c>
      <c r="D224" s="62">
        <f t="shared" ca="1" si="3"/>
        <v>916127115</v>
      </c>
      <c r="E224" s="63" t="str">
        <f t="shared" ca="1" si="4"/>
        <v>15nvdr.lan@vnpt.vn</v>
      </c>
      <c r="F224" s="64" t="str">
        <f t="shared" ca="1" si="5"/>
        <v>Lần 10</v>
      </c>
      <c r="G224" s="93">
        <v>46212</v>
      </c>
      <c r="H224" s="120">
        <v>234</v>
      </c>
      <c r="I224" s="120">
        <v>57</v>
      </c>
      <c r="J224" s="120">
        <v>354</v>
      </c>
      <c r="K224" s="120">
        <v>76</v>
      </c>
      <c r="L224" s="143"/>
      <c r="M224" s="66">
        <f t="shared" ca="1" si="6"/>
        <v>1</v>
      </c>
      <c r="N224" s="67">
        <f t="shared" ca="1" si="7"/>
        <v>1</v>
      </c>
      <c r="O224" s="68">
        <f t="shared" ca="1" si="8"/>
        <v>1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60" t="str">
        <f t="shared" ca="1" si="9"/>
        <v>Tổ Hạ tầng Bến Lức</v>
      </c>
      <c r="C225" s="61" t="str">
        <f t="shared" ca="1" si="2"/>
        <v>Nguyễn Văn Đờ Rét Mười Lăm</v>
      </c>
      <c r="D225" s="62">
        <f t="shared" ca="1" si="3"/>
        <v>916127115</v>
      </c>
      <c r="E225" s="63" t="str">
        <f t="shared" ca="1" si="4"/>
        <v>15nvdr.lan@vnpt.vn</v>
      </c>
      <c r="F225" s="64" t="str">
        <f t="shared" ca="1" si="5"/>
        <v>Lần 11</v>
      </c>
      <c r="G225" s="93">
        <v>46213</v>
      </c>
      <c r="H225" s="75">
        <v>260</v>
      </c>
      <c r="I225" s="75">
        <v>67.900000000000006</v>
      </c>
      <c r="J225" s="94">
        <v>669</v>
      </c>
      <c r="K225" s="94">
        <v>67.3</v>
      </c>
      <c r="L225" s="143"/>
      <c r="M225" s="66">
        <f t="shared" ca="1" si="6"/>
        <v>1</v>
      </c>
      <c r="N225" s="67">
        <f t="shared" ca="1" si="7"/>
        <v>1</v>
      </c>
      <c r="O225" s="68">
        <f t="shared" ca="1" si="8"/>
        <v>1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60" t="str">
        <f t="shared" ca="1" si="9"/>
        <v>Tổ Hạ tầng Bến Lức</v>
      </c>
      <c r="C226" s="61" t="str">
        <f t="shared" ca="1" si="2"/>
        <v>Nguyễn Văn Đờ Rét Mười Lăm</v>
      </c>
      <c r="D226" s="62">
        <f t="shared" ca="1" si="3"/>
        <v>916127115</v>
      </c>
      <c r="E226" s="63" t="str">
        <f t="shared" ca="1" si="4"/>
        <v>15nvdr.lan@vnpt.vn</v>
      </c>
      <c r="F226" s="64" t="str">
        <f t="shared" ca="1" si="5"/>
        <v>Lần 12</v>
      </c>
      <c r="G226" s="93">
        <v>46213</v>
      </c>
      <c r="H226" s="75">
        <v>268</v>
      </c>
      <c r="I226" s="75">
        <v>64.8</v>
      </c>
      <c r="J226" s="94">
        <v>623</v>
      </c>
      <c r="K226" s="94">
        <v>64.7</v>
      </c>
      <c r="L226" s="143"/>
      <c r="M226" s="66">
        <f t="shared" ca="1" si="6"/>
        <v>1</v>
      </c>
      <c r="N226" s="67">
        <f t="shared" ca="1" si="7"/>
        <v>1</v>
      </c>
      <c r="O226" s="68">
        <f t="shared" ca="1" si="8"/>
        <v>1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60" t="str">
        <f t="shared" ca="1" si="9"/>
        <v>Tổ Hạ tầng Bến Lức</v>
      </c>
      <c r="C227" s="61" t="str">
        <f t="shared" ca="1" si="2"/>
        <v>Nguyễn Văn Đờ Rét Mười Lăm</v>
      </c>
      <c r="D227" s="62">
        <f t="shared" ca="1" si="3"/>
        <v>916127115</v>
      </c>
      <c r="E227" s="63" t="str">
        <f t="shared" ca="1" si="4"/>
        <v>15nvdr.lan@vnpt.vn</v>
      </c>
      <c r="F227" s="64" t="str">
        <f t="shared" ca="1" si="5"/>
        <v>Lần 13</v>
      </c>
      <c r="G227" s="93">
        <v>46213</v>
      </c>
      <c r="H227" s="75">
        <v>329</v>
      </c>
      <c r="I227" s="75">
        <v>73</v>
      </c>
      <c r="J227" s="94">
        <v>594</v>
      </c>
      <c r="K227" s="94">
        <v>64.599999999999994</v>
      </c>
      <c r="L227" s="143"/>
      <c r="M227" s="66">
        <f t="shared" ca="1" si="6"/>
        <v>1</v>
      </c>
      <c r="N227" s="67">
        <f t="shared" ca="1" si="7"/>
        <v>1</v>
      </c>
      <c r="O227" s="68">
        <f t="shared" ca="1" si="8"/>
        <v>1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60" t="str">
        <f t="shared" ca="1" si="9"/>
        <v>Tổ Hạ tầng Bến Lức</v>
      </c>
      <c r="C228" s="61" t="str">
        <f t="shared" ca="1" si="2"/>
        <v>Nguyễn Văn Đờ Rét Mười Lăm</v>
      </c>
      <c r="D228" s="62">
        <f t="shared" ca="1" si="3"/>
        <v>916127115</v>
      </c>
      <c r="E228" s="63" t="str">
        <f t="shared" ca="1" si="4"/>
        <v>15nvdr.lan@vnpt.vn</v>
      </c>
      <c r="F228" s="64" t="str">
        <f t="shared" ca="1" si="5"/>
        <v>Lần 14</v>
      </c>
      <c r="G228" s="93">
        <v>46213</v>
      </c>
      <c r="H228" s="75">
        <v>302</v>
      </c>
      <c r="I228" s="75">
        <v>63.3</v>
      </c>
      <c r="J228" s="94">
        <v>550</v>
      </c>
      <c r="K228" s="94">
        <v>63.3</v>
      </c>
      <c r="L228" s="143"/>
      <c r="M228" s="66">
        <f t="shared" ca="1" si="6"/>
        <v>1</v>
      </c>
      <c r="N228" s="67">
        <f t="shared" ca="1" si="7"/>
        <v>1</v>
      </c>
      <c r="O228" s="68">
        <f t="shared" ca="1" si="8"/>
        <v>1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60" t="str">
        <f t="shared" ca="1" si="9"/>
        <v>Tổ Hạ tầng Bến Lức</v>
      </c>
      <c r="C229" s="61" t="str">
        <f t="shared" ca="1" si="2"/>
        <v>Nguyễn Văn Đờ Rét Mười Lăm</v>
      </c>
      <c r="D229" s="62">
        <f t="shared" ca="1" si="3"/>
        <v>916127115</v>
      </c>
      <c r="E229" s="63" t="str">
        <f t="shared" ca="1" si="4"/>
        <v>15nvdr.lan@vnpt.vn</v>
      </c>
      <c r="F229" s="64" t="str">
        <f t="shared" ca="1" si="5"/>
        <v>Lần 15</v>
      </c>
      <c r="G229" s="93">
        <v>46213</v>
      </c>
      <c r="H229" s="75">
        <v>240</v>
      </c>
      <c r="I229" s="75">
        <v>56.2</v>
      </c>
      <c r="J229" s="94">
        <v>464</v>
      </c>
      <c r="K229" s="94">
        <v>60.4</v>
      </c>
      <c r="L229" s="143"/>
      <c r="M229" s="66">
        <f t="shared" ca="1" si="6"/>
        <v>1</v>
      </c>
      <c r="N229" s="67">
        <f t="shared" ca="1" si="7"/>
        <v>1</v>
      </c>
      <c r="O229" s="68">
        <f t="shared" ca="1" si="8"/>
        <v>1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100">
        <f t="shared" ca="1" si="1"/>
        <v>224</v>
      </c>
      <c r="B230" s="101" t="str">
        <f t="shared" ca="1" si="9"/>
        <v>Tổ Hạ tầng Bến Lức</v>
      </c>
      <c r="C230" s="102" t="str">
        <f t="shared" ca="1" si="2"/>
        <v>Nguyễn Văn Đờ Rét Mười Lăm</v>
      </c>
      <c r="D230" s="103">
        <f t="shared" ca="1" si="3"/>
        <v>916127115</v>
      </c>
      <c r="E230" s="104" t="str">
        <f t="shared" ca="1" si="4"/>
        <v>15nvdr.lan@vnpt.vn</v>
      </c>
      <c r="F230" s="105" t="str">
        <f t="shared" ca="1" si="5"/>
        <v>Lần 16</v>
      </c>
      <c r="G230" s="97"/>
      <c r="H230" s="122"/>
      <c r="I230" s="122"/>
      <c r="J230" s="98"/>
      <c r="K230" s="98"/>
      <c r="L230" s="144"/>
      <c r="M230" s="66">
        <f t="shared" ca="1" si="6"/>
        <v>0</v>
      </c>
      <c r="N230" s="67">
        <f t="shared" ca="1" si="7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106" t="str">
        <f t="shared" ca="1" si="1"/>
        <v/>
      </c>
      <c r="B231" s="107" t="str">
        <f t="shared" ca="1" si="9"/>
        <v/>
      </c>
      <c r="C231" s="108" t="str">
        <f t="shared" ca="1" si="2"/>
        <v/>
      </c>
      <c r="D231" s="109" t="str">
        <f t="shared" ca="1" si="3"/>
        <v/>
      </c>
      <c r="E231" s="110" t="str">
        <f t="shared" ca="1" si="4"/>
        <v/>
      </c>
      <c r="F231" s="111" t="str">
        <f t="shared" ca="1" si="5"/>
        <v/>
      </c>
      <c r="G231" s="145"/>
      <c r="H231" s="146"/>
      <c r="I231" s="146"/>
      <c r="J231" s="147"/>
      <c r="K231" s="147"/>
      <c r="L231" s="148"/>
      <c r="M231" s="66" t="str">
        <f t="shared" ca="1" si="6"/>
        <v/>
      </c>
      <c r="N231" s="67" t="str">
        <f t="shared" ca="1" si="7"/>
        <v/>
      </c>
      <c r="O231" s="68" t="str">
        <f t="shared" ca="1" si="8"/>
        <v/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 t="str">
        <f t="shared" ca="1" si="1"/>
        <v/>
      </c>
      <c r="B232" s="60" t="str">
        <f t="shared" ca="1" si="9"/>
        <v/>
      </c>
      <c r="C232" s="61" t="str">
        <f t="shared" ca="1" si="2"/>
        <v/>
      </c>
      <c r="D232" s="62" t="str">
        <f t="shared" ca="1" si="3"/>
        <v/>
      </c>
      <c r="E232" s="63" t="str">
        <f t="shared" ca="1" si="4"/>
        <v/>
      </c>
      <c r="F232" s="64" t="str">
        <f t="shared" ca="1" si="5"/>
        <v/>
      </c>
      <c r="G232" s="139"/>
      <c r="H232" s="122"/>
      <c r="I232" s="122"/>
      <c r="J232" s="98"/>
      <c r="K232" s="98"/>
      <c r="L232" s="91"/>
      <c r="M232" s="66" t="str">
        <f t="shared" ca="1" si="6"/>
        <v/>
      </c>
      <c r="N232" s="67" t="str">
        <f t="shared" ca="1" si="7"/>
        <v/>
      </c>
      <c r="O232" s="68" t="str">
        <f t="shared" ca="1" si="8"/>
        <v/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 t="str">
        <f t="shared" ca="1" si="1"/>
        <v/>
      </c>
      <c r="B233" s="60" t="str">
        <f t="shared" ca="1" si="9"/>
        <v/>
      </c>
      <c r="C233" s="61" t="str">
        <f t="shared" ca="1" si="2"/>
        <v/>
      </c>
      <c r="D233" s="62" t="str">
        <f t="shared" ca="1" si="3"/>
        <v/>
      </c>
      <c r="E233" s="63" t="str">
        <f t="shared" ca="1" si="4"/>
        <v/>
      </c>
      <c r="F233" s="64" t="str">
        <f t="shared" ca="1" si="5"/>
        <v/>
      </c>
      <c r="G233" s="139"/>
      <c r="H233" s="122"/>
      <c r="I233" s="122"/>
      <c r="J233" s="98"/>
      <c r="K233" s="98"/>
      <c r="L233" s="91"/>
      <c r="M233" s="66" t="str">
        <f t="shared" ca="1" si="6"/>
        <v/>
      </c>
      <c r="N233" s="67" t="str">
        <f t="shared" ca="1" si="7"/>
        <v/>
      </c>
      <c r="O233" s="68" t="str">
        <f t="shared" ca="1" si="8"/>
        <v/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 t="str">
        <f t="shared" ca="1" si="1"/>
        <v/>
      </c>
      <c r="B234" s="60" t="str">
        <f t="shared" ca="1" si="9"/>
        <v/>
      </c>
      <c r="C234" s="61" t="str">
        <f t="shared" ca="1" si="2"/>
        <v/>
      </c>
      <c r="D234" s="62" t="str">
        <f t="shared" ca="1" si="3"/>
        <v/>
      </c>
      <c r="E234" s="63" t="str">
        <f t="shared" ca="1" si="4"/>
        <v/>
      </c>
      <c r="F234" s="64" t="str">
        <f t="shared" ca="1" si="5"/>
        <v/>
      </c>
      <c r="G234" s="139"/>
      <c r="H234" s="122"/>
      <c r="I234" s="122"/>
      <c r="J234" s="98"/>
      <c r="K234" s="98"/>
      <c r="L234" s="91"/>
      <c r="M234" s="66" t="str">
        <f t="shared" ca="1" si="6"/>
        <v/>
      </c>
      <c r="N234" s="67" t="str">
        <f t="shared" ca="1" si="7"/>
        <v/>
      </c>
      <c r="O234" s="68" t="str">
        <f t="shared" ca="1" si="8"/>
        <v/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 t="str">
        <f t="shared" ca="1" si="1"/>
        <v/>
      </c>
      <c r="B235" s="60" t="str">
        <f t="shared" ca="1" si="9"/>
        <v/>
      </c>
      <c r="C235" s="61" t="str">
        <f t="shared" ca="1" si="2"/>
        <v/>
      </c>
      <c r="D235" s="62" t="str">
        <f t="shared" ca="1" si="3"/>
        <v/>
      </c>
      <c r="E235" s="63" t="str">
        <f t="shared" ca="1" si="4"/>
        <v/>
      </c>
      <c r="F235" s="64" t="str">
        <f t="shared" ca="1" si="5"/>
        <v/>
      </c>
      <c r="G235" s="139"/>
      <c r="H235" s="122"/>
      <c r="I235" s="122"/>
      <c r="J235" s="98"/>
      <c r="K235" s="98"/>
      <c r="L235" s="91"/>
      <c r="M235" s="66" t="str">
        <f t="shared" ca="1" si="6"/>
        <v/>
      </c>
      <c r="N235" s="67" t="str">
        <f t="shared" ca="1" si="7"/>
        <v/>
      </c>
      <c r="O235" s="68" t="str">
        <f t="shared" ca="1" si="8"/>
        <v/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 t="str">
        <f t="shared" ca="1" si="1"/>
        <v/>
      </c>
      <c r="B236" s="60" t="str">
        <f t="shared" ca="1" si="9"/>
        <v/>
      </c>
      <c r="C236" s="61" t="str">
        <f t="shared" ca="1" si="2"/>
        <v/>
      </c>
      <c r="D236" s="62" t="str">
        <f t="shared" ca="1" si="3"/>
        <v/>
      </c>
      <c r="E236" s="63" t="str">
        <f t="shared" ca="1" si="4"/>
        <v/>
      </c>
      <c r="F236" s="64" t="str">
        <f t="shared" ca="1" si="5"/>
        <v/>
      </c>
      <c r="G236" s="139"/>
      <c r="H236" s="122"/>
      <c r="I236" s="122"/>
      <c r="J236" s="98"/>
      <c r="K236" s="98"/>
      <c r="L236" s="91"/>
      <c r="M236" s="66" t="str">
        <f t="shared" ca="1" si="6"/>
        <v/>
      </c>
      <c r="N236" s="67" t="str">
        <f t="shared" ca="1" si="7"/>
        <v/>
      </c>
      <c r="O236" s="68" t="str">
        <f t="shared" ca="1" si="8"/>
        <v/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 t="str">
        <f t="shared" ca="1" si="1"/>
        <v/>
      </c>
      <c r="B237" s="60" t="str">
        <f t="shared" ca="1" si="9"/>
        <v/>
      </c>
      <c r="C237" s="61" t="str">
        <f t="shared" ca="1" si="2"/>
        <v/>
      </c>
      <c r="D237" s="62" t="str">
        <f t="shared" ca="1" si="3"/>
        <v/>
      </c>
      <c r="E237" s="63" t="str">
        <f t="shared" ca="1" si="4"/>
        <v/>
      </c>
      <c r="F237" s="64" t="str">
        <f t="shared" ca="1" si="5"/>
        <v/>
      </c>
      <c r="G237" s="139"/>
      <c r="H237" s="122"/>
      <c r="I237" s="122"/>
      <c r="J237" s="98"/>
      <c r="K237" s="98"/>
      <c r="L237" s="91"/>
      <c r="M237" s="66" t="str">
        <f t="shared" ca="1" si="6"/>
        <v/>
      </c>
      <c r="N237" s="67" t="str">
        <f t="shared" ca="1" si="7"/>
        <v/>
      </c>
      <c r="O237" s="68" t="str">
        <f t="shared" ca="1" si="8"/>
        <v/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 t="str">
        <f t="shared" ca="1" si="1"/>
        <v/>
      </c>
      <c r="B238" s="60" t="str">
        <f t="shared" ca="1" si="9"/>
        <v/>
      </c>
      <c r="C238" s="61" t="str">
        <f t="shared" ca="1" si="2"/>
        <v/>
      </c>
      <c r="D238" s="62" t="str">
        <f t="shared" ca="1" si="3"/>
        <v/>
      </c>
      <c r="E238" s="63" t="str">
        <f t="shared" ca="1" si="4"/>
        <v/>
      </c>
      <c r="F238" s="64" t="str">
        <f t="shared" ca="1" si="5"/>
        <v/>
      </c>
      <c r="G238" s="139"/>
      <c r="H238" s="122"/>
      <c r="I238" s="122"/>
      <c r="J238" s="98"/>
      <c r="K238" s="98"/>
      <c r="L238" s="91"/>
      <c r="M238" s="66" t="str">
        <f t="shared" ca="1" si="6"/>
        <v/>
      </c>
      <c r="N238" s="67" t="str">
        <f t="shared" ca="1" si="7"/>
        <v/>
      </c>
      <c r="O238" s="68" t="str">
        <f t="shared" ca="1" si="8"/>
        <v/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 t="str">
        <f t="shared" ca="1" si="1"/>
        <v/>
      </c>
      <c r="B239" s="60" t="str">
        <f t="shared" ca="1" si="9"/>
        <v/>
      </c>
      <c r="C239" s="61" t="str">
        <f t="shared" ca="1" si="2"/>
        <v/>
      </c>
      <c r="D239" s="62" t="str">
        <f t="shared" ca="1" si="3"/>
        <v/>
      </c>
      <c r="E239" s="63" t="str">
        <f t="shared" ca="1" si="4"/>
        <v/>
      </c>
      <c r="F239" s="64" t="str">
        <f t="shared" ca="1" si="5"/>
        <v/>
      </c>
      <c r="G239" s="139"/>
      <c r="H239" s="122"/>
      <c r="I239" s="122"/>
      <c r="J239" s="98"/>
      <c r="K239" s="98"/>
      <c r="L239" s="91"/>
      <c r="M239" s="66" t="str">
        <f t="shared" ca="1" si="6"/>
        <v/>
      </c>
      <c r="N239" s="67" t="str">
        <f t="shared" ca="1" si="7"/>
        <v/>
      </c>
      <c r="O239" s="68" t="str">
        <f t="shared" ca="1" si="8"/>
        <v/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 t="str">
        <f t="shared" ca="1" si="1"/>
        <v/>
      </c>
      <c r="B240" s="60" t="str">
        <f t="shared" ca="1" si="9"/>
        <v/>
      </c>
      <c r="C240" s="61" t="str">
        <f t="shared" ca="1" si="2"/>
        <v/>
      </c>
      <c r="D240" s="62" t="str">
        <f t="shared" ca="1" si="3"/>
        <v/>
      </c>
      <c r="E240" s="63" t="str">
        <f t="shared" ca="1" si="4"/>
        <v/>
      </c>
      <c r="F240" s="64" t="str">
        <f t="shared" ca="1" si="5"/>
        <v/>
      </c>
      <c r="G240" s="139"/>
      <c r="H240" s="122"/>
      <c r="I240" s="122"/>
      <c r="J240" s="98"/>
      <c r="K240" s="98"/>
      <c r="L240" s="91"/>
      <c r="M240" s="66" t="str">
        <f t="shared" ca="1" si="6"/>
        <v/>
      </c>
      <c r="N240" s="67" t="str">
        <f t="shared" ca="1" si="7"/>
        <v/>
      </c>
      <c r="O240" s="68" t="str">
        <f t="shared" ca="1" si="8"/>
        <v/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 t="str">
        <f t="shared" ca="1" si="1"/>
        <v/>
      </c>
      <c r="B241" s="60" t="str">
        <f t="shared" ca="1" si="9"/>
        <v/>
      </c>
      <c r="C241" s="61" t="str">
        <f t="shared" ca="1" si="2"/>
        <v/>
      </c>
      <c r="D241" s="62" t="str">
        <f t="shared" ca="1" si="3"/>
        <v/>
      </c>
      <c r="E241" s="63" t="str">
        <f t="shared" ca="1" si="4"/>
        <v/>
      </c>
      <c r="F241" s="64" t="str">
        <f t="shared" ca="1" si="5"/>
        <v/>
      </c>
      <c r="G241" s="139"/>
      <c r="H241" s="122"/>
      <c r="I241" s="122"/>
      <c r="J241" s="98"/>
      <c r="K241" s="98"/>
      <c r="L241" s="91"/>
      <c r="M241" s="66" t="str">
        <f t="shared" ca="1" si="6"/>
        <v/>
      </c>
      <c r="N241" s="67" t="str">
        <f t="shared" ca="1" si="7"/>
        <v/>
      </c>
      <c r="O241" s="68" t="str">
        <f t="shared" ca="1" si="8"/>
        <v/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 t="str">
        <f t="shared" ca="1" si="1"/>
        <v/>
      </c>
      <c r="B242" s="60" t="str">
        <f t="shared" ca="1" si="9"/>
        <v/>
      </c>
      <c r="C242" s="61" t="str">
        <f t="shared" ca="1" si="2"/>
        <v/>
      </c>
      <c r="D242" s="62" t="str">
        <f t="shared" ca="1" si="3"/>
        <v/>
      </c>
      <c r="E242" s="63" t="str">
        <f t="shared" ca="1" si="4"/>
        <v/>
      </c>
      <c r="F242" s="64" t="str">
        <f t="shared" ca="1" si="5"/>
        <v/>
      </c>
      <c r="G242" s="139"/>
      <c r="H242" s="122"/>
      <c r="I242" s="122"/>
      <c r="J242" s="98"/>
      <c r="K242" s="98"/>
      <c r="L242" s="91"/>
      <c r="M242" s="66" t="str">
        <f t="shared" ca="1" si="6"/>
        <v/>
      </c>
      <c r="N242" s="67" t="str">
        <f t="shared" ca="1" si="7"/>
        <v/>
      </c>
      <c r="O242" s="68" t="str">
        <f t="shared" ca="1" si="8"/>
        <v/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 t="str">
        <f t="shared" ca="1" si="1"/>
        <v/>
      </c>
      <c r="B243" s="60" t="str">
        <f t="shared" ca="1" si="9"/>
        <v/>
      </c>
      <c r="C243" s="61" t="str">
        <f t="shared" ca="1" si="2"/>
        <v/>
      </c>
      <c r="D243" s="62" t="str">
        <f t="shared" ca="1" si="3"/>
        <v/>
      </c>
      <c r="E243" s="63" t="str">
        <f t="shared" ca="1" si="4"/>
        <v/>
      </c>
      <c r="F243" s="64" t="str">
        <f t="shared" ca="1" si="5"/>
        <v/>
      </c>
      <c r="G243" s="139"/>
      <c r="H243" s="122"/>
      <c r="I243" s="122"/>
      <c r="J243" s="98"/>
      <c r="K243" s="98"/>
      <c r="L243" s="91"/>
      <c r="M243" s="66" t="str">
        <f t="shared" ca="1" si="6"/>
        <v/>
      </c>
      <c r="N243" s="67" t="str">
        <f t="shared" ca="1" si="7"/>
        <v/>
      </c>
      <c r="O243" s="68" t="str">
        <f t="shared" ca="1" si="8"/>
        <v/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 t="str">
        <f t="shared" ca="1" si="1"/>
        <v/>
      </c>
      <c r="B244" s="60" t="str">
        <f t="shared" ca="1" si="9"/>
        <v/>
      </c>
      <c r="C244" s="61" t="str">
        <f t="shared" ca="1" si="2"/>
        <v/>
      </c>
      <c r="D244" s="62" t="str">
        <f t="shared" ca="1" si="3"/>
        <v/>
      </c>
      <c r="E244" s="63" t="str">
        <f t="shared" ca="1" si="4"/>
        <v/>
      </c>
      <c r="F244" s="64" t="str">
        <f t="shared" ca="1" si="5"/>
        <v/>
      </c>
      <c r="G244" s="139"/>
      <c r="H244" s="122"/>
      <c r="I244" s="122"/>
      <c r="J244" s="98"/>
      <c r="K244" s="98"/>
      <c r="L244" s="91"/>
      <c r="M244" s="66" t="str">
        <f t="shared" ca="1" si="6"/>
        <v/>
      </c>
      <c r="N244" s="67" t="str">
        <f t="shared" ca="1" si="7"/>
        <v/>
      </c>
      <c r="O244" s="68" t="str">
        <f t="shared" ca="1" si="8"/>
        <v/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 t="str">
        <f t="shared" ca="1" si="1"/>
        <v/>
      </c>
      <c r="B245" s="60" t="str">
        <f t="shared" ca="1" si="9"/>
        <v/>
      </c>
      <c r="C245" s="61" t="str">
        <f t="shared" ca="1" si="2"/>
        <v/>
      </c>
      <c r="D245" s="62" t="str">
        <f t="shared" ca="1" si="3"/>
        <v/>
      </c>
      <c r="E245" s="63" t="str">
        <f t="shared" ca="1" si="4"/>
        <v/>
      </c>
      <c r="F245" s="64" t="str">
        <f t="shared" ca="1" si="5"/>
        <v/>
      </c>
      <c r="G245" s="139"/>
      <c r="H245" s="122"/>
      <c r="I245" s="122"/>
      <c r="J245" s="98"/>
      <c r="K245" s="98"/>
      <c r="L245" s="91"/>
      <c r="M245" s="66" t="str">
        <f t="shared" ca="1" si="6"/>
        <v/>
      </c>
      <c r="N245" s="67" t="str">
        <f t="shared" ca="1" si="7"/>
        <v/>
      </c>
      <c r="O245" s="68" t="str">
        <f t="shared" ca="1" si="8"/>
        <v/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80" t="str">
        <f t="shared" ca="1" si="1"/>
        <v/>
      </c>
      <c r="B246" s="81" t="str">
        <f t="shared" ca="1" si="9"/>
        <v/>
      </c>
      <c r="C246" s="82" t="str">
        <f t="shared" ca="1" si="2"/>
        <v/>
      </c>
      <c r="D246" s="83" t="str">
        <f t="shared" ca="1" si="3"/>
        <v/>
      </c>
      <c r="E246" s="84" t="str">
        <f t="shared" ca="1" si="4"/>
        <v/>
      </c>
      <c r="F246" s="85" t="str">
        <f t="shared" ca="1" si="5"/>
        <v/>
      </c>
      <c r="G246" s="149"/>
      <c r="H246" s="150"/>
      <c r="I246" s="150"/>
      <c r="J246" s="151"/>
      <c r="K246" s="151"/>
      <c r="L246" s="152"/>
      <c r="M246" s="66" t="str">
        <f t="shared" ca="1" si="6"/>
        <v/>
      </c>
      <c r="N246" s="67" t="str">
        <f t="shared" ca="1" si="7"/>
        <v/>
      </c>
      <c r="O246" s="68" t="str">
        <f t="shared" ca="1" si="8"/>
        <v/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46" t="str">
        <f t="shared" ca="1" si="1"/>
        <v/>
      </c>
      <c r="B247" s="47" t="str">
        <f t="shared" ca="1" si="9"/>
        <v/>
      </c>
      <c r="C247" s="48" t="str">
        <f t="shared" ca="1" si="2"/>
        <v/>
      </c>
      <c r="D247" s="49" t="str">
        <f t="shared" ca="1" si="3"/>
        <v/>
      </c>
      <c r="E247" s="50" t="str">
        <f t="shared" ca="1" si="4"/>
        <v/>
      </c>
      <c r="F247" s="51" t="str">
        <f t="shared" ca="1" si="5"/>
        <v/>
      </c>
      <c r="G247" s="153"/>
      <c r="H247" s="154"/>
      <c r="I247" s="154"/>
      <c r="J247" s="154"/>
      <c r="K247" s="154"/>
      <c r="L247" s="155"/>
      <c r="M247" s="66" t="str">
        <f t="shared" ca="1" si="6"/>
        <v/>
      </c>
      <c r="N247" s="67" t="str">
        <f t="shared" ca="1" si="7"/>
        <v/>
      </c>
      <c r="O247" s="68" t="str">
        <f t="shared" ca="1" si="8"/>
        <v/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 t="str">
        <f t="shared" ca="1" si="1"/>
        <v/>
      </c>
      <c r="B248" s="60" t="str">
        <f t="shared" ca="1" si="9"/>
        <v/>
      </c>
      <c r="C248" s="61" t="str">
        <f t="shared" ca="1" si="2"/>
        <v/>
      </c>
      <c r="D248" s="62" t="str">
        <f t="shared" ca="1" si="3"/>
        <v/>
      </c>
      <c r="E248" s="63" t="str">
        <f t="shared" ca="1" si="4"/>
        <v/>
      </c>
      <c r="F248" s="64" t="str">
        <f t="shared" ca="1" si="5"/>
        <v/>
      </c>
      <c r="G248" s="156"/>
      <c r="H248" s="157"/>
      <c r="I248" s="157"/>
      <c r="J248" s="157"/>
      <c r="K248" s="157"/>
      <c r="L248" s="158"/>
      <c r="M248" s="66" t="str">
        <f t="shared" ca="1" si="6"/>
        <v/>
      </c>
      <c r="N248" s="67" t="str">
        <f t="shared" ca="1" si="7"/>
        <v/>
      </c>
      <c r="O248" s="68" t="str">
        <f t="shared" ca="1" si="8"/>
        <v/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 t="str">
        <f t="shared" ca="1" si="1"/>
        <v/>
      </c>
      <c r="B249" s="60" t="str">
        <f t="shared" ca="1" si="9"/>
        <v/>
      </c>
      <c r="C249" s="61" t="str">
        <f t="shared" ca="1" si="2"/>
        <v/>
      </c>
      <c r="D249" s="62" t="str">
        <f t="shared" ca="1" si="3"/>
        <v/>
      </c>
      <c r="E249" s="63" t="str">
        <f t="shared" ca="1" si="4"/>
        <v/>
      </c>
      <c r="F249" s="64" t="str">
        <f t="shared" ca="1" si="5"/>
        <v/>
      </c>
      <c r="G249" s="156"/>
      <c r="H249" s="157"/>
      <c r="I249" s="157"/>
      <c r="J249" s="157"/>
      <c r="K249" s="157"/>
      <c r="L249" s="158"/>
      <c r="M249" s="66" t="str">
        <f t="shared" ca="1" si="6"/>
        <v/>
      </c>
      <c r="N249" s="67" t="str">
        <f t="shared" ca="1" si="7"/>
        <v/>
      </c>
      <c r="O249" s="68" t="str">
        <f t="shared" ca="1" si="8"/>
        <v/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 t="str">
        <f t="shared" ca="1" si="1"/>
        <v/>
      </c>
      <c r="B250" s="60" t="str">
        <f t="shared" ca="1" si="9"/>
        <v/>
      </c>
      <c r="C250" s="61" t="str">
        <f t="shared" ca="1" si="2"/>
        <v/>
      </c>
      <c r="D250" s="62" t="str">
        <f t="shared" ca="1" si="3"/>
        <v/>
      </c>
      <c r="E250" s="63" t="str">
        <f t="shared" ca="1" si="4"/>
        <v/>
      </c>
      <c r="F250" s="64" t="str">
        <f t="shared" ca="1" si="5"/>
        <v/>
      </c>
      <c r="G250" s="156"/>
      <c r="H250" s="157"/>
      <c r="I250" s="157"/>
      <c r="J250" s="157"/>
      <c r="K250" s="157"/>
      <c r="L250" s="158"/>
      <c r="M250" s="66" t="str">
        <f t="shared" ca="1" si="6"/>
        <v/>
      </c>
      <c r="N250" s="67" t="str">
        <f t="shared" ca="1" si="7"/>
        <v/>
      </c>
      <c r="O250" s="68" t="str">
        <f t="shared" ca="1" si="8"/>
        <v/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 t="str">
        <f t="shared" ca="1" si="1"/>
        <v/>
      </c>
      <c r="B251" s="60" t="str">
        <f t="shared" ca="1" si="9"/>
        <v/>
      </c>
      <c r="C251" s="61" t="str">
        <f t="shared" ca="1" si="2"/>
        <v/>
      </c>
      <c r="D251" s="62" t="str">
        <f t="shared" ca="1" si="3"/>
        <v/>
      </c>
      <c r="E251" s="63" t="str">
        <f t="shared" ca="1" si="4"/>
        <v/>
      </c>
      <c r="F251" s="64" t="str">
        <f t="shared" ca="1" si="5"/>
        <v/>
      </c>
      <c r="G251" s="156"/>
      <c r="H251" s="157"/>
      <c r="I251" s="157"/>
      <c r="J251" s="157"/>
      <c r="K251" s="157"/>
      <c r="L251" s="158"/>
      <c r="M251" s="66" t="str">
        <f t="shared" ca="1" si="6"/>
        <v/>
      </c>
      <c r="N251" s="67" t="str">
        <f t="shared" ca="1" si="7"/>
        <v/>
      </c>
      <c r="O251" s="68" t="str">
        <f t="shared" ca="1" si="8"/>
        <v/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 t="str">
        <f t="shared" ca="1" si="1"/>
        <v/>
      </c>
      <c r="B252" s="60" t="str">
        <f t="shared" ca="1" si="9"/>
        <v/>
      </c>
      <c r="C252" s="61" t="str">
        <f t="shared" ca="1" si="2"/>
        <v/>
      </c>
      <c r="D252" s="62" t="str">
        <f t="shared" ca="1" si="3"/>
        <v/>
      </c>
      <c r="E252" s="63" t="str">
        <f t="shared" ca="1" si="4"/>
        <v/>
      </c>
      <c r="F252" s="64" t="str">
        <f t="shared" ca="1" si="5"/>
        <v/>
      </c>
      <c r="G252" s="156"/>
      <c r="H252" s="157"/>
      <c r="I252" s="157"/>
      <c r="J252" s="122"/>
      <c r="K252" s="122"/>
      <c r="L252" s="158"/>
      <c r="M252" s="66" t="str">
        <f t="shared" ca="1" si="6"/>
        <v/>
      </c>
      <c r="N252" s="67" t="str">
        <f t="shared" ca="1" si="7"/>
        <v/>
      </c>
      <c r="O252" s="68" t="str">
        <f t="shared" ca="1" si="8"/>
        <v/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 t="str">
        <f t="shared" ca="1" si="1"/>
        <v/>
      </c>
      <c r="B253" s="60" t="str">
        <f t="shared" ca="1" si="9"/>
        <v/>
      </c>
      <c r="C253" s="61" t="str">
        <f t="shared" ca="1" si="2"/>
        <v/>
      </c>
      <c r="D253" s="62" t="str">
        <f t="shared" ca="1" si="3"/>
        <v/>
      </c>
      <c r="E253" s="63" t="str">
        <f t="shared" ca="1" si="4"/>
        <v/>
      </c>
      <c r="F253" s="64" t="str">
        <f t="shared" ca="1" si="5"/>
        <v/>
      </c>
      <c r="G253" s="156"/>
      <c r="H253" s="157"/>
      <c r="I253" s="157"/>
      <c r="J253" s="122"/>
      <c r="K253" s="122"/>
      <c r="L253" s="158"/>
      <c r="M253" s="66" t="str">
        <f t="shared" ca="1" si="6"/>
        <v/>
      </c>
      <c r="N253" s="67" t="str">
        <f t="shared" ca="1" si="7"/>
        <v/>
      </c>
      <c r="O253" s="68" t="str">
        <f t="shared" ca="1" si="8"/>
        <v/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 t="str">
        <f t="shared" ca="1" si="1"/>
        <v/>
      </c>
      <c r="B254" s="60" t="str">
        <f t="shared" ca="1" si="9"/>
        <v/>
      </c>
      <c r="C254" s="61" t="str">
        <f t="shared" ca="1" si="2"/>
        <v/>
      </c>
      <c r="D254" s="62" t="str">
        <f t="shared" ca="1" si="3"/>
        <v/>
      </c>
      <c r="E254" s="63" t="str">
        <f t="shared" ca="1" si="4"/>
        <v/>
      </c>
      <c r="F254" s="64" t="str">
        <f t="shared" ca="1" si="5"/>
        <v/>
      </c>
      <c r="G254" s="156"/>
      <c r="H254" s="157"/>
      <c r="I254" s="157"/>
      <c r="J254" s="122"/>
      <c r="K254" s="122"/>
      <c r="L254" s="158"/>
      <c r="M254" s="66" t="str">
        <f t="shared" ca="1" si="6"/>
        <v/>
      </c>
      <c r="N254" s="67" t="str">
        <f t="shared" ca="1" si="7"/>
        <v/>
      </c>
      <c r="O254" s="68" t="str">
        <f t="shared" ca="1" si="8"/>
        <v/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 t="str">
        <f t="shared" ca="1" si="1"/>
        <v/>
      </c>
      <c r="B255" s="60" t="str">
        <f t="shared" ca="1" si="9"/>
        <v/>
      </c>
      <c r="C255" s="61" t="str">
        <f t="shared" ca="1" si="2"/>
        <v/>
      </c>
      <c r="D255" s="62" t="str">
        <f t="shared" ca="1" si="3"/>
        <v/>
      </c>
      <c r="E255" s="63" t="str">
        <f t="shared" ca="1" si="4"/>
        <v/>
      </c>
      <c r="F255" s="64" t="str">
        <f t="shared" ca="1" si="5"/>
        <v/>
      </c>
      <c r="G255" s="156"/>
      <c r="H255" s="157"/>
      <c r="I255" s="157"/>
      <c r="J255" s="122"/>
      <c r="K255" s="122"/>
      <c r="L255" s="158"/>
      <c r="M255" s="66" t="str">
        <f t="shared" ca="1" si="6"/>
        <v/>
      </c>
      <c r="N255" s="67" t="str">
        <f t="shared" ca="1" si="7"/>
        <v/>
      </c>
      <c r="O255" s="68" t="str">
        <f t="shared" ca="1" si="8"/>
        <v/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 t="str">
        <f t="shared" ca="1" si="1"/>
        <v/>
      </c>
      <c r="B256" s="60" t="str">
        <f t="shared" ca="1" si="9"/>
        <v/>
      </c>
      <c r="C256" s="61" t="str">
        <f t="shared" ca="1" si="2"/>
        <v/>
      </c>
      <c r="D256" s="62" t="str">
        <f t="shared" ca="1" si="3"/>
        <v/>
      </c>
      <c r="E256" s="63" t="str">
        <f t="shared" ca="1" si="4"/>
        <v/>
      </c>
      <c r="F256" s="64" t="str">
        <f t="shared" ca="1" si="5"/>
        <v/>
      </c>
      <c r="G256" s="156"/>
      <c r="H256" s="157"/>
      <c r="I256" s="157"/>
      <c r="J256" s="122"/>
      <c r="K256" s="122"/>
      <c r="L256" s="158"/>
      <c r="M256" s="66" t="str">
        <f t="shared" ca="1" si="6"/>
        <v/>
      </c>
      <c r="N256" s="67" t="str">
        <f t="shared" ca="1" si="7"/>
        <v/>
      </c>
      <c r="O256" s="68" t="str">
        <f t="shared" ca="1" si="8"/>
        <v/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 t="str">
        <f t="shared" ca="1" si="1"/>
        <v/>
      </c>
      <c r="B257" s="60" t="str">
        <f t="shared" ca="1" si="9"/>
        <v/>
      </c>
      <c r="C257" s="61" t="str">
        <f t="shared" ca="1" si="2"/>
        <v/>
      </c>
      <c r="D257" s="62" t="str">
        <f t="shared" ca="1" si="3"/>
        <v/>
      </c>
      <c r="E257" s="63" t="str">
        <f t="shared" ca="1" si="4"/>
        <v/>
      </c>
      <c r="F257" s="64" t="str">
        <f t="shared" ca="1" si="5"/>
        <v/>
      </c>
      <c r="G257" s="156"/>
      <c r="H257" s="157"/>
      <c r="I257" s="157"/>
      <c r="J257" s="122"/>
      <c r="K257" s="122"/>
      <c r="L257" s="158"/>
      <c r="M257" s="66" t="str">
        <f t="shared" ca="1" si="6"/>
        <v/>
      </c>
      <c r="N257" s="67" t="str">
        <f t="shared" ca="1" si="7"/>
        <v/>
      </c>
      <c r="O257" s="68" t="str">
        <f t="shared" ca="1" si="8"/>
        <v/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 t="str">
        <f t="shared" ca="1" si="1"/>
        <v/>
      </c>
      <c r="B258" s="60" t="str">
        <f t="shared" ca="1" si="9"/>
        <v/>
      </c>
      <c r="C258" s="61" t="str">
        <f t="shared" ca="1" si="2"/>
        <v/>
      </c>
      <c r="D258" s="62" t="str">
        <f t="shared" ca="1" si="3"/>
        <v/>
      </c>
      <c r="E258" s="63" t="str">
        <f t="shared" ca="1" si="4"/>
        <v/>
      </c>
      <c r="F258" s="64" t="str">
        <f t="shared" ca="1" si="5"/>
        <v/>
      </c>
      <c r="G258" s="156"/>
      <c r="H258" s="157"/>
      <c r="I258" s="157"/>
      <c r="J258" s="122"/>
      <c r="K258" s="122"/>
      <c r="L258" s="158"/>
      <c r="M258" s="66" t="str">
        <f t="shared" ca="1" si="6"/>
        <v/>
      </c>
      <c r="N258" s="67" t="str">
        <f t="shared" ca="1" si="7"/>
        <v/>
      </c>
      <c r="O258" s="68" t="str">
        <f t="shared" ca="1" si="8"/>
        <v/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 t="str">
        <f t="shared" ca="1" si="1"/>
        <v/>
      </c>
      <c r="B259" s="60" t="str">
        <f t="shared" ca="1" si="9"/>
        <v/>
      </c>
      <c r="C259" s="61" t="str">
        <f t="shared" ca="1" si="2"/>
        <v/>
      </c>
      <c r="D259" s="62" t="str">
        <f t="shared" ca="1" si="3"/>
        <v/>
      </c>
      <c r="E259" s="63" t="str">
        <f t="shared" ca="1" si="4"/>
        <v/>
      </c>
      <c r="F259" s="64" t="str">
        <f t="shared" ca="1" si="5"/>
        <v/>
      </c>
      <c r="G259" s="156"/>
      <c r="H259" s="157"/>
      <c r="I259" s="157"/>
      <c r="J259" s="122"/>
      <c r="K259" s="122"/>
      <c r="L259" s="158"/>
      <c r="M259" s="66" t="str">
        <f t="shared" ca="1" si="6"/>
        <v/>
      </c>
      <c r="N259" s="67" t="str">
        <f t="shared" ca="1" si="7"/>
        <v/>
      </c>
      <c r="O259" s="68" t="str">
        <f t="shared" ca="1" si="8"/>
        <v/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 t="str">
        <f t="shared" ca="1" si="1"/>
        <v/>
      </c>
      <c r="B260" s="60" t="str">
        <f t="shared" ca="1" si="9"/>
        <v/>
      </c>
      <c r="C260" s="61" t="str">
        <f t="shared" ca="1" si="2"/>
        <v/>
      </c>
      <c r="D260" s="62" t="str">
        <f t="shared" ca="1" si="3"/>
        <v/>
      </c>
      <c r="E260" s="63" t="str">
        <f t="shared" ca="1" si="4"/>
        <v/>
      </c>
      <c r="F260" s="64" t="str">
        <f t="shared" ca="1" si="5"/>
        <v/>
      </c>
      <c r="G260" s="156"/>
      <c r="H260" s="157"/>
      <c r="I260" s="157"/>
      <c r="J260" s="122"/>
      <c r="K260" s="122"/>
      <c r="L260" s="158"/>
      <c r="M260" s="66" t="str">
        <f t="shared" ca="1" si="6"/>
        <v/>
      </c>
      <c r="N260" s="67" t="str">
        <f t="shared" ca="1" si="7"/>
        <v/>
      </c>
      <c r="O260" s="68" t="str">
        <f t="shared" ca="1" si="8"/>
        <v/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 t="str">
        <f t="shared" ca="1" si="1"/>
        <v/>
      </c>
      <c r="B261" s="60" t="str">
        <f t="shared" ca="1" si="9"/>
        <v/>
      </c>
      <c r="C261" s="61" t="str">
        <f t="shared" ca="1" si="2"/>
        <v/>
      </c>
      <c r="D261" s="62" t="str">
        <f t="shared" ca="1" si="3"/>
        <v/>
      </c>
      <c r="E261" s="63" t="str">
        <f t="shared" ca="1" si="4"/>
        <v/>
      </c>
      <c r="F261" s="64" t="str">
        <f t="shared" ca="1" si="5"/>
        <v/>
      </c>
      <c r="G261" s="156"/>
      <c r="H261" s="157"/>
      <c r="I261" s="157"/>
      <c r="J261" s="122"/>
      <c r="K261" s="122"/>
      <c r="L261" s="158"/>
      <c r="M261" s="66" t="str">
        <f t="shared" ca="1" si="6"/>
        <v/>
      </c>
      <c r="N261" s="67" t="str">
        <f t="shared" ca="1" si="7"/>
        <v/>
      </c>
      <c r="O261" s="68" t="str">
        <f t="shared" ca="1" si="8"/>
        <v/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100" t="str">
        <f t="shared" ref="A262:A294" ca="1" si="10">IF(INDIRECT("'DS nhân viên Speedtest'!B"&amp; (2+QUOTIENT(ROW()-ROW($A$7),16)))="","",ROW()-ROW($A$7)+1)</f>
        <v/>
      </c>
      <c r="B262" s="101" t="str">
        <f t="shared" ca="1" si="9"/>
        <v/>
      </c>
      <c r="C262" s="102" t="str">
        <f t="shared" ref="C262:C294" ca="1" si="11">IF(A262="","",INDIRECT("'DS nhân viên Speedtest'!B"&amp; (2+QUOTIENT(A262-1,16))))</f>
        <v/>
      </c>
      <c r="D262" s="103" t="str">
        <f t="shared" ref="D262:D294" ca="1" si="12">IF(A262="","",INDIRECT("'DS nhân viên Speedtest'!C"&amp; (2+QUOTIENT(A262-1,16))))</f>
        <v/>
      </c>
      <c r="E262" s="104" t="str">
        <f t="shared" ref="E262:E294" ca="1" si="13">IF(A262="","",INDIRECT("'DS nhân viên Speedtest'!D"&amp; (2+QUOTIENT(A262-1,16))))</f>
        <v/>
      </c>
      <c r="F262" s="105" t="str">
        <f t="shared" ref="F262:F294" ca="1" si="14">IF(A262="","","Lần "&amp;(MOD(ROW()-ROW($A$7),16)+1))</f>
        <v/>
      </c>
      <c r="G262" s="159"/>
      <c r="H262" s="160"/>
      <c r="I262" s="160"/>
      <c r="J262" s="161"/>
      <c r="K262" s="161"/>
      <c r="L262" s="162"/>
      <c r="M262" s="66" t="str">
        <f t="shared" ref="M262:M294" ca="1" si="15">IF(B262="","",IF(OR(G262="",H262="",I262=""),0,1))</f>
        <v/>
      </c>
      <c r="N262" s="67" t="str">
        <f t="shared" ref="N262:N294" ca="1" si="16">IF(B262="","",IF(OR(G262="",J262="",K262=""),0,1))</f>
        <v/>
      </c>
      <c r="O262" s="68" t="str">
        <f t="shared" ref="O262:O294" ca="1" si="17">IF(B262="","",IF((J262-0)&gt;200,1,0))</f>
        <v/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106" t="str">
        <f t="shared" ca="1" si="10"/>
        <v/>
      </c>
      <c r="B263" s="107" t="str">
        <f t="shared" ref="B263:B294" ca="1" si="18">IF(A263="","",B262)</f>
        <v/>
      </c>
      <c r="C263" s="108" t="str">
        <f t="shared" ca="1" si="11"/>
        <v/>
      </c>
      <c r="D263" s="109" t="str">
        <f t="shared" ca="1" si="12"/>
        <v/>
      </c>
      <c r="E263" s="110" t="str">
        <f t="shared" ca="1" si="13"/>
        <v/>
      </c>
      <c r="F263" s="111" t="str">
        <f t="shared" ca="1" si="14"/>
        <v/>
      </c>
      <c r="G263" s="163"/>
      <c r="H263" s="164"/>
      <c r="I263" s="164"/>
      <c r="J263" s="146"/>
      <c r="K263" s="146"/>
      <c r="L263" s="165"/>
      <c r="M263" s="66" t="str">
        <f t="shared" ca="1" si="15"/>
        <v/>
      </c>
      <c r="N263" s="67" t="str">
        <f t="shared" ca="1" si="16"/>
        <v/>
      </c>
      <c r="O263" s="68" t="str">
        <f t="shared" ca="1" si="17"/>
        <v/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59" t="str">
        <f t="shared" ca="1" si="10"/>
        <v/>
      </c>
      <c r="B264" s="60" t="str">
        <f t="shared" ca="1" si="18"/>
        <v/>
      </c>
      <c r="C264" s="61" t="str">
        <f t="shared" ca="1" si="11"/>
        <v/>
      </c>
      <c r="D264" s="62" t="str">
        <f t="shared" ca="1" si="12"/>
        <v/>
      </c>
      <c r="E264" s="63" t="str">
        <f t="shared" ca="1" si="13"/>
        <v/>
      </c>
      <c r="F264" s="64" t="str">
        <f t="shared" ca="1" si="14"/>
        <v/>
      </c>
      <c r="G264" s="156"/>
      <c r="H264" s="157"/>
      <c r="I264" s="157"/>
      <c r="J264" s="122"/>
      <c r="K264" s="122"/>
      <c r="L264" s="158"/>
      <c r="M264" s="66" t="str">
        <f t="shared" ca="1" si="15"/>
        <v/>
      </c>
      <c r="N264" s="67" t="str">
        <f t="shared" ca="1" si="16"/>
        <v/>
      </c>
      <c r="O264" s="68" t="str">
        <f t="shared" ca="1" si="17"/>
        <v/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59" t="str">
        <f t="shared" ca="1" si="10"/>
        <v/>
      </c>
      <c r="B265" s="60" t="str">
        <f t="shared" ca="1" si="18"/>
        <v/>
      </c>
      <c r="C265" s="61" t="str">
        <f t="shared" ca="1" si="11"/>
        <v/>
      </c>
      <c r="D265" s="62" t="str">
        <f t="shared" ca="1" si="12"/>
        <v/>
      </c>
      <c r="E265" s="63" t="str">
        <f t="shared" ca="1" si="13"/>
        <v/>
      </c>
      <c r="F265" s="64" t="str">
        <f t="shared" ca="1" si="14"/>
        <v/>
      </c>
      <c r="G265" s="156"/>
      <c r="H265" s="157"/>
      <c r="I265" s="157"/>
      <c r="J265" s="122"/>
      <c r="K265" s="122"/>
      <c r="L265" s="158"/>
      <c r="M265" s="66" t="str">
        <f t="shared" ca="1" si="15"/>
        <v/>
      </c>
      <c r="N265" s="67" t="str">
        <f t="shared" ca="1" si="16"/>
        <v/>
      </c>
      <c r="O265" s="68" t="str">
        <f t="shared" ca="1" si="17"/>
        <v/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59" t="str">
        <f t="shared" ca="1" si="10"/>
        <v/>
      </c>
      <c r="B266" s="60" t="str">
        <f t="shared" ca="1" si="18"/>
        <v/>
      </c>
      <c r="C266" s="61" t="str">
        <f t="shared" ca="1" si="11"/>
        <v/>
      </c>
      <c r="D266" s="62" t="str">
        <f t="shared" ca="1" si="12"/>
        <v/>
      </c>
      <c r="E266" s="63" t="str">
        <f t="shared" ca="1" si="13"/>
        <v/>
      </c>
      <c r="F266" s="64" t="str">
        <f t="shared" ca="1" si="14"/>
        <v/>
      </c>
      <c r="G266" s="156"/>
      <c r="H266" s="157"/>
      <c r="I266" s="157"/>
      <c r="J266" s="122"/>
      <c r="K266" s="122"/>
      <c r="L266" s="158"/>
      <c r="M266" s="66" t="str">
        <f t="shared" ca="1" si="15"/>
        <v/>
      </c>
      <c r="N266" s="67" t="str">
        <f t="shared" ca="1" si="16"/>
        <v/>
      </c>
      <c r="O266" s="68" t="str">
        <f t="shared" ca="1" si="17"/>
        <v/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59" t="str">
        <f t="shared" ca="1" si="10"/>
        <v/>
      </c>
      <c r="B267" s="60" t="str">
        <f t="shared" ca="1" si="18"/>
        <v/>
      </c>
      <c r="C267" s="61" t="str">
        <f t="shared" ca="1" si="11"/>
        <v/>
      </c>
      <c r="D267" s="62" t="str">
        <f t="shared" ca="1" si="12"/>
        <v/>
      </c>
      <c r="E267" s="63" t="str">
        <f t="shared" ca="1" si="13"/>
        <v/>
      </c>
      <c r="F267" s="64" t="str">
        <f t="shared" ca="1" si="14"/>
        <v/>
      </c>
      <c r="G267" s="156"/>
      <c r="H267" s="157"/>
      <c r="I267" s="157"/>
      <c r="J267" s="122"/>
      <c r="K267" s="122"/>
      <c r="L267" s="158"/>
      <c r="M267" s="66" t="str">
        <f t="shared" ca="1" si="15"/>
        <v/>
      </c>
      <c r="N267" s="67" t="str">
        <f t="shared" ca="1" si="16"/>
        <v/>
      </c>
      <c r="O267" s="68" t="str">
        <f t="shared" ca="1" si="17"/>
        <v/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59" t="str">
        <f t="shared" ca="1" si="10"/>
        <v/>
      </c>
      <c r="B268" s="60" t="str">
        <f t="shared" ca="1" si="18"/>
        <v/>
      </c>
      <c r="C268" s="61" t="str">
        <f t="shared" ca="1" si="11"/>
        <v/>
      </c>
      <c r="D268" s="62" t="str">
        <f t="shared" ca="1" si="12"/>
        <v/>
      </c>
      <c r="E268" s="63" t="str">
        <f t="shared" ca="1" si="13"/>
        <v/>
      </c>
      <c r="F268" s="64" t="str">
        <f t="shared" ca="1" si="14"/>
        <v/>
      </c>
      <c r="G268" s="156"/>
      <c r="H268" s="157"/>
      <c r="I268" s="157"/>
      <c r="J268" s="122"/>
      <c r="K268" s="122"/>
      <c r="L268" s="158"/>
      <c r="M268" s="66" t="str">
        <f t="shared" ca="1" si="15"/>
        <v/>
      </c>
      <c r="N268" s="67" t="str">
        <f t="shared" ca="1" si="16"/>
        <v/>
      </c>
      <c r="O268" s="68" t="str">
        <f t="shared" ca="1" si="17"/>
        <v/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59" t="str">
        <f t="shared" ca="1" si="10"/>
        <v/>
      </c>
      <c r="B269" s="60" t="str">
        <f t="shared" ca="1" si="18"/>
        <v/>
      </c>
      <c r="C269" s="61" t="str">
        <f t="shared" ca="1" si="11"/>
        <v/>
      </c>
      <c r="D269" s="62" t="str">
        <f t="shared" ca="1" si="12"/>
        <v/>
      </c>
      <c r="E269" s="63" t="str">
        <f t="shared" ca="1" si="13"/>
        <v/>
      </c>
      <c r="F269" s="64" t="str">
        <f t="shared" ca="1" si="14"/>
        <v/>
      </c>
      <c r="G269" s="156"/>
      <c r="H269" s="157"/>
      <c r="I269" s="157"/>
      <c r="J269" s="122"/>
      <c r="K269" s="122"/>
      <c r="L269" s="158"/>
      <c r="M269" s="66" t="str">
        <f t="shared" ca="1" si="15"/>
        <v/>
      </c>
      <c r="N269" s="67" t="str">
        <f t="shared" ca="1" si="16"/>
        <v/>
      </c>
      <c r="O269" s="68" t="str">
        <f t="shared" ca="1" si="17"/>
        <v/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59" t="str">
        <f t="shared" ca="1" si="10"/>
        <v/>
      </c>
      <c r="B270" s="60" t="str">
        <f t="shared" ca="1" si="18"/>
        <v/>
      </c>
      <c r="C270" s="61" t="str">
        <f t="shared" ca="1" si="11"/>
        <v/>
      </c>
      <c r="D270" s="62" t="str">
        <f t="shared" ca="1" si="12"/>
        <v/>
      </c>
      <c r="E270" s="63" t="str">
        <f t="shared" ca="1" si="13"/>
        <v/>
      </c>
      <c r="F270" s="64" t="str">
        <f t="shared" ca="1" si="14"/>
        <v/>
      </c>
      <c r="G270" s="156"/>
      <c r="H270" s="157"/>
      <c r="I270" s="157"/>
      <c r="J270" s="122"/>
      <c r="K270" s="122"/>
      <c r="L270" s="158"/>
      <c r="M270" s="66" t="str">
        <f t="shared" ca="1" si="15"/>
        <v/>
      </c>
      <c r="N270" s="67" t="str">
        <f t="shared" ca="1" si="16"/>
        <v/>
      </c>
      <c r="O270" s="68" t="str">
        <f t="shared" ca="1" si="17"/>
        <v/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59" t="str">
        <f t="shared" ca="1" si="10"/>
        <v/>
      </c>
      <c r="B271" s="60" t="str">
        <f t="shared" ca="1" si="18"/>
        <v/>
      </c>
      <c r="C271" s="61" t="str">
        <f t="shared" ca="1" si="11"/>
        <v/>
      </c>
      <c r="D271" s="62" t="str">
        <f t="shared" ca="1" si="12"/>
        <v/>
      </c>
      <c r="E271" s="63" t="str">
        <f t="shared" ca="1" si="13"/>
        <v/>
      </c>
      <c r="F271" s="64" t="str">
        <f t="shared" ca="1" si="14"/>
        <v/>
      </c>
      <c r="G271" s="156"/>
      <c r="H271" s="157"/>
      <c r="I271" s="157"/>
      <c r="J271" s="122"/>
      <c r="K271" s="122"/>
      <c r="L271" s="158"/>
      <c r="M271" s="66" t="str">
        <f t="shared" ca="1" si="15"/>
        <v/>
      </c>
      <c r="N271" s="67" t="str">
        <f t="shared" ca="1" si="16"/>
        <v/>
      </c>
      <c r="O271" s="68" t="str">
        <f t="shared" ca="1" si="17"/>
        <v/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59" t="str">
        <f t="shared" ca="1" si="10"/>
        <v/>
      </c>
      <c r="B272" s="60" t="str">
        <f t="shared" ca="1" si="18"/>
        <v/>
      </c>
      <c r="C272" s="61" t="str">
        <f t="shared" ca="1" si="11"/>
        <v/>
      </c>
      <c r="D272" s="62" t="str">
        <f t="shared" ca="1" si="12"/>
        <v/>
      </c>
      <c r="E272" s="63" t="str">
        <f t="shared" ca="1" si="13"/>
        <v/>
      </c>
      <c r="F272" s="64" t="str">
        <f t="shared" ca="1" si="14"/>
        <v/>
      </c>
      <c r="G272" s="156"/>
      <c r="H272" s="157"/>
      <c r="I272" s="157"/>
      <c r="J272" s="122"/>
      <c r="K272" s="122"/>
      <c r="L272" s="158"/>
      <c r="M272" s="66" t="str">
        <f t="shared" ca="1" si="15"/>
        <v/>
      </c>
      <c r="N272" s="67" t="str">
        <f t="shared" ca="1" si="16"/>
        <v/>
      </c>
      <c r="O272" s="68" t="str">
        <f t="shared" ca="1" si="17"/>
        <v/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59" t="str">
        <f t="shared" ca="1" si="10"/>
        <v/>
      </c>
      <c r="B273" s="60" t="str">
        <f t="shared" ca="1" si="18"/>
        <v/>
      </c>
      <c r="C273" s="61" t="str">
        <f t="shared" ca="1" si="11"/>
        <v/>
      </c>
      <c r="D273" s="62" t="str">
        <f t="shared" ca="1" si="12"/>
        <v/>
      </c>
      <c r="E273" s="63" t="str">
        <f t="shared" ca="1" si="13"/>
        <v/>
      </c>
      <c r="F273" s="64" t="str">
        <f t="shared" ca="1" si="14"/>
        <v/>
      </c>
      <c r="G273" s="156"/>
      <c r="H273" s="157"/>
      <c r="I273" s="157"/>
      <c r="J273" s="122"/>
      <c r="K273" s="122"/>
      <c r="L273" s="158"/>
      <c r="M273" s="66" t="str">
        <f t="shared" ca="1" si="15"/>
        <v/>
      </c>
      <c r="N273" s="67" t="str">
        <f t="shared" ca="1" si="16"/>
        <v/>
      </c>
      <c r="O273" s="68" t="str">
        <f t="shared" ca="1" si="17"/>
        <v/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59" t="str">
        <f t="shared" ca="1" si="10"/>
        <v/>
      </c>
      <c r="B274" s="60" t="str">
        <f t="shared" ca="1" si="18"/>
        <v/>
      </c>
      <c r="C274" s="61" t="str">
        <f t="shared" ca="1" si="11"/>
        <v/>
      </c>
      <c r="D274" s="62" t="str">
        <f t="shared" ca="1" si="12"/>
        <v/>
      </c>
      <c r="E274" s="63" t="str">
        <f t="shared" ca="1" si="13"/>
        <v/>
      </c>
      <c r="F274" s="64" t="str">
        <f t="shared" ca="1" si="14"/>
        <v/>
      </c>
      <c r="G274" s="156"/>
      <c r="H274" s="157"/>
      <c r="I274" s="157"/>
      <c r="J274" s="122"/>
      <c r="K274" s="122"/>
      <c r="L274" s="158"/>
      <c r="M274" s="66" t="str">
        <f t="shared" ca="1" si="15"/>
        <v/>
      </c>
      <c r="N274" s="67" t="str">
        <f t="shared" ca="1" si="16"/>
        <v/>
      </c>
      <c r="O274" s="68" t="str">
        <f t="shared" ca="1" si="17"/>
        <v/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59" t="str">
        <f t="shared" ca="1" si="10"/>
        <v/>
      </c>
      <c r="B275" s="60" t="str">
        <f t="shared" ca="1" si="18"/>
        <v/>
      </c>
      <c r="C275" s="61" t="str">
        <f t="shared" ca="1" si="11"/>
        <v/>
      </c>
      <c r="D275" s="62" t="str">
        <f t="shared" ca="1" si="12"/>
        <v/>
      </c>
      <c r="E275" s="63" t="str">
        <f t="shared" ca="1" si="13"/>
        <v/>
      </c>
      <c r="F275" s="64" t="str">
        <f t="shared" ca="1" si="14"/>
        <v/>
      </c>
      <c r="G275" s="156"/>
      <c r="H275" s="157"/>
      <c r="I275" s="157"/>
      <c r="J275" s="122"/>
      <c r="K275" s="122"/>
      <c r="L275" s="158"/>
      <c r="M275" s="66" t="str">
        <f t="shared" ca="1" si="15"/>
        <v/>
      </c>
      <c r="N275" s="67" t="str">
        <f t="shared" ca="1" si="16"/>
        <v/>
      </c>
      <c r="O275" s="68" t="str">
        <f t="shared" ca="1" si="17"/>
        <v/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59" t="str">
        <f t="shared" ca="1" si="10"/>
        <v/>
      </c>
      <c r="B276" s="60" t="str">
        <f t="shared" ca="1" si="18"/>
        <v/>
      </c>
      <c r="C276" s="61" t="str">
        <f t="shared" ca="1" si="11"/>
        <v/>
      </c>
      <c r="D276" s="62" t="str">
        <f t="shared" ca="1" si="12"/>
        <v/>
      </c>
      <c r="E276" s="63" t="str">
        <f t="shared" ca="1" si="13"/>
        <v/>
      </c>
      <c r="F276" s="64" t="str">
        <f t="shared" ca="1" si="14"/>
        <v/>
      </c>
      <c r="G276" s="156"/>
      <c r="H276" s="157"/>
      <c r="I276" s="157"/>
      <c r="J276" s="122"/>
      <c r="K276" s="122"/>
      <c r="L276" s="158"/>
      <c r="M276" s="66" t="str">
        <f t="shared" ca="1" si="15"/>
        <v/>
      </c>
      <c r="N276" s="67" t="str">
        <f t="shared" ca="1" si="16"/>
        <v/>
      </c>
      <c r="O276" s="68" t="str">
        <f t="shared" ca="1" si="17"/>
        <v/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59" t="str">
        <f t="shared" ca="1" si="10"/>
        <v/>
      </c>
      <c r="B277" s="60" t="str">
        <f t="shared" ca="1" si="18"/>
        <v/>
      </c>
      <c r="C277" s="61" t="str">
        <f t="shared" ca="1" si="11"/>
        <v/>
      </c>
      <c r="D277" s="62" t="str">
        <f t="shared" ca="1" si="12"/>
        <v/>
      </c>
      <c r="E277" s="63" t="str">
        <f t="shared" ca="1" si="13"/>
        <v/>
      </c>
      <c r="F277" s="64" t="str">
        <f t="shared" ca="1" si="14"/>
        <v/>
      </c>
      <c r="G277" s="156"/>
      <c r="H277" s="157"/>
      <c r="I277" s="157"/>
      <c r="J277" s="122"/>
      <c r="K277" s="122"/>
      <c r="L277" s="158"/>
      <c r="M277" s="66" t="str">
        <f t="shared" ca="1" si="15"/>
        <v/>
      </c>
      <c r="N277" s="67" t="str">
        <f t="shared" ca="1" si="16"/>
        <v/>
      </c>
      <c r="O277" s="68" t="str">
        <f t="shared" ca="1" si="17"/>
        <v/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80" t="str">
        <f t="shared" ca="1" si="10"/>
        <v/>
      </c>
      <c r="B278" s="81" t="str">
        <f t="shared" ca="1" si="18"/>
        <v/>
      </c>
      <c r="C278" s="82" t="str">
        <f t="shared" ca="1" si="11"/>
        <v/>
      </c>
      <c r="D278" s="83" t="str">
        <f t="shared" ca="1" si="12"/>
        <v/>
      </c>
      <c r="E278" s="84" t="str">
        <f t="shared" ca="1" si="13"/>
        <v/>
      </c>
      <c r="F278" s="85" t="str">
        <f t="shared" ca="1" si="14"/>
        <v/>
      </c>
      <c r="G278" s="166"/>
      <c r="H278" s="167"/>
      <c r="I278" s="167"/>
      <c r="J278" s="150"/>
      <c r="K278" s="150"/>
      <c r="L278" s="168"/>
      <c r="M278" s="66" t="str">
        <f t="shared" ca="1" si="15"/>
        <v/>
      </c>
      <c r="N278" s="67" t="str">
        <f t="shared" ca="1" si="16"/>
        <v/>
      </c>
      <c r="O278" s="68" t="str">
        <f t="shared" ca="1" si="17"/>
        <v/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46" t="str">
        <f t="shared" ca="1" si="10"/>
        <v/>
      </c>
      <c r="B279" s="47" t="str">
        <f t="shared" ca="1" si="18"/>
        <v/>
      </c>
      <c r="C279" s="48" t="str">
        <f t="shared" ca="1" si="11"/>
        <v/>
      </c>
      <c r="D279" s="49" t="str">
        <f t="shared" ca="1" si="12"/>
        <v/>
      </c>
      <c r="E279" s="50" t="str">
        <f t="shared" ca="1" si="13"/>
        <v/>
      </c>
      <c r="F279" s="51" t="str">
        <f t="shared" ca="1" si="14"/>
        <v/>
      </c>
      <c r="G279" s="153"/>
      <c r="H279" s="154"/>
      <c r="I279" s="154"/>
      <c r="J279" s="169"/>
      <c r="K279" s="169"/>
      <c r="L279" s="155"/>
      <c r="M279" s="66" t="str">
        <f t="shared" ca="1" si="15"/>
        <v/>
      </c>
      <c r="N279" s="67" t="str">
        <f t="shared" ca="1" si="16"/>
        <v/>
      </c>
      <c r="O279" s="68" t="str">
        <f t="shared" ca="1" si="17"/>
        <v/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59" t="str">
        <f t="shared" ca="1" si="10"/>
        <v/>
      </c>
      <c r="B280" s="60" t="str">
        <f t="shared" ca="1" si="18"/>
        <v/>
      </c>
      <c r="C280" s="61" t="str">
        <f t="shared" ca="1" si="11"/>
        <v/>
      </c>
      <c r="D280" s="62" t="str">
        <f t="shared" ca="1" si="12"/>
        <v/>
      </c>
      <c r="E280" s="63" t="str">
        <f t="shared" ca="1" si="13"/>
        <v/>
      </c>
      <c r="F280" s="64" t="str">
        <f t="shared" ca="1" si="14"/>
        <v/>
      </c>
      <c r="G280" s="156"/>
      <c r="H280" s="157"/>
      <c r="I280" s="157"/>
      <c r="J280" s="122"/>
      <c r="K280" s="122"/>
      <c r="L280" s="158"/>
      <c r="M280" s="66" t="str">
        <f t="shared" ca="1" si="15"/>
        <v/>
      </c>
      <c r="N280" s="67" t="str">
        <f t="shared" ca="1" si="16"/>
        <v/>
      </c>
      <c r="O280" s="68" t="str">
        <f t="shared" ca="1" si="17"/>
        <v/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59" t="str">
        <f t="shared" ca="1" si="10"/>
        <v/>
      </c>
      <c r="B281" s="60" t="str">
        <f t="shared" ca="1" si="18"/>
        <v/>
      </c>
      <c r="C281" s="61" t="str">
        <f t="shared" ca="1" si="11"/>
        <v/>
      </c>
      <c r="D281" s="62" t="str">
        <f t="shared" ca="1" si="12"/>
        <v/>
      </c>
      <c r="E281" s="63" t="str">
        <f t="shared" ca="1" si="13"/>
        <v/>
      </c>
      <c r="F281" s="64" t="str">
        <f t="shared" ca="1" si="14"/>
        <v/>
      </c>
      <c r="G281" s="156"/>
      <c r="H281" s="157"/>
      <c r="I281" s="157"/>
      <c r="J281" s="122"/>
      <c r="K281" s="122"/>
      <c r="L281" s="158"/>
      <c r="M281" s="66" t="str">
        <f t="shared" ca="1" si="15"/>
        <v/>
      </c>
      <c r="N281" s="67" t="str">
        <f t="shared" ca="1" si="16"/>
        <v/>
      </c>
      <c r="O281" s="68" t="str">
        <f t="shared" ca="1" si="17"/>
        <v/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59" t="str">
        <f t="shared" ca="1" si="10"/>
        <v/>
      </c>
      <c r="B282" s="60" t="str">
        <f t="shared" ca="1" si="18"/>
        <v/>
      </c>
      <c r="C282" s="61" t="str">
        <f t="shared" ca="1" si="11"/>
        <v/>
      </c>
      <c r="D282" s="62" t="str">
        <f t="shared" ca="1" si="12"/>
        <v/>
      </c>
      <c r="E282" s="63" t="str">
        <f t="shared" ca="1" si="13"/>
        <v/>
      </c>
      <c r="F282" s="64" t="str">
        <f t="shared" ca="1" si="14"/>
        <v/>
      </c>
      <c r="G282" s="156"/>
      <c r="H282" s="157"/>
      <c r="I282" s="157"/>
      <c r="J282" s="122"/>
      <c r="K282" s="122"/>
      <c r="L282" s="158"/>
      <c r="M282" s="66" t="str">
        <f t="shared" ca="1" si="15"/>
        <v/>
      </c>
      <c r="N282" s="67" t="str">
        <f t="shared" ca="1" si="16"/>
        <v/>
      </c>
      <c r="O282" s="68" t="str">
        <f t="shared" ca="1" si="17"/>
        <v/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59" t="str">
        <f t="shared" ca="1" si="10"/>
        <v/>
      </c>
      <c r="B283" s="60" t="str">
        <f t="shared" ca="1" si="18"/>
        <v/>
      </c>
      <c r="C283" s="61" t="str">
        <f t="shared" ca="1" si="11"/>
        <v/>
      </c>
      <c r="D283" s="62" t="str">
        <f t="shared" ca="1" si="12"/>
        <v/>
      </c>
      <c r="E283" s="63" t="str">
        <f t="shared" ca="1" si="13"/>
        <v/>
      </c>
      <c r="F283" s="64" t="str">
        <f t="shared" ca="1" si="14"/>
        <v/>
      </c>
      <c r="G283" s="156"/>
      <c r="H283" s="157"/>
      <c r="I283" s="157"/>
      <c r="J283" s="122"/>
      <c r="K283" s="122"/>
      <c r="L283" s="158"/>
      <c r="M283" s="66" t="str">
        <f t="shared" ca="1" si="15"/>
        <v/>
      </c>
      <c r="N283" s="67" t="str">
        <f t="shared" ca="1" si="16"/>
        <v/>
      </c>
      <c r="O283" s="68" t="str">
        <f t="shared" ca="1" si="17"/>
        <v/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59" t="str">
        <f t="shared" ca="1" si="10"/>
        <v/>
      </c>
      <c r="B284" s="60" t="str">
        <f t="shared" ca="1" si="18"/>
        <v/>
      </c>
      <c r="C284" s="61" t="str">
        <f t="shared" ca="1" si="11"/>
        <v/>
      </c>
      <c r="D284" s="62" t="str">
        <f t="shared" ca="1" si="12"/>
        <v/>
      </c>
      <c r="E284" s="63" t="str">
        <f t="shared" ca="1" si="13"/>
        <v/>
      </c>
      <c r="F284" s="64" t="str">
        <f t="shared" ca="1" si="14"/>
        <v/>
      </c>
      <c r="G284" s="156"/>
      <c r="H284" s="157"/>
      <c r="I284" s="157"/>
      <c r="J284" s="122"/>
      <c r="K284" s="122"/>
      <c r="L284" s="158"/>
      <c r="M284" s="66" t="str">
        <f t="shared" ca="1" si="15"/>
        <v/>
      </c>
      <c r="N284" s="67" t="str">
        <f t="shared" ca="1" si="16"/>
        <v/>
      </c>
      <c r="O284" s="68" t="str">
        <f t="shared" ca="1" si="17"/>
        <v/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59" t="str">
        <f t="shared" ca="1" si="10"/>
        <v/>
      </c>
      <c r="B285" s="60" t="str">
        <f t="shared" ca="1" si="18"/>
        <v/>
      </c>
      <c r="C285" s="61" t="str">
        <f t="shared" ca="1" si="11"/>
        <v/>
      </c>
      <c r="D285" s="62" t="str">
        <f t="shared" ca="1" si="12"/>
        <v/>
      </c>
      <c r="E285" s="63" t="str">
        <f t="shared" ca="1" si="13"/>
        <v/>
      </c>
      <c r="F285" s="64" t="str">
        <f t="shared" ca="1" si="14"/>
        <v/>
      </c>
      <c r="G285" s="156"/>
      <c r="H285" s="157"/>
      <c r="I285" s="157"/>
      <c r="J285" s="122"/>
      <c r="K285" s="122"/>
      <c r="L285" s="158"/>
      <c r="M285" s="66" t="str">
        <f t="shared" ca="1" si="15"/>
        <v/>
      </c>
      <c r="N285" s="67" t="str">
        <f t="shared" ca="1" si="16"/>
        <v/>
      </c>
      <c r="O285" s="68" t="str">
        <f t="shared" ca="1" si="17"/>
        <v/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59" t="str">
        <f t="shared" ca="1" si="10"/>
        <v/>
      </c>
      <c r="B286" s="60" t="str">
        <f t="shared" ca="1" si="18"/>
        <v/>
      </c>
      <c r="C286" s="61" t="str">
        <f t="shared" ca="1" si="11"/>
        <v/>
      </c>
      <c r="D286" s="62" t="str">
        <f t="shared" ca="1" si="12"/>
        <v/>
      </c>
      <c r="E286" s="63" t="str">
        <f t="shared" ca="1" si="13"/>
        <v/>
      </c>
      <c r="F286" s="64" t="str">
        <f t="shared" ca="1" si="14"/>
        <v/>
      </c>
      <c r="G286" s="156"/>
      <c r="H286" s="157"/>
      <c r="I286" s="157"/>
      <c r="J286" s="122"/>
      <c r="K286" s="122"/>
      <c r="L286" s="158"/>
      <c r="M286" s="66" t="str">
        <f t="shared" ca="1" si="15"/>
        <v/>
      </c>
      <c r="N286" s="67" t="str">
        <f t="shared" ca="1" si="16"/>
        <v/>
      </c>
      <c r="O286" s="68" t="str">
        <f t="shared" ca="1" si="17"/>
        <v/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59" t="str">
        <f t="shared" ca="1" si="10"/>
        <v/>
      </c>
      <c r="B287" s="60" t="str">
        <f t="shared" ca="1" si="18"/>
        <v/>
      </c>
      <c r="C287" s="61" t="str">
        <f t="shared" ca="1" si="11"/>
        <v/>
      </c>
      <c r="D287" s="62" t="str">
        <f t="shared" ca="1" si="12"/>
        <v/>
      </c>
      <c r="E287" s="63" t="str">
        <f t="shared" ca="1" si="13"/>
        <v/>
      </c>
      <c r="F287" s="64" t="str">
        <f t="shared" ca="1" si="14"/>
        <v/>
      </c>
      <c r="G287" s="156"/>
      <c r="H287" s="157"/>
      <c r="I287" s="157"/>
      <c r="J287" s="122"/>
      <c r="K287" s="122"/>
      <c r="L287" s="158"/>
      <c r="M287" s="66" t="str">
        <f t="shared" ca="1" si="15"/>
        <v/>
      </c>
      <c r="N287" s="67" t="str">
        <f t="shared" ca="1" si="16"/>
        <v/>
      </c>
      <c r="O287" s="68" t="str">
        <f t="shared" ca="1" si="17"/>
        <v/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59" t="str">
        <f t="shared" ca="1" si="10"/>
        <v/>
      </c>
      <c r="B288" s="60" t="str">
        <f t="shared" ca="1" si="18"/>
        <v/>
      </c>
      <c r="C288" s="61" t="str">
        <f t="shared" ca="1" si="11"/>
        <v/>
      </c>
      <c r="D288" s="62" t="str">
        <f t="shared" ca="1" si="12"/>
        <v/>
      </c>
      <c r="E288" s="63" t="str">
        <f t="shared" ca="1" si="13"/>
        <v/>
      </c>
      <c r="F288" s="64" t="str">
        <f t="shared" ca="1" si="14"/>
        <v/>
      </c>
      <c r="G288" s="156"/>
      <c r="H288" s="157"/>
      <c r="I288" s="157"/>
      <c r="J288" s="122"/>
      <c r="K288" s="122"/>
      <c r="L288" s="158"/>
      <c r="M288" s="66" t="str">
        <f t="shared" ca="1" si="15"/>
        <v/>
      </c>
      <c r="N288" s="67" t="str">
        <f t="shared" ca="1" si="16"/>
        <v/>
      </c>
      <c r="O288" s="68" t="str">
        <f t="shared" ca="1" si="17"/>
        <v/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59" t="str">
        <f t="shared" ca="1" si="10"/>
        <v/>
      </c>
      <c r="B289" s="60" t="str">
        <f t="shared" ca="1" si="18"/>
        <v/>
      </c>
      <c r="C289" s="61" t="str">
        <f t="shared" ca="1" si="11"/>
        <v/>
      </c>
      <c r="D289" s="62" t="str">
        <f t="shared" ca="1" si="12"/>
        <v/>
      </c>
      <c r="E289" s="63" t="str">
        <f t="shared" ca="1" si="13"/>
        <v/>
      </c>
      <c r="F289" s="64" t="str">
        <f t="shared" ca="1" si="14"/>
        <v/>
      </c>
      <c r="G289" s="156"/>
      <c r="H289" s="157"/>
      <c r="I289" s="157"/>
      <c r="J289" s="122"/>
      <c r="K289" s="122"/>
      <c r="L289" s="158"/>
      <c r="M289" s="66" t="str">
        <f t="shared" ca="1" si="15"/>
        <v/>
      </c>
      <c r="N289" s="67" t="str">
        <f t="shared" ca="1" si="16"/>
        <v/>
      </c>
      <c r="O289" s="68" t="str">
        <f t="shared" ca="1" si="17"/>
        <v/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59" t="str">
        <f t="shared" ca="1" si="10"/>
        <v/>
      </c>
      <c r="B290" s="60" t="str">
        <f t="shared" ca="1" si="18"/>
        <v/>
      </c>
      <c r="C290" s="61" t="str">
        <f t="shared" ca="1" si="11"/>
        <v/>
      </c>
      <c r="D290" s="62" t="str">
        <f t="shared" ca="1" si="12"/>
        <v/>
      </c>
      <c r="E290" s="63" t="str">
        <f t="shared" ca="1" si="13"/>
        <v/>
      </c>
      <c r="F290" s="64" t="str">
        <f t="shared" ca="1" si="14"/>
        <v/>
      </c>
      <c r="G290" s="156"/>
      <c r="H290" s="157"/>
      <c r="I290" s="157"/>
      <c r="J290" s="122"/>
      <c r="K290" s="122"/>
      <c r="L290" s="158"/>
      <c r="M290" s="66" t="str">
        <f t="shared" ca="1" si="15"/>
        <v/>
      </c>
      <c r="N290" s="67" t="str">
        <f t="shared" ca="1" si="16"/>
        <v/>
      </c>
      <c r="O290" s="68" t="str">
        <f t="shared" ca="1" si="17"/>
        <v/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59" t="str">
        <f t="shared" ca="1" si="10"/>
        <v/>
      </c>
      <c r="B291" s="60" t="str">
        <f t="shared" ca="1" si="18"/>
        <v/>
      </c>
      <c r="C291" s="61" t="str">
        <f t="shared" ca="1" si="11"/>
        <v/>
      </c>
      <c r="D291" s="62" t="str">
        <f t="shared" ca="1" si="12"/>
        <v/>
      </c>
      <c r="E291" s="63" t="str">
        <f t="shared" ca="1" si="13"/>
        <v/>
      </c>
      <c r="F291" s="64" t="str">
        <f t="shared" ca="1" si="14"/>
        <v/>
      </c>
      <c r="G291" s="156"/>
      <c r="H291" s="157"/>
      <c r="I291" s="157"/>
      <c r="J291" s="122"/>
      <c r="K291" s="122"/>
      <c r="L291" s="158"/>
      <c r="M291" s="66" t="str">
        <f t="shared" ca="1" si="15"/>
        <v/>
      </c>
      <c r="N291" s="67" t="str">
        <f t="shared" ca="1" si="16"/>
        <v/>
      </c>
      <c r="O291" s="68" t="str">
        <f t="shared" ca="1" si="17"/>
        <v/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59" t="str">
        <f t="shared" ca="1" si="10"/>
        <v/>
      </c>
      <c r="B292" s="60" t="str">
        <f t="shared" ca="1" si="18"/>
        <v/>
      </c>
      <c r="C292" s="61" t="str">
        <f t="shared" ca="1" si="11"/>
        <v/>
      </c>
      <c r="D292" s="62" t="str">
        <f t="shared" ca="1" si="12"/>
        <v/>
      </c>
      <c r="E292" s="63" t="str">
        <f t="shared" ca="1" si="13"/>
        <v/>
      </c>
      <c r="F292" s="64" t="str">
        <f t="shared" ca="1" si="14"/>
        <v/>
      </c>
      <c r="G292" s="156"/>
      <c r="H292" s="157"/>
      <c r="I292" s="157"/>
      <c r="J292" s="122"/>
      <c r="K292" s="122"/>
      <c r="L292" s="158"/>
      <c r="M292" s="66" t="str">
        <f t="shared" ca="1" si="15"/>
        <v/>
      </c>
      <c r="N292" s="67" t="str">
        <f t="shared" ca="1" si="16"/>
        <v/>
      </c>
      <c r="O292" s="68" t="str">
        <f t="shared" ca="1" si="17"/>
        <v/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59" t="str">
        <f t="shared" ca="1" si="10"/>
        <v/>
      </c>
      <c r="B293" s="60" t="str">
        <f t="shared" ca="1" si="18"/>
        <v/>
      </c>
      <c r="C293" s="61" t="str">
        <f t="shared" ca="1" si="11"/>
        <v/>
      </c>
      <c r="D293" s="62" t="str">
        <f t="shared" ca="1" si="12"/>
        <v/>
      </c>
      <c r="E293" s="63" t="str">
        <f t="shared" ca="1" si="13"/>
        <v/>
      </c>
      <c r="F293" s="64" t="str">
        <f t="shared" ca="1" si="14"/>
        <v/>
      </c>
      <c r="G293" s="156"/>
      <c r="H293" s="157"/>
      <c r="I293" s="157"/>
      <c r="J293" s="122"/>
      <c r="K293" s="122"/>
      <c r="L293" s="158"/>
      <c r="M293" s="66" t="str">
        <f t="shared" ca="1" si="15"/>
        <v/>
      </c>
      <c r="N293" s="67" t="str">
        <f t="shared" ca="1" si="16"/>
        <v/>
      </c>
      <c r="O293" s="68" t="str">
        <f t="shared" ca="1" si="17"/>
        <v/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100" t="str">
        <f t="shared" ca="1" si="10"/>
        <v/>
      </c>
      <c r="B294" s="101" t="str">
        <f t="shared" ca="1" si="18"/>
        <v/>
      </c>
      <c r="C294" s="102" t="str">
        <f t="shared" ca="1" si="11"/>
        <v/>
      </c>
      <c r="D294" s="103" t="str">
        <f t="shared" ca="1" si="12"/>
        <v/>
      </c>
      <c r="E294" s="104" t="str">
        <f t="shared" ca="1" si="13"/>
        <v/>
      </c>
      <c r="F294" s="105" t="str">
        <f t="shared" ca="1" si="14"/>
        <v/>
      </c>
      <c r="G294" s="159"/>
      <c r="H294" s="160"/>
      <c r="I294" s="160"/>
      <c r="J294" s="161"/>
      <c r="K294" s="161"/>
      <c r="L294" s="162"/>
      <c r="M294" s="170" t="str">
        <f t="shared" ca="1" si="15"/>
        <v/>
      </c>
      <c r="N294" s="171" t="str">
        <f t="shared" ca="1" si="16"/>
        <v/>
      </c>
      <c r="O294" s="172" t="str">
        <f t="shared" ca="1" si="17"/>
        <v/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175"/>
      <c r="K400" s="175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175"/>
      <c r="K401" s="175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175"/>
      <c r="K402" s="175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175"/>
      <c r="K403" s="175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175"/>
      <c r="K404" s="175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175"/>
      <c r="K405" s="175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175"/>
      <c r="K406" s="175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175"/>
      <c r="K407" s="175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175"/>
      <c r="K408" s="175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175"/>
      <c r="K409" s="175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175"/>
      <c r="K410" s="175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175"/>
      <c r="K411" s="175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175"/>
      <c r="K412" s="175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175"/>
      <c r="K413" s="175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175"/>
      <c r="K414" s="175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175"/>
      <c r="K415" s="175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175"/>
      <c r="K416" s="175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175"/>
      <c r="K417" s="175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175"/>
      <c r="K418" s="175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175"/>
      <c r="K419" s="175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175"/>
      <c r="K420" s="175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175"/>
      <c r="K421" s="175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174"/>
      <c r="H422" s="174"/>
      <c r="I422" s="174"/>
      <c r="J422" s="175"/>
      <c r="K422" s="175"/>
      <c r="L422" s="174"/>
      <c r="M422" s="174"/>
      <c r="N422" s="174"/>
      <c r="O422" s="174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174"/>
      <c r="H423" s="174"/>
      <c r="I423" s="174"/>
      <c r="J423" s="175"/>
      <c r="K423" s="175"/>
      <c r="L423" s="174"/>
      <c r="M423" s="174"/>
      <c r="N423" s="174"/>
      <c r="O423" s="174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174"/>
      <c r="H424" s="174"/>
      <c r="I424" s="174"/>
      <c r="J424" s="175"/>
      <c r="K424" s="175"/>
      <c r="L424" s="174"/>
      <c r="M424" s="174"/>
      <c r="N424" s="174"/>
      <c r="O424" s="174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174"/>
      <c r="H425" s="174"/>
      <c r="I425" s="174"/>
      <c r="J425" s="175"/>
      <c r="K425" s="175"/>
      <c r="L425" s="174"/>
      <c r="M425" s="174"/>
      <c r="N425" s="174"/>
      <c r="O425" s="174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174"/>
      <c r="H426" s="174"/>
      <c r="I426" s="174"/>
      <c r="J426" s="175"/>
      <c r="K426" s="175"/>
      <c r="L426" s="174"/>
      <c r="M426" s="174"/>
      <c r="N426" s="174"/>
      <c r="O426" s="174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174"/>
      <c r="H427" s="174"/>
      <c r="I427" s="174"/>
      <c r="J427" s="175"/>
      <c r="K427" s="175"/>
      <c r="L427" s="174"/>
      <c r="M427" s="174"/>
      <c r="N427" s="174"/>
      <c r="O427" s="174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174"/>
      <c r="H428" s="174"/>
      <c r="I428" s="174"/>
      <c r="J428" s="175"/>
      <c r="K428" s="175"/>
      <c r="L428" s="174"/>
      <c r="M428" s="174"/>
      <c r="N428" s="174"/>
      <c r="O428" s="174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174"/>
      <c r="H429" s="174"/>
      <c r="I429" s="174"/>
      <c r="J429" s="175"/>
      <c r="K429" s="175"/>
      <c r="L429" s="174"/>
      <c r="M429" s="174"/>
      <c r="N429" s="174"/>
      <c r="O429" s="174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174"/>
      <c r="H430" s="174"/>
      <c r="I430" s="174"/>
      <c r="J430" s="175"/>
      <c r="K430" s="175"/>
      <c r="L430" s="174"/>
      <c r="M430" s="174"/>
      <c r="N430" s="174"/>
      <c r="O430" s="174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174"/>
      <c r="H431" s="174"/>
      <c r="I431" s="174"/>
      <c r="J431" s="175"/>
      <c r="K431" s="175"/>
      <c r="L431" s="174"/>
      <c r="M431" s="174"/>
      <c r="N431" s="174"/>
      <c r="O431" s="174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174"/>
      <c r="H432" s="174"/>
      <c r="I432" s="174"/>
      <c r="J432" s="37"/>
      <c r="K432" s="37"/>
      <c r="L432" s="174"/>
      <c r="M432" s="174"/>
      <c r="N432" s="174"/>
      <c r="O432" s="174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174"/>
      <c r="H433" s="174"/>
      <c r="I433" s="174"/>
      <c r="J433" s="37"/>
      <c r="K433" s="37"/>
      <c r="L433" s="174"/>
      <c r="M433" s="174"/>
      <c r="N433" s="174"/>
      <c r="O433" s="174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174"/>
      <c r="H434" s="174"/>
      <c r="I434" s="174"/>
      <c r="J434" s="37"/>
      <c r="K434" s="37"/>
      <c r="L434" s="174"/>
      <c r="M434" s="174"/>
      <c r="N434" s="174"/>
      <c r="O434" s="174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174"/>
      <c r="H435" s="174"/>
      <c r="I435" s="174"/>
      <c r="J435" s="37"/>
      <c r="K435" s="37"/>
      <c r="L435" s="174"/>
      <c r="M435" s="174"/>
      <c r="N435" s="174"/>
      <c r="O435" s="174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174"/>
      <c r="H436" s="174"/>
      <c r="I436" s="174"/>
      <c r="J436" s="37"/>
      <c r="K436" s="37"/>
      <c r="L436" s="174"/>
      <c r="M436" s="174"/>
      <c r="N436" s="174"/>
      <c r="O436" s="174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174"/>
      <c r="H437" s="174"/>
      <c r="I437" s="174"/>
      <c r="J437" s="37"/>
      <c r="K437" s="37"/>
      <c r="L437" s="174"/>
      <c r="M437" s="174"/>
      <c r="N437" s="174"/>
      <c r="O437" s="174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 ht="15.75" customHeight="1">
      <c r="A955" s="37"/>
      <c r="B955" s="37"/>
      <c r="C955" s="37"/>
      <c r="D955" s="37"/>
      <c r="E955" s="173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 ht="15.75" customHeight="1">
      <c r="A956" s="37"/>
      <c r="B956" s="37"/>
      <c r="C956" s="37"/>
      <c r="D956" s="37"/>
      <c r="E956" s="173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 ht="15.75" customHeight="1">
      <c r="A957" s="37"/>
      <c r="B957" s="37"/>
      <c r="C957" s="37"/>
      <c r="D957" s="37"/>
      <c r="E957" s="173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 ht="15.75" customHeight="1">
      <c r="A958" s="37"/>
      <c r="B958" s="37"/>
      <c r="C958" s="37"/>
      <c r="D958" s="37"/>
      <c r="E958" s="173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 ht="15.75" customHeight="1">
      <c r="A959" s="37"/>
      <c r="B959" s="37"/>
      <c r="C959" s="37"/>
      <c r="D959" s="37"/>
      <c r="E959" s="173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 ht="15.75" customHeight="1">
      <c r="A960" s="37"/>
      <c r="B960" s="37"/>
      <c r="C960" s="37"/>
      <c r="D960" s="37"/>
      <c r="E960" s="173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 ht="15.75" customHeight="1">
      <c r="A961" s="37"/>
      <c r="B961" s="37"/>
      <c r="C961" s="37"/>
      <c r="D961" s="37"/>
      <c r="E961" s="173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 ht="15.75" customHeight="1">
      <c r="A962" s="37"/>
      <c r="B962" s="37"/>
      <c r="C962" s="37"/>
      <c r="D962" s="37"/>
      <c r="E962" s="173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 ht="15.75" customHeight="1">
      <c r="A963" s="37"/>
      <c r="B963" s="37"/>
      <c r="C963" s="37"/>
      <c r="D963" s="37"/>
      <c r="E963" s="173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 ht="15.75" customHeight="1">
      <c r="A964" s="37"/>
      <c r="B964" s="37"/>
      <c r="C964" s="37"/>
      <c r="D964" s="37"/>
      <c r="E964" s="173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 ht="15.75" customHeight="1">
      <c r="A965" s="37"/>
      <c r="B965" s="37"/>
      <c r="C965" s="37"/>
      <c r="D965" s="37"/>
      <c r="E965" s="173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 ht="15.75" customHeight="1">
      <c r="A966" s="37"/>
      <c r="B966" s="37"/>
      <c r="C966" s="37"/>
      <c r="D966" s="37"/>
      <c r="E966" s="173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 ht="15.75" customHeight="1">
      <c r="A967" s="37"/>
      <c r="B967" s="37"/>
      <c r="C967" s="37"/>
      <c r="D967" s="37"/>
      <c r="E967" s="173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 ht="15.75" customHeight="1">
      <c r="A968" s="37"/>
      <c r="B968" s="37"/>
      <c r="C968" s="37"/>
      <c r="D968" s="37"/>
      <c r="E968" s="173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 ht="15.75" customHeight="1">
      <c r="A969" s="37"/>
      <c r="B969" s="37"/>
      <c r="C969" s="37"/>
      <c r="D969" s="37"/>
      <c r="E969" s="173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 ht="15.75" customHeight="1">
      <c r="A970" s="37"/>
      <c r="B970" s="37"/>
      <c r="C970" s="37"/>
      <c r="D970" s="37"/>
      <c r="E970" s="173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94">
    <cfRule type="expression" dxfId="29" priority="1">
      <formula>ISEVEN(QUOTIENT(ROW()-ROW($A$7),16))</formula>
    </cfRule>
  </conditionalFormatting>
  <conditionalFormatting sqref="A7:O294">
    <cfRule type="expression" dxfId="28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970"/>
  <sheetViews>
    <sheetView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1.710937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15.7109375" customWidth="1"/>
    <col min="13" max="13" width="7.42578125" customWidth="1"/>
    <col min="14" max="14" width="9.7109375" customWidth="1"/>
    <col min="15" max="15" width="16.710937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70" t="s">
        <v>369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180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0.21666666666666667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71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176" t="s">
        <v>280</v>
      </c>
      <c r="K6" s="177" t="s">
        <v>281</v>
      </c>
      <c r="L6" s="559"/>
      <c r="M6" s="45">
        <f t="shared" ref="M6:N6" ca="1" si="0">SUM(M7:M470)</f>
        <v>180</v>
      </c>
      <c r="N6" s="45">
        <f t="shared" ca="1" si="0"/>
        <v>180</v>
      </c>
      <c r="O6" s="45">
        <f ca="1">SUM(O7:O999)</f>
        <v>39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(38+QUOTIENT(ROW()-ROW($A$7),16)))="","",ROW()-ROW($A$7)+1)</f>
        <v>1</v>
      </c>
      <c r="B7" s="47" t="str">
        <f ca="1">IF(A7="","","Tổ Hạ tầng " &amp; 'Báo cáo'!B4)</f>
        <v>Tổ Hạ tầng Gò Dầu</v>
      </c>
      <c r="C7" s="178" t="str">
        <f t="shared" ref="C7:C261" ca="1" si="2">IF(A7="","",INDIRECT("'DS nhân viên Speedtest'!B"&amp; (38+QUOTIENT(A7-1,16))))</f>
        <v>Nguyễn Hiếu Khương</v>
      </c>
      <c r="D7" s="49">
        <f t="shared" ref="D7:D261" ca="1" si="3">IF(A7="","",INDIRECT("'DS nhân viên Speedtest'!C"&amp; (38+QUOTIENT(A7-1,16))))</f>
        <v>942900404</v>
      </c>
      <c r="E7" s="50" t="str">
        <f t="shared" ref="E7:E261" ca="1" si="4">IF(A7="","",INDIRECT("'DS nhân viên Speedtest'!D"&amp; (38+QUOTIENT(A7-1,16))))</f>
        <v>khuongnh.tnh@vnpt.vn</v>
      </c>
      <c r="F7" s="51" t="str">
        <f t="shared" ref="F7:F261" ca="1" si="5">IF(A7="","","Lần "&amp;(MOD(ROW()-ROW($A$7),16)+1))</f>
        <v>Lần 1</v>
      </c>
      <c r="G7" s="97">
        <v>46206</v>
      </c>
      <c r="H7" s="179">
        <v>167</v>
      </c>
      <c r="I7" s="179">
        <v>59</v>
      </c>
      <c r="J7" s="179">
        <v>159</v>
      </c>
      <c r="K7" s="179">
        <v>63</v>
      </c>
      <c r="L7" s="180"/>
      <c r="M7" s="181">
        <f t="shared" ref="M7:M261" ca="1" si="6">IF(B7="","",IF(OR(G7="",H7="",I7=""),0,1))</f>
        <v>1</v>
      </c>
      <c r="N7" s="57">
        <f t="shared" ref="N7:N261" ca="1" si="7">IF(B7="","",IF(OR(G7="",J7="",K7=""),0,1))</f>
        <v>1</v>
      </c>
      <c r="O7" s="58">
        <f t="shared" ref="O7:O261" ca="1" si="8">IF(B7="","",IF((J7-0)&gt;200,1,0))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Gò Dầu</v>
      </c>
      <c r="C8" s="61" t="str">
        <f t="shared" ca="1" si="2"/>
        <v>Nguyễn Hiếu Khương</v>
      </c>
      <c r="D8" s="183">
        <f t="shared" ca="1" si="3"/>
        <v>942900404</v>
      </c>
      <c r="E8" s="63" t="str">
        <f t="shared" ca="1" si="4"/>
        <v>khuongnh.tnh@vnpt.vn</v>
      </c>
      <c r="F8" s="64" t="str">
        <f t="shared" ca="1" si="5"/>
        <v>Lần 2</v>
      </c>
      <c r="G8" s="97">
        <v>46206</v>
      </c>
      <c r="H8" s="121">
        <v>77</v>
      </c>
      <c r="I8" s="121">
        <v>61</v>
      </c>
      <c r="J8" s="121">
        <v>256</v>
      </c>
      <c r="K8" s="121">
        <v>61</v>
      </c>
      <c r="L8" s="91"/>
      <c r="M8" s="184">
        <f t="shared" ca="1" si="6"/>
        <v>1</v>
      </c>
      <c r="N8" s="67">
        <f t="shared" ca="1" si="7"/>
        <v>1</v>
      </c>
      <c r="O8" s="68">
        <f t="shared" ca="1" si="8"/>
        <v>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182" t="str">
        <f t="shared" ca="1" si="9"/>
        <v>Tổ Hạ tầng Gò Dầu</v>
      </c>
      <c r="C9" s="61" t="str">
        <f t="shared" ca="1" si="2"/>
        <v>Nguyễn Hiếu Khương</v>
      </c>
      <c r="D9" s="183">
        <f t="shared" ca="1" si="3"/>
        <v>942900404</v>
      </c>
      <c r="E9" s="63" t="str">
        <f t="shared" ca="1" si="4"/>
        <v>khuongnh.tnh@vnpt.vn</v>
      </c>
      <c r="F9" s="64" t="str">
        <f t="shared" ca="1" si="5"/>
        <v>Lần 3</v>
      </c>
      <c r="G9" s="97">
        <v>46206</v>
      </c>
      <c r="H9" s="121">
        <v>197</v>
      </c>
      <c r="I9" s="121">
        <v>63</v>
      </c>
      <c r="J9" s="121">
        <v>255</v>
      </c>
      <c r="K9" s="121">
        <v>64</v>
      </c>
      <c r="L9" s="91"/>
      <c r="M9" s="184">
        <f t="shared" ca="1" si="6"/>
        <v>1</v>
      </c>
      <c r="N9" s="67">
        <f t="shared" ca="1" si="7"/>
        <v>1</v>
      </c>
      <c r="O9" s="68">
        <f t="shared" ca="1" si="8"/>
        <v>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182" t="str">
        <f t="shared" ca="1" si="9"/>
        <v>Tổ Hạ tầng Gò Dầu</v>
      </c>
      <c r="C10" s="61" t="str">
        <f t="shared" ca="1" si="2"/>
        <v>Nguyễn Hiếu Khương</v>
      </c>
      <c r="D10" s="183">
        <f t="shared" ca="1" si="3"/>
        <v>942900404</v>
      </c>
      <c r="E10" s="63" t="str">
        <f t="shared" ca="1" si="4"/>
        <v>khuongnh.tnh@vnpt.vn</v>
      </c>
      <c r="F10" s="64" t="str">
        <f t="shared" ca="1" si="5"/>
        <v>Lần 4</v>
      </c>
      <c r="G10" s="97">
        <v>46206</v>
      </c>
      <c r="H10" s="121">
        <v>116</v>
      </c>
      <c r="I10" s="121">
        <v>57</v>
      </c>
      <c r="J10" s="121">
        <v>243</v>
      </c>
      <c r="K10" s="121">
        <v>61</v>
      </c>
      <c r="L10" s="91"/>
      <c r="M10" s="184">
        <f t="shared" ca="1" si="6"/>
        <v>1</v>
      </c>
      <c r="N10" s="67">
        <f t="shared" ca="1" si="7"/>
        <v>1</v>
      </c>
      <c r="O10" s="68">
        <f t="shared" ca="1" si="8"/>
        <v>1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182" t="str">
        <f t="shared" ca="1" si="9"/>
        <v>Tổ Hạ tầng Gò Dầu</v>
      </c>
      <c r="C11" s="61" t="str">
        <f t="shared" ca="1" si="2"/>
        <v>Nguyễn Hiếu Khương</v>
      </c>
      <c r="D11" s="183">
        <f t="shared" ca="1" si="3"/>
        <v>942900404</v>
      </c>
      <c r="E11" s="63" t="str">
        <f t="shared" ca="1" si="4"/>
        <v>khuongnh.tnh@vnpt.vn</v>
      </c>
      <c r="F11" s="64" t="str">
        <f t="shared" ca="1" si="5"/>
        <v>Lần 5</v>
      </c>
      <c r="G11" s="97">
        <v>46211</v>
      </c>
      <c r="H11" s="121">
        <v>121</v>
      </c>
      <c r="I11" s="121">
        <v>60</v>
      </c>
      <c r="J11" s="121">
        <v>154</v>
      </c>
      <c r="K11" s="121">
        <v>63</v>
      </c>
      <c r="L11" s="91"/>
      <c r="M11" s="184">
        <f t="shared" ca="1" si="6"/>
        <v>1</v>
      </c>
      <c r="N11" s="67">
        <f t="shared" ca="1" si="7"/>
        <v>1</v>
      </c>
      <c r="O11" s="68">
        <f t="shared" ca="1" si="8"/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182" t="str">
        <f t="shared" ca="1" si="9"/>
        <v>Tổ Hạ tầng Gò Dầu</v>
      </c>
      <c r="C12" s="61" t="str">
        <f t="shared" ca="1" si="2"/>
        <v>Nguyễn Hiếu Khương</v>
      </c>
      <c r="D12" s="183">
        <f t="shared" ca="1" si="3"/>
        <v>942900404</v>
      </c>
      <c r="E12" s="63" t="str">
        <f t="shared" ca="1" si="4"/>
        <v>khuongnh.tnh@vnpt.vn</v>
      </c>
      <c r="F12" s="64" t="str">
        <f t="shared" ca="1" si="5"/>
        <v>Lần 6</v>
      </c>
      <c r="G12" s="97">
        <v>46211</v>
      </c>
      <c r="H12" s="122">
        <v>75</v>
      </c>
      <c r="I12" s="122">
        <v>61</v>
      </c>
      <c r="J12" s="121">
        <v>187</v>
      </c>
      <c r="K12" s="121">
        <v>54</v>
      </c>
      <c r="L12" s="91"/>
      <c r="M12" s="184">
        <f t="shared" ca="1" si="6"/>
        <v>1</v>
      </c>
      <c r="N12" s="67">
        <f t="shared" ca="1" si="7"/>
        <v>1</v>
      </c>
      <c r="O12" s="68">
        <f t="shared" ca="1" si="8"/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182" t="str">
        <f t="shared" ca="1" si="9"/>
        <v>Tổ Hạ tầng Gò Dầu</v>
      </c>
      <c r="C13" s="61" t="str">
        <f t="shared" ca="1" si="2"/>
        <v>Nguyễn Hiếu Khương</v>
      </c>
      <c r="D13" s="183">
        <f t="shared" ca="1" si="3"/>
        <v>942900404</v>
      </c>
      <c r="E13" s="63" t="str">
        <f t="shared" ca="1" si="4"/>
        <v>khuongnh.tnh@vnpt.vn</v>
      </c>
      <c r="F13" s="64" t="str">
        <f t="shared" ca="1" si="5"/>
        <v>Lần 7</v>
      </c>
      <c r="G13" s="97">
        <v>46211</v>
      </c>
      <c r="H13" s="122">
        <v>170</v>
      </c>
      <c r="I13" s="122">
        <v>60</v>
      </c>
      <c r="J13" s="121">
        <v>265</v>
      </c>
      <c r="K13" s="121">
        <v>50</v>
      </c>
      <c r="L13" s="91"/>
      <c r="M13" s="184">
        <f t="shared" ca="1" si="6"/>
        <v>1</v>
      </c>
      <c r="N13" s="67">
        <f t="shared" ca="1" si="7"/>
        <v>1</v>
      </c>
      <c r="O13" s="68">
        <f t="shared" ca="1" si="8"/>
        <v>1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182" t="str">
        <f t="shared" ca="1" si="9"/>
        <v>Tổ Hạ tầng Gò Dầu</v>
      </c>
      <c r="C14" s="61" t="str">
        <f t="shared" ca="1" si="2"/>
        <v>Nguyễn Hiếu Khương</v>
      </c>
      <c r="D14" s="183">
        <f t="shared" ca="1" si="3"/>
        <v>942900404</v>
      </c>
      <c r="E14" s="63" t="str">
        <f t="shared" ca="1" si="4"/>
        <v>khuongnh.tnh@vnpt.vn</v>
      </c>
      <c r="F14" s="64" t="str">
        <f t="shared" ca="1" si="5"/>
        <v>Lần 8</v>
      </c>
      <c r="G14" s="97">
        <v>46211</v>
      </c>
      <c r="H14" s="122">
        <v>181</v>
      </c>
      <c r="I14" s="122">
        <v>61</v>
      </c>
      <c r="J14" s="121">
        <v>193</v>
      </c>
      <c r="K14" s="121">
        <v>56</v>
      </c>
      <c r="L14" s="91"/>
      <c r="M14" s="184">
        <f t="shared" ca="1" si="6"/>
        <v>1</v>
      </c>
      <c r="N14" s="67">
        <f t="shared" ca="1" si="7"/>
        <v>1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182" t="str">
        <f t="shared" ca="1" si="9"/>
        <v>Tổ Hạ tầng Gò Dầu</v>
      </c>
      <c r="C15" s="61" t="str">
        <f t="shared" ca="1" si="2"/>
        <v>Nguyễn Hiếu Khương</v>
      </c>
      <c r="D15" s="183">
        <f t="shared" ca="1" si="3"/>
        <v>942900404</v>
      </c>
      <c r="E15" s="63" t="str">
        <f t="shared" ca="1" si="4"/>
        <v>khuongnh.tnh@vnpt.vn</v>
      </c>
      <c r="F15" s="64" t="str">
        <f t="shared" ca="1" si="5"/>
        <v>Lần 9</v>
      </c>
      <c r="G15" s="97">
        <v>46217</v>
      </c>
      <c r="H15" s="122">
        <v>140</v>
      </c>
      <c r="I15" s="122">
        <v>59</v>
      </c>
      <c r="J15" s="121">
        <v>206</v>
      </c>
      <c r="K15" s="121">
        <v>38</v>
      </c>
      <c r="L15" s="91"/>
      <c r="M15" s="184">
        <f t="shared" ca="1" si="6"/>
        <v>1</v>
      </c>
      <c r="N15" s="67">
        <f t="shared" ca="1" si="7"/>
        <v>1</v>
      </c>
      <c r="O15" s="68">
        <f t="shared" ca="1" si="8"/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182" t="str">
        <f t="shared" ca="1" si="9"/>
        <v>Tổ Hạ tầng Gò Dầu</v>
      </c>
      <c r="C16" s="61" t="str">
        <f t="shared" ca="1" si="2"/>
        <v>Nguyễn Hiếu Khương</v>
      </c>
      <c r="D16" s="183">
        <f t="shared" ca="1" si="3"/>
        <v>942900404</v>
      </c>
      <c r="E16" s="63" t="str">
        <f t="shared" ca="1" si="4"/>
        <v>khuongnh.tnh@vnpt.vn</v>
      </c>
      <c r="F16" s="64" t="str">
        <f t="shared" ca="1" si="5"/>
        <v>Lần 10</v>
      </c>
      <c r="G16" s="97">
        <v>46217</v>
      </c>
      <c r="H16" s="122">
        <v>167</v>
      </c>
      <c r="I16" s="122">
        <v>61</v>
      </c>
      <c r="J16" s="121">
        <v>193</v>
      </c>
      <c r="K16" s="121">
        <v>43</v>
      </c>
      <c r="L16" s="91"/>
      <c r="M16" s="184">
        <f t="shared" ca="1" si="6"/>
        <v>1</v>
      </c>
      <c r="N16" s="67">
        <f t="shared" ca="1" si="7"/>
        <v>1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182" t="str">
        <f t="shared" ca="1" si="9"/>
        <v>Tổ Hạ tầng Gò Dầu</v>
      </c>
      <c r="C17" s="61" t="str">
        <f t="shared" ca="1" si="2"/>
        <v>Nguyễn Hiếu Khương</v>
      </c>
      <c r="D17" s="183">
        <f t="shared" ca="1" si="3"/>
        <v>942900404</v>
      </c>
      <c r="E17" s="63" t="str">
        <f t="shared" ca="1" si="4"/>
        <v>khuongnh.tnh@vnpt.vn</v>
      </c>
      <c r="F17" s="64" t="str">
        <f t="shared" ca="1" si="5"/>
        <v>Lần 11</v>
      </c>
      <c r="G17" s="97">
        <v>46217</v>
      </c>
      <c r="H17" s="122">
        <v>163</v>
      </c>
      <c r="I17" s="122">
        <v>59</v>
      </c>
      <c r="J17" s="121">
        <v>154</v>
      </c>
      <c r="K17" s="121">
        <v>63</v>
      </c>
      <c r="L17" s="91"/>
      <c r="M17" s="184">
        <f t="shared" ca="1" si="6"/>
        <v>1</v>
      </c>
      <c r="N17" s="67">
        <f t="shared" ca="1" si="7"/>
        <v>1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182" t="str">
        <f t="shared" ca="1" si="9"/>
        <v>Tổ Hạ tầng Gò Dầu</v>
      </c>
      <c r="C18" s="61" t="str">
        <f t="shared" ca="1" si="2"/>
        <v>Nguyễn Hiếu Khương</v>
      </c>
      <c r="D18" s="183">
        <f t="shared" ca="1" si="3"/>
        <v>942900404</v>
      </c>
      <c r="E18" s="63" t="str">
        <f t="shared" ca="1" si="4"/>
        <v>khuongnh.tnh@vnpt.vn</v>
      </c>
      <c r="F18" s="64" t="str">
        <f t="shared" ca="1" si="5"/>
        <v>Lần 12</v>
      </c>
      <c r="G18" s="97">
        <v>46217</v>
      </c>
      <c r="H18" s="122">
        <v>169</v>
      </c>
      <c r="I18" s="122">
        <v>57</v>
      </c>
      <c r="J18" s="121">
        <v>187</v>
      </c>
      <c r="K18" s="121">
        <v>54</v>
      </c>
      <c r="L18" s="91"/>
      <c r="M18" s="184">
        <f t="shared" ca="1" si="6"/>
        <v>1</v>
      </c>
      <c r="N18" s="67">
        <f t="shared" ca="1" si="7"/>
        <v>1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182" t="str">
        <f t="shared" ca="1" si="9"/>
        <v>Tổ Hạ tầng Gò Dầu</v>
      </c>
      <c r="C19" s="61" t="str">
        <f t="shared" ca="1" si="2"/>
        <v>Nguyễn Hiếu Khương</v>
      </c>
      <c r="D19" s="183">
        <f t="shared" ca="1" si="3"/>
        <v>942900404</v>
      </c>
      <c r="E19" s="63" t="str">
        <f t="shared" ca="1" si="4"/>
        <v>khuongnh.tnh@vnpt.vn</v>
      </c>
      <c r="F19" s="64" t="str">
        <f t="shared" ca="1" si="5"/>
        <v>Lần 13</v>
      </c>
      <c r="G19" s="97">
        <v>46223</v>
      </c>
      <c r="H19" s="122"/>
      <c r="I19" s="122"/>
      <c r="J19" s="121"/>
      <c r="K19" s="121"/>
      <c r="L19" s="91"/>
      <c r="M19" s="184">
        <f t="shared" ca="1" si="6"/>
        <v>0</v>
      </c>
      <c r="N19" s="67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182" t="str">
        <f t="shared" ca="1" si="9"/>
        <v>Tổ Hạ tầng Gò Dầu</v>
      </c>
      <c r="C20" s="61" t="str">
        <f t="shared" ca="1" si="2"/>
        <v>Nguyễn Hiếu Khương</v>
      </c>
      <c r="D20" s="183">
        <f t="shared" ca="1" si="3"/>
        <v>942900404</v>
      </c>
      <c r="E20" s="63" t="str">
        <f t="shared" ca="1" si="4"/>
        <v>khuongnh.tnh@vnpt.vn</v>
      </c>
      <c r="F20" s="64" t="str">
        <f t="shared" ca="1" si="5"/>
        <v>Lần 14</v>
      </c>
      <c r="G20" s="97">
        <v>46223</v>
      </c>
      <c r="H20" s="122"/>
      <c r="I20" s="122"/>
      <c r="J20" s="121"/>
      <c r="K20" s="121"/>
      <c r="L20" s="91"/>
      <c r="M20" s="184">
        <f t="shared" ca="1" si="6"/>
        <v>0</v>
      </c>
      <c r="N20" s="67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182" t="str">
        <f t="shared" ca="1" si="9"/>
        <v>Tổ Hạ tầng Gò Dầu</v>
      </c>
      <c r="C21" s="61" t="str">
        <f t="shared" ca="1" si="2"/>
        <v>Nguyễn Hiếu Khương</v>
      </c>
      <c r="D21" s="183">
        <f t="shared" ca="1" si="3"/>
        <v>942900404</v>
      </c>
      <c r="E21" s="63" t="str">
        <f t="shared" ca="1" si="4"/>
        <v>khuongnh.tnh@vnpt.vn</v>
      </c>
      <c r="F21" s="64" t="str">
        <f t="shared" ca="1" si="5"/>
        <v>Lần 15</v>
      </c>
      <c r="G21" s="97">
        <v>46223</v>
      </c>
      <c r="H21" s="122"/>
      <c r="I21" s="122"/>
      <c r="J21" s="121"/>
      <c r="K21" s="121"/>
      <c r="L21" s="91"/>
      <c r="M21" s="184">
        <f t="shared" ca="1" si="6"/>
        <v>0</v>
      </c>
      <c r="N21" s="67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185" t="str">
        <f t="shared" ca="1" si="9"/>
        <v>Tổ Hạ tầng Gò Dầu</v>
      </c>
      <c r="C22" s="82" t="str">
        <f t="shared" ca="1" si="2"/>
        <v>Nguyễn Hiếu Khương</v>
      </c>
      <c r="D22" s="186">
        <f t="shared" ca="1" si="3"/>
        <v>942900404</v>
      </c>
      <c r="E22" s="84" t="str">
        <f t="shared" ca="1" si="4"/>
        <v>khuongnh.tnh@vnpt.vn</v>
      </c>
      <c r="F22" s="85" t="str">
        <f t="shared" ca="1" si="5"/>
        <v>Lần 16</v>
      </c>
      <c r="G22" s="187">
        <v>46223</v>
      </c>
      <c r="H22" s="150"/>
      <c r="I22" s="150"/>
      <c r="J22" s="188"/>
      <c r="K22" s="188"/>
      <c r="L22" s="152"/>
      <c r="M22" s="189">
        <f t="shared" ca="1" si="6"/>
        <v>0</v>
      </c>
      <c r="N22" s="171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190" t="str">
        <f t="shared" ca="1" si="9"/>
        <v>Tổ Hạ tầng Gò Dầu</v>
      </c>
      <c r="C23" s="48" t="str">
        <f t="shared" ca="1" si="2"/>
        <v>Nguyễn Phan Duy An</v>
      </c>
      <c r="D23" s="191">
        <f t="shared" ca="1" si="3"/>
        <v>888444008</v>
      </c>
      <c r="E23" s="50" t="str">
        <f t="shared" ca="1" si="4"/>
        <v>x</v>
      </c>
      <c r="F23" s="51" t="str">
        <f t="shared" ca="1" si="5"/>
        <v>Lần 1</v>
      </c>
      <c r="G23" s="192">
        <v>46206</v>
      </c>
      <c r="H23" s="142">
        <v>132</v>
      </c>
      <c r="I23" s="142">
        <v>52</v>
      </c>
      <c r="J23" s="179">
        <v>161</v>
      </c>
      <c r="K23" s="179">
        <v>61</v>
      </c>
      <c r="L23" s="193"/>
      <c r="M23" s="194">
        <f t="shared" ca="1" si="6"/>
        <v>1</v>
      </c>
      <c r="N23" s="195">
        <f t="shared" ca="1" si="7"/>
        <v>1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182" t="str">
        <f t="shared" ca="1" si="9"/>
        <v>Tổ Hạ tầng Gò Dầu</v>
      </c>
      <c r="C24" s="61" t="str">
        <f t="shared" ca="1" si="2"/>
        <v>Nguyễn Phan Duy An</v>
      </c>
      <c r="D24" s="183">
        <f t="shared" ca="1" si="3"/>
        <v>888444008</v>
      </c>
      <c r="E24" s="63" t="str">
        <f t="shared" ca="1" si="4"/>
        <v>x</v>
      </c>
      <c r="F24" s="64" t="str">
        <f t="shared" ca="1" si="5"/>
        <v>Lần 2</v>
      </c>
      <c r="G24" s="97">
        <v>46206</v>
      </c>
      <c r="H24" s="71">
        <v>89</v>
      </c>
      <c r="I24" s="71">
        <v>37</v>
      </c>
      <c r="J24" s="121">
        <v>154</v>
      </c>
      <c r="K24" s="121">
        <v>61</v>
      </c>
      <c r="L24" s="95"/>
      <c r="M24" s="184">
        <f t="shared" ca="1" si="6"/>
        <v>1</v>
      </c>
      <c r="N24" s="67">
        <f t="shared" ca="1" si="7"/>
        <v>1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182" t="str">
        <f t="shared" ca="1" si="9"/>
        <v>Tổ Hạ tầng Gò Dầu</v>
      </c>
      <c r="C25" s="61" t="str">
        <f t="shared" ca="1" si="2"/>
        <v>Nguyễn Phan Duy An</v>
      </c>
      <c r="D25" s="183">
        <f t="shared" ca="1" si="3"/>
        <v>888444008</v>
      </c>
      <c r="E25" s="63" t="str">
        <f t="shared" ca="1" si="4"/>
        <v>x</v>
      </c>
      <c r="F25" s="64" t="str">
        <f t="shared" ca="1" si="5"/>
        <v>Lần 3</v>
      </c>
      <c r="G25" s="97">
        <v>46206</v>
      </c>
      <c r="H25" s="71">
        <v>75</v>
      </c>
      <c r="I25" s="71">
        <v>15</v>
      </c>
      <c r="J25" s="121">
        <v>149</v>
      </c>
      <c r="K25" s="121">
        <v>59</v>
      </c>
      <c r="L25" s="95"/>
      <c r="M25" s="184">
        <f t="shared" ca="1" si="6"/>
        <v>1</v>
      </c>
      <c r="N25" s="67">
        <f t="shared" ca="1" si="7"/>
        <v>1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182" t="str">
        <f t="shared" ca="1" si="9"/>
        <v>Tổ Hạ tầng Gò Dầu</v>
      </c>
      <c r="C26" s="61" t="str">
        <f t="shared" ca="1" si="2"/>
        <v>Nguyễn Phan Duy An</v>
      </c>
      <c r="D26" s="183">
        <f t="shared" ca="1" si="3"/>
        <v>888444008</v>
      </c>
      <c r="E26" s="63" t="str">
        <f t="shared" ca="1" si="4"/>
        <v>x</v>
      </c>
      <c r="F26" s="64" t="str">
        <f t="shared" ca="1" si="5"/>
        <v>Lần 4</v>
      </c>
      <c r="G26" s="97">
        <v>46206</v>
      </c>
      <c r="H26" s="71">
        <v>94</v>
      </c>
      <c r="I26" s="71">
        <v>52</v>
      </c>
      <c r="J26" s="121">
        <v>148</v>
      </c>
      <c r="K26" s="121">
        <v>60</v>
      </c>
      <c r="L26" s="95"/>
      <c r="M26" s="184">
        <f t="shared" ca="1" si="6"/>
        <v>1</v>
      </c>
      <c r="N26" s="67">
        <f t="shared" ca="1" si="7"/>
        <v>1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182" t="str">
        <f t="shared" ca="1" si="9"/>
        <v>Tổ Hạ tầng Gò Dầu</v>
      </c>
      <c r="C27" s="61" t="str">
        <f t="shared" ca="1" si="2"/>
        <v>Nguyễn Phan Duy An</v>
      </c>
      <c r="D27" s="183">
        <f t="shared" ca="1" si="3"/>
        <v>888444008</v>
      </c>
      <c r="E27" s="63" t="str">
        <f t="shared" ca="1" si="4"/>
        <v>x</v>
      </c>
      <c r="F27" s="64" t="str">
        <f t="shared" ca="1" si="5"/>
        <v>Lần 5</v>
      </c>
      <c r="G27" s="97">
        <v>46211</v>
      </c>
      <c r="H27" s="75">
        <v>162</v>
      </c>
      <c r="I27" s="75">
        <v>62</v>
      </c>
      <c r="J27" s="121">
        <v>146</v>
      </c>
      <c r="K27" s="121">
        <v>61</v>
      </c>
      <c r="L27" s="95"/>
      <c r="M27" s="184">
        <f t="shared" ca="1" si="6"/>
        <v>1</v>
      </c>
      <c r="N27" s="67">
        <f t="shared" ca="1" si="7"/>
        <v>1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182" t="str">
        <f t="shared" ca="1" si="9"/>
        <v>Tổ Hạ tầng Gò Dầu</v>
      </c>
      <c r="C28" s="61" t="str">
        <f t="shared" ca="1" si="2"/>
        <v>Nguyễn Phan Duy An</v>
      </c>
      <c r="D28" s="183">
        <f t="shared" ca="1" si="3"/>
        <v>888444008</v>
      </c>
      <c r="E28" s="63" t="str">
        <f t="shared" ca="1" si="4"/>
        <v>x</v>
      </c>
      <c r="F28" s="64" t="str">
        <f t="shared" ca="1" si="5"/>
        <v>Lần 6</v>
      </c>
      <c r="G28" s="97">
        <v>46211</v>
      </c>
      <c r="H28" s="75">
        <v>147</v>
      </c>
      <c r="I28" s="75">
        <v>64</v>
      </c>
      <c r="J28" s="121">
        <v>146</v>
      </c>
      <c r="K28" s="121">
        <v>61</v>
      </c>
      <c r="L28" s="95"/>
      <c r="M28" s="184">
        <f t="shared" ca="1" si="6"/>
        <v>1</v>
      </c>
      <c r="N28" s="67">
        <f t="shared" ca="1" si="7"/>
        <v>1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182" t="str">
        <f t="shared" ca="1" si="9"/>
        <v>Tổ Hạ tầng Gò Dầu</v>
      </c>
      <c r="C29" s="61" t="str">
        <f t="shared" ca="1" si="2"/>
        <v>Nguyễn Phan Duy An</v>
      </c>
      <c r="D29" s="183">
        <f t="shared" ca="1" si="3"/>
        <v>888444008</v>
      </c>
      <c r="E29" s="63" t="str">
        <f t="shared" ca="1" si="4"/>
        <v>x</v>
      </c>
      <c r="F29" s="64" t="str">
        <f t="shared" ca="1" si="5"/>
        <v>Lần 7</v>
      </c>
      <c r="G29" s="97">
        <v>46211</v>
      </c>
      <c r="H29" s="75">
        <v>139</v>
      </c>
      <c r="I29" s="75">
        <v>60</v>
      </c>
      <c r="J29" s="121">
        <v>145</v>
      </c>
      <c r="K29" s="121">
        <v>61</v>
      </c>
      <c r="L29" s="96"/>
      <c r="M29" s="184">
        <f t="shared" ca="1" si="6"/>
        <v>1</v>
      </c>
      <c r="N29" s="67">
        <f t="shared" ca="1" si="7"/>
        <v>1</v>
      </c>
      <c r="O29" s="68">
        <f t="shared" ca="1" si="8"/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182" t="str">
        <f t="shared" ca="1" si="9"/>
        <v>Tổ Hạ tầng Gò Dầu</v>
      </c>
      <c r="C30" s="61" t="str">
        <f t="shared" ca="1" si="2"/>
        <v>Nguyễn Phan Duy An</v>
      </c>
      <c r="D30" s="183">
        <f t="shared" ca="1" si="3"/>
        <v>888444008</v>
      </c>
      <c r="E30" s="63" t="str">
        <f t="shared" ca="1" si="4"/>
        <v>x</v>
      </c>
      <c r="F30" s="64" t="str">
        <f t="shared" ca="1" si="5"/>
        <v>Lần 8</v>
      </c>
      <c r="G30" s="97">
        <v>46211</v>
      </c>
      <c r="H30" s="75">
        <v>158</v>
      </c>
      <c r="I30" s="75">
        <v>59</v>
      </c>
      <c r="J30" s="121">
        <v>137</v>
      </c>
      <c r="K30" s="121">
        <v>61</v>
      </c>
      <c r="L30" s="96"/>
      <c r="M30" s="184">
        <f t="shared" ca="1" si="6"/>
        <v>1</v>
      </c>
      <c r="N30" s="67">
        <f t="shared" ca="1" si="7"/>
        <v>1</v>
      </c>
      <c r="O30" s="68">
        <f t="shared" ca="1" si="8"/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182" t="str">
        <f t="shared" ca="1" si="9"/>
        <v>Tổ Hạ tầng Gò Dầu</v>
      </c>
      <c r="C31" s="61" t="str">
        <f t="shared" ca="1" si="2"/>
        <v>Nguyễn Phan Duy An</v>
      </c>
      <c r="D31" s="183">
        <f t="shared" ca="1" si="3"/>
        <v>888444008</v>
      </c>
      <c r="E31" s="63" t="str">
        <f t="shared" ca="1" si="4"/>
        <v>x</v>
      </c>
      <c r="F31" s="64" t="str">
        <f t="shared" ca="1" si="5"/>
        <v>Lần 9</v>
      </c>
      <c r="G31" s="97">
        <v>46217</v>
      </c>
      <c r="H31" s="75">
        <v>150</v>
      </c>
      <c r="I31" s="75">
        <v>62</v>
      </c>
      <c r="J31" s="121">
        <v>149</v>
      </c>
      <c r="K31" s="121">
        <v>59</v>
      </c>
      <c r="L31" s="96"/>
      <c r="M31" s="184">
        <f t="shared" ca="1" si="6"/>
        <v>1</v>
      </c>
      <c r="N31" s="67">
        <f t="shared" ca="1" si="7"/>
        <v>1</v>
      </c>
      <c r="O31" s="68">
        <f t="shared" ca="1" si="8"/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182" t="str">
        <f t="shared" ca="1" si="9"/>
        <v>Tổ Hạ tầng Gò Dầu</v>
      </c>
      <c r="C32" s="61" t="str">
        <f t="shared" ca="1" si="2"/>
        <v>Nguyễn Phan Duy An</v>
      </c>
      <c r="D32" s="183">
        <f t="shared" ca="1" si="3"/>
        <v>888444008</v>
      </c>
      <c r="E32" s="63" t="str">
        <f t="shared" ca="1" si="4"/>
        <v>x</v>
      </c>
      <c r="F32" s="64" t="str">
        <f t="shared" ca="1" si="5"/>
        <v>Lần 10</v>
      </c>
      <c r="G32" s="97">
        <v>46217</v>
      </c>
      <c r="H32" s="75">
        <v>160</v>
      </c>
      <c r="I32" s="75">
        <v>60</v>
      </c>
      <c r="J32" s="121">
        <v>148</v>
      </c>
      <c r="K32" s="121">
        <v>60</v>
      </c>
      <c r="L32" s="95"/>
      <c r="M32" s="184">
        <f t="shared" ca="1" si="6"/>
        <v>1</v>
      </c>
      <c r="N32" s="67">
        <f t="shared" ca="1" si="7"/>
        <v>1</v>
      </c>
      <c r="O32" s="68">
        <f t="shared" ca="1" si="8"/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182" t="str">
        <f t="shared" ca="1" si="9"/>
        <v>Tổ Hạ tầng Gò Dầu</v>
      </c>
      <c r="C33" s="61" t="str">
        <f t="shared" ca="1" si="2"/>
        <v>Nguyễn Phan Duy An</v>
      </c>
      <c r="D33" s="183">
        <f t="shared" ca="1" si="3"/>
        <v>888444008</v>
      </c>
      <c r="E33" s="63" t="str">
        <f t="shared" ca="1" si="4"/>
        <v>x</v>
      </c>
      <c r="F33" s="64" t="str">
        <f t="shared" ca="1" si="5"/>
        <v>Lần 11</v>
      </c>
      <c r="G33" s="97">
        <v>46217</v>
      </c>
      <c r="H33" s="75">
        <v>146</v>
      </c>
      <c r="I33" s="75">
        <v>57</v>
      </c>
      <c r="J33" s="121">
        <v>146</v>
      </c>
      <c r="K33" s="121">
        <v>61</v>
      </c>
      <c r="L33" s="95"/>
      <c r="M33" s="184">
        <f t="shared" ca="1" si="6"/>
        <v>1</v>
      </c>
      <c r="N33" s="67">
        <f t="shared" ca="1" si="7"/>
        <v>1</v>
      </c>
      <c r="O33" s="68">
        <f t="shared" ca="1" si="8"/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182" t="str">
        <f t="shared" ca="1" si="9"/>
        <v>Tổ Hạ tầng Gò Dầu</v>
      </c>
      <c r="C34" s="61" t="str">
        <f t="shared" ca="1" si="2"/>
        <v>Nguyễn Phan Duy An</v>
      </c>
      <c r="D34" s="183">
        <f t="shared" ca="1" si="3"/>
        <v>888444008</v>
      </c>
      <c r="E34" s="63" t="str">
        <f t="shared" ca="1" si="4"/>
        <v>x</v>
      </c>
      <c r="F34" s="64" t="str">
        <f t="shared" ca="1" si="5"/>
        <v>Lần 12</v>
      </c>
      <c r="G34" s="97">
        <v>46217</v>
      </c>
      <c r="H34" s="75">
        <v>160</v>
      </c>
      <c r="I34" s="75">
        <v>61</v>
      </c>
      <c r="J34" s="121">
        <v>146</v>
      </c>
      <c r="K34" s="121">
        <v>61</v>
      </c>
      <c r="L34" s="96"/>
      <c r="M34" s="184">
        <f t="shared" ca="1" si="6"/>
        <v>1</v>
      </c>
      <c r="N34" s="67">
        <f t="shared" ca="1" si="7"/>
        <v>1</v>
      </c>
      <c r="O34" s="68">
        <f t="shared" ca="1" si="8"/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182" t="str">
        <f t="shared" ca="1" si="9"/>
        <v>Tổ Hạ tầng Gò Dầu</v>
      </c>
      <c r="C35" s="61" t="str">
        <f t="shared" ca="1" si="2"/>
        <v>Nguyễn Phan Duy An</v>
      </c>
      <c r="D35" s="183">
        <f t="shared" ca="1" si="3"/>
        <v>888444008</v>
      </c>
      <c r="E35" s="63" t="str">
        <f t="shared" ca="1" si="4"/>
        <v>x</v>
      </c>
      <c r="F35" s="64" t="str">
        <f t="shared" ca="1" si="5"/>
        <v>Lần 13</v>
      </c>
      <c r="G35" s="97">
        <v>46223</v>
      </c>
      <c r="H35" s="75"/>
      <c r="I35" s="75"/>
      <c r="J35" s="121"/>
      <c r="K35" s="121"/>
      <c r="L35" s="96"/>
      <c r="M35" s="184">
        <f t="shared" ca="1" si="6"/>
        <v>0</v>
      </c>
      <c r="N35" s="67">
        <f t="shared" ca="1" si="7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182" t="str">
        <f t="shared" ca="1" si="9"/>
        <v>Tổ Hạ tầng Gò Dầu</v>
      </c>
      <c r="C36" s="61" t="str">
        <f t="shared" ca="1" si="2"/>
        <v>Nguyễn Phan Duy An</v>
      </c>
      <c r="D36" s="183">
        <f t="shared" ca="1" si="3"/>
        <v>888444008</v>
      </c>
      <c r="E36" s="63" t="str">
        <f t="shared" ca="1" si="4"/>
        <v>x</v>
      </c>
      <c r="F36" s="64" t="str">
        <f t="shared" ca="1" si="5"/>
        <v>Lần 14</v>
      </c>
      <c r="G36" s="97">
        <v>46223</v>
      </c>
      <c r="H36" s="75"/>
      <c r="I36" s="75"/>
      <c r="J36" s="121"/>
      <c r="K36" s="121"/>
      <c r="L36" s="96"/>
      <c r="M36" s="184">
        <f t="shared" ca="1" si="6"/>
        <v>0</v>
      </c>
      <c r="N36" s="67">
        <f t="shared" ca="1" si="7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182" t="str">
        <f t="shared" ca="1" si="9"/>
        <v>Tổ Hạ tầng Gò Dầu</v>
      </c>
      <c r="C37" s="61" t="str">
        <f t="shared" ca="1" si="2"/>
        <v>Nguyễn Phan Duy An</v>
      </c>
      <c r="D37" s="183">
        <f t="shared" ca="1" si="3"/>
        <v>888444008</v>
      </c>
      <c r="E37" s="63" t="str">
        <f t="shared" ca="1" si="4"/>
        <v>x</v>
      </c>
      <c r="F37" s="64" t="str">
        <f t="shared" ca="1" si="5"/>
        <v>Lần 15</v>
      </c>
      <c r="G37" s="97">
        <v>46223</v>
      </c>
      <c r="H37" s="75"/>
      <c r="I37" s="75"/>
      <c r="J37" s="121"/>
      <c r="K37" s="121"/>
      <c r="L37" s="96"/>
      <c r="M37" s="184">
        <f t="shared" ca="1" si="6"/>
        <v>0</v>
      </c>
      <c r="N37" s="67">
        <f t="shared" ca="1" si="7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96" t="str">
        <f t="shared" ca="1" si="9"/>
        <v>Tổ Hạ tầng Gò Dầu</v>
      </c>
      <c r="C38" s="102" t="str">
        <f t="shared" ca="1" si="2"/>
        <v>Nguyễn Phan Duy An</v>
      </c>
      <c r="D38" s="197">
        <f t="shared" ca="1" si="3"/>
        <v>888444008</v>
      </c>
      <c r="E38" s="104" t="str">
        <f t="shared" ca="1" si="4"/>
        <v>x</v>
      </c>
      <c r="F38" s="105" t="str">
        <f t="shared" ca="1" si="5"/>
        <v>Lần 16</v>
      </c>
      <c r="G38" s="198">
        <v>46223</v>
      </c>
      <c r="H38" s="199"/>
      <c r="I38" s="199"/>
      <c r="J38" s="200"/>
      <c r="K38" s="200"/>
      <c r="L38" s="201"/>
      <c r="M38" s="202">
        <f t="shared" ca="1" si="6"/>
        <v>0</v>
      </c>
      <c r="N38" s="203">
        <f t="shared" ca="1" si="7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204" t="str">
        <f t="shared" ca="1" si="9"/>
        <v>Tổ Hạ tầng Gò Dầu</v>
      </c>
      <c r="C39" s="108" t="str">
        <f t="shared" ca="1" si="2"/>
        <v>Huỳnh Tấn Cường</v>
      </c>
      <c r="D39" s="205">
        <f t="shared" ca="1" si="3"/>
        <v>835159879</v>
      </c>
      <c r="E39" s="110" t="str">
        <f t="shared" ca="1" si="4"/>
        <v>cuonght.tnh@vnpt.vn</v>
      </c>
      <c r="F39" s="111" t="str">
        <f t="shared" ca="1" si="5"/>
        <v>Lần 1</v>
      </c>
      <c r="G39" s="97">
        <v>46206</v>
      </c>
      <c r="H39" s="206">
        <v>218</v>
      </c>
      <c r="I39" s="206">
        <v>32</v>
      </c>
      <c r="J39" s="207">
        <v>393</v>
      </c>
      <c r="K39" s="207">
        <v>19</v>
      </c>
      <c r="L39" s="132"/>
      <c r="M39" s="181">
        <f t="shared" ca="1" si="6"/>
        <v>1</v>
      </c>
      <c r="N39" s="57">
        <f t="shared" ca="1" si="7"/>
        <v>1</v>
      </c>
      <c r="O39" s="68">
        <f t="shared" ca="1" si="8"/>
        <v>1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182" t="str">
        <f t="shared" ca="1" si="9"/>
        <v>Tổ Hạ tầng Gò Dầu</v>
      </c>
      <c r="C40" s="61" t="str">
        <f t="shared" ca="1" si="2"/>
        <v>Huỳnh Tấn Cường</v>
      </c>
      <c r="D40" s="183">
        <f t="shared" ca="1" si="3"/>
        <v>835159879</v>
      </c>
      <c r="E40" s="63" t="str">
        <f t="shared" ca="1" si="4"/>
        <v>cuonght.tnh@vnpt.vn</v>
      </c>
      <c r="F40" s="64" t="str">
        <f t="shared" ca="1" si="5"/>
        <v>Lần 2</v>
      </c>
      <c r="G40" s="97">
        <v>46206</v>
      </c>
      <c r="H40" s="73">
        <v>137</v>
      </c>
      <c r="I40" s="73">
        <v>30</v>
      </c>
      <c r="J40" s="121">
        <v>320</v>
      </c>
      <c r="K40" s="121">
        <v>17</v>
      </c>
      <c r="L40" s="116"/>
      <c r="M40" s="184">
        <f t="shared" ca="1" si="6"/>
        <v>1</v>
      </c>
      <c r="N40" s="67">
        <f t="shared" ca="1" si="7"/>
        <v>1</v>
      </c>
      <c r="O40" s="68">
        <f t="shared" ca="1" si="8"/>
        <v>1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182" t="str">
        <f t="shared" ca="1" si="9"/>
        <v>Tổ Hạ tầng Gò Dầu</v>
      </c>
      <c r="C41" s="61" t="str">
        <f t="shared" ca="1" si="2"/>
        <v>Huỳnh Tấn Cường</v>
      </c>
      <c r="D41" s="183">
        <f t="shared" ca="1" si="3"/>
        <v>835159879</v>
      </c>
      <c r="E41" s="63" t="str">
        <f t="shared" ca="1" si="4"/>
        <v>cuonght.tnh@vnpt.vn</v>
      </c>
      <c r="F41" s="64" t="str">
        <f t="shared" ca="1" si="5"/>
        <v>Lần 3</v>
      </c>
      <c r="G41" s="97">
        <v>46206</v>
      </c>
      <c r="H41" s="73">
        <v>220</v>
      </c>
      <c r="I41" s="73">
        <v>28</v>
      </c>
      <c r="J41" s="121">
        <v>475</v>
      </c>
      <c r="K41" s="121">
        <v>20</v>
      </c>
      <c r="L41" s="116"/>
      <c r="M41" s="184">
        <f t="shared" ca="1" si="6"/>
        <v>1</v>
      </c>
      <c r="N41" s="67">
        <f t="shared" ca="1" si="7"/>
        <v>1</v>
      </c>
      <c r="O41" s="68">
        <f t="shared" ca="1" si="8"/>
        <v>1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182" t="str">
        <f t="shared" ca="1" si="9"/>
        <v>Tổ Hạ tầng Gò Dầu</v>
      </c>
      <c r="C42" s="61" t="str">
        <f t="shared" ca="1" si="2"/>
        <v>Huỳnh Tấn Cường</v>
      </c>
      <c r="D42" s="183">
        <f t="shared" ca="1" si="3"/>
        <v>835159879</v>
      </c>
      <c r="E42" s="63" t="str">
        <f t="shared" ca="1" si="4"/>
        <v>cuonght.tnh@vnpt.vn</v>
      </c>
      <c r="F42" s="64" t="str">
        <f t="shared" ca="1" si="5"/>
        <v>Lần 4</v>
      </c>
      <c r="G42" s="97">
        <v>46206</v>
      </c>
      <c r="H42" s="73">
        <v>267</v>
      </c>
      <c r="I42" s="73">
        <v>24</v>
      </c>
      <c r="J42" s="121">
        <v>629</v>
      </c>
      <c r="K42" s="121">
        <v>22</v>
      </c>
      <c r="L42" s="208"/>
      <c r="M42" s="184">
        <f t="shared" ca="1" si="6"/>
        <v>1</v>
      </c>
      <c r="N42" s="67">
        <f t="shared" ca="1" si="7"/>
        <v>1</v>
      </c>
      <c r="O42" s="68">
        <f t="shared" ca="1" si="8"/>
        <v>1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182" t="str">
        <f t="shared" ca="1" si="9"/>
        <v>Tổ Hạ tầng Gò Dầu</v>
      </c>
      <c r="C43" s="61" t="str">
        <f t="shared" ca="1" si="2"/>
        <v>Huỳnh Tấn Cường</v>
      </c>
      <c r="D43" s="183">
        <f t="shared" ca="1" si="3"/>
        <v>835159879</v>
      </c>
      <c r="E43" s="63" t="str">
        <f t="shared" ca="1" si="4"/>
        <v>cuonght.tnh@vnpt.vn</v>
      </c>
      <c r="F43" s="64" t="str">
        <f t="shared" ca="1" si="5"/>
        <v>Lần 5</v>
      </c>
      <c r="G43" s="97">
        <v>46211</v>
      </c>
      <c r="H43" s="71">
        <v>237</v>
      </c>
      <c r="I43" s="71">
        <v>30</v>
      </c>
      <c r="J43" s="121">
        <v>581</v>
      </c>
      <c r="K43" s="121">
        <v>28</v>
      </c>
      <c r="L43" s="208"/>
      <c r="M43" s="184">
        <f t="shared" ca="1" si="6"/>
        <v>1</v>
      </c>
      <c r="N43" s="67">
        <f t="shared" ca="1" si="7"/>
        <v>1</v>
      </c>
      <c r="O43" s="68">
        <f t="shared" ca="1" si="8"/>
        <v>1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182" t="str">
        <f t="shared" ca="1" si="9"/>
        <v>Tổ Hạ tầng Gò Dầu</v>
      </c>
      <c r="C44" s="61" t="str">
        <f t="shared" ca="1" si="2"/>
        <v>Huỳnh Tấn Cường</v>
      </c>
      <c r="D44" s="183">
        <f t="shared" ca="1" si="3"/>
        <v>835159879</v>
      </c>
      <c r="E44" s="63" t="str">
        <f t="shared" ca="1" si="4"/>
        <v>cuonght.tnh@vnpt.vn</v>
      </c>
      <c r="F44" s="64" t="str">
        <f t="shared" ca="1" si="5"/>
        <v>Lần 6</v>
      </c>
      <c r="G44" s="97">
        <v>46211</v>
      </c>
      <c r="H44" s="133">
        <v>233</v>
      </c>
      <c r="I44" s="133">
        <v>16</v>
      </c>
      <c r="J44" s="121">
        <v>438</v>
      </c>
      <c r="K44" s="121">
        <v>18</v>
      </c>
      <c r="L44" s="208"/>
      <c r="M44" s="184">
        <f t="shared" ca="1" si="6"/>
        <v>1</v>
      </c>
      <c r="N44" s="67">
        <f t="shared" ca="1" si="7"/>
        <v>1</v>
      </c>
      <c r="O44" s="68">
        <f t="shared" ca="1" si="8"/>
        <v>1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182" t="str">
        <f t="shared" ca="1" si="9"/>
        <v>Tổ Hạ tầng Gò Dầu</v>
      </c>
      <c r="C45" s="61" t="str">
        <f t="shared" ca="1" si="2"/>
        <v>Huỳnh Tấn Cường</v>
      </c>
      <c r="D45" s="183">
        <f t="shared" ca="1" si="3"/>
        <v>835159879</v>
      </c>
      <c r="E45" s="63" t="str">
        <f t="shared" ca="1" si="4"/>
        <v>cuonght.tnh@vnpt.vn</v>
      </c>
      <c r="F45" s="64" t="str">
        <f t="shared" ca="1" si="5"/>
        <v>Lần 7</v>
      </c>
      <c r="G45" s="97">
        <v>46211</v>
      </c>
      <c r="H45" s="133">
        <v>142</v>
      </c>
      <c r="I45" s="133">
        <v>19</v>
      </c>
      <c r="J45" s="121">
        <v>419</v>
      </c>
      <c r="K45" s="121">
        <v>23</v>
      </c>
      <c r="L45" s="208"/>
      <c r="M45" s="184">
        <f t="shared" ca="1" si="6"/>
        <v>1</v>
      </c>
      <c r="N45" s="67">
        <f t="shared" ca="1" si="7"/>
        <v>1</v>
      </c>
      <c r="O45" s="68">
        <f t="shared" ca="1" si="8"/>
        <v>1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182" t="str">
        <f t="shared" ca="1" si="9"/>
        <v>Tổ Hạ tầng Gò Dầu</v>
      </c>
      <c r="C46" s="61" t="str">
        <f t="shared" ca="1" si="2"/>
        <v>Huỳnh Tấn Cường</v>
      </c>
      <c r="D46" s="183">
        <f t="shared" ca="1" si="3"/>
        <v>835159879</v>
      </c>
      <c r="E46" s="63" t="str">
        <f t="shared" ca="1" si="4"/>
        <v>cuonght.tnh@vnpt.vn</v>
      </c>
      <c r="F46" s="64" t="str">
        <f t="shared" ca="1" si="5"/>
        <v>Lần 8</v>
      </c>
      <c r="G46" s="97">
        <v>46211</v>
      </c>
      <c r="H46" s="133">
        <v>154</v>
      </c>
      <c r="I46" s="133">
        <v>35</v>
      </c>
      <c r="J46" s="121">
        <v>382</v>
      </c>
      <c r="K46" s="121">
        <v>20</v>
      </c>
      <c r="L46" s="116"/>
      <c r="M46" s="184">
        <f t="shared" ca="1" si="6"/>
        <v>1</v>
      </c>
      <c r="N46" s="67">
        <f t="shared" ca="1" si="7"/>
        <v>1</v>
      </c>
      <c r="O46" s="68">
        <f t="shared" ca="1" si="8"/>
        <v>1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182" t="str">
        <f t="shared" ca="1" si="9"/>
        <v>Tổ Hạ tầng Gò Dầu</v>
      </c>
      <c r="C47" s="61" t="str">
        <f t="shared" ca="1" si="2"/>
        <v>Huỳnh Tấn Cường</v>
      </c>
      <c r="D47" s="183">
        <f t="shared" ca="1" si="3"/>
        <v>835159879</v>
      </c>
      <c r="E47" s="63" t="str">
        <f t="shared" ca="1" si="4"/>
        <v>cuonght.tnh@vnpt.vn</v>
      </c>
      <c r="F47" s="64" t="str">
        <f t="shared" ca="1" si="5"/>
        <v>Lần 9</v>
      </c>
      <c r="G47" s="97">
        <v>46217</v>
      </c>
      <c r="H47" s="133">
        <v>287</v>
      </c>
      <c r="I47" s="133">
        <v>30</v>
      </c>
      <c r="J47" s="121">
        <v>482</v>
      </c>
      <c r="K47" s="121">
        <v>22</v>
      </c>
      <c r="L47" s="116"/>
      <c r="M47" s="184">
        <f t="shared" ca="1" si="6"/>
        <v>1</v>
      </c>
      <c r="N47" s="67">
        <f t="shared" ca="1" si="7"/>
        <v>1</v>
      </c>
      <c r="O47" s="68">
        <f t="shared" ca="1" si="8"/>
        <v>1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182" t="str">
        <f t="shared" ca="1" si="9"/>
        <v>Tổ Hạ tầng Gò Dầu</v>
      </c>
      <c r="C48" s="61" t="str">
        <f t="shared" ca="1" si="2"/>
        <v>Huỳnh Tấn Cường</v>
      </c>
      <c r="D48" s="183">
        <f t="shared" ca="1" si="3"/>
        <v>835159879</v>
      </c>
      <c r="E48" s="63" t="str">
        <f t="shared" ca="1" si="4"/>
        <v>cuonght.tnh@vnpt.vn</v>
      </c>
      <c r="F48" s="64" t="str">
        <f t="shared" ca="1" si="5"/>
        <v>Lần 10</v>
      </c>
      <c r="G48" s="97">
        <v>46217</v>
      </c>
      <c r="H48" s="133">
        <v>227</v>
      </c>
      <c r="I48" s="133">
        <v>29</v>
      </c>
      <c r="J48" s="121">
        <v>308</v>
      </c>
      <c r="K48" s="121">
        <v>21</v>
      </c>
      <c r="L48" s="116"/>
      <c r="M48" s="184">
        <f t="shared" ca="1" si="6"/>
        <v>1</v>
      </c>
      <c r="N48" s="67">
        <f t="shared" ca="1" si="7"/>
        <v>1</v>
      </c>
      <c r="O48" s="68">
        <f t="shared" ca="1" si="8"/>
        <v>1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182" t="str">
        <f t="shared" ca="1" si="9"/>
        <v>Tổ Hạ tầng Gò Dầu</v>
      </c>
      <c r="C49" s="61" t="str">
        <f t="shared" ca="1" si="2"/>
        <v>Huỳnh Tấn Cường</v>
      </c>
      <c r="D49" s="183">
        <f t="shared" ca="1" si="3"/>
        <v>835159879</v>
      </c>
      <c r="E49" s="63" t="str">
        <f t="shared" ca="1" si="4"/>
        <v>cuonght.tnh@vnpt.vn</v>
      </c>
      <c r="F49" s="64" t="str">
        <f t="shared" ca="1" si="5"/>
        <v>Lần 11</v>
      </c>
      <c r="G49" s="97">
        <v>46217</v>
      </c>
      <c r="H49" s="133">
        <v>189</v>
      </c>
      <c r="I49" s="133">
        <v>28</v>
      </c>
      <c r="J49" s="121">
        <v>371</v>
      </c>
      <c r="K49" s="121">
        <v>15</v>
      </c>
      <c r="L49" s="116"/>
      <c r="M49" s="184">
        <f t="shared" ca="1" si="6"/>
        <v>1</v>
      </c>
      <c r="N49" s="67">
        <f t="shared" ca="1" si="7"/>
        <v>1</v>
      </c>
      <c r="O49" s="68">
        <f t="shared" ca="1" si="8"/>
        <v>1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182" t="str">
        <f t="shared" ca="1" si="9"/>
        <v>Tổ Hạ tầng Gò Dầu</v>
      </c>
      <c r="C50" s="61" t="str">
        <f t="shared" ca="1" si="2"/>
        <v>Huỳnh Tấn Cường</v>
      </c>
      <c r="D50" s="183">
        <f t="shared" ca="1" si="3"/>
        <v>835159879</v>
      </c>
      <c r="E50" s="63" t="str">
        <f t="shared" ca="1" si="4"/>
        <v>cuonght.tnh@vnpt.vn</v>
      </c>
      <c r="F50" s="64" t="str">
        <f t="shared" ca="1" si="5"/>
        <v>Lần 12</v>
      </c>
      <c r="G50" s="97">
        <v>46217</v>
      </c>
      <c r="H50" s="133">
        <v>185</v>
      </c>
      <c r="I50" s="133">
        <v>18</v>
      </c>
      <c r="J50" s="121">
        <v>541</v>
      </c>
      <c r="K50" s="121">
        <v>25</v>
      </c>
      <c r="L50" s="116"/>
      <c r="M50" s="184">
        <f t="shared" ca="1" si="6"/>
        <v>1</v>
      </c>
      <c r="N50" s="67">
        <f t="shared" ca="1" si="7"/>
        <v>1</v>
      </c>
      <c r="O50" s="68">
        <f t="shared" ca="1" si="8"/>
        <v>1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182" t="str">
        <f t="shared" ca="1" si="9"/>
        <v>Tổ Hạ tầng Gò Dầu</v>
      </c>
      <c r="C51" s="61" t="str">
        <f t="shared" ca="1" si="2"/>
        <v>Huỳnh Tấn Cường</v>
      </c>
      <c r="D51" s="183">
        <f t="shared" ca="1" si="3"/>
        <v>835159879</v>
      </c>
      <c r="E51" s="63" t="str">
        <f t="shared" ca="1" si="4"/>
        <v>cuonght.tnh@vnpt.vn</v>
      </c>
      <c r="F51" s="64" t="str">
        <f t="shared" ca="1" si="5"/>
        <v>Lần 13</v>
      </c>
      <c r="G51" s="97">
        <v>46223</v>
      </c>
      <c r="H51" s="133"/>
      <c r="I51" s="133"/>
      <c r="J51" s="121"/>
      <c r="K51" s="121"/>
      <c r="L51" s="116"/>
      <c r="M51" s="184">
        <f t="shared" ca="1" si="6"/>
        <v>0</v>
      </c>
      <c r="N51" s="67">
        <f t="shared" ca="1" si="7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182" t="str">
        <f t="shared" ca="1" si="9"/>
        <v>Tổ Hạ tầng Gò Dầu</v>
      </c>
      <c r="C52" s="61" t="str">
        <f t="shared" ca="1" si="2"/>
        <v>Huỳnh Tấn Cường</v>
      </c>
      <c r="D52" s="183">
        <f t="shared" ca="1" si="3"/>
        <v>835159879</v>
      </c>
      <c r="E52" s="63" t="str">
        <f t="shared" ca="1" si="4"/>
        <v>cuonght.tnh@vnpt.vn</v>
      </c>
      <c r="F52" s="64" t="str">
        <f t="shared" ca="1" si="5"/>
        <v>Lần 14</v>
      </c>
      <c r="G52" s="97">
        <v>46223</v>
      </c>
      <c r="H52" s="133"/>
      <c r="I52" s="133"/>
      <c r="J52" s="121"/>
      <c r="K52" s="121"/>
      <c r="L52" s="116"/>
      <c r="M52" s="184">
        <f t="shared" ca="1" si="6"/>
        <v>0</v>
      </c>
      <c r="N52" s="67">
        <f t="shared" ca="1" si="7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182" t="str">
        <f t="shared" ca="1" si="9"/>
        <v>Tổ Hạ tầng Gò Dầu</v>
      </c>
      <c r="C53" s="61" t="str">
        <f t="shared" ca="1" si="2"/>
        <v>Huỳnh Tấn Cường</v>
      </c>
      <c r="D53" s="183">
        <f t="shared" ca="1" si="3"/>
        <v>835159879</v>
      </c>
      <c r="E53" s="63" t="str">
        <f t="shared" ca="1" si="4"/>
        <v>cuonght.tnh@vnpt.vn</v>
      </c>
      <c r="F53" s="64" t="str">
        <f t="shared" ca="1" si="5"/>
        <v>Lần 15</v>
      </c>
      <c r="G53" s="97">
        <v>46223</v>
      </c>
      <c r="H53" s="133"/>
      <c r="I53" s="133"/>
      <c r="J53" s="121"/>
      <c r="K53" s="121"/>
      <c r="L53" s="116"/>
      <c r="M53" s="184">
        <f t="shared" ca="1" si="6"/>
        <v>0</v>
      </c>
      <c r="N53" s="67">
        <f t="shared" ca="1" si="7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185" t="str">
        <f t="shared" ca="1" si="9"/>
        <v>Tổ Hạ tầng Gò Dầu</v>
      </c>
      <c r="C54" s="82" t="str">
        <f t="shared" ca="1" si="2"/>
        <v>Huỳnh Tấn Cường</v>
      </c>
      <c r="D54" s="186">
        <f t="shared" ca="1" si="3"/>
        <v>835159879</v>
      </c>
      <c r="E54" s="84" t="str">
        <f t="shared" ca="1" si="4"/>
        <v>cuonght.tnh@vnpt.vn</v>
      </c>
      <c r="F54" s="85" t="str">
        <f t="shared" ca="1" si="5"/>
        <v>Lần 16</v>
      </c>
      <c r="G54" s="209">
        <v>46223</v>
      </c>
      <c r="H54" s="210"/>
      <c r="I54" s="210"/>
      <c r="J54" s="188"/>
      <c r="K54" s="188"/>
      <c r="L54" s="211"/>
      <c r="M54" s="189">
        <f t="shared" ca="1" si="6"/>
        <v>0</v>
      </c>
      <c r="N54" s="171">
        <f t="shared" ca="1" si="7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190" t="str">
        <f t="shared" ca="1" si="9"/>
        <v>Tổ Hạ tầng Gò Dầu</v>
      </c>
      <c r="C55" s="48" t="str">
        <f t="shared" ca="1" si="2"/>
        <v>Nguyễn Văn Minh</v>
      </c>
      <c r="D55" s="191">
        <f t="shared" ca="1" si="3"/>
        <v>812456561</v>
      </c>
      <c r="E55" s="50" t="str">
        <f t="shared" ca="1" si="4"/>
        <v>minhnv.tnh@vnpt.vn</v>
      </c>
      <c r="F55" s="51" t="str">
        <f t="shared" ca="1" si="5"/>
        <v>Lần 1</v>
      </c>
      <c r="G55" s="192">
        <v>46206</v>
      </c>
      <c r="H55" s="142">
        <v>110</v>
      </c>
      <c r="I55" s="142">
        <v>40</v>
      </c>
      <c r="J55" s="179">
        <v>83</v>
      </c>
      <c r="K55" s="179">
        <v>40</v>
      </c>
      <c r="L55" s="193"/>
      <c r="M55" s="194">
        <f t="shared" ca="1" si="6"/>
        <v>1</v>
      </c>
      <c r="N55" s="195">
        <f t="shared" ca="1" si="7"/>
        <v>1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182" t="str">
        <f t="shared" ca="1" si="9"/>
        <v>Tổ Hạ tầng Gò Dầu</v>
      </c>
      <c r="C56" s="61" t="str">
        <f t="shared" ca="1" si="2"/>
        <v>Nguyễn Văn Minh</v>
      </c>
      <c r="D56" s="183">
        <f t="shared" ca="1" si="3"/>
        <v>812456561</v>
      </c>
      <c r="E56" s="63" t="str">
        <f t="shared" ca="1" si="4"/>
        <v>minhnv.tnh@vnpt.vn</v>
      </c>
      <c r="F56" s="64" t="str">
        <f t="shared" ca="1" si="5"/>
        <v>Lần 2</v>
      </c>
      <c r="G56" s="97">
        <v>46206</v>
      </c>
      <c r="H56" s="71">
        <v>112</v>
      </c>
      <c r="I56" s="71">
        <v>37</v>
      </c>
      <c r="J56" s="121">
        <v>100</v>
      </c>
      <c r="K56" s="121">
        <v>40</v>
      </c>
      <c r="L56" s="95"/>
      <c r="M56" s="184">
        <f t="shared" ca="1" si="6"/>
        <v>1</v>
      </c>
      <c r="N56" s="67">
        <f t="shared" ca="1" si="7"/>
        <v>1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182" t="str">
        <f t="shared" ca="1" si="9"/>
        <v>Tổ Hạ tầng Gò Dầu</v>
      </c>
      <c r="C57" s="61" t="str">
        <f t="shared" ca="1" si="2"/>
        <v>Nguyễn Văn Minh</v>
      </c>
      <c r="D57" s="183">
        <f t="shared" ca="1" si="3"/>
        <v>812456561</v>
      </c>
      <c r="E57" s="63" t="str">
        <f t="shared" ca="1" si="4"/>
        <v>minhnv.tnh@vnpt.vn</v>
      </c>
      <c r="F57" s="64" t="str">
        <f t="shared" ca="1" si="5"/>
        <v>Lần 3</v>
      </c>
      <c r="G57" s="97">
        <v>46206</v>
      </c>
      <c r="H57" s="71">
        <v>120</v>
      </c>
      <c r="I57" s="71">
        <v>43</v>
      </c>
      <c r="J57" s="121">
        <v>88</v>
      </c>
      <c r="K57" s="121">
        <v>41</v>
      </c>
      <c r="L57" s="95"/>
      <c r="M57" s="184">
        <f t="shared" ca="1" si="6"/>
        <v>1</v>
      </c>
      <c r="N57" s="67">
        <f t="shared" ca="1" si="7"/>
        <v>1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182" t="str">
        <f t="shared" ca="1" si="9"/>
        <v>Tổ Hạ tầng Gò Dầu</v>
      </c>
      <c r="C58" s="61" t="str">
        <f t="shared" ca="1" si="2"/>
        <v>Nguyễn Văn Minh</v>
      </c>
      <c r="D58" s="183">
        <f t="shared" ca="1" si="3"/>
        <v>812456561</v>
      </c>
      <c r="E58" s="63" t="str">
        <f t="shared" ca="1" si="4"/>
        <v>minhnv.tnh@vnpt.vn</v>
      </c>
      <c r="F58" s="64" t="str">
        <f t="shared" ca="1" si="5"/>
        <v>Lần 4</v>
      </c>
      <c r="G58" s="97">
        <v>46206</v>
      </c>
      <c r="H58" s="75">
        <v>111</v>
      </c>
      <c r="I58" s="75">
        <v>36</v>
      </c>
      <c r="J58" s="121">
        <v>97</v>
      </c>
      <c r="K58" s="121">
        <v>41</v>
      </c>
      <c r="L58" s="95"/>
      <c r="M58" s="184">
        <f t="shared" ca="1" si="6"/>
        <v>1</v>
      </c>
      <c r="N58" s="67">
        <f t="shared" ca="1" si="7"/>
        <v>1</v>
      </c>
      <c r="O58" s="68">
        <f t="shared" ca="1" si="8"/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182" t="str">
        <f t="shared" ca="1" si="9"/>
        <v>Tổ Hạ tầng Gò Dầu</v>
      </c>
      <c r="C59" s="61" t="str">
        <f t="shared" ca="1" si="2"/>
        <v>Nguyễn Văn Minh</v>
      </c>
      <c r="D59" s="183">
        <f t="shared" ca="1" si="3"/>
        <v>812456561</v>
      </c>
      <c r="E59" s="63" t="str">
        <f t="shared" ca="1" si="4"/>
        <v>minhnv.tnh@vnpt.vn</v>
      </c>
      <c r="F59" s="64" t="str">
        <f t="shared" ca="1" si="5"/>
        <v>Lần 5</v>
      </c>
      <c r="G59" s="97">
        <v>46211</v>
      </c>
      <c r="H59" s="75">
        <v>106</v>
      </c>
      <c r="I59" s="75">
        <v>42</v>
      </c>
      <c r="J59" s="121">
        <v>89</v>
      </c>
      <c r="K59" s="121">
        <v>42</v>
      </c>
      <c r="L59" s="95"/>
      <c r="M59" s="184">
        <f t="shared" ca="1" si="6"/>
        <v>1</v>
      </c>
      <c r="N59" s="67">
        <f t="shared" ca="1" si="7"/>
        <v>1</v>
      </c>
      <c r="O59" s="68">
        <f t="shared" ca="1" si="8"/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182" t="str">
        <f t="shared" ca="1" si="9"/>
        <v>Tổ Hạ tầng Gò Dầu</v>
      </c>
      <c r="C60" s="61" t="str">
        <f t="shared" ca="1" si="2"/>
        <v>Nguyễn Văn Minh</v>
      </c>
      <c r="D60" s="183">
        <f t="shared" ca="1" si="3"/>
        <v>812456561</v>
      </c>
      <c r="E60" s="63" t="str">
        <f t="shared" ca="1" si="4"/>
        <v>minhnv.tnh@vnpt.vn</v>
      </c>
      <c r="F60" s="64" t="str">
        <f t="shared" ca="1" si="5"/>
        <v>Lần 6</v>
      </c>
      <c r="G60" s="97">
        <v>46211</v>
      </c>
      <c r="H60" s="75">
        <v>131</v>
      </c>
      <c r="I60" s="75">
        <v>41</v>
      </c>
      <c r="J60" s="121">
        <v>90</v>
      </c>
      <c r="K60" s="121">
        <v>40</v>
      </c>
      <c r="L60" s="95"/>
      <c r="M60" s="184">
        <f t="shared" ca="1" si="6"/>
        <v>1</v>
      </c>
      <c r="N60" s="67">
        <f t="shared" ca="1" si="7"/>
        <v>1</v>
      </c>
      <c r="O60" s="68">
        <f t="shared" ca="1" si="8"/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182" t="str">
        <f t="shared" ca="1" si="9"/>
        <v>Tổ Hạ tầng Gò Dầu</v>
      </c>
      <c r="C61" s="61" t="str">
        <f t="shared" ca="1" si="2"/>
        <v>Nguyễn Văn Minh</v>
      </c>
      <c r="D61" s="183">
        <f t="shared" ca="1" si="3"/>
        <v>812456561</v>
      </c>
      <c r="E61" s="63" t="str">
        <f t="shared" ca="1" si="4"/>
        <v>minhnv.tnh@vnpt.vn</v>
      </c>
      <c r="F61" s="64" t="str">
        <f t="shared" ca="1" si="5"/>
        <v>Lần 7</v>
      </c>
      <c r="G61" s="97">
        <v>46211</v>
      </c>
      <c r="H61" s="75">
        <v>114</v>
      </c>
      <c r="I61" s="75">
        <v>39</v>
      </c>
      <c r="J61" s="121">
        <v>86</v>
      </c>
      <c r="K61" s="121">
        <v>41</v>
      </c>
      <c r="L61" s="95"/>
      <c r="M61" s="184">
        <f t="shared" ca="1" si="6"/>
        <v>1</v>
      </c>
      <c r="N61" s="67">
        <f t="shared" ca="1" si="7"/>
        <v>1</v>
      </c>
      <c r="O61" s="68">
        <f t="shared" ca="1" si="8"/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182" t="str">
        <f t="shared" ca="1" si="9"/>
        <v>Tổ Hạ tầng Gò Dầu</v>
      </c>
      <c r="C62" s="61" t="str">
        <f t="shared" ca="1" si="2"/>
        <v>Nguyễn Văn Minh</v>
      </c>
      <c r="D62" s="183">
        <f t="shared" ca="1" si="3"/>
        <v>812456561</v>
      </c>
      <c r="E62" s="63" t="str">
        <f t="shared" ca="1" si="4"/>
        <v>minhnv.tnh@vnpt.vn</v>
      </c>
      <c r="F62" s="64" t="str">
        <f t="shared" ca="1" si="5"/>
        <v>Lần 8</v>
      </c>
      <c r="G62" s="97">
        <v>46211</v>
      </c>
      <c r="H62" s="75">
        <v>119</v>
      </c>
      <c r="I62" s="75">
        <v>38</v>
      </c>
      <c r="J62" s="121">
        <v>92</v>
      </c>
      <c r="K62" s="121">
        <v>43</v>
      </c>
      <c r="L62" s="95"/>
      <c r="M62" s="184">
        <f t="shared" ca="1" si="6"/>
        <v>1</v>
      </c>
      <c r="N62" s="67">
        <f t="shared" ca="1" si="7"/>
        <v>1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182" t="str">
        <f t="shared" ca="1" si="9"/>
        <v>Tổ Hạ tầng Gò Dầu</v>
      </c>
      <c r="C63" s="61" t="str">
        <f t="shared" ca="1" si="2"/>
        <v>Nguyễn Văn Minh</v>
      </c>
      <c r="D63" s="183">
        <f t="shared" ca="1" si="3"/>
        <v>812456561</v>
      </c>
      <c r="E63" s="63" t="str">
        <f t="shared" ca="1" si="4"/>
        <v>minhnv.tnh@vnpt.vn</v>
      </c>
      <c r="F63" s="64" t="str">
        <f t="shared" ca="1" si="5"/>
        <v>Lần 9</v>
      </c>
      <c r="G63" s="97">
        <v>46217</v>
      </c>
      <c r="H63" s="75">
        <v>86</v>
      </c>
      <c r="I63" s="75">
        <v>37</v>
      </c>
      <c r="J63" s="121">
        <v>81</v>
      </c>
      <c r="K63" s="121">
        <v>39</v>
      </c>
      <c r="L63" s="95"/>
      <c r="M63" s="184">
        <f t="shared" ca="1" si="6"/>
        <v>1</v>
      </c>
      <c r="N63" s="67">
        <f t="shared" ca="1" si="7"/>
        <v>1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182" t="str">
        <f t="shared" ca="1" si="9"/>
        <v>Tổ Hạ tầng Gò Dầu</v>
      </c>
      <c r="C64" s="61" t="str">
        <f t="shared" ca="1" si="2"/>
        <v>Nguyễn Văn Minh</v>
      </c>
      <c r="D64" s="183">
        <f t="shared" ca="1" si="3"/>
        <v>812456561</v>
      </c>
      <c r="E64" s="63" t="str">
        <f t="shared" ca="1" si="4"/>
        <v>minhnv.tnh@vnpt.vn</v>
      </c>
      <c r="F64" s="64" t="str">
        <f t="shared" ca="1" si="5"/>
        <v>Lần 10</v>
      </c>
      <c r="G64" s="97">
        <v>46217</v>
      </c>
      <c r="H64" s="75">
        <v>86</v>
      </c>
      <c r="I64" s="75">
        <v>37</v>
      </c>
      <c r="J64" s="121">
        <v>87</v>
      </c>
      <c r="K64" s="121">
        <v>41</v>
      </c>
      <c r="L64" s="95"/>
      <c r="M64" s="184">
        <f t="shared" ca="1" si="6"/>
        <v>1</v>
      </c>
      <c r="N64" s="67">
        <f t="shared" ca="1" si="7"/>
        <v>1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182" t="str">
        <f t="shared" ca="1" si="9"/>
        <v>Tổ Hạ tầng Gò Dầu</v>
      </c>
      <c r="C65" s="61" t="str">
        <f t="shared" ca="1" si="2"/>
        <v>Nguyễn Văn Minh</v>
      </c>
      <c r="D65" s="183">
        <f t="shared" ca="1" si="3"/>
        <v>812456561</v>
      </c>
      <c r="E65" s="63" t="str">
        <f t="shared" ca="1" si="4"/>
        <v>minhnv.tnh@vnpt.vn</v>
      </c>
      <c r="F65" s="64" t="str">
        <f t="shared" ca="1" si="5"/>
        <v>Lần 11</v>
      </c>
      <c r="G65" s="97">
        <v>46217</v>
      </c>
      <c r="H65" s="75">
        <v>90</v>
      </c>
      <c r="I65" s="75">
        <v>36</v>
      </c>
      <c r="J65" s="121">
        <v>84</v>
      </c>
      <c r="K65" s="121">
        <v>42</v>
      </c>
      <c r="L65" s="95"/>
      <c r="M65" s="184">
        <f t="shared" ca="1" si="6"/>
        <v>1</v>
      </c>
      <c r="N65" s="67">
        <f t="shared" ca="1" si="7"/>
        <v>1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182" t="str">
        <f t="shared" ca="1" si="9"/>
        <v>Tổ Hạ tầng Gò Dầu</v>
      </c>
      <c r="C66" s="61" t="str">
        <f t="shared" ca="1" si="2"/>
        <v>Nguyễn Văn Minh</v>
      </c>
      <c r="D66" s="183">
        <f t="shared" ca="1" si="3"/>
        <v>812456561</v>
      </c>
      <c r="E66" s="63" t="str">
        <f t="shared" ca="1" si="4"/>
        <v>minhnv.tnh@vnpt.vn</v>
      </c>
      <c r="F66" s="64" t="str">
        <f t="shared" ca="1" si="5"/>
        <v>Lần 12</v>
      </c>
      <c r="G66" s="97">
        <v>46217</v>
      </c>
      <c r="H66" s="75">
        <v>90</v>
      </c>
      <c r="I66" s="75">
        <v>38</v>
      </c>
      <c r="J66" s="121">
        <v>93</v>
      </c>
      <c r="K66" s="121">
        <v>40</v>
      </c>
      <c r="L66" s="95"/>
      <c r="M66" s="184">
        <f t="shared" ca="1" si="6"/>
        <v>1</v>
      </c>
      <c r="N66" s="67">
        <f t="shared" ca="1" si="7"/>
        <v>1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182" t="str">
        <f t="shared" ca="1" si="9"/>
        <v>Tổ Hạ tầng Gò Dầu</v>
      </c>
      <c r="C67" s="61" t="str">
        <f t="shared" ca="1" si="2"/>
        <v>Nguyễn Văn Minh</v>
      </c>
      <c r="D67" s="183">
        <f t="shared" ca="1" si="3"/>
        <v>812456561</v>
      </c>
      <c r="E67" s="63" t="str">
        <f t="shared" ca="1" si="4"/>
        <v>minhnv.tnh@vnpt.vn</v>
      </c>
      <c r="F67" s="64" t="str">
        <f t="shared" ca="1" si="5"/>
        <v>Lần 13</v>
      </c>
      <c r="G67" s="97">
        <v>46223</v>
      </c>
      <c r="H67" s="75"/>
      <c r="I67" s="75"/>
      <c r="J67" s="121"/>
      <c r="K67" s="121"/>
      <c r="L67" s="95"/>
      <c r="M67" s="184">
        <f t="shared" ca="1" si="6"/>
        <v>0</v>
      </c>
      <c r="N67" s="67">
        <f t="shared" ca="1" si="7"/>
        <v>0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182" t="str">
        <f t="shared" ca="1" si="9"/>
        <v>Tổ Hạ tầng Gò Dầu</v>
      </c>
      <c r="C68" s="61" t="str">
        <f t="shared" ca="1" si="2"/>
        <v>Nguyễn Văn Minh</v>
      </c>
      <c r="D68" s="183">
        <f t="shared" ca="1" si="3"/>
        <v>812456561</v>
      </c>
      <c r="E68" s="63" t="str">
        <f t="shared" ca="1" si="4"/>
        <v>minhnv.tnh@vnpt.vn</v>
      </c>
      <c r="F68" s="64" t="str">
        <f t="shared" ca="1" si="5"/>
        <v>Lần 14</v>
      </c>
      <c r="G68" s="97">
        <v>46223</v>
      </c>
      <c r="H68" s="75"/>
      <c r="I68" s="75"/>
      <c r="J68" s="121"/>
      <c r="K68" s="121"/>
      <c r="L68" s="95"/>
      <c r="M68" s="184">
        <f t="shared" ca="1" si="6"/>
        <v>0</v>
      </c>
      <c r="N68" s="67">
        <f t="shared" ca="1" si="7"/>
        <v>0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182" t="str">
        <f t="shared" ca="1" si="9"/>
        <v>Tổ Hạ tầng Gò Dầu</v>
      </c>
      <c r="C69" s="61" t="str">
        <f t="shared" ca="1" si="2"/>
        <v>Nguyễn Văn Minh</v>
      </c>
      <c r="D69" s="183">
        <f t="shared" ca="1" si="3"/>
        <v>812456561</v>
      </c>
      <c r="E69" s="63" t="str">
        <f t="shared" ca="1" si="4"/>
        <v>minhnv.tnh@vnpt.vn</v>
      </c>
      <c r="F69" s="64" t="str">
        <f t="shared" ca="1" si="5"/>
        <v>Lần 15</v>
      </c>
      <c r="G69" s="97">
        <v>46223</v>
      </c>
      <c r="H69" s="75"/>
      <c r="I69" s="75"/>
      <c r="J69" s="121"/>
      <c r="K69" s="121"/>
      <c r="L69" s="95"/>
      <c r="M69" s="184">
        <f t="shared" ca="1" si="6"/>
        <v>0</v>
      </c>
      <c r="N69" s="67">
        <f t="shared" ca="1" si="7"/>
        <v>0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96" t="str">
        <f t="shared" ca="1" si="9"/>
        <v>Tổ Hạ tầng Gò Dầu</v>
      </c>
      <c r="C70" s="102" t="str">
        <f t="shared" ca="1" si="2"/>
        <v>Nguyễn Văn Minh</v>
      </c>
      <c r="D70" s="197">
        <f t="shared" ca="1" si="3"/>
        <v>812456561</v>
      </c>
      <c r="E70" s="104" t="str">
        <f t="shared" ca="1" si="4"/>
        <v>minhnv.tnh@vnpt.vn</v>
      </c>
      <c r="F70" s="105" t="str">
        <f t="shared" ca="1" si="5"/>
        <v>Lần 16</v>
      </c>
      <c r="G70" s="198">
        <v>46223</v>
      </c>
      <c r="H70" s="199"/>
      <c r="I70" s="199"/>
      <c r="J70" s="200"/>
      <c r="K70" s="200"/>
      <c r="L70" s="212"/>
      <c r="M70" s="202">
        <f t="shared" ca="1" si="6"/>
        <v>0</v>
      </c>
      <c r="N70" s="203">
        <f t="shared" ca="1" si="7"/>
        <v>0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204" t="str">
        <f t="shared" ca="1" si="9"/>
        <v>Tổ Hạ tầng Gò Dầu</v>
      </c>
      <c r="C71" s="108" t="str">
        <f t="shared" ca="1" si="2"/>
        <v>Phạm Đình Thái</v>
      </c>
      <c r="D71" s="205">
        <f t="shared" ca="1" si="3"/>
        <v>824903077</v>
      </c>
      <c r="E71" s="110" t="str">
        <f t="shared" ca="1" si="4"/>
        <v>thaipd.tnh@vnpt.vn</v>
      </c>
      <c r="F71" s="111" t="str">
        <f t="shared" ca="1" si="5"/>
        <v>Lần 1</v>
      </c>
      <c r="G71" s="97">
        <v>46206</v>
      </c>
      <c r="H71" s="207">
        <v>89</v>
      </c>
      <c r="I71" s="207">
        <v>38</v>
      </c>
      <c r="J71" s="207">
        <v>79</v>
      </c>
      <c r="K71" s="207">
        <v>42</v>
      </c>
      <c r="L71" s="213"/>
      <c r="M71" s="181">
        <f t="shared" ca="1" si="6"/>
        <v>1</v>
      </c>
      <c r="N71" s="57">
        <f t="shared" ca="1" si="7"/>
        <v>1</v>
      </c>
      <c r="O71" s="68">
        <f t="shared" ca="1" si="8"/>
        <v>0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182" t="str">
        <f t="shared" ca="1" si="9"/>
        <v>Tổ Hạ tầng Gò Dầu</v>
      </c>
      <c r="C72" s="61" t="str">
        <f t="shared" ca="1" si="2"/>
        <v>Phạm Đình Thái</v>
      </c>
      <c r="D72" s="183">
        <f t="shared" ca="1" si="3"/>
        <v>824903077</v>
      </c>
      <c r="E72" s="63" t="str">
        <f t="shared" ca="1" si="4"/>
        <v>thaipd.tnh@vnpt.vn</v>
      </c>
      <c r="F72" s="64" t="str">
        <f t="shared" ca="1" si="5"/>
        <v>Lần 2</v>
      </c>
      <c r="G72" s="97">
        <v>46206</v>
      </c>
      <c r="H72" s="121">
        <v>98</v>
      </c>
      <c r="I72" s="121">
        <v>47</v>
      </c>
      <c r="J72" s="121">
        <v>107</v>
      </c>
      <c r="K72" s="121">
        <v>61</v>
      </c>
      <c r="L72" s="88"/>
      <c r="M72" s="184">
        <f t="shared" ca="1" si="6"/>
        <v>1</v>
      </c>
      <c r="N72" s="67">
        <f t="shared" ca="1" si="7"/>
        <v>1</v>
      </c>
      <c r="O72" s="68">
        <f t="shared" ca="1" si="8"/>
        <v>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182" t="str">
        <f t="shared" ca="1" si="9"/>
        <v>Tổ Hạ tầng Gò Dầu</v>
      </c>
      <c r="C73" s="61" t="str">
        <f t="shared" ca="1" si="2"/>
        <v>Phạm Đình Thái</v>
      </c>
      <c r="D73" s="183">
        <f t="shared" ca="1" si="3"/>
        <v>824903077</v>
      </c>
      <c r="E73" s="63" t="str">
        <f t="shared" ca="1" si="4"/>
        <v>thaipd.tnh@vnpt.vn</v>
      </c>
      <c r="F73" s="64" t="str">
        <f t="shared" ca="1" si="5"/>
        <v>Lần 3</v>
      </c>
      <c r="G73" s="97">
        <v>46206</v>
      </c>
      <c r="H73" s="121">
        <v>121</v>
      </c>
      <c r="I73" s="121">
        <v>48</v>
      </c>
      <c r="J73" s="121">
        <v>93</v>
      </c>
      <c r="K73" s="121">
        <v>57</v>
      </c>
      <c r="L73" s="88"/>
      <c r="M73" s="184">
        <f t="shared" ca="1" si="6"/>
        <v>1</v>
      </c>
      <c r="N73" s="67">
        <f t="shared" ca="1" si="7"/>
        <v>1</v>
      </c>
      <c r="O73" s="68">
        <f t="shared" ca="1" si="8"/>
        <v>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182" t="str">
        <f t="shared" ca="1" si="9"/>
        <v>Tổ Hạ tầng Gò Dầu</v>
      </c>
      <c r="C74" s="61" t="str">
        <f t="shared" ca="1" si="2"/>
        <v>Phạm Đình Thái</v>
      </c>
      <c r="D74" s="183">
        <f t="shared" ca="1" si="3"/>
        <v>824903077</v>
      </c>
      <c r="E74" s="63" t="str">
        <f t="shared" ca="1" si="4"/>
        <v>thaipd.tnh@vnpt.vn</v>
      </c>
      <c r="F74" s="64" t="str">
        <f t="shared" ca="1" si="5"/>
        <v>Lần 4</v>
      </c>
      <c r="G74" s="97">
        <v>46206</v>
      </c>
      <c r="H74" s="121">
        <v>103</v>
      </c>
      <c r="I74" s="121">
        <v>43</v>
      </c>
      <c r="J74" s="121">
        <v>104</v>
      </c>
      <c r="K74" s="121">
        <v>61</v>
      </c>
      <c r="L74" s="88"/>
      <c r="M74" s="184">
        <f t="shared" ca="1" si="6"/>
        <v>1</v>
      </c>
      <c r="N74" s="67">
        <f t="shared" ca="1" si="7"/>
        <v>1</v>
      </c>
      <c r="O74" s="68">
        <f t="shared" ca="1" si="8"/>
        <v>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182" t="str">
        <f t="shared" ca="1" si="9"/>
        <v>Tổ Hạ tầng Gò Dầu</v>
      </c>
      <c r="C75" s="61" t="str">
        <f t="shared" ca="1" si="2"/>
        <v>Phạm Đình Thái</v>
      </c>
      <c r="D75" s="183">
        <f t="shared" ca="1" si="3"/>
        <v>824903077</v>
      </c>
      <c r="E75" s="63" t="str">
        <f t="shared" ca="1" si="4"/>
        <v>thaipd.tnh@vnpt.vn</v>
      </c>
      <c r="F75" s="64" t="str">
        <f t="shared" ca="1" si="5"/>
        <v>Lần 5</v>
      </c>
      <c r="G75" s="97">
        <v>46211</v>
      </c>
      <c r="H75" s="122">
        <v>89</v>
      </c>
      <c r="I75" s="122">
        <v>42</v>
      </c>
      <c r="J75" s="121">
        <v>109</v>
      </c>
      <c r="K75" s="121">
        <v>14</v>
      </c>
      <c r="L75" s="91"/>
      <c r="M75" s="184">
        <f t="shared" ca="1" si="6"/>
        <v>1</v>
      </c>
      <c r="N75" s="67">
        <f t="shared" ca="1" si="7"/>
        <v>1</v>
      </c>
      <c r="O75" s="68">
        <f t="shared" ca="1" si="8"/>
        <v>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182" t="str">
        <f t="shared" ca="1" si="9"/>
        <v>Tổ Hạ tầng Gò Dầu</v>
      </c>
      <c r="C76" s="61" t="str">
        <f t="shared" ca="1" si="2"/>
        <v>Phạm Đình Thái</v>
      </c>
      <c r="D76" s="183">
        <f t="shared" ca="1" si="3"/>
        <v>824903077</v>
      </c>
      <c r="E76" s="63" t="str">
        <f t="shared" ca="1" si="4"/>
        <v>thaipd.tnh@vnpt.vn</v>
      </c>
      <c r="F76" s="64" t="str">
        <f t="shared" ca="1" si="5"/>
        <v>Lần 6</v>
      </c>
      <c r="G76" s="97">
        <v>46211</v>
      </c>
      <c r="H76" s="122">
        <v>106</v>
      </c>
      <c r="I76" s="122">
        <v>43</v>
      </c>
      <c r="J76" s="121">
        <v>111</v>
      </c>
      <c r="K76" s="121">
        <v>58</v>
      </c>
      <c r="L76" s="91"/>
      <c r="M76" s="184">
        <f t="shared" ca="1" si="6"/>
        <v>1</v>
      </c>
      <c r="N76" s="67">
        <f t="shared" ca="1" si="7"/>
        <v>1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182" t="str">
        <f t="shared" ca="1" si="9"/>
        <v>Tổ Hạ tầng Gò Dầu</v>
      </c>
      <c r="C77" s="61" t="str">
        <f t="shared" ca="1" si="2"/>
        <v>Phạm Đình Thái</v>
      </c>
      <c r="D77" s="183">
        <f t="shared" ca="1" si="3"/>
        <v>824903077</v>
      </c>
      <c r="E77" s="63" t="str">
        <f t="shared" ca="1" si="4"/>
        <v>thaipd.tnh@vnpt.vn</v>
      </c>
      <c r="F77" s="64" t="str">
        <f t="shared" ca="1" si="5"/>
        <v>Lần 7</v>
      </c>
      <c r="G77" s="97">
        <v>46211</v>
      </c>
      <c r="H77" s="122">
        <v>93</v>
      </c>
      <c r="I77" s="122">
        <v>48</v>
      </c>
      <c r="J77" s="121">
        <v>99</v>
      </c>
      <c r="K77" s="121">
        <v>59</v>
      </c>
      <c r="L77" s="91"/>
      <c r="M77" s="184">
        <f t="shared" ca="1" si="6"/>
        <v>1</v>
      </c>
      <c r="N77" s="67">
        <f t="shared" ca="1" si="7"/>
        <v>1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182" t="str">
        <f t="shared" ca="1" si="9"/>
        <v>Tổ Hạ tầng Gò Dầu</v>
      </c>
      <c r="C78" s="61" t="str">
        <f t="shared" ca="1" si="2"/>
        <v>Phạm Đình Thái</v>
      </c>
      <c r="D78" s="183">
        <f t="shared" ca="1" si="3"/>
        <v>824903077</v>
      </c>
      <c r="E78" s="63" t="str">
        <f t="shared" ca="1" si="4"/>
        <v>thaipd.tnh@vnpt.vn</v>
      </c>
      <c r="F78" s="64" t="str">
        <f t="shared" ca="1" si="5"/>
        <v>Lần 8</v>
      </c>
      <c r="G78" s="97">
        <v>46211</v>
      </c>
      <c r="H78" s="122">
        <v>99</v>
      </c>
      <c r="I78" s="122">
        <v>49</v>
      </c>
      <c r="J78" s="121">
        <v>94</v>
      </c>
      <c r="K78" s="121">
        <v>51</v>
      </c>
      <c r="L78" s="91"/>
      <c r="M78" s="184">
        <f t="shared" ca="1" si="6"/>
        <v>1</v>
      </c>
      <c r="N78" s="67">
        <f t="shared" ca="1" si="7"/>
        <v>1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182" t="str">
        <f t="shared" ca="1" si="9"/>
        <v>Tổ Hạ tầng Gò Dầu</v>
      </c>
      <c r="C79" s="61" t="str">
        <f t="shared" ca="1" si="2"/>
        <v>Phạm Đình Thái</v>
      </c>
      <c r="D79" s="183">
        <f t="shared" ca="1" si="3"/>
        <v>824903077</v>
      </c>
      <c r="E79" s="63" t="str">
        <f t="shared" ca="1" si="4"/>
        <v>thaipd.tnh@vnpt.vn</v>
      </c>
      <c r="F79" s="64" t="str">
        <f t="shared" ca="1" si="5"/>
        <v>Lần 9</v>
      </c>
      <c r="G79" s="97">
        <v>46217</v>
      </c>
      <c r="H79" s="122">
        <v>128</v>
      </c>
      <c r="I79" s="122">
        <v>52</v>
      </c>
      <c r="J79" s="121">
        <v>82</v>
      </c>
      <c r="K79" s="121">
        <v>51</v>
      </c>
      <c r="L79" s="91"/>
      <c r="M79" s="184">
        <f t="shared" ca="1" si="6"/>
        <v>1</v>
      </c>
      <c r="N79" s="67">
        <f t="shared" ca="1" si="7"/>
        <v>1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182" t="str">
        <f t="shared" ca="1" si="9"/>
        <v>Tổ Hạ tầng Gò Dầu</v>
      </c>
      <c r="C80" s="61" t="str">
        <f t="shared" ca="1" si="2"/>
        <v>Phạm Đình Thái</v>
      </c>
      <c r="D80" s="183">
        <f t="shared" ca="1" si="3"/>
        <v>824903077</v>
      </c>
      <c r="E80" s="63" t="str">
        <f t="shared" ca="1" si="4"/>
        <v>thaipd.tnh@vnpt.vn</v>
      </c>
      <c r="F80" s="64" t="str">
        <f t="shared" ca="1" si="5"/>
        <v>Lần 10</v>
      </c>
      <c r="G80" s="97">
        <v>46217</v>
      </c>
      <c r="H80" s="122">
        <v>132</v>
      </c>
      <c r="I80" s="122">
        <v>48</v>
      </c>
      <c r="J80" s="121">
        <v>93</v>
      </c>
      <c r="K80" s="121">
        <v>53</v>
      </c>
      <c r="L80" s="91"/>
      <c r="M80" s="184">
        <f t="shared" ca="1" si="6"/>
        <v>1</v>
      </c>
      <c r="N80" s="67">
        <f t="shared" ca="1" si="7"/>
        <v>1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182" t="str">
        <f t="shared" ca="1" si="9"/>
        <v>Tổ Hạ tầng Gò Dầu</v>
      </c>
      <c r="C81" s="61" t="str">
        <f t="shared" ca="1" si="2"/>
        <v>Phạm Đình Thái</v>
      </c>
      <c r="D81" s="183">
        <f t="shared" ca="1" si="3"/>
        <v>824903077</v>
      </c>
      <c r="E81" s="63" t="str">
        <f t="shared" ca="1" si="4"/>
        <v>thaipd.tnh@vnpt.vn</v>
      </c>
      <c r="F81" s="64" t="str">
        <f t="shared" ca="1" si="5"/>
        <v>Lần 11</v>
      </c>
      <c r="G81" s="97">
        <v>46217</v>
      </c>
      <c r="H81" s="122">
        <v>102</v>
      </c>
      <c r="I81" s="122">
        <v>51</v>
      </c>
      <c r="J81" s="121">
        <v>89</v>
      </c>
      <c r="K81" s="121">
        <v>53</v>
      </c>
      <c r="L81" s="91"/>
      <c r="M81" s="184">
        <f t="shared" ca="1" si="6"/>
        <v>1</v>
      </c>
      <c r="N81" s="67">
        <f t="shared" ca="1" si="7"/>
        <v>1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182" t="str">
        <f t="shared" ca="1" si="9"/>
        <v>Tổ Hạ tầng Gò Dầu</v>
      </c>
      <c r="C82" s="61" t="str">
        <f t="shared" ca="1" si="2"/>
        <v>Phạm Đình Thái</v>
      </c>
      <c r="D82" s="183">
        <f t="shared" ca="1" si="3"/>
        <v>824903077</v>
      </c>
      <c r="E82" s="63" t="str">
        <f t="shared" ca="1" si="4"/>
        <v>thaipd.tnh@vnpt.vn</v>
      </c>
      <c r="F82" s="64" t="str">
        <f t="shared" ca="1" si="5"/>
        <v>Lần 12</v>
      </c>
      <c r="G82" s="97">
        <v>46217</v>
      </c>
      <c r="H82" s="122">
        <v>103</v>
      </c>
      <c r="I82" s="122">
        <v>46</v>
      </c>
      <c r="J82" s="121">
        <v>79</v>
      </c>
      <c r="K82" s="121">
        <v>14</v>
      </c>
      <c r="L82" s="91"/>
      <c r="M82" s="184">
        <f t="shared" ca="1" si="6"/>
        <v>1</v>
      </c>
      <c r="N82" s="67">
        <f t="shared" ca="1" si="7"/>
        <v>1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182" t="str">
        <f t="shared" ca="1" si="9"/>
        <v>Tổ Hạ tầng Gò Dầu</v>
      </c>
      <c r="C83" s="61" t="str">
        <f t="shared" ca="1" si="2"/>
        <v>Phạm Đình Thái</v>
      </c>
      <c r="D83" s="183">
        <f t="shared" ca="1" si="3"/>
        <v>824903077</v>
      </c>
      <c r="E83" s="63" t="str">
        <f t="shared" ca="1" si="4"/>
        <v>thaipd.tnh@vnpt.vn</v>
      </c>
      <c r="F83" s="64" t="str">
        <f t="shared" ca="1" si="5"/>
        <v>Lần 13</v>
      </c>
      <c r="G83" s="97">
        <v>46223</v>
      </c>
      <c r="H83" s="122"/>
      <c r="I83" s="122"/>
      <c r="J83" s="121"/>
      <c r="K83" s="121"/>
      <c r="L83" s="91"/>
      <c r="M83" s="184">
        <f t="shared" ca="1" si="6"/>
        <v>0</v>
      </c>
      <c r="N83" s="67">
        <f t="shared" ca="1" si="7"/>
        <v>0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182" t="str">
        <f t="shared" ca="1" si="9"/>
        <v>Tổ Hạ tầng Gò Dầu</v>
      </c>
      <c r="C84" s="61" t="str">
        <f t="shared" ca="1" si="2"/>
        <v>Phạm Đình Thái</v>
      </c>
      <c r="D84" s="183">
        <f t="shared" ca="1" si="3"/>
        <v>824903077</v>
      </c>
      <c r="E84" s="63" t="str">
        <f t="shared" ca="1" si="4"/>
        <v>thaipd.tnh@vnpt.vn</v>
      </c>
      <c r="F84" s="64" t="str">
        <f t="shared" ca="1" si="5"/>
        <v>Lần 14</v>
      </c>
      <c r="G84" s="97">
        <v>46223</v>
      </c>
      <c r="H84" s="122"/>
      <c r="I84" s="122"/>
      <c r="J84" s="121"/>
      <c r="K84" s="121"/>
      <c r="L84" s="91"/>
      <c r="M84" s="184">
        <f t="shared" ca="1" si="6"/>
        <v>0</v>
      </c>
      <c r="N84" s="67">
        <f t="shared" ca="1" si="7"/>
        <v>0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182" t="str">
        <f t="shared" ca="1" si="9"/>
        <v>Tổ Hạ tầng Gò Dầu</v>
      </c>
      <c r="C85" s="61" t="str">
        <f t="shared" ca="1" si="2"/>
        <v>Phạm Đình Thái</v>
      </c>
      <c r="D85" s="183">
        <f t="shared" ca="1" si="3"/>
        <v>824903077</v>
      </c>
      <c r="E85" s="63" t="str">
        <f t="shared" ca="1" si="4"/>
        <v>thaipd.tnh@vnpt.vn</v>
      </c>
      <c r="F85" s="64" t="str">
        <f t="shared" ca="1" si="5"/>
        <v>Lần 15</v>
      </c>
      <c r="G85" s="97">
        <v>46223</v>
      </c>
      <c r="H85" s="122"/>
      <c r="I85" s="122"/>
      <c r="J85" s="121"/>
      <c r="K85" s="121"/>
      <c r="L85" s="91"/>
      <c r="M85" s="184">
        <f t="shared" ca="1" si="6"/>
        <v>0</v>
      </c>
      <c r="N85" s="67">
        <f t="shared" ca="1" si="7"/>
        <v>0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185" t="str">
        <f t="shared" ca="1" si="9"/>
        <v>Tổ Hạ tầng Gò Dầu</v>
      </c>
      <c r="C86" s="82" t="str">
        <f t="shared" ca="1" si="2"/>
        <v>Phạm Đình Thái</v>
      </c>
      <c r="D86" s="186">
        <f t="shared" ca="1" si="3"/>
        <v>824903077</v>
      </c>
      <c r="E86" s="84" t="str">
        <f t="shared" ca="1" si="4"/>
        <v>thaipd.tnh@vnpt.vn</v>
      </c>
      <c r="F86" s="85" t="str">
        <f t="shared" ca="1" si="5"/>
        <v>Lần 16</v>
      </c>
      <c r="G86" s="214">
        <v>46223</v>
      </c>
      <c r="H86" s="150"/>
      <c r="I86" s="150"/>
      <c r="J86" s="188"/>
      <c r="K86" s="188"/>
      <c r="L86" s="152"/>
      <c r="M86" s="189">
        <f t="shared" ca="1" si="6"/>
        <v>0</v>
      </c>
      <c r="N86" s="171">
        <f t="shared" ca="1" si="7"/>
        <v>0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190" t="str">
        <f t="shared" ca="1" si="9"/>
        <v>Tổ Hạ tầng Gò Dầu</v>
      </c>
      <c r="C87" s="48" t="str">
        <f t="shared" ca="1" si="2"/>
        <v>Phan Văn Thành</v>
      </c>
      <c r="D87" s="191">
        <f t="shared" ca="1" si="3"/>
        <v>948308539</v>
      </c>
      <c r="E87" s="50" t="str">
        <f t="shared" ca="1" si="4"/>
        <v>thanhpv.tnh@vnpt.vn</v>
      </c>
      <c r="F87" s="51" t="str">
        <f t="shared" ca="1" si="5"/>
        <v>Lần 1</v>
      </c>
      <c r="G87" s="215">
        <v>46206</v>
      </c>
      <c r="H87" s="142">
        <v>104</v>
      </c>
      <c r="I87" s="142">
        <v>40</v>
      </c>
      <c r="J87" s="179">
        <v>118</v>
      </c>
      <c r="K87" s="179">
        <v>38</v>
      </c>
      <c r="L87" s="216"/>
      <c r="M87" s="194">
        <f t="shared" ca="1" si="6"/>
        <v>1</v>
      </c>
      <c r="N87" s="195">
        <f t="shared" ca="1" si="7"/>
        <v>1</v>
      </c>
      <c r="O87" s="68">
        <f t="shared" ca="1" si="8"/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182" t="str">
        <f t="shared" ca="1" si="9"/>
        <v>Tổ Hạ tầng Gò Dầu</v>
      </c>
      <c r="C88" s="61" t="str">
        <f t="shared" ca="1" si="2"/>
        <v>Phan Văn Thành</v>
      </c>
      <c r="D88" s="183">
        <f t="shared" ca="1" si="3"/>
        <v>948308539</v>
      </c>
      <c r="E88" s="63" t="str">
        <f t="shared" ca="1" si="4"/>
        <v>thanhpv.tnh@vnpt.vn</v>
      </c>
      <c r="F88" s="64" t="str">
        <f t="shared" ca="1" si="5"/>
        <v>Lần 2</v>
      </c>
      <c r="G88" s="97">
        <v>46206</v>
      </c>
      <c r="H88" s="71">
        <v>107</v>
      </c>
      <c r="I88" s="71">
        <v>42</v>
      </c>
      <c r="J88" s="121">
        <v>92</v>
      </c>
      <c r="K88" s="121">
        <v>41</v>
      </c>
      <c r="L88" s="96"/>
      <c r="M88" s="184">
        <f t="shared" ca="1" si="6"/>
        <v>1</v>
      </c>
      <c r="N88" s="67">
        <f t="shared" ca="1" si="7"/>
        <v>1</v>
      </c>
      <c r="O88" s="68">
        <f t="shared" ca="1" si="8"/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182" t="str">
        <f t="shared" ca="1" si="9"/>
        <v>Tổ Hạ tầng Gò Dầu</v>
      </c>
      <c r="C89" s="61" t="str">
        <f t="shared" ca="1" si="2"/>
        <v>Phan Văn Thành</v>
      </c>
      <c r="D89" s="183">
        <f t="shared" ca="1" si="3"/>
        <v>948308539</v>
      </c>
      <c r="E89" s="63" t="str">
        <f t="shared" ca="1" si="4"/>
        <v>thanhpv.tnh@vnpt.vn</v>
      </c>
      <c r="F89" s="64" t="str">
        <f t="shared" ca="1" si="5"/>
        <v>Lần 3</v>
      </c>
      <c r="G89" s="97">
        <v>46206</v>
      </c>
      <c r="H89" s="71">
        <v>102</v>
      </c>
      <c r="I89" s="71">
        <v>40</v>
      </c>
      <c r="J89" s="121">
        <v>94</v>
      </c>
      <c r="K89" s="121">
        <v>41</v>
      </c>
      <c r="L89" s="96"/>
      <c r="M89" s="184">
        <f t="shared" ca="1" si="6"/>
        <v>1</v>
      </c>
      <c r="N89" s="67">
        <f t="shared" ca="1" si="7"/>
        <v>1</v>
      </c>
      <c r="O89" s="68">
        <f t="shared" ca="1" si="8"/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182" t="str">
        <f t="shared" ca="1" si="9"/>
        <v>Tổ Hạ tầng Gò Dầu</v>
      </c>
      <c r="C90" s="61" t="str">
        <f t="shared" ca="1" si="2"/>
        <v>Phan Văn Thành</v>
      </c>
      <c r="D90" s="183">
        <f t="shared" ca="1" si="3"/>
        <v>948308539</v>
      </c>
      <c r="E90" s="63" t="str">
        <f t="shared" ca="1" si="4"/>
        <v>thanhpv.tnh@vnpt.vn</v>
      </c>
      <c r="F90" s="64" t="str">
        <f t="shared" ca="1" si="5"/>
        <v>Lần 4</v>
      </c>
      <c r="G90" s="97">
        <v>46206</v>
      </c>
      <c r="H90" s="71">
        <v>76</v>
      </c>
      <c r="I90" s="71">
        <v>39</v>
      </c>
      <c r="J90" s="121">
        <v>99</v>
      </c>
      <c r="K90" s="121">
        <v>42</v>
      </c>
      <c r="L90" s="95"/>
      <c r="M90" s="184">
        <f t="shared" ca="1" si="6"/>
        <v>1</v>
      </c>
      <c r="N90" s="67">
        <f t="shared" ca="1" si="7"/>
        <v>1</v>
      </c>
      <c r="O90" s="68">
        <f t="shared" ca="1" si="8"/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182" t="str">
        <f t="shared" ca="1" si="9"/>
        <v>Tổ Hạ tầng Gò Dầu</v>
      </c>
      <c r="C91" s="61" t="str">
        <f t="shared" ca="1" si="2"/>
        <v>Phan Văn Thành</v>
      </c>
      <c r="D91" s="183">
        <f t="shared" ca="1" si="3"/>
        <v>948308539</v>
      </c>
      <c r="E91" s="63" t="str">
        <f t="shared" ca="1" si="4"/>
        <v>thanhpv.tnh@vnpt.vn</v>
      </c>
      <c r="F91" s="64" t="str">
        <f t="shared" ca="1" si="5"/>
        <v>Lần 5</v>
      </c>
      <c r="G91" s="97">
        <v>46211</v>
      </c>
      <c r="H91" s="75">
        <v>97</v>
      </c>
      <c r="I91" s="75">
        <v>39</v>
      </c>
      <c r="J91" s="121">
        <v>95</v>
      </c>
      <c r="K91" s="121">
        <v>41</v>
      </c>
      <c r="L91" s="95"/>
      <c r="M91" s="184">
        <f t="shared" ca="1" si="6"/>
        <v>1</v>
      </c>
      <c r="N91" s="67">
        <f t="shared" ca="1" si="7"/>
        <v>1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182" t="str">
        <f t="shared" ca="1" si="9"/>
        <v>Tổ Hạ tầng Gò Dầu</v>
      </c>
      <c r="C92" s="61" t="str">
        <f t="shared" ca="1" si="2"/>
        <v>Phan Văn Thành</v>
      </c>
      <c r="D92" s="183">
        <f t="shared" ca="1" si="3"/>
        <v>948308539</v>
      </c>
      <c r="E92" s="63" t="str">
        <f t="shared" ca="1" si="4"/>
        <v>thanhpv.tnh@vnpt.vn</v>
      </c>
      <c r="F92" s="64" t="str">
        <f t="shared" ca="1" si="5"/>
        <v>Lần 6</v>
      </c>
      <c r="G92" s="97">
        <v>46211</v>
      </c>
      <c r="H92" s="75">
        <v>70</v>
      </c>
      <c r="I92" s="75">
        <v>19</v>
      </c>
      <c r="J92" s="121">
        <v>101</v>
      </c>
      <c r="K92" s="121">
        <v>40</v>
      </c>
      <c r="L92" s="95"/>
      <c r="M92" s="184">
        <f t="shared" ca="1" si="6"/>
        <v>1</v>
      </c>
      <c r="N92" s="67">
        <f t="shared" ca="1" si="7"/>
        <v>1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182" t="str">
        <f t="shared" ca="1" si="9"/>
        <v>Tổ Hạ tầng Gò Dầu</v>
      </c>
      <c r="C93" s="61" t="str">
        <f t="shared" ca="1" si="2"/>
        <v>Phan Văn Thành</v>
      </c>
      <c r="D93" s="183">
        <f t="shared" ca="1" si="3"/>
        <v>948308539</v>
      </c>
      <c r="E93" s="63" t="str">
        <f t="shared" ca="1" si="4"/>
        <v>thanhpv.tnh@vnpt.vn</v>
      </c>
      <c r="F93" s="64" t="str">
        <f t="shared" ca="1" si="5"/>
        <v>Lần 7</v>
      </c>
      <c r="G93" s="97">
        <v>46211</v>
      </c>
      <c r="H93" s="75">
        <v>76</v>
      </c>
      <c r="I93" s="75">
        <v>19</v>
      </c>
      <c r="J93" s="121">
        <v>106</v>
      </c>
      <c r="K93" s="121">
        <v>41</v>
      </c>
      <c r="L93" s="95"/>
      <c r="M93" s="184">
        <f t="shared" ca="1" si="6"/>
        <v>1</v>
      </c>
      <c r="N93" s="67">
        <f t="shared" ca="1" si="7"/>
        <v>1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182" t="str">
        <f t="shared" ca="1" si="9"/>
        <v>Tổ Hạ tầng Gò Dầu</v>
      </c>
      <c r="C94" s="61" t="str">
        <f t="shared" ca="1" si="2"/>
        <v>Phan Văn Thành</v>
      </c>
      <c r="D94" s="183">
        <f t="shared" ca="1" si="3"/>
        <v>948308539</v>
      </c>
      <c r="E94" s="63" t="str">
        <f t="shared" ca="1" si="4"/>
        <v>thanhpv.tnh@vnpt.vn</v>
      </c>
      <c r="F94" s="64" t="str">
        <f t="shared" ca="1" si="5"/>
        <v>Lần 8</v>
      </c>
      <c r="G94" s="97">
        <v>46211</v>
      </c>
      <c r="H94" s="75">
        <v>73</v>
      </c>
      <c r="I94" s="75">
        <v>22</v>
      </c>
      <c r="J94" s="121">
        <v>97</v>
      </c>
      <c r="K94" s="121">
        <v>41</v>
      </c>
      <c r="L94" s="95"/>
      <c r="M94" s="184">
        <f t="shared" ca="1" si="6"/>
        <v>1</v>
      </c>
      <c r="N94" s="67">
        <f t="shared" ca="1" si="7"/>
        <v>1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182" t="str">
        <f t="shared" ca="1" si="9"/>
        <v>Tổ Hạ tầng Gò Dầu</v>
      </c>
      <c r="C95" s="61" t="str">
        <f t="shared" ca="1" si="2"/>
        <v>Phan Văn Thành</v>
      </c>
      <c r="D95" s="183">
        <f t="shared" ca="1" si="3"/>
        <v>948308539</v>
      </c>
      <c r="E95" s="63" t="str">
        <f t="shared" ca="1" si="4"/>
        <v>thanhpv.tnh@vnpt.vn</v>
      </c>
      <c r="F95" s="64" t="str">
        <f t="shared" ca="1" si="5"/>
        <v>Lần 9</v>
      </c>
      <c r="G95" s="97">
        <v>46217</v>
      </c>
      <c r="H95" s="75">
        <v>90</v>
      </c>
      <c r="I95" s="75">
        <v>52</v>
      </c>
      <c r="J95" s="121">
        <v>85</v>
      </c>
      <c r="K95" s="121">
        <v>42</v>
      </c>
      <c r="L95" s="95"/>
      <c r="M95" s="184">
        <f t="shared" ca="1" si="6"/>
        <v>1</v>
      </c>
      <c r="N95" s="67">
        <f t="shared" ca="1" si="7"/>
        <v>1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182" t="str">
        <f t="shared" ca="1" si="9"/>
        <v>Tổ Hạ tầng Gò Dầu</v>
      </c>
      <c r="C96" s="61" t="str">
        <f t="shared" ca="1" si="2"/>
        <v>Phan Văn Thành</v>
      </c>
      <c r="D96" s="183">
        <f t="shared" ca="1" si="3"/>
        <v>948308539</v>
      </c>
      <c r="E96" s="63" t="str">
        <f t="shared" ca="1" si="4"/>
        <v>thanhpv.tnh@vnpt.vn</v>
      </c>
      <c r="F96" s="64" t="str">
        <f t="shared" ca="1" si="5"/>
        <v>Lần 10</v>
      </c>
      <c r="G96" s="97">
        <v>46217</v>
      </c>
      <c r="H96" s="75">
        <v>73</v>
      </c>
      <c r="I96" s="75">
        <v>22</v>
      </c>
      <c r="J96" s="121">
        <v>99</v>
      </c>
      <c r="K96" s="121">
        <v>42</v>
      </c>
      <c r="L96" s="95"/>
      <c r="M96" s="184">
        <f t="shared" ca="1" si="6"/>
        <v>1</v>
      </c>
      <c r="N96" s="67">
        <f t="shared" ca="1" si="7"/>
        <v>1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182" t="str">
        <f t="shared" ca="1" si="9"/>
        <v>Tổ Hạ tầng Gò Dầu</v>
      </c>
      <c r="C97" s="61" t="str">
        <f t="shared" ca="1" si="2"/>
        <v>Phan Văn Thành</v>
      </c>
      <c r="D97" s="183">
        <f t="shared" ca="1" si="3"/>
        <v>948308539</v>
      </c>
      <c r="E97" s="63" t="str">
        <f t="shared" ca="1" si="4"/>
        <v>thanhpv.tnh@vnpt.vn</v>
      </c>
      <c r="F97" s="64" t="str">
        <f t="shared" ca="1" si="5"/>
        <v>Lần 11</v>
      </c>
      <c r="G97" s="97">
        <v>46217</v>
      </c>
      <c r="H97" s="75">
        <v>90</v>
      </c>
      <c r="I97" s="75">
        <v>52</v>
      </c>
      <c r="J97" s="121">
        <v>101</v>
      </c>
      <c r="K97" s="121">
        <v>40</v>
      </c>
      <c r="L97" s="95"/>
      <c r="M97" s="184">
        <f t="shared" ca="1" si="6"/>
        <v>1</v>
      </c>
      <c r="N97" s="67">
        <f t="shared" ca="1" si="7"/>
        <v>1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182" t="str">
        <f t="shared" ca="1" si="9"/>
        <v>Tổ Hạ tầng Gò Dầu</v>
      </c>
      <c r="C98" s="61" t="str">
        <f t="shared" ca="1" si="2"/>
        <v>Phan Văn Thành</v>
      </c>
      <c r="D98" s="183">
        <f t="shared" ca="1" si="3"/>
        <v>948308539</v>
      </c>
      <c r="E98" s="63" t="str">
        <f t="shared" ca="1" si="4"/>
        <v>thanhpv.tnh@vnpt.vn</v>
      </c>
      <c r="F98" s="64" t="str">
        <f t="shared" ca="1" si="5"/>
        <v>Lần 12</v>
      </c>
      <c r="G98" s="97">
        <v>46217</v>
      </c>
      <c r="H98" s="75">
        <v>71</v>
      </c>
      <c r="I98" s="75">
        <v>43</v>
      </c>
      <c r="J98" s="121">
        <v>106</v>
      </c>
      <c r="K98" s="121">
        <v>41</v>
      </c>
      <c r="L98" s="96"/>
      <c r="M98" s="184">
        <f t="shared" ca="1" si="6"/>
        <v>1</v>
      </c>
      <c r="N98" s="67">
        <f t="shared" ca="1" si="7"/>
        <v>1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182" t="str">
        <f t="shared" ca="1" si="9"/>
        <v>Tổ Hạ tầng Gò Dầu</v>
      </c>
      <c r="C99" s="61" t="str">
        <f t="shared" ca="1" si="2"/>
        <v>Phan Văn Thành</v>
      </c>
      <c r="D99" s="183">
        <f t="shared" ca="1" si="3"/>
        <v>948308539</v>
      </c>
      <c r="E99" s="63" t="str">
        <f t="shared" ca="1" si="4"/>
        <v>thanhpv.tnh@vnpt.vn</v>
      </c>
      <c r="F99" s="64" t="str">
        <f t="shared" ca="1" si="5"/>
        <v>Lần 13</v>
      </c>
      <c r="G99" s="97">
        <v>46223</v>
      </c>
      <c r="H99" s="75"/>
      <c r="I99" s="75"/>
      <c r="J99" s="121"/>
      <c r="K99" s="121"/>
      <c r="L99" s="96"/>
      <c r="M99" s="184">
        <f t="shared" ca="1" si="6"/>
        <v>0</v>
      </c>
      <c r="N99" s="67">
        <f t="shared" ca="1" si="7"/>
        <v>0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182" t="str">
        <f t="shared" ca="1" si="9"/>
        <v>Tổ Hạ tầng Gò Dầu</v>
      </c>
      <c r="C100" s="61" t="str">
        <f t="shared" ca="1" si="2"/>
        <v>Phan Văn Thành</v>
      </c>
      <c r="D100" s="183">
        <f t="shared" ca="1" si="3"/>
        <v>948308539</v>
      </c>
      <c r="E100" s="63" t="str">
        <f t="shared" ca="1" si="4"/>
        <v>thanhpv.tnh@vnpt.vn</v>
      </c>
      <c r="F100" s="64" t="str">
        <f t="shared" ca="1" si="5"/>
        <v>Lần 14</v>
      </c>
      <c r="G100" s="97">
        <v>46223</v>
      </c>
      <c r="H100" s="75"/>
      <c r="I100" s="75"/>
      <c r="J100" s="121"/>
      <c r="K100" s="121"/>
      <c r="L100" s="96"/>
      <c r="M100" s="184">
        <f t="shared" ca="1" si="6"/>
        <v>0</v>
      </c>
      <c r="N100" s="67">
        <f t="shared" ca="1" si="7"/>
        <v>0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182" t="str">
        <f t="shared" ca="1" si="9"/>
        <v>Tổ Hạ tầng Gò Dầu</v>
      </c>
      <c r="C101" s="61" t="str">
        <f t="shared" ca="1" si="2"/>
        <v>Phan Văn Thành</v>
      </c>
      <c r="D101" s="183">
        <f t="shared" ca="1" si="3"/>
        <v>948308539</v>
      </c>
      <c r="E101" s="63" t="str">
        <f t="shared" ca="1" si="4"/>
        <v>thanhpv.tnh@vnpt.vn</v>
      </c>
      <c r="F101" s="64" t="str">
        <f t="shared" ca="1" si="5"/>
        <v>Lần 15</v>
      </c>
      <c r="G101" s="97">
        <v>46223</v>
      </c>
      <c r="H101" s="75"/>
      <c r="I101" s="75"/>
      <c r="J101" s="121"/>
      <c r="K101" s="121"/>
      <c r="L101" s="96"/>
      <c r="M101" s="184">
        <f t="shared" ca="1" si="6"/>
        <v>0</v>
      </c>
      <c r="N101" s="67">
        <f t="shared" ca="1" si="7"/>
        <v>0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96" t="str">
        <f t="shared" ca="1" si="9"/>
        <v>Tổ Hạ tầng Gò Dầu</v>
      </c>
      <c r="C102" s="102" t="str">
        <f t="shared" ca="1" si="2"/>
        <v>Phan Văn Thành</v>
      </c>
      <c r="D102" s="197">
        <f t="shared" ca="1" si="3"/>
        <v>948308539</v>
      </c>
      <c r="E102" s="104" t="str">
        <f t="shared" ca="1" si="4"/>
        <v>thanhpv.tnh@vnpt.vn</v>
      </c>
      <c r="F102" s="105" t="str">
        <f t="shared" ca="1" si="5"/>
        <v>Lần 16</v>
      </c>
      <c r="G102" s="217">
        <v>46223</v>
      </c>
      <c r="H102" s="199"/>
      <c r="I102" s="199"/>
      <c r="J102" s="200"/>
      <c r="K102" s="200"/>
      <c r="L102" s="201"/>
      <c r="M102" s="202">
        <f t="shared" ca="1" si="6"/>
        <v>0</v>
      </c>
      <c r="N102" s="203">
        <f t="shared" ca="1" si="7"/>
        <v>0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204" t="str">
        <f t="shared" ca="1" si="9"/>
        <v>Tổ Hạ tầng Gò Dầu</v>
      </c>
      <c r="C103" s="108" t="str">
        <f t="shared" ca="1" si="2"/>
        <v>Lê Kỷ Dậu</v>
      </c>
      <c r="D103" s="205">
        <f t="shared" ca="1" si="3"/>
        <v>917088072</v>
      </c>
      <c r="E103" s="110" t="str">
        <f t="shared" ca="1" si="4"/>
        <v>daulk.tnh@vnpt.vn</v>
      </c>
      <c r="F103" s="111" t="str">
        <f t="shared" ca="1" si="5"/>
        <v>Lần 1</v>
      </c>
      <c r="G103" s="192">
        <v>46206</v>
      </c>
      <c r="H103" s="207">
        <v>88</v>
      </c>
      <c r="I103" s="207">
        <v>46</v>
      </c>
      <c r="J103" s="207">
        <v>104</v>
      </c>
      <c r="K103" s="207">
        <v>16</v>
      </c>
      <c r="L103" s="213"/>
      <c r="M103" s="181">
        <f t="shared" ca="1" si="6"/>
        <v>1</v>
      </c>
      <c r="N103" s="57">
        <f t="shared" ca="1" si="7"/>
        <v>1</v>
      </c>
      <c r="O103" s="68">
        <f t="shared" ca="1" si="8"/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182" t="str">
        <f t="shared" ca="1" si="9"/>
        <v>Tổ Hạ tầng Gò Dầu</v>
      </c>
      <c r="C104" s="61" t="str">
        <f t="shared" ca="1" si="2"/>
        <v>Lê Kỷ Dậu</v>
      </c>
      <c r="D104" s="183">
        <f t="shared" ca="1" si="3"/>
        <v>917088072</v>
      </c>
      <c r="E104" s="63" t="str">
        <f t="shared" ca="1" si="4"/>
        <v>daulk.tnh@vnpt.vn</v>
      </c>
      <c r="F104" s="64" t="str">
        <f t="shared" ca="1" si="5"/>
        <v>Lần 2</v>
      </c>
      <c r="G104" s="97">
        <v>46206</v>
      </c>
      <c r="H104" s="121">
        <v>89</v>
      </c>
      <c r="I104" s="121">
        <v>49</v>
      </c>
      <c r="J104" s="121">
        <v>107</v>
      </c>
      <c r="K104" s="121">
        <v>32</v>
      </c>
      <c r="L104" s="88"/>
      <c r="M104" s="184">
        <f t="shared" ca="1" si="6"/>
        <v>1</v>
      </c>
      <c r="N104" s="67">
        <f t="shared" ca="1" si="7"/>
        <v>1</v>
      </c>
      <c r="O104" s="68">
        <f t="shared" ca="1" si="8"/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182" t="str">
        <f t="shared" ca="1" si="9"/>
        <v>Tổ Hạ tầng Gò Dầu</v>
      </c>
      <c r="C105" s="61" t="str">
        <f t="shared" ca="1" si="2"/>
        <v>Lê Kỷ Dậu</v>
      </c>
      <c r="D105" s="183">
        <f t="shared" ca="1" si="3"/>
        <v>917088072</v>
      </c>
      <c r="E105" s="63" t="str">
        <f t="shared" ca="1" si="4"/>
        <v>daulk.tnh@vnpt.vn</v>
      </c>
      <c r="F105" s="64" t="str">
        <f t="shared" ca="1" si="5"/>
        <v>Lần 3</v>
      </c>
      <c r="G105" s="97">
        <v>46206</v>
      </c>
      <c r="H105" s="121">
        <v>81</v>
      </c>
      <c r="I105" s="121">
        <v>30</v>
      </c>
      <c r="J105" s="121">
        <v>104</v>
      </c>
      <c r="K105" s="121">
        <v>27</v>
      </c>
      <c r="L105" s="88"/>
      <c r="M105" s="184">
        <f t="shared" ca="1" si="6"/>
        <v>1</v>
      </c>
      <c r="N105" s="67">
        <f t="shared" ca="1" si="7"/>
        <v>1</v>
      </c>
      <c r="O105" s="68">
        <f t="shared" ca="1" si="8"/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182" t="str">
        <f t="shared" ca="1" si="9"/>
        <v>Tổ Hạ tầng Gò Dầu</v>
      </c>
      <c r="C106" s="61" t="str">
        <f t="shared" ca="1" si="2"/>
        <v>Lê Kỷ Dậu</v>
      </c>
      <c r="D106" s="183">
        <f t="shared" ca="1" si="3"/>
        <v>917088072</v>
      </c>
      <c r="E106" s="63" t="str">
        <f t="shared" ca="1" si="4"/>
        <v>daulk.tnh@vnpt.vn</v>
      </c>
      <c r="F106" s="64" t="str">
        <f t="shared" ca="1" si="5"/>
        <v>Lần 4</v>
      </c>
      <c r="G106" s="97">
        <v>46206</v>
      </c>
      <c r="H106" s="121">
        <v>94</v>
      </c>
      <c r="I106" s="121">
        <v>29</v>
      </c>
      <c r="J106" s="121">
        <v>105</v>
      </c>
      <c r="K106" s="121">
        <v>45</v>
      </c>
      <c r="L106" s="88"/>
      <c r="M106" s="184">
        <f t="shared" ca="1" si="6"/>
        <v>1</v>
      </c>
      <c r="N106" s="67">
        <f t="shared" ca="1" si="7"/>
        <v>1</v>
      </c>
      <c r="O106" s="68">
        <f t="shared" ca="1" si="8"/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182" t="str">
        <f t="shared" ca="1" si="9"/>
        <v>Tổ Hạ tầng Gò Dầu</v>
      </c>
      <c r="C107" s="61" t="str">
        <f t="shared" ca="1" si="2"/>
        <v>Lê Kỷ Dậu</v>
      </c>
      <c r="D107" s="183">
        <f t="shared" ca="1" si="3"/>
        <v>917088072</v>
      </c>
      <c r="E107" s="63" t="str">
        <f t="shared" ca="1" si="4"/>
        <v>daulk.tnh@vnpt.vn</v>
      </c>
      <c r="F107" s="64" t="str">
        <f t="shared" ca="1" si="5"/>
        <v>Lần 5</v>
      </c>
      <c r="G107" s="97">
        <v>46211</v>
      </c>
      <c r="H107" s="122">
        <v>86</v>
      </c>
      <c r="I107" s="122">
        <v>37</v>
      </c>
      <c r="J107" s="121">
        <v>95</v>
      </c>
      <c r="K107" s="121">
        <v>41</v>
      </c>
      <c r="L107" s="88"/>
      <c r="M107" s="184">
        <f t="shared" ca="1" si="6"/>
        <v>1</v>
      </c>
      <c r="N107" s="67">
        <f t="shared" ca="1" si="7"/>
        <v>1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182" t="str">
        <f t="shared" ca="1" si="9"/>
        <v>Tổ Hạ tầng Gò Dầu</v>
      </c>
      <c r="C108" s="61" t="str">
        <f t="shared" ca="1" si="2"/>
        <v>Lê Kỷ Dậu</v>
      </c>
      <c r="D108" s="183">
        <f t="shared" ca="1" si="3"/>
        <v>917088072</v>
      </c>
      <c r="E108" s="63" t="str">
        <f t="shared" ca="1" si="4"/>
        <v>daulk.tnh@vnpt.vn</v>
      </c>
      <c r="F108" s="64" t="str">
        <f t="shared" ca="1" si="5"/>
        <v>Lần 6</v>
      </c>
      <c r="G108" s="97">
        <v>46211</v>
      </c>
      <c r="H108" s="122">
        <v>79</v>
      </c>
      <c r="I108" s="122">
        <v>31</v>
      </c>
      <c r="J108" s="121">
        <v>106</v>
      </c>
      <c r="K108" s="121">
        <v>21</v>
      </c>
      <c r="L108" s="88"/>
      <c r="M108" s="184">
        <f t="shared" ca="1" si="6"/>
        <v>1</v>
      </c>
      <c r="N108" s="67">
        <f t="shared" ca="1" si="7"/>
        <v>1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182" t="str">
        <f t="shared" ca="1" si="9"/>
        <v>Tổ Hạ tầng Gò Dầu</v>
      </c>
      <c r="C109" s="61" t="str">
        <f t="shared" ca="1" si="2"/>
        <v>Lê Kỷ Dậu</v>
      </c>
      <c r="D109" s="183">
        <f t="shared" ca="1" si="3"/>
        <v>917088072</v>
      </c>
      <c r="E109" s="63" t="str">
        <f t="shared" ca="1" si="4"/>
        <v>daulk.tnh@vnpt.vn</v>
      </c>
      <c r="F109" s="64" t="str">
        <f t="shared" ca="1" si="5"/>
        <v>Lần 7</v>
      </c>
      <c r="G109" s="97">
        <v>46211</v>
      </c>
      <c r="H109" s="122">
        <v>96</v>
      </c>
      <c r="I109" s="122">
        <v>23</v>
      </c>
      <c r="J109" s="121">
        <v>103</v>
      </c>
      <c r="K109" s="121">
        <v>31</v>
      </c>
      <c r="L109" s="88"/>
      <c r="M109" s="184">
        <f t="shared" ca="1" si="6"/>
        <v>1</v>
      </c>
      <c r="N109" s="67">
        <f t="shared" ca="1" si="7"/>
        <v>1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182" t="str">
        <f t="shared" ca="1" si="9"/>
        <v>Tổ Hạ tầng Gò Dầu</v>
      </c>
      <c r="C110" s="61" t="str">
        <f t="shared" ca="1" si="2"/>
        <v>Lê Kỷ Dậu</v>
      </c>
      <c r="D110" s="183">
        <f t="shared" ca="1" si="3"/>
        <v>917088072</v>
      </c>
      <c r="E110" s="63" t="str">
        <f t="shared" ca="1" si="4"/>
        <v>daulk.tnh@vnpt.vn</v>
      </c>
      <c r="F110" s="64" t="str">
        <f t="shared" ca="1" si="5"/>
        <v>Lần 8</v>
      </c>
      <c r="G110" s="97">
        <v>46211</v>
      </c>
      <c r="H110" s="122">
        <v>89</v>
      </c>
      <c r="I110" s="122">
        <v>32</v>
      </c>
      <c r="J110" s="121">
        <v>101</v>
      </c>
      <c r="K110" s="121">
        <v>29</v>
      </c>
      <c r="L110" s="88"/>
      <c r="M110" s="184">
        <f t="shared" ca="1" si="6"/>
        <v>1</v>
      </c>
      <c r="N110" s="67">
        <f t="shared" ca="1" si="7"/>
        <v>1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182" t="str">
        <f t="shared" ca="1" si="9"/>
        <v>Tổ Hạ tầng Gò Dầu</v>
      </c>
      <c r="C111" s="61" t="str">
        <f t="shared" ca="1" si="2"/>
        <v>Lê Kỷ Dậu</v>
      </c>
      <c r="D111" s="183">
        <f t="shared" ca="1" si="3"/>
        <v>917088072</v>
      </c>
      <c r="E111" s="63" t="str">
        <f t="shared" ca="1" si="4"/>
        <v>daulk.tnh@vnpt.vn</v>
      </c>
      <c r="F111" s="64" t="str">
        <f t="shared" ca="1" si="5"/>
        <v>Lần 9</v>
      </c>
      <c r="G111" s="97">
        <v>46217</v>
      </c>
      <c r="H111" s="122">
        <v>84</v>
      </c>
      <c r="I111" s="122">
        <v>31</v>
      </c>
      <c r="J111" s="121">
        <v>108</v>
      </c>
      <c r="K111" s="121">
        <v>42</v>
      </c>
      <c r="L111" s="88"/>
      <c r="M111" s="184">
        <f t="shared" ca="1" si="6"/>
        <v>1</v>
      </c>
      <c r="N111" s="67">
        <f t="shared" ca="1" si="7"/>
        <v>1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182" t="str">
        <f t="shared" ca="1" si="9"/>
        <v>Tổ Hạ tầng Gò Dầu</v>
      </c>
      <c r="C112" s="61" t="str">
        <f t="shared" ca="1" si="2"/>
        <v>Lê Kỷ Dậu</v>
      </c>
      <c r="D112" s="183">
        <f t="shared" ca="1" si="3"/>
        <v>917088072</v>
      </c>
      <c r="E112" s="63" t="str">
        <f t="shared" ca="1" si="4"/>
        <v>daulk.tnh@vnpt.vn</v>
      </c>
      <c r="F112" s="64" t="str">
        <f t="shared" ca="1" si="5"/>
        <v>Lần 10</v>
      </c>
      <c r="G112" s="97">
        <v>46217</v>
      </c>
      <c r="H112" s="122">
        <v>92</v>
      </c>
      <c r="I112" s="122">
        <v>34</v>
      </c>
      <c r="J112" s="121">
        <v>94</v>
      </c>
      <c r="K112" s="121">
        <v>29</v>
      </c>
      <c r="L112" s="88"/>
      <c r="M112" s="184">
        <f t="shared" ca="1" si="6"/>
        <v>1</v>
      </c>
      <c r="N112" s="67">
        <f t="shared" ca="1" si="7"/>
        <v>1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182" t="str">
        <f t="shared" ca="1" si="9"/>
        <v>Tổ Hạ tầng Gò Dầu</v>
      </c>
      <c r="C113" s="61" t="str">
        <f t="shared" ca="1" si="2"/>
        <v>Lê Kỷ Dậu</v>
      </c>
      <c r="D113" s="183">
        <f t="shared" ca="1" si="3"/>
        <v>917088072</v>
      </c>
      <c r="E113" s="63" t="str">
        <f t="shared" ca="1" si="4"/>
        <v>daulk.tnh@vnpt.vn</v>
      </c>
      <c r="F113" s="64" t="str">
        <f t="shared" ca="1" si="5"/>
        <v>Lần 11</v>
      </c>
      <c r="G113" s="97">
        <v>46217</v>
      </c>
      <c r="H113" s="122">
        <v>89</v>
      </c>
      <c r="I113" s="122">
        <v>34</v>
      </c>
      <c r="J113" s="121">
        <v>95</v>
      </c>
      <c r="K113" s="121">
        <v>27</v>
      </c>
      <c r="L113" s="88"/>
      <c r="M113" s="184">
        <f t="shared" ca="1" si="6"/>
        <v>1</v>
      </c>
      <c r="N113" s="67">
        <f t="shared" ca="1" si="7"/>
        <v>1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182" t="str">
        <f t="shared" ca="1" si="9"/>
        <v>Tổ Hạ tầng Gò Dầu</v>
      </c>
      <c r="C114" s="61" t="str">
        <f t="shared" ca="1" si="2"/>
        <v>Lê Kỷ Dậu</v>
      </c>
      <c r="D114" s="183">
        <f t="shared" ca="1" si="3"/>
        <v>917088072</v>
      </c>
      <c r="E114" s="63" t="str">
        <f t="shared" ca="1" si="4"/>
        <v>daulk.tnh@vnpt.vn</v>
      </c>
      <c r="F114" s="64" t="str">
        <f t="shared" ca="1" si="5"/>
        <v>Lần 12</v>
      </c>
      <c r="G114" s="97">
        <v>46217</v>
      </c>
      <c r="H114" s="122">
        <v>93</v>
      </c>
      <c r="I114" s="122">
        <v>31</v>
      </c>
      <c r="J114" s="121">
        <v>103</v>
      </c>
      <c r="K114" s="121">
        <v>32</v>
      </c>
      <c r="L114" s="88"/>
      <c r="M114" s="184">
        <f t="shared" ca="1" si="6"/>
        <v>1</v>
      </c>
      <c r="N114" s="67">
        <f t="shared" ca="1" si="7"/>
        <v>1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182" t="str">
        <f t="shared" ca="1" si="9"/>
        <v>Tổ Hạ tầng Gò Dầu</v>
      </c>
      <c r="C115" s="61" t="str">
        <f t="shared" ca="1" si="2"/>
        <v>Lê Kỷ Dậu</v>
      </c>
      <c r="D115" s="183">
        <f t="shared" ca="1" si="3"/>
        <v>917088072</v>
      </c>
      <c r="E115" s="63" t="str">
        <f t="shared" ca="1" si="4"/>
        <v>daulk.tnh@vnpt.vn</v>
      </c>
      <c r="F115" s="64" t="str">
        <f t="shared" ca="1" si="5"/>
        <v>Lần 13</v>
      </c>
      <c r="G115" s="97">
        <v>46223</v>
      </c>
      <c r="H115" s="122"/>
      <c r="I115" s="122"/>
      <c r="J115" s="121"/>
      <c r="K115" s="121"/>
      <c r="L115" s="88"/>
      <c r="M115" s="184">
        <f t="shared" ca="1" si="6"/>
        <v>0</v>
      </c>
      <c r="N115" s="67">
        <f t="shared" ca="1" si="7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182" t="str">
        <f t="shared" ca="1" si="9"/>
        <v>Tổ Hạ tầng Gò Dầu</v>
      </c>
      <c r="C116" s="61" t="str">
        <f t="shared" ca="1" si="2"/>
        <v>Lê Kỷ Dậu</v>
      </c>
      <c r="D116" s="183">
        <f t="shared" ca="1" si="3"/>
        <v>917088072</v>
      </c>
      <c r="E116" s="63" t="str">
        <f t="shared" ca="1" si="4"/>
        <v>daulk.tnh@vnpt.vn</v>
      </c>
      <c r="F116" s="64" t="str">
        <f t="shared" ca="1" si="5"/>
        <v>Lần 14</v>
      </c>
      <c r="G116" s="97">
        <v>46223</v>
      </c>
      <c r="H116" s="122"/>
      <c r="I116" s="122"/>
      <c r="J116" s="121"/>
      <c r="K116" s="121"/>
      <c r="L116" s="88"/>
      <c r="M116" s="184">
        <f t="shared" ca="1" si="6"/>
        <v>0</v>
      </c>
      <c r="N116" s="67">
        <f t="shared" ca="1" si="7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182" t="str">
        <f t="shared" ca="1" si="9"/>
        <v>Tổ Hạ tầng Gò Dầu</v>
      </c>
      <c r="C117" s="61" t="str">
        <f t="shared" ca="1" si="2"/>
        <v>Lê Kỷ Dậu</v>
      </c>
      <c r="D117" s="183">
        <f t="shared" ca="1" si="3"/>
        <v>917088072</v>
      </c>
      <c r="E117" s="63" t="str">
        <f t="shared" ca="1" si="4"/>
        <v>daulk.tnh@vnpt.vn</v>
      </c>
      <c r="F117" s="64" t="str">
        <f t="shared" ca="1" si="5"/>
        <v>Lần 15</v>
      </c>
      <c r="G117" s="97">
        <v>46223</v>
      </c>
      <c r="H117" s="122"/>
      <c r="I117" s="122"/>
      <c r="J117" s="121"/>
      <c r="K117" s="121"/>
      <c r="L117" s="88"/>
      <c r="M117" s="184">
        <f t="shared" ca="1" si="6"/>
        <v>0</v>
      </c>
      <c r="N117" s="67">
        <f t="shared" ca="1" si="7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185" t="str">
        <f t="shared" ca="1" si="9"/>
        <v>Tổ Hạ tầng Gò Dầu</v>
      </c>
      <c r="C118" s="82" t="str">
        <f t="shared" ca="1" si="2"/>
        <v>Lê Kỷ Dậu</v>
      </c>
      <c r="D118" s="186">
        <f t="shared" ca="1" si="3"/>
        <v>917088072</v>
      </c>
      <c r="E118" s="84" t="str">
        <f t="shared" ca="1" si="4"/>
        <v>daulk.tnh@vnpt.vn</v>
      </c>
      <c r="F118" s="85" t="str">
        <f t="shared" ca="1" si="5"/>
        <v>Lần 16</v>
      </c>
      <c r="G118" s="217">
        <v>46223</v>
      </c>
      <c r="H118" s="150"/>
      <c r="I118" s="150"/>
      <c r="J118" s="188"/>
      <c r="K118" s="188"/>
      <c r="L118" s="218"/>
      <c r="M118" s="189">
        <f t="shared" ca="1" si="6"/>
        <v>0</v>
      </c>
      <c r="N118" s="171">
        <f t="shared" ca="1" si="7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190" t="str">
        <f t="shared" ca="1" si="9"/>
        <v>Tổ Hạ tầng Gò Dầu</v>
      </c>
      <c r="C119" s="48" t="str">
        <f t="shared" ca="1" si="2"/>
        <v>Lê Tấn Phong</v>
      </c>
      <c r="D119" s="191">
        <f t="shared" ca="1" si="3"/>
        <v>949502705</v>
      </c>
      <c r="E119" s="50" t="str">
        <f t="shared" ca="1" si="4"/>
        <v>phonglt.tnh@vnpt.vn</v>
      </c>
      <c r="F119" s="51" t="str">
        <f t="shared" ca="1" si="5"/>
        <v>Lần 1</v>
      </c>
      <c r="G119" s="192">
        <v>46206</v>
      </c>
      <c r="H119" s="142">
        <v>90</v>
      </c>
      <c r="I119" s="142">
        <v>59</v>
      </c>
      <c r="J119" s="179">
        <v>81</v>
      </c>
      <c r="K119" s="179">
        <v>35</v>
      </c>
      <c r="L119" s="193"/>
      <c r="M119" s="194">
        <f t="shared" ca="1" si="6"/>
        <v>1</v>
      </c>
      <c r="N119" s="195">
        <f t="shared" ca="1" si="7"/>
        <v>1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182" t="str">
        <f t="shared" ca="1" si="9"/>
        <v>Tổ Hạ tầng Gò Dầu</v>
      </c>
      <c r="C120" s="61" t="str">
        <f t="shared" ca="1" si="2"/>
        <v>Lê Tấn Phong</v>
      </c>
      <c r="D120" s="183">
        <f t="shared" ca="1" si="3"/>
        <v>949502705</v>
      </c>
      <c r="E120" s="63" t="str">
        <f t="shared" ca="1" si="4"/>
        <v>phonglt.tnh@vnpt.vn</v>
      </c>
      <c r="F120" s="64" t="str">
        <f t="shared" ca="1" si="5"/>
        <v>Lần 2</v>
      </c>
      <c r="G120" s="97">
        <v>46206</v>
      </c>
      <c r="H120" s="71">
        <v>77</v>
      </c>
      <c r="I120" s="71">
        <v>58</v>
      </c>
      <c r="J120" s="121">
        <v>301</v>
      </c>
      <c r="K120" s="121">
        <v>50</v>
      </c>
      <c r="L120" s="96"/>
      <c r="M120" s="184">
        <f t="shared" ca="1" si="6"/>
        <v>1</v>
      </c>
      <c r="N120" s="67">
        <f t="shared" ca="1" si="7"/>
        <v>1</v>
      </c>
      <c r="O120" s="68">
        <f t="shared" ca="1" si="8"/>
        <v>1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182" t="str">
        <f t="shared" ca="1" si="9"/>
        <v>Tổ Hạ tầng Gò Dầu</v>
      </c>
      <c r="C121" s="61" t="str">
        <f t="shared" ca="1" si="2"/>
        <v>Lê Tấn Phong</v>
      </c>
      <c r="D121" s="183">
        <f t="shared" ca="1" si="3"/>
        <v>949502705</v>
      </c>
      <c r="E121" s="63" t="str">
        <f t="shared" ca="1" si="4"/>
        <v>phonglt.tnh@vnpt.vn</v>
      </c>
      <c r="F121" s="64" t="str">
        <f t="shared" ca="1" si="5"/>
        <v>Lần 3</v>
      </c>
      <c r="G121" s="97">
        <v>46206</v>
      </c>
      <c r="H121" s="71">
        <v>87</v>
      </c>
      <c r="I121" s="71">
        <v>57</v>
      </c>
      <c r="J121" s="121">
        <v>183</v>
      </c>
      <c r="K121" s="121">
        <v>47</v>
      </c>
      <c r="L121" s="96"/>
      <c r="M121" s="184">
        <f t="shared" ca="1" si="6"/>
        <v>1</v>
      </c>
      <c r="N121" s="67">
        <f t="shared" ca="1" si="7"/>
        <v>1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182" t="str">
        <f t="shared" ca="1" si="9"/>
        <v>Tổ Hạ tầng Gò Dầu</v>
      </c>
      <c r="C122" s="61" t="str">
        <f t="shared" ca="1" si="2"/>
        <v>Lê Tấn Phong</v>
      </c>
      <c r="D122" s="183">
        <f t="shared" ca="1" si="3"/>
        <v>949502705</v>
      </c>
      <c r="E122" s="63" t="str">
        <f t="shared" ca="1" si="4"/>
        <v>phonglt.tnh@vnpt.vn</v>
      </c>
      <c r="F122" s="64" t="str">
        <f t="shared" ca="1" si="5"/>
        <v>Lần 4</v>
      </c>
      <c r="G122" s="97">
        <v>46206</v>
      </c>
      <c r="H122" s="71">
        <v>87</v>
      </c>
      <c r="I122" s="71">
        <v>54</v>
      </c>
      <c r="J122" s="121">
        <v>156</v>
      </c>
      <c r="K122" s="121">
        <v>61</v>
      </c>
      <c r="L122" s="95"/>
      <c r="M122" s="184">
        <f t="shared" ca="1" si="6"/>
        <v>1</v>
      </c>
      <c r="N122" s="67">
        <f t="shared" ca="1" si="7"/>
        <v>1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182" t="str">
        <f t="shared" ca="1" si="9"/>
        <v>Tổ Hạ tầng Gò Dầu</v>
      </c>
      <c r="C123" s="61" t="str">
        <f t="shared" ca="1" si="2"/>
        <v>Lê Tấn Phong</v>
      </c>
      <c r="D123" s="183">
        <f t="shared" ca="1" si="3"/>
        <v>949502705</v>
      </c>
      <c r="E123" s="63" t="str">
        <f t="shared" ca="1" si="4"/>
        <v>phonglt.tnh@vnpt.vn</v>
      </c>
      <c r="F123" s="64" t="str">
        <f t="shared" ca="1" si="5"/>
        <v>Lần 5</v>
      </c>
      <c r="G123" s="97">
        <v>46211</v>
      </c>
      <c r="H123" s="75">
        <v>75</v>
      </c>
      <c r="I123" s="75">
        <v>52</v>
      </c>
      <c r="J123" s="121">
        <v>91</v>
      </c>
      <c r="K123" s="121">
        <v>32</v>
      </c>
      <c r="L123" s="96"/>
      <c r="M123" s="184">
        <f t="shared" ca="1" si="6"/>
        <v>1</v>
      </c>
      <c r="N123" s="67">
        <f t="shared" ca="1" si="7"/>
        <v>1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182" t="str">
        <f t="shared" ca="1" si="9"/>
        <v>Tổ Hạ tầng Gò Dầu</v>
      </c>
      <c r="C124" s="61" t="str">
        <f t="shared" ca="1" si="2"/>
        <v>Lê Tấn Phong</v>
      </c>
      <c r="D124" s="183">
        <f t="shared" ca="1" si="3"/>
        <v>949502705</v>
      </c>
      <c r="E124" s="63" t="str">
        <f t="shared" ca="1" si="4"/>
        <v>phonglt.tnh@vnpt.vn</v>
      </c>
      <c r="F124" s="64" t="str">
        <f t="shared" ca="1" si="5"/>
        <v>Lần 6</v>
      </c>
      <c r="G124" s="97">
        <v>46211</v>
      </c>
      <c r="H124" s="75">
        <v>87</v>
      </c>
      <c r="I124" s="75">
        <v>54</v>
      </c>
      <c r="J124" s="121">
        <v>184</v>
      </c>
      <c r="K124" s="121">
        <v>51</v>
      </c>
      <c r="L124" s="95"/>
      <c r="M124" s="184">
        <f t="shared" ca="1" si="6"/>
        <v>1</v>
      </c>
      <c r="N124" s="67">
        <f t="shared" ca="1" si="7"/>
        <v>1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182" t="str">
        <f t="shared" ca="1" si="9"/>
        <v>Tổ Hạ tầng Gò Dầu</v>
      </c>
      <c r="C125" s="61" t="str">
        <f t="shared" ca="1" si="2"/>
        <v>Lê Tấn Phong</v>
      </c>
      <c r="D125" s="183">
        <f t="shared" ca="1" si="3"/>
        <v>949502705</v>
      </c>
      <c r="E125" s="63" t="str">
        <f t="shared" ca="1" si="4"/>
        <v>phonglt.tnh@vnpt.vn</v>
      </c>
      <c r="F125" s="64" t="str">
        <f t="shared" ca="1" si="5"/>
        <v>Lần 7</v>
      </c>
      <c r="G125" s="97">
        <v>46211</v>
      </c>
      <c r="H125" s="75">
        <v>88</v>
      </c>
      <c r="I125" s="75">
        <v>59</v>
      </c>
      <c r="J125" s="121">
        <v>153</v>
      </c>
      <c r="K125" s="121">
        <v>55</v>
      </c>
      <c r="L125" s="95"/>
      <c r="M125" s="184">
        <f t="shared" ca="1" si="6"/>
        <v>1</v>
      </c>
      <c r="N125" s="67">
        <f t="shared" ca="1" si="7"/>
        <v>1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182" t="str">
        <f t="shared" ca="1" si="9"/>
        <v>Tổ Hạ tầng Gò Dầu</v>
      </c>
      <c r="C126" s="61" t="str">
        <f t="shared" ca="1" si="2"/>
        <v>Lê Tấn Phong</v>
      </c>
      <c r="D126" s="183">
        <f t="shared" ca="1" si="3"/>
        <v>949502705</v>
      </c>
      <c r="E126" s="63" t="str">
        <f t="shared" ca="1" si="4"/>
        <v>phonglt.tnh@vnpt.vn</v>
      </c>
      <c r="F126" s="64" t="str">
        <f t="shared" ca="1" si="5"/>
        <v>Lần 8</v>
      </c>
      <c r="G126" s="97">
        <v>46211</v>
      </c>
      <c r="H126" s="75">
        <v>87</v>
      </c>
      <c r="I126" s="75">
        <v>55</v>
      </c>
      <c r="J126" s="121">
        <v>113</v>
      </c>
      <c r="K126" s="121">
        <v>34</v>
      </c>
      <c r="L126" s="95"/>
      <c r="M126" s="184">
        <f t="shared" ca="1" si="6"/>
        <v>1</v>
      </c>
      <c r="N126" s="67">
        <f t="shared" ca="1" si="7"/>
        <v>1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182" t="str">
        <f t="shared" ca="1" si="9"/>
        <v>Tổ Hạ tầng Gò Dầu</v>
      </c>
      <c r="C127" s="61" t="str">
        <f t="shared" ca="1" si="2"/>
        <v>Lê Tấn Phong</v>
      </c>
      <c r="D127" s="183">
        <f t="shared" ca="1" si="3"/>
        <v>949502705</v>
      </c>
      <c r="E127" s="63" t="str">
        <f t="shared" ca="1" si="4"/>
        <v>phonglt.tnh@vnpt.vn</v>
      </c>
      <c r="F127" s="64" t="str">
        <f t="shared" ca="1" si="5"/>
        <v>Lần 9</v>
      </c>
      <c r="G127" s="97">
        <v>46217</v>
      </c>
      <c r="H127" s="75">
        <v>90</v>
      </c>
      <c r="I127" s="75">
        <v>59</v>
      </c>
      <c r="J127" s="121">
        <v>141</v>
      </c>
      <c r="K127" s="121">
        <v>56</v>
      </c>
      <c r="L127" s="96"/>
      <c r="M127" s="184">
        <f t="shared" ca="1" si="6"/>
        <v>1</v>
      </c>
      <c r="N127" s="67">
        <f t="shared" ca="1" si="7"/>
        <v>1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182" t="str">
        <f t="shared" ca="1" si="9"/>
        <v>Tổ Hạ tầng Gò Dầu</v>
      </c>
      <c r="C128" s="61" t="str">
        <f t="shared" ca="1" si="2"/>
        <v>Lê Tấn Phong</v>
      </c>
      <c r="D128" s="183">
        <f t="shared" ca="1" si="3"/>
        <v>949502705</v>
      </c>
      <c r="E128" s="63" t="str">
        <f t="shared" ca="1" si="4"/>
        <v>phonglt.tnh@vnpt.vn</v>
      </c>
      <c r="F128" s="64" t="str">
        <f t="shared" ca="1" si="5"/>
        <v>Lần 10</v>
      </c>
      <c r="G128" s="97">
        <v>46217</v>
      </c>
      <c r="H128" s="75">
        <v>88</v>
      </c>
      <c r="I128" s="75">
        <v>59</v>
      </c>
      <c r="J128" s="121">
        <v>87</v>
      </c>
      <c r="K128" s="121">
        <v>49</v>
      </c>
      <c r="L128" s="95"/>
      <c r="M128" s="184">
        <f t="shared" ca="1" si="6"/>
        <v>1</v>
      </c>
      <c r="N128" s="67">
        <f t="shared" ca="1" si="7"/>
        <v>1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182" t="str">
        <f t="shared" ca="1" si="9"/>
        <v>Tổ Hạ tầng Gò Dầu</v>
      </c>
      <c r="C129" s="61" t="str">
        <f t="shared" ca="1" si="2"/>
        <v>Lê Tấn Phong</v>
      </c>
      <c r="D129" s="183">
        <f t="shared" ca="1" si="3"/>
        <v>949502705</v>
      </c>
      <c r="E129" s="63" t="str">
        <f t="shared" ca="1" si="4"/>
        <v>phonglt.tnh@vnpt.vn</v>
      </c>
      <c r="F129" s="64" t="str">
        <f t="shared" ca="1" si="5"/>
        <v>Lần 11</v>
      </c>
      <c r="G129" s="97">
        <v>46217</v>
      </c>
      <c r="H129" s="75">
        <v>87</v>
      </c>
      <c r="I129" s="75">
        <v>55</v>
      </c>
      <c r="J129" s="121">
        <v>139</v>
      </c>
      <c r="K129" s="121">
        <v>48</v>
      </c>
      <c r="L129" s="95"/>
      <c r="M129" s="184">
        <f t="shared" ca="1" si="6"/>
        <v>1</v>
      </c>
      <c r="N129" s="67">
        <f t="shared" ca="1" si="7"/>
        <v>1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182" t="str">
        <f t="shared" ca="1" si="9"/>
        <v>Tổ Hạ tầng Gò Dầu</v>
      </c>
      <c r="C130" s="61" t="str">
        <f t="shared" ca="1" si="2"/>
        <v>Lê Tấn Phong</v>
      </c>
      <c r="D130" s="183">
        <f t="shared" ca="1" si="3"/>
        <v>949502705</v>
      </c>
      <c r="E130" s="63" t="str">
        <f t="shared" ca="1" si="4"/>
        <v>phonglt.tnh@vnpt.vn</v>
      </c>
      <c r="F130" s="64" t="str">
        <f t="shared" ca="1" si="5"/>
        <v>Lần 12</v>
      </c>
      <c r="G130" s="97">
        <v>46217</v>
      </c>
      <c r="H130" s="75">
        <v>90</v>
      </c>
      <c r="I130" s="75">
        <v>59</v>
      </c>
      <c r="J130" s="121">
        <v>308</v>
      </c>
      <c r="K130" s="121">
        <v>64</v>
      </c>
      <c r="L130" s="95"/>
      <c r="M130" s="184">
        <f t="shared" ca="1" si="6"/>
        <v>1</v>
      </c>
      <c r="N130" s="67">
        <f t="shared" ca="1" si="7"/>
        <v>1</v>
      </c>
      <c r="O130" s="68">
        <f t="shared" ca="1" si="8"/>
        <v>1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182" t="str">
        <f t="shared" ca="1" si="9"/>
        <v>Tổ Hạ tầng Gò Dầu</v>
      </c>
      <c r="C131" s="61" t="str">
        <f t="shared" ca="1" si="2"/>
        <v>Lê Tấn Phong</v>
      </c>
      <c r="D131" s="183">
        <f t="shared" ca="1" si="3"/>
        <v>949502705</v>
      </c>
      <c r="E131" s="63" t="str">
        <f t="shared" ca="1" si="4"/>
        <v>phonglt.tnh@vnpt.vn</v>
      </c>
      <c r="F131" s="64" t="str">
        <f t="shared" ca="1" si="5"/>
        <v>Lần 13</v>
      </c>
      <c r="G131" s="97">
        <v>46223</v>
      </c>
      <c r="H131" s="75"/>
      <c r="I131" s="75"/>
      <c r="J131" s="121"/>
      <c r="K131" s="121"/>
      <c r="L131" s="95"/>
      <c r="M131" s="184">
        <f t="shared" ca="1" si="6"/>
        <v>0</v>
      </c>
      <c r="N131" s="67">
        <f t="shared" ca="1" si="7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182" t="str">
        <f t="shared" ca="1" si="9"/>
        <v>Tổ Hạ tầng Gò Dầu</v>
      </c>
      <c r="C132" s="61" t="str">
        <f t="shared" ca="1" si="2"/>
        <v>Lê Tấn Phong</v>
      </c>
      <c r="D132" s="183">
        <f t="shared" ca="1" si="3"/>
        <v>949502705</v>
      </c>
      <c r="E132" s="63" t="str">
        <f t="shared" ca="1" si="4"/>
        <v>phonglt.tnh@vnpt.vn</v>
      </c>
      <c r="F132" s="64" t="str">
        <f t="shared" ca="1" si="5"/>
        <v>Lần 14</v>
      </c>
      <c r="G132" s="97">
        <v>46223</v>
      </c>
      <c r="H132" s="75"/>
      <c r="I132" s="75"/>
      <c r="J132" s="121"/>
      <c r="K132" s="121"/>
      <c r="L132" s="96"/>
      <c r="M132" s="184">
        <f t="shared" ca="1" si="6"/>
        <v>0</v>
      </c>
      <c r="N132" s="67">
        <f t="shared" ca="1" si="7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182" t="str">
        <f t="shared" ca="1" si="9"/>
        <v>Tổ Hạ tầng Gò Dầu</v>
      </c>
      <c r="C133" s="61" t="str">
        <f t="shared" ca="1" si="2"/>
        <v>Lê Tấn Phong</v>
      </c>
      <c r="D133" s="183">
        <f t="shared" ca="1" si="3"/>
        <v>949502705</v>
      </c>
      <c r="E133" s="63" t="str">
        <f t="shared" ca="1" si="4"/>
        <v>phonglt.tnh@vnpt.vn</v>
      </c>
      <c r="F133" s="64" t="str">
        <f t="shared" ca="1" si="5"/>
        <v>Lần 15</v>
      </c>
      <c r="G133" s="97">
        <v>46223</v>
      </c>
      <c r="H133" s="75"/>
      <c r="I133" s="75"/>
      <c r="J133" s="121"/>
      <c r="K133" s="121"/>
      <c r="L133" s="95"/>
      <c r="M133" s="184">
        <f t="shared" ca="1" si="6"/>
        <v>0</v>
      </c>
      <c r="N133" s="67">
        <f t="shared" ca="1" si="7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96" t="str">
        <f t="shared" ca="1" si="9"/>
        <v>Tổ Hạ tầng Gò Dầu</v>
      </c>
      <c r="C134" s="102" t="str">
        <f t="shared" ca="1" si="2"/>
        <v>Lê Tấn Phong</v>
      </c>
      <c r="D134" s="197">
        <f t="shared" ca="1" si="3"/>
        <v>949502705</v>
      </c>
      <c r="E134" s="104" t="str">
        <f t="shared" ca="1" si="4"/>
        <v>phonglt.tnh@vnpt.vn</v>
      </c>
      <c r="F134" s="105" t="str">
        <f t="shared" ca="1" si="5"/>
        <v>Lần 16</v>
      </c>
      <c r="G134" s="219">
        <v>46223</v>
      </c>
      <c r="H134" s="199"/>
      <c r="I134" s="199"/>
      <c r="J134" s="200"/>
      <c r="K134" s="200"/>
      <c r="L134" s="201"/>
      <c r="M134" s="202">
        <f t="shared" ca="1" si="6"/>
        <v>0</v>
      </c>
      <c r="N134" s="203">
        <f t="shared" ca="1" si="7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204" t="str">
        <f t="shared" ca="1" si="9"/>
        <v>Tổ Hạ tầng Gò Dầu</v>
      </c>
      <c r="C135" s="108" t="str">
        <f t="shared" ca="1" si="2"/>
        <v>Trần Quốc Đạt</v>
      </c>
      <c r="D135" s="205">
        <f t="shared" ca="1" si="3"/>
        <v>946432493</v>
      </c>
      <c r="E135" s="110" t="str">
        <f t="shared" ca="1" si="4"/>
        <v>dattq.tnh@vnpt.vn</v>
      </c>
      <c r="F135" s="111" t="str">
        <f t="shared" ca="1" si="5"/>
        <v>Lần 1</v>
      </c>
      <c r="G135" s="215">
        <v>46206</v>
      </c>
      <c r="H135" s="207">
        <v>85</v>
      </c>
      <c r="I135" s="207">
        <v>59</v>
      </c>
      <c r="J135" s="207">
        <v>79</v>
      </c>
      <c r="K135" s="207">
        <v>54</v>
      </c>
      <c r="L135" s="148"/>
      <c r="M135" s="181">
        <f t="shared" ca="1" si="6"/>
        <v>1</v>
      </c>
      <c r="N135" s="57">
        <f t="shared" ca="1" si="7"/>
        <v>1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182" t="str">
        <f t="shared" ca="1" si="9"/>
        <v>Tổ Hạ tầng Gò Dầu</v>
      </c>
      <c r="C136" s="61" t="str">
        <f t="shared" ca="1" si="2"/>
        <v>Trần Quốc Đạt</v>
      </c>
      <c r="D136" s="183">
        <f t="shared" ca="1" si="3"/>
        <v>946432493</v>
      </c>
      <c r="E136" s="63" t="str">
        <f t="shared" ca="1" si="4"/>
        <v>dattq.tnh@vnpt.vn</v>
      </c>
      <c r="F136" s="64" t="str">
        <f t="shared" ca="1" si="5"/>
        <v>Lần 2</v>
      </c>
      <c r="G136" s="97">
        <v>46206</v>
      </c>
      <c r="H136" s="121">
        <v>78</v>
      </c>
      <c r="I136" s="121">
        <v>63</v>
      </c>
      <c r="J136" s="121">
        <v>78</v>
      </c>
      <c r="K136" s="121">
        <v>43</v>
      </c>
      <c r="L136" s="91"/>
      <c r="M136" s="184">
        <f t="shared" ca="1" si="6"/>
        <v>1</v>
      </c>
      <c r="N136" s="67">
        <f t="shared" ca="1" si="7"/>
        <v>1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182" t="str">
        <f t="shared" ca="1" si="9"/>
        <v>Tổ Hạ tầng Gò Dầu</v>
      </c>
      <c r="C137" s="61" t="str">
        <f t="shared" ca="1" si="2"/>
        <v>Trần Quốc Đạt</v>
      </c>
      <c r="D137" s="183">
        <f t="shared" ca="1" si="3"/>
        <v>946432493</v>
      </c>
      <c r="E137" s="63" t="str">
        <f t="shared" ca="1" si="4"/>
        <v>dattq.tnh@vnpt.vn</v>
      </c>
      <c r="F137" s="64" t="str">
        <f t="shared" ca="1" si="5"/>
        <v>Lần 3</v>
      </c>
      <c r="G137" s="97">
        <v>46206</v>
      </c>
      <c r="H137" s="121">
        <v>102</v>
      </c>
      <c r="I137" s="121">
        <v>63</v>
      </c>
      <c r="J137" s="121">
        <v>82</v>
      </c>
      <c r="K137" s="121">
        <v>41</v>
      </c>
      <c r="L137" s="91"/>
      <c r="M137" s="184">
        <f t="shared" ca="1" si="6"/>
        <v>1</v>
      </c>
      <c r="N137" s="67">
        <f t="shared" ca="1" si="7"/>
        <v>1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182" t="str">
        <f t="shared" ca="1" si="9"/>
        <v>Tổ Hạ tầng Gò Dầu</v>
      </c>
      <c r="C138" s="61" t="str">
        <f t="shared" ca="1" si="2"/>
        <v>Trần Quốc Đạt</v>
      </c>
      <c r="D138" s="183">
        <f t="shared" ca="1" si="3"/>
        <v>946432493</v>
      </c>
      <c r="E138" s="63" t="str">
        <f t="shared" ca="1" si="4"/>
        <v>dattq.tnh@vnpt.vn</v>
      </c>
      <c r="F138" s="64" t="str">
        <f t="shared" ca="1" si="5"/>
        <v>Lần 4</v>
      </c>
      <c r="G138" s="97">
        <v>46206</v>
      </c>
      <c r="H138" s="122">
        <v>92</v>
      </c>
      <c r="I138" s="122">
        <v>61</v>
      </c>
      <c r="J138" s="121">
        <v>78</v>
      </c>
      <c r="K138" s="121">
        <v>43</v>
      </c>
      <c r="L138" s="91"/>
      <c r="M138" s="184">
        <f t="shared" ca="1" si="6"/>
        <v>1</v>
      </c>
      <c r="N138" s="67">
        <f t="shared" ca="1" si="7"/>
        <v>1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182" t="str">
        <f t="shared" ca="1" si="9"/>
        <v>Tổ Hạ tầng Gò Dầu</v>
      </c>
      <c r="C139" s="61" t="str">
        <f t="shared" ca="1" si="2"/>
        <v>Trần Quốc Đạt</v>
      </c>
      <c r="D139" s="183">
        <f t="shared" ca="1" si="3"/>
        <v>946432493</v>
      </c>
      <c r="E139" s="63" t="str">
        <f t="shared" ca="1" si="4"/>
        <v>dattq.tnh@vnpt.vn</v>
      </c>
      <c r="F139" s="64" t="str">
        <f t="shared" ca="1" si="5"/>
        <v>Lần 5</v>
      </c>
      <c r="G139" s="97">
        <v>46211</v>
      </c>
      <c r="H139" s="122">
        <v>102</v>
      </c>
      <c r="I139" s="122">
        <v>63</v>
      </c>
      <c r="J139" s="121">
        <v>79</v>
      </c>
      <c r="K139" s="121">
        <v>43</v>
      </c>
      <c r="L139" s="91"/>
      <c r="M139" s="184">
        <f t="shared" ca="1" si="6"/>
        <v>1</v>
      </c>
      <c r="N139" s="67">
        <f t="shared" ca="1" si="7"/>
        <v>1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182" t="str">
        <f t="shared" ca="1" si="9"/>
        <v>Tổ Hạ tầng Gò Dầu</v>
      </c>
      <c r="C140" s="61" t="str">
        <f t="shared" ca="1" si="2"/>
        <v>Trần Quốc Đạt</v>
      </c>
      <c r="D140" s="183">
        <f t="shared" ca="1" si="3"/>
        <v>946432493</v>
      </c>
      <c r="E140" s="63" t="str">
        <f t="shared" ca="1" si="4"/>
        <v>dattq.tnh@vnpt.vn</v>
      </c>
      <c r="F140" s="64" t="str">
        <f t="shared" ca="1" si="5"/>
        <v>Lần 6</v>
      </c>
      <c r="G140" s="97">
        <v>46211</v>
      </c>
      <c r="H140" s="122">
        <v>101</v>
      </c>
      <c r="I140" s="122">
        <v>65</v>
      </c>
      <c r="J140" s="121">
        <v>88</v>
      </c>
      <c r="K140" s="121">
        <v>44</v>
      </c>
      <c r="L140" s="91"/>
      <c r="M140" s="184">
        <f t="shared" ca="1" si="6"/>
        <v>1</v>
      </c>
      <c r="N140" s="67">
        <f t="shared" ca="1" si="7"/>
        <v>1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182" t="str">
        <f t="shared" ca="1" si="9"/>
        <v>Tổ Hạ tầng Gò Dầu</v>
      </c>
      <c r="C141" s="61" t="str">
        <f t="shared" ca="1" si="2"/>
        <v>Trần Quốc Đạt</v>
      </c>
      <c r="D141" s="183">
        <f t="shared" ca="1" si="3"/>
        <v>946432493</v>
      </c>
      <c r="E141" s="63" t="str">
        <f t="shared" ca="1" si="4"/>
        <v>dattq.tnh@vnpt.vn</v>
      </c>
      <c r="F141" s="64" t="str">
        <f t="shared" ca="1" si="5"/>
        <v>Lần 7</v>
      </c>
      <c r="G141" s="97">
        <v>46211</v>
      </c>
      <c r="H141" s="122">
        <v>99</v>
      </c>
      <c r="I141" s="122">
        <v>67</v>
      </c>
      <c r="J141" s="121">
        <v>92</v>
      </c>
      <c r="K141" s="121">
        <v>47</v>
      </c>
      <c r="L141" s="91"/>
      <c r="M141" s="184">
        <f t="shared" ca="1" si="6"/>
        <v>1</v>
      </c>
      <c r="N141" s="67">
        <f t="shared" ca="1" si="7"/>
        <v>1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182" t="str">
        <f t="shared" ca="1" si="9"/>
        <v>Tổ Hạ tầng Gò Dầu</v>
      </c>
      <c r="C142" s="61" t="str">
        <f t="shared" ca="1" si="2"/>
        <v>Trần Quốc Đạt</v>
      </c>
      <c r="D142" s="183">
        <f t="shared" ca="1" si="3"/>
        <v>946432493</v>
      </c>
      <c r="E142" s="63" t="str">
        <f t="shared" ca="1" si="4"/>
        <v>dattq.tnh@vnpt.vn</v>
      </c>
      <c r="F142" s="64" t="str">
        <f t="shared" ca="1" si="5"/>
        <v>Lần 8</v>
      </c>
      <c r="G142" s="97">
        <v>46211</v>
      </c>
      <c r="H142" s="122">
        <v>627</v>
      </c>
      <c r="I142" s="122">
        <v>115</v>
      </c>
      <c r="J142" s="121">
        <v>85</v>
      </c>
      <c r="K142" s="121">
        <v>48</v>
      </c>
      <c r="L142" s="91"/>
      <c r="M142" s="184">
        <f t="shared" ca="1" si="6"/>
        <v>1</v>
      </c>
      <c r="N142" s="67">
        <f t="shared" ca="1" si="7"/>
        <v>1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182" t="str">
        <f t="shared" ca="1" si="9"/>
        <v>Tổ Hạ tầng Gò Dầu</v>
      </c>
      <c r="C143" s="61" t="str">
        <f t="shared" ca="1" si="2"/>
        <v>Trần Quốc Đạt</v>
      </c>
      <c r="D143" s="183">
        <f t="shared" ca="1" si="3"/>
        <v>946432493</v>
      </c>
      <c r="E143" s="63" t="str">
        <f t="shared" ca="1" si="4"/>
        <v>dattq.tnh@vnpt.vn</v>
      </c>
      <c r="F143" s="64" t="str">
        <f t="shared" ca="1" si="5"/>
        <v>Lần 9</v>
      </c>
      <c r="G143" s="97">
        <v>46217</v>
      </c>
      <c r="H143" s="122">
        <v>208</v>
      </c>
      <c r="I143" s="122">
        <v>8</v>
      </c>
      <c r="J143" s="121">
        <v>89</v>
      </c>
      <c r="K143" s="121">
        <v>41</v>
      </c>
      <c r="L143" s="91"/>
      <c r="M143" s="184">
        <f t="shared" ca="1" si="6"/>
        <v>1</v>
      </c>
      <c r="N143" s="67">
        <f t="shared" ca="1" si="7"/>
        <v>1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182" t="str">
        <f t="shared" ca="1" si="9"/>
        <v>Tổ Hạ tầng Gò Dầu</v>
      </c>
      <c r="C144" s="61" t="str">
        <f t="shared" ca="1" si="2"/>
        <v>Trần Quốc Đạt</v>
      </c>
      <c r="D144" s="183">
        <f t="shared" ca="1" si="3"/>
        <v>946432493</v>
      </c>
      <c r="E144" s="63" t="str">
        <f t="shared" ca="1" si="4"/>
        <v>dattq.tnh@vnpt.vn</v>
      </c>
      <c r="F144" s="64" t="str">
        <f t="shared" ca="1" si="5"/>
        <v>Lần 10</v>
      </c>
      <c r="G144" s="97">
        <v>46217</v>
      </c>
      <c r="H144" s="122">
        <v>264</v>
      </c>
      <c r="I144" s="122">
        <v>3</v>
      </c>
      <c r="J144" s="121">
        <v>87</v>
      </c>
      <c r="K144" s="121">
        <v>42</v>
      </c>
      <c r="L144" s="91"/>
      <c r="M144" s="184">
        <f t="shared" ca="1" si="6"/>
        <v>1</v>
      </c>
      <c r="N144" s="67">
        <f t="shared" ca="1" si="7"/>
        <v>1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182" t="str">
        <f t="shared" ca="1" si="9"/>
        <v>Tổ Hạ tầng Gò Dầu</v>
      </c>
      <c r="C145" s="61" t="str">
        <f t="shared" ca="1" si="2"/>
        <v>Trần Quốc Đạt</v>
      </c>
      <c r="D145" s="183">
        <f t="shared" ca="1" si="3"/>
        <v>946432493</v>
      </c>
      <c r="E145" s="63" t="str">
        <f t="shared" ca="1" si="4"/>
        <v>dattq.tnh@vnpt.vn</v>
      </c>
      <c r="F145" s="64" t="str">
        <f t="shared" ca="1" si="5"/>
        <v>Lần 11</v>
      </c>
      <c r="G145" s="97">
        <v>46217</v>
      </c>
      <c r="H145" s="122">
        <v>272</v>
      </c>
      <c r="I145" s="122">
        <v>6</v>
      </c>
      <c r="J145" s="121">
        <v>88</v>
      </c>
      <c r="K145" s="121">
        <v>35</v>
      </c>
      <c r="L145" s="91"/>
      <c r="M145" s="184">
        <f t="shared" ca="1" si="6"/>
        <v>1</v>
      </c>
      <c r="N145" s="67">
        <f t="shared" ca="1" si="7"/>
        <v>1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182" t="str">
        <f t="shared" ca="1" si="9"/>
        <v>Tổ Hạ tầng Gò Dầu</v>
      </c>
      <c r="C146" s="61" t="str">
        <f t="shared" ca="1" si="2"/>
        <v>Trần Quốc Đạt</v>
      </c>
      <c r="D146" s="183">
        <f t="shared" ca="1" si="3"/>
        <v>946432493</v>
      </c>
      <c r="E146" s="63" t="str">
        <f t="shared" ca="1" si="4"/>
        <v>dattq.tnh@vnpt.vn</v>
      </c>
      <c r="F146" s="64" t="str">
        <f t="shared" ca="1" si="5"/>
        <v>Lần 12</v>
      </c>
      <c r="G146" s="97">
        <v>46217</v>
      </c>
      <c r="H146" s="122">
        <v>92</v>
      </c>
      <c r="I146" s="122">
        <v>61</v>
      </c>
      <c r="J146" s="121">
        <v>87</v>
      </c>
      <c r="K146" s="121">
        <v>44</v>
      </c>
      <c r="L146" s="91"/>
      <c r="M146" s="184">
        <f t="shared" ca="1" si="6"/>
        <v>1</v>
      </c>
      <c r="N146" s="67">
        <f t="shared" ca="1" si="7"/>
        <v>1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182" t="str">
        <f t="shared" ca="1" si="9"/>
        <v>Tổ Hạ tầng Gò Dầu</v>
      </c>
      <c r="C147" s="61" t="str">
        <f t="shared" ca="1" si="2"/>
        <v>Trần Quốc Đạt</v>
      </c>
      <c r="D147" s="183">
        <f t="shared" ca="1" si="3"/>
        <v>946432493</v>
      </c>
      <c r="E147" s="63" t="str">
        <f t="shared" ca="1" si="4"/>
        <v>dattq.tnh@vnpt.vn</v>
      </c>
      <c r="F147" s="64" t="str">
        <f t="shared" ca="1" si="5"/>
        <v>Lần 13</v>
      </c>
      <c r="G147" s="97">
        <v>46223</v>
      </c>
      <c r="H147" s="122"/>
      <c r="I147" s="122"/>
      <c r="J147" s="121"/>
      <c r="K147" s="121"/>
      <c r="L147" s="91"/>
      <c r="M147" s="184">
        <f t="shared" ca="1" si="6"/>
        <v>0</v>
      </c>
      <c r="N147" s="67">
        <f t="shared" ca="1" si="7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182" t="str">
        <f t="shared" ca="1" si="9"/>
        <v>Tổ Hạ tầng Gò Dầu</v>
      </c>
      <c r="C148" s="61" t="str">
        <f t="shared" ca="1" si="2"/>
        <v>Trần Quốc Đạt</v>
      </c>
      <c r="D148" s="183">
        <f t="shared" ca="1" si="3"/>
        <v>946432493</v>
      </c>
      <c r="E148" s="63" t="str">
        <f t="shared" ca="1" si="4"/>
        <v>dattq.tnh@vnpt.vn</v>
      </c>
      <c r="F148" s="64" t="str">
        <f t="shared" ca="1" si="5"/>
        <v>Lần 14</v>
      </c>
      <c r="G148" s="97">
        <v>46223</v>
      </c>
      <c r="H148" s="122"/>
      <c r="I148" s="122"/>
      <c r="J148" s="121"/>
      <c r="K148" s="121"/>
      <c r="L148" s="91"/>
      <c r="M148" s="184">
        <f t="shared" ca="1" si="6"/>
        <v>0</v>
      </c>
      <c r="N148" s="67">
        <f t="shared" ca="1" si="7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182" t="str">
        <f t="shared" ca="1" si="9"/>
        <v>Tổ Hạ tầng Gò Dầu</v>
      </c>
      <c r="C149" s="61" t="str">
        <f t="shared" ca="1" si="2"/>
        <v>Trần Quốc Đạt</v>
      </c>
      <c r="D149" s="183">
        <f t="shared" ca="1" si="3"/>
        <v>946432493</v>
      </c>
      <c r="E149" s="63" t="str">
        <f t="shared" ca="1" si="4"/>
        <v>dattq.tnh@vnpt.vn</v>
      </c>
      <c r="F149" s="64" t="str">
        <f t="shared" ca="1" si="5"/>
        <v>Lần 15</v>
      </c>
      <c r="G149" s="97">
        <v>46223</v>
      </c>
      <c r="H149" s="122"/>
      <c r="I149" s="122"/>
      <c r="J149" s="121"/>
      <c r="K149" s="121"/>
      <c r="L149" s="91"/>
      <c r="M149" s="184">
        <f t="shared" ca="1" si="6"/>
        <v>0</v>
      </c>
      <c r="N149" s="67">
        <f t="shared" ca="1" si="7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185" t="str">
        <f t="shared" ca="1" si="9"/>
        <v>Tổ Hạ tầng Gò Dầu</v>
      </c>
      <c r="C150" s="82" t="str">
        <f t="shared" ca="1" si="2"/>
        <v>Trần Quốc Đạt</v>
      </c>
      <c r="D150" s="186">
        <f t="shared" ca="1" si="3"/>
        <v>946432493</v>
      </c>
      <c r="E150" s="84" t="str">
        <f t="shared" ca="1" si="4"/>
        <v>dattq.tnh@vnpt.vn</v>
      </c>
      <c r="F150" s="85" t="str">
        <f t="shared" ca="1" si="5"/>
        <v>Lần 16</v>
      </c>
      <c r="G150" s="219">
        <v>46223</v>
      </c>
      <c r="H150" s="150"/>
      <c r="I150" s="150"/>
      <c r="J150" s="188"/>
      <c r="K150" s="188"/>
      <c r="L150" s="152"/>
      <c r="M150" s="189">
        <f t="shared" ca="1" si="6"/>
        <v>0</v>
      </c>
      <c r="N150" s="171">
        <f t="shared" ca="1" si="7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190" t="str">
        <f t="shared" ca="1" si="9"/>
        <v>Tổ Hạ tầng Gò Dầu</v>
      </c>
      <c r="C151" s="48" t="str">
        <f t="shared" ca="1" si="2"/>
        <v>Nguyễn Thế Sự</v>
      </c>
      <c r="D151" s="191">
        <f t="shared" ca="1" si="3"/>
        <v>919990052</v>
      </c>
      <c r="E151" s="50" t="str">
        <f t="shared" ca="1" si="4"/>
        <v>sunt.tnh@vnpt.vn</v>
      </c>
      <c r="F151" s="51" t="str">
        <f t="shared" ca="1" si="5"/>
        <v>Lần 1</v>
      </c>
      <c r="G151" s="215">
        <v>46206</v>
      </c>
      <c r="H151" s="142">
        <v>259</v>
      </c>
      <c r="I151" s="142">
        <v>70</v>
      </c>
      <c r="J151" s="179">
        <v>808</v>
      </c>
      <c r="K151" s="179">
        <v>151</v>
      </c>
      <c r="L151" s="216"/>
      <c r="M151" s="194">
        <f t="shared" ca="1" si="6"/>
        <v>1</v>
      </c>
      <c r="N151" s="195">
        <f t="shared" ca="1" si="7"/>
        <v>1</v>
      </c>
      <c r="O151" s="68">
        <f t="shared" ca="1" si="8"/>
        <v>1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182" t="str">
        <f t="shared" ca="1" si="9"/>
        <v>Tổ Hạ tầng Gò Dầu</v>
      </c>
      <c r="C152" s="61" t="str">
        <f t="shared" ca="1" si="2"/>
        <v>Nguyễn Thế Sự</v>
      </c>
      <c r="D152" s="183">
        <f t="shared" ca="1" si="3"/>
        <v>919990052</v>
      </c>
      <c r="E152" s="63" t="str">
        <f t="shared" ca="1" si="4"/>
        <v>sunt.tnh@vnpt.vn</v>
      </c>
      <c r="F152" s="64" t="str">
        <f t="shared" ca="1" si="5"/>
        <v>Lần 2</v>
      </c>
      <c r="G152" s="97">
        <v>46206</v>
      </c>
      <c r="H152" s="71">
        <v>320</v>
      </c>
      <c r="I152" s="71">
        <v>78</v>
      </c>
      <c r="J152" s="121">
        <v>790</v>
      </c>
      <c r="K152" s="121">
        <v>155</v>
      </c>
      <c r="L152" s="96"/>
      <c r="M152" s="184">
        <f t="shared" ca="1" si="6"/>
        <v>1</v>
      </c>
      <c r="N152" s="67">
        <f t="shared" ca="1" si="7"/>
        <v>1</v>
      </c>
      <c r="O152" s="68">
        <f t="shared" ca="1" si="8"/>
        <v>1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182" t="str">
        <f t="shared" ca="1" si="9"/>
        <v>Tổ Hạ tầng Gò Dầu</v>
      </c>
      <c r="C153" s="61" t="str">
        <f t="shared" ca="1" si="2"/>
        <v>Nguyễn Thế Sự</v>
      </c>
      <c r="D153" s="183">
        <f t="shared" ca="1" si="3"/>
        <v>919990052</v>
      </c>
      <c r="E153" s="63" t="str">
        <f t="shared" ca="1" si="4"/>
        <v>sunt.tnh@vnpt.vn</v>
      </c>
      <c r="F153" s="64" t="str">
        <f t="shared" ca="1" si="5"/>
        <v>Lần 3</v>
      </c>
      <c r="G153" s="97">
        <v>46206</v>
      </c>
      <c r="H153" s="71">
        <v>733</v>
      </c>
      <c r="I153" s="71">
        <v>102</v>
      </c>
      <c r="J153" s="121">
        <v>613</v>
      </c>
      <c r="K153" s="121">
        <v>120</v>
      </c>
      <c r="L153" s="96"/>
      <c r="M153" s="184">
        <f t="shared" ca="1" si="6"/>
        <v>1</v>
      </c>
      <c r="N153" s="67">
        <f t="shared" ca="1" si="7"/>
        <v>1</v>
      </c>
      <c r="O153" s="68">
        <f t="shared" ca="1" si="8"/>
        <v>1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182" t="str">
        <f t="shared" ca="1" si="9"/>
        <v>Tổ Hạ tầng Gò Dầu</v>
      </c>
      <c r="C154" s="61" t="str">
        <f t="shared" ca="1" si="2"/>
        <v>Nguyễn Thế Sự</v>
      </c>
      <c r="D154" s="183">
        <f t="shared" ca="1" si="3"/>
        <v>919990052</v>
      </c>
      <c r="E154" s="63" t="str">
        <f t="shared" ca="1" si="4"/>
        <v>sunt.tnh@vnpt.vn</v>
      </c>
      <c r="F154" s="64" t="str">
        <f t="shared" ca="1" si="5"/>
        <v>Lần 4</v>
      </c>
      <c r="G154" s="97">
        <v>46206</v>
      </c>
      <c r="H154" s="71">
        <v>637</v>
      </c>
      <c r="I154" s="71">
        <v>136</v>
      </c>
      <c r="J154" s="121">
        <v>314</v>
      </c>
      <c r="K154" s="121">
        <v>59</v>
      </c>
      <c r="L154" s="96"/>
      <c r="M154" s="184">
        <f t="shared" ca="1" si="6"/>
        <v>1</v>
      </c>
      <c r="N154" s="67">
        <f t="shared" ca="1" si="7"/>
        <v>1</v>
      </c>
      <c r="O154" s="68">
        <f t="shared" ca="1" si="8"/>
        <v>1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182" t="str">
        <f t="shared" ca="1" si="9"/>
        <v>Tổ Hạ tầng Gò Dầu</v>
      </c>
      <c r="C155" s="61" t="str">
        <f t="shared" ca="1" si="2"/>
        <v>Nguyễn Thế Sự</v>
      </c>
      <c r="D155" s="183">
        <f t="shared" ca="1" si="3"/>
        <v>919990052</v>
      </c>
      <c r="E155" s="63" t="str">
        <f t="shared" ca="1" si="4"/>
        <v>sunt.tnh@vnpt.vn</v>
      </c>
      <c r="F155" s="64" t="str">
        <f t="shared" ca="1" si="5"/>
        <v>Lần 5</v>
      </c>
      <c r="G155" s="97">
        <v>46211</v>
      </c>
      <c r="H155" s="75">
        <v>777</v>
      </c>
      <c r="I155" s="75">
        <v>116</v>
      </c>
      <c r="J155" s="121">
        <v>102</v>
      </c>
      <c r="K155" s="121">
        <v>60</v>
      </c>
      <c r="L155" s="96"/>
      <c r="M155" s="184">
        <f t="shared" ca="1" si="6"/>
        <v>1</v>
      </c>
      <c r="N155" s="67">
        <f t="shared" ca="1" si="7"/>
        <v>1</v>
      </c>
      <c r="O155" s="68">
        <f t="shared" ca="1" si="8"/>
        <v>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182" t="str">
        <f t="shared" ca="1" si="9"/>
        <v>Tổ Hạ tầng Gò Dầu</v>
      </c>
      <c r="C156" s="61" t="str">
        <f t="shared" ca="1" si="2"/>
        <v>Nguyễn Thế Sự</v>
      </c>
      <c r="D156" s="183">
        <f t="shared" ca="1" si="3"/>
        <v>919990052</v>
      </c>
      <c r="E156" s="63" t="str">
        <f t="shared" ca="1" si="4"/>
        <v>sunt.tnh@vnpt.vn</v>
      </c>
      <c r="F156" s="64" t="str">
        <f t="shared" ca="1" si="5"/>
        <v>Lần 6</v>
      </c>
      <c r="G156" s="97">
        <v>46211</v>
      </c>
      <c r="H156" s="75">
        <v>771</v>
      </c>
      <c r="I156" s="75">
        <v>134</v>
      </c>
      <c r="J156" s="121">
        <v>123</v>
      </c>
      <c r="K156" s="121">
        <v>60</v>
      </c>
      <c r="L156" s="96"/>
      <c r="M156" s="184">
        <f t="shared" ca="1" si="6"/>
        <v>1</v>
      </c>
      <c r="N156" s="67">
        <f t="shared" ca="1" si="7"/>
        <v>1</v>
      </c>
      <c r="O156" s="68">
        <f t="shared" ca="1" si="8"/>
        <v>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182" t="str">
        <f t="shared" ca="1" si="9"/>
        <v>Tổ Hạ tầng Gò Dầu</v>
      </c>
      <c r="C157" s="61" t="str">
        <f t="shared" ca="1" si="2"/>
        <v>Nguyễn Thế Sự</v>
      </c>
      <c r="D157" s="183">
        <f t="shared" ca="1" si="3"/>
        <v>919990052</v>
      </c>
      <c r="E157" s="63" t="str">
        <f t="shared" ca="1" si="4"/>
        <v>sunt.tnh@vnpt.vn</v>
      </c>
      <c r="F157" s="64" t="str">
        <f t="shared" ca="1" si="5"/>
        <v>Lần 7</v>
      </c>
      <c r="G157" s="97">
        <v>46211</v>
      </c>
      <c r="H157" s="75">
        <v>552</v>
      </c>
      <c r="I157" s="75">
        <v>116</v>
      </c>
      <c r="J157" s="121">
        <v>122</v>
      </c>
      <c r="K157" s="121">
        <v>53</v>
      </c>
      <c r="L157" s="96"/>
      <c r="M157" s="184">
        <f t="shared" ca="1" si="6"/>
        <v>1</v>
      </c>
      <c r="N157" s="67">
        <f t="shared" ca="1" si="7"/>
        <v>1</v>
      </c>
      <c r="O157" s="68">
        <f t="shared" ca="1" si="8"/>
        <v>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182" t="str">
        <f t="shared" ca="1" si="9"/>
        <v>Tổ Hạ tầng Gò Dầu</v>
      </c>
      <c r="C158" s="61" t="str">
        <f t="shared" ca="1" si="2"/>
        <v>Nguyễn Thế Sự</v>
      </c>
      <c r="D158" s="183">
        <f t="shared" ca="1" si="3"/>
        <v>919990052</v>
      </c>
      <c r="E158" s="63" t="str">
        <f t="shared" ca="1" si="4"/>
        <v>sunt.tnh@vnpt.vn</v>
      </c>
      <c r="F158" s="64" t="str">
        <f t="shared" ca="1" si="5"/>
        <v>Lần 8</v>
      </c>
      <c r="G158" s="97">
        <v>46211</v>
      </c>
      <c r="H158" s="75">
        <v>571</v>
      </c>
      <c r="I158" s="75">
        <v>90</v>
      </c>
      <c r="J158" s="121">
        <v>121</v>
      </c>
      <c r="K158" s="121">
        <v>44</v>
      </c>
      <c r="L158" s="96"/>
      <c r="M158" s="184">
        <f t="shared" ca="1" si="6"/>
        <v>1</v>
      </c>
      <c r="N158" s="67">
        <f t="shared" ca="1" si="7"/>
        <v>1</v>
      </c>
      <c r="O158" s="68">
        <f t="shared" ca="1" si="8"/>
        <v>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182" t="str">
        <f t="shared" ca="1" si="9"/>
        <v>Tổ Hạ tầng Gò Dầu</v>
      </c>
      <c r="C159" s="61" t="str">
        <f t="shared" ca="1" si="2"/>
        <v>Nguyễn Thế Sự</v>
      </c>
      <c r="D159" s="183">
        <f t="shared" ca="1" si="3"/>
        <v>919990052</v>
      </c>
      <c r="E159" s="63" t="str">
        <f t="shared" ca="1" si="4"/>
        <v>sunt.tnh@vnpt.vn</v>
      </c>
      <c r="F159" s="64" t="str">
        <f t="shared" ca="1" si="5"/>
        <v>Lần 9</v>
      </c>
      <c r="G159" s="97">
        <v>46217</v>
      </c>
      <c r="H159" s="75">
        <v>216</v>
      </c>
      <c r="I159" s="75">
        <v>90</v>
      </c>
      <c r="J159" s="121">
        <v>124</v>
      </c>
      <c r="K159" s="121">
        <v>47</v>
      </c>
      <c r="L159" s="96"/>
      <c r="M159" s="184">
        <f t="shared" ca="1" si="6"/>
        <v>1</v>
      </c>
      <c r="N159" s="67">
        <f t="shared" ca="1" si="7"/>
        <v>1</v>
      </c>
      <c r="O159" s="68">
        <f t="shared" ca="1" si="8"/>
        <v>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182" t="str">
        <f t="shared" ca="1" si="9"/>
        <v>Tổ Hạ tầng Gò Dầu</v>
      </c>
      <c r="C160" s="61" t="str">
        <f t="shared" ca="1" si="2"/>
        <v>Nguyễn Thế Sự</v>
      </c>
      <c r="D160" s="183">
        <f t="shared" ca="1" si="3"/>
        <v>919990052</v>
      </c>
      <c r="E160" s="63" t="str">
        <f t="shared" ca="1" si="4"/>
        <v>sunt.tnh@vnpt.vn</v>
      </c>
      <c r="F160" s="64" t="str">
        <f t="shared" ca="1" si="5"/>
        <v>Lần 10</v>
      </c>
      <c r="G160" s="97">
        <v>46217</v>
      </c>
      <c r="H160" s="75">
        <v>119</v>
      </c>
      <c r="I160" s="75">
        <v>43</v>
      </c>
      <c r="J160" s="121">
        <v>131</v>
      </c>
      <c r="K160" s="121">
        <v>62</v>
      </c>
      <c r="L160" s="96"/>
      <c r="M160" s="184">
        <f t="shared" ca="1" si="6"/>
        <v>1</v>
      </c>
      <c r="N160" s="67">
        <f t="shared" ca="1" si="7"/>
        <v>1</v>
      </c>
      <c r="O160" s="68">
        <f t="shared" ca="1" si="8"/>
        <v>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182" t="str">
        <f t="shared" ca="1" si="9"/>
        <v>Tổ Hạ tầng Gò Dầu</v>
      </c>
      <c r="C161" s="61" t="str">
        <f t="shared" ca="1" si="2"/>
        <v>Nguyễn Thế Sự</v>
      </c>
      <c r="D161" s="183">
        <f t="shared" ca="1" si="3"/>
        <v>919990052</v>
      </c>
      <c r="E161" s="63" t="str">
        <f t="shared" ca="1" si="4"/>
        <v>sunt.tnh@vnpt.vn</v>
      </c>
      <c r="F161" s="64" t="str">
        <f t="shared" ca="1" si="5"/>
        <v>Lần 11</v>
      </c>
      <c r="G161" s="97">
        <v>46217</v>
      </c>
      <c r="H161" s="75">
        <v>130</v>
      </c>
      <c r="I161" s="75">
        <v>45</v>
      </c>
      <c r="J161" s="121">
        <v>161</v>
      </c>
      <c r="K161" s="121">
        <v>55</v>
      </c>
      <c r="L161" s="96"/>
      <c r="M161" s="184">
        <f t="shared" ca="1" si="6"/>
        <v>1</v>
      </c>
      <c r="N161" s="67">
        <f t="shared" ca="1" si="7"/>
        <v>1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182" t="str">
        <f t="shared" ca="1" si="9"/>
        <v>Tổ Hạ tầng Gò Dầu</v>
      </c>
      <c r="C162" s="61" t="str">
        <f t="shared" ca="1" si="2"/>
        <v>Nguyễn Thế Sự</v>
      </c>
      <c r="D162" s="183">
        <f t="shared" ca="1" si="3"/>
        <v>919990052</v>
      </c>
      <c r="E162" s="63" t="str">
        <f t="shared" ca="1" si="4"/>
        <v>sunt.tnh@vnpt.vn</v>
      </c>
      <c r="F162" s="64" t="str">
        <f t="shared" ca="1" si="5"/>
        <v>Lần 12</v>
      </c>
      <c r="G162" s="97">
        <v>46217</v>
      </c>
      <c r="H162" s="75">
        <v>124</v>
      </c>
      <c r="I162" s="75">
        <v>52</v>
      </c>
      <c r="J162" s="121">
        <v>346</v>
      </c>
      <c r="K162" s="121">
        <v>93</v>
      </c>
      <c r="L162" s="96"/>
      <c r="M162" s="184">
        <f t="shared" ca="1" si="6"/>
        <v>1</v>
      </c>
      <c r="N162" s="67">
        <f t="shared" ca="1" si="7"/>
        <v>1</v>
      </c>
      <c r="O162" s="68">
        <f t="shared" ca="1" si="8"/>
        <v>1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182" t="str">
        <f t="shared" ca="1" si="9"/>
        <v>Tổ Hạ tầng Gò Dầu</v>
      </c>
      <c r="C163" s="61" t="str">
        <f t="shared" ca="1" si="2"/>
        <v>Nguyễn Thế Sự</v>
      </c>
      <c r="D163" s="183">
        <f t="shared" ca="1" si="3"/>
        <v>919990052</v>
      </c>
      <c r="E163" s="63" t="str">
        <f t="shared" ca="1" si="4"/>
        <v>sunt.tnh@vnpt.vn</v>
      </c>
      <c r="F163" s="64" t="str">
        <f t="shared" ca="1" si="5"/>
        <v>Lần 13</v>
      </c>
      <c r="G163" s="97">
        <v>46223</v>
      </c>
      <c r="H163" s="75"/>
      <c r="I163" s="75"/>
      <c r="J163" s="121"/>
      <c r="K163" s="121"/>
      <c r="L163" s="96"/>
      <c r="M163" s="184">
        <f t="shared" ca="1" si="6"/>
        <v>0</v>
      </c>
      <c r="N163" s="67">
        <f t="shared" ca="1" si="7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182" t="str">
        <f t="shared" ca="1" si="9"/>
        <v>Tổ Hạ tầng Gò Dầu</v>
      </c>
      <c r="C164" s="61" t="str">
        <f t="shared" ca="1" si="2"/>
        <v>Nguyễn Thế Sự</v>
      </c>
      <c r="D164" s="183">
        <f t="shared" ca="1" si="3"/>
        <v>919990052</v>
      </c>
      <c r="E164" s="63" t="str">
        <f t="shared" ca="1" si="4"/>
        <v>sunt.tnh@vnpt.vn</v>
      </c>
      <c r="F164" s="64" t="str">
        <f t="shared" ca="1" si="5"/>
        <v>Lần 14</v>
      </c>
      <c r="G164" s="97">
        <v>46223</v>
      </c>
      <c r="H164" s="75"/>
      <c r="I164" s="75"/>
      <c r="J164" s="121"/>
      <c r="K164" s="121"/>
      <c r="L164" s="96"/>
      <c r="M164" s="184">
        <f t="shared" ca="1" si="6"/>
        <v>0</v>
      </c>
      <c r="N164" s="67">
        <f t="shared" ca="1" si="7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182" t="str">
        <f t="shared" ca="1" si="9"/>
        <v>Tổ Hạ tầng Gò Dầu</v>
      </c>
      <c r="C165" s="61" t="str">
        <f t="shared" ca="1" si="2"/>
        <v>Nguyễn Thế Sự</v>
      </c>
      <c r="D165" s="183">
        <f t="shared" ca="1" si="3"/>
        <v>919990052</v>
      </c>
      <c r="E165" s="63" t="str">
        <f t="shared" ca="1" si="4"/>
        <v>sunt.tnh@vnpt.vn</v>
      </c>
      <c r="F165" s="64" t="str">
        <f t="shared" ca="1" si="5"/>
        <v>Lần 15</v>
      </c>
      <c r="G165" s="97">
        <v>46223</v>
      </c>
      <c r="H165" s="75"/>
      <c r="I165" s="75"/>
      <c r="J165" s="121"/>
      <c r="K165" s="121"/>
      <c r="L165" s="96"/>
      <c r="M165" s="184">
        <f t="shared" ca="1" si="6"/>
        <v>0</v>
      </c>
      <c r="N165" s="67">
        <f t="shared" ca="1" si="7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96" t="str">
        <f t="shared" ca="1" si="9"/>
        <v>Tổ Hạ tầng Gò Dầu</v>
      </c>
      <c r="C166" s="102" t="str">
        <f t="shared" ca="1" si="2"/>
        <v>Nguyễn Thế Sự</v>
      </c>
      <c r="D166" s="197">
        <f t="shared" ca="1" si="3"/>
        <v>919990052</v>
      </c>
      <c r="E166" s="104" t="str">
        <f t="shared" ca="1" si="4"/>
        <v>sunt.tnh@vnpt.vn</v>
      </c>
      <c r="F166" s="105" t="str">
        <f t="shared" ca="1" si="5"/>
        <v>Lần 16</v>
      </c>
      <c r="G166" s="217">
        <v>46223</v>
      </c>
      <c r="H166" s="199"/>
      <c r="I166" s="199"/>
      <c r="J166" s="200"/>
      <c r="K166" s="200"/>
      <c r="L166" s="201"/>
      <c r="M166" s="202">
        <f t="shared" ca="1" si="6"/>
        <v>0</v>
      </c>
      <c r="N166" s="203">
        <f t="shared" ca="1" si="7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204" t="str">
        <f t="shared" ca="1" si="9"/>
        <v>Tổ Hạ tầng Gò Dầu</v>
      </c>
      <c r="C167" s="108" t="str">
        <f t="shared" ca="1" si="2"/>
        <v>Tô Tiểu Ngọc</v>
      </c>
      <c r="D167" s="205">
        <f t="shared" ca="1" si="3"/>
        <v>915502804</v>
      </c>
      <c r="E167" s="110" t="str">
        <f t="shared" ca="1" si="4"/>
        <v>ngoctt.tnh@vnpt.vn</v>
      </c>
      <c r="F167" s="111" t="str">
        <f t="shared" ca="1" si="5"/>
        <v>Lần 1</v>
      </c>
      <c r="G167" s="192">
        <v>46206</v>
      </c>
      <c r="H167" s="207">
        <v>105</v>
      </c>
      <c r="I167" s="207">
        <v>57</v>
      </c>
      <c r="J167" s="207">
        <v>131</v>
      </c>
      <c r="K167" s="207">
        <v>61</v>
      </c>
      <c r="L167" s="148"/>
      <c r="M167" s="181">
        <f t="shared" ca="1" si="6"/>
        <v>1</v>
      </c>
      <c r="N167" s="57">
        <f t="shared" ca="1" si="7"/>
        <v>1</v>
      </c>
      <c r="O167" s="68">
        <f t="shared" ca="1" si="8"/>
        <v>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182" t="str">
        <f t="shared" ca="1" si="9"/>
        <v>Tổ Hạ tầng Gò Dầu</v>
      </c>
      <c r="C168" s="61" t="str">
        <f t="shared" ca="1" si="2"/>
        <v>Tô Tiểu Ngọc</v>
      </c>
      <c r="D168" s="183">
        <f t="shared" ca="1" si="3"/>
        <v>915502804</v>
      </c>
      <c r="E168" s="63" t="str">
        <f t="shared" ca="1" si="4"/>
        <v>ngoctt.tnh@vnpt.vn</v>
      </c>
      <c r="F168" s="64" t="str">
        <f t="shared" ca="1" si="5"/>
        <v>Lần 2</v>
      </c>
      <c r="G168" s="97">
        <v>46206</v>
      </c>
      <c r="H168" s="121">
        <v>121</v>
      </c>
      <c r="I168" s="121">
        <v>58</v>
      </c>
      <c r="J168" s="121">
        <v>133</v>
      </c>
      <c r="K168" s="121">
        <v>60</v>
      </c>
      <c r="L168" s="91"/>
      <c r="M168" s="184">
        <f t="shared" ca="1" si="6"/>
        <v>1</v>
      </c>
      <c r="N168" s="67">
        <f t="shared" ca="1" si="7"/>
        <v>1</v>
      </c>
      <c r="O168" s="68">
        <f t="shared" ca="1" si="8"/>
        <v>0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182" t="str">
        <f t="shared" ca="1" si="9"/>
        <v>Tổ Hạ tầng Gò Dầu</v>
      </c>
      <c r="C169" s="61" t="str">
        <f t="shared" ca="1" si="2"/>
        <v>Tô Tiểu Ngọc</v>
      </c>
      <c r="D169" s="183">
        <f t="shared" ca="1" si="3"/>
        <v>915502804</v>
      </c>
      <c r="E169" s="63" t="str">
        <f t="shared" ca="1" si="4"/>
        <v>ngoctt.tnh@vnpt.vn</v>
      </c>
      <c r="F169" s="64" t="str">
        <f t="shared" ca="1" si="5"/>
        <v>Lần 3</v>
      </c>
      <c r="G169" s="97">
        <v>46206</v>
      </c>
      <c r="H169" s="121">
        <v>113</v>
      </c>
      <c r="I169" s="121">
        <v>61</v>
      </c>
      <c r="J169" s="121">
        <v>126</v>
      </c>
      <c r="K169" s="121">
        <v>62</v>
      </c>
      <c r="L169" s="91"/>
      <c r="M169" s="184">
        <f t="shared" ca="1" si="6"/>
        <v>1</v>
      </c>
      <c r="N169" s="67">
        <f t="shared" ca="1" si="7"/>
        <v>1</v>
      </c>
      <c r="O169" s="68">
        <f t="shared" ca="1" si="8"/>
        <v>0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182" t="str">
        <f t="shared" ca="1" si="9"/>
        <v>Tổ Hạ tầng Gò Dầu</v>
      </c>
      <c r="C170" s="61" t="str">
        <f t="shared" ca="1" si="2"/>
        <v>Tô Tiểu Ngọc</v>
      </c>
      <c r="D170" s="183">
        <f t="shared" ca="1" si="3"/>
        <v>915502804</v>
      </c>
      <c r="E170" s="63" t="str">
        <f t="shared" ca="1" si="4"/>
        <v>ngoctt.tnh@vnpt.vn</v>
      </c>
      <c r="F170" s="64" t="str">
        <f t="shared" ca="1" si="5"/>
        <v>Lần 4</v>
      </c>
      <c r="G170" s="97">
        <v>46206</v>
      </c>
      <c r="H170" s="121">
        <v>103</v>
      </c>
      <c r="I170" s="121">
        <v>61</v>
      </c>
      <c r="J170" s="121">
        <v>115</v>
      </c>
      <c r="K170" s="121">
        <v>62</v>
      </c>
      <c r="L170" s="91"/>
      <c r="M170" s="184">
        <f t="shared" ca="1" si="6"/>
        <v>1</v>
      </c>
      <c r="N170" s="67">
        <f t="shared" ca="1" si="7"/>
        <v>1</v>
      </c>
      <c r="O170" s="68">
        <f t="shared" ca="1" si="8"/>
        <v>0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182" t="str">
        <f t="shared" ca="1" si="9"/>
        <v>Tổ Hạ tầng Gò Dầu</v>
      </c>
      <c r="C171" s="61" t="str">
        <f t="shared" ca="1" si="2"/>
        <v>Tô Tiểu Ngọc</v>
      </c>
      <c r="D171" s="183">
        <f t="shared" ca="1" si="3"/>
        <v>915502804</v>
      </c>
      <c r="E171" s="63" t="str">
        <f t="shared" ca="1" si="4"/>
        <v>ngoctt.tnh@vnpt.vn</v>
      </c>
      <c r="F171" s="64" t="str">
        <f t="shared" ca="1" si="5"/>
        <v>Lần 5</v>
      </c>
      <c r="G171" s="97">
        <v>46211</v>
      </c>
      <c r="H171" s="122">
        <v>101</v>
      </c>
      <c r="I171" s="122">
        <v>60</v>
      </c>
      <c r="J171" s="121">
        <v>116</v>
      </c>
      <c r="K171" s="121">
        <v>61</v>
      </c>
      <c r="L171" s="91"/>
      <c r="M171" s="184">
        <f t="shared" ca="1" si="6"/>
        <v>1</v>
      </c>
      <c r="N171" s="67">
        <f t="shared" ca="1" si="7"/>
        <v>1</v>
      </c>
      <c r="O171" s="68">
        <f t="shared" ca="1" si="8"/>
        <v>0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182" t="str">
        <f t="shared" ca="1" si="9"/>
        <v>Tổ Hạ tầng Gò Dầu</v>
      </c>
      <c r="C172" s="61" t="str">
        <f t="shared" ca="1" si="2"/>
        <v>Tô Tiểu Ngọc</v>
      </c>
      <c r="D172" s="183">
        <f t="shared" ca="1" si="3"/>
        <v>915502804</v>
      </c>
      <c r="E172" s="63" t="str">
        <f t="shared" ca="1" si="4"/>
        <v>ngoctt.tnh@vnpt.vn</v>
      </c>
      <c r="F172" s="64" t="str">
        <f t="shared" ca="1" si="5"/>
        <v>Lần 6</v>
      </c>
      <c r="G172" s="97">
        <v>46211</v>
      </c>
      <c r="H172" s="122">
        <v>92</v>
      </c>
      <c r="I172" s="122">
        <v>59</v>
      </c>
      <c r="J172" s="121">
        <v>88</v>
      </c>
      <c r="K172" s="121">
        <v>45</v>
      </c>
      <c r="L172" s="91"/>
      <c r="M172" s="184">
        <f t="shared" ca="1" si="6"/>
        <v>1</v>
      </c>
      <c r="N172" s="67">
        <f t="shared" ca="1" si="7"/>
        <v>1</v>
      </c>
      <c r="O172" s="68">
        <f t="shared" ca="1" si="8"/>
        <v>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182" t="str">
        <f t="shared" ca="1" si="9"/>
        <v>Tổ Hạ tầng Gò Dầu</v>
      </c>
      <c r="C173" s="61" t="str">
        <f t="shared" ca="1" si="2"/>
        <v>Tô Tiểu Ngọc</v>
      </c>
      <c r="D173" s="183">
        <f t="shared" ca="1" si="3"/>
        <v>915502804</v>
      </c>
      <c r="E173" s="63" t="str">
        <f t="shared" ca="1" si="4"/>
        <v>ngoctt.tnh@vnpt.vn</v>
      </c>
      <c r="F173" s="64" t="str">
        <f t="shared" ca="1" si="5"/>
        <v>Lần 7</v>
      </c>
      <c r="G173" s="97">
        <v>46211</v>
      </c>
      <c r="H173" s="122">
        <v>125</v>
      </c>
      <c r="I173" s="122">
        <v>61</v>
      </c>
      <c r="J173" s="121">
        <v>151</v>
      </c>
      <c r="K173" s="121">
        <v>98</v>
      </c>
      <c r="L173" s="91"/>
      <c r="M173" s="184">
        <f t="shared" ca="1" si="6"/>
        <v>1</v>
      </c>
      <c r="N173" s="67">
        <f t="shared" ca="1" si="7"/>
        <v>1</v>
      </c>
      <c r="O173" s="68">
        <f t="shared" ca="1" si="8"/>
        <v>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182" t="str">
        <f t="shared" ca="1" si="9"/>
        <v>Tổ Hạ tầng Gò Dầu</v>
      </c>
      <c r="C174" s="61" t="str">
        <f t="shared" ca="1" si="2"/>
        <v>Tô Tiểu Ngọc</v>
      </c>
      <c r="D174" s="183">
        <f t="shared" ca="1" si="3"/>
        <v>915502804</v>
      </c>
      <c r="E174" s="63" t="str">
        <f t="shared" ca="1" si="4"/>
        <v>ngoctt.tnh@vnpt.vn</v>
      </c>
      <c r="F174" s="64" t="str">
        <f t="shared" ca="1" si="5"/>
        <v>Lần 8</v>
      </c>
      <c r="G174" s="97">
        <v>46211</v>
      </c>
      <c r="H174" s="122">
        <v>131</v>
      </c>
      <c r="I174" s="122">
        <v>31</v>
      </c>
      <c r="J174" s="121">
        <v>145</v>
      </c>
      <c r="K174" s="121">
        <v>207</v>
      </c>
      <c r="L174" s="91"/>
      <c r="M174" s="184">
        <f t="shared" ca="1" si="6"/>
        <v>1</v>
      </c>
      <c r="N174" s="67">
        <f t="shared" ca="1" si="7"/>
        <v>1</v>
      </c>
      <c r="O174" s="68">
        <f t="shared" ca="1" si="8"/>
        <v>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182" t="str">
        <f t="shared" ca="1" si="9"/>
        <v>Tổ Hạ tầng Gò Dầu</v>
      </c>
      <c r="C175" s="61" t="str">
        <f t="shared" ca="1" si="2"/>
        <v>Tô Tiểu Ngọc</v>
      </c>
      <c r="D175" s="183">
        <f t="shared" ca="1" si="3"/>
        <v>915502804</v>
      </c>
      <c r="E175" s="63" t="str">
        <f t="shared" ca="1" si="4"/>
        <v>ngoctt.tnh@vnpt.vn</v>
      </c>
      <c r="F175" s="64" t="str">
        <f t="shared" ca="1" si="5"/>
        <v>Lần 9</v>
      </c>
      <c r="G175" s="97">
        <v>46217</v>
      </c>
      <c r="H175" s="75">
        <v>111</v>
      </c>
      <c r="I175" s="75">
        <v>63</v>
      </c>
      <c r="J175" s="121">
        <v>80</v>
      </c>
      <c r="K175" s="121">
        <v>61</v>
      </c>
      <c r="L175" s="91"/>
      <c r="M175" s="184">
        <f t="shared" ca="1" si="6"/>
        <v>1</v>
      </c>
      <c r="N175" s="67">
        <f t="shared" ca="1" si="7"/>
        <v>1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182" t="str">
        <f t="shared" ca="1" si="9"/>
        <v>Tổ Hạ tầng Gò Dầu</v>
      </c>
      <c r="C176" s="61" t="str">
        <f t="shared" ca="1" si="2"/>
        <v>Tô Tiểu Ngọc</v>
      </c>
      <c r="D176" s="183">
        <f t="shared" ca="1" si="3"/>
        <v>915502804</v>
      </c>
      <c r="E176" s="63" t="str">
        <f t="shared" ca="1" si="4"/>
        <v>ngoctt.tnh@vnpt.vn</v>
      </c>
      <c r="F176" s="64" t="str">
        <f t="shared" ca="1" si="5"/>
        <v>Lần 10</v>
      </c>
      <c r="G176" s="97">
        <v>46217</v>
      </c>
      <c r="H176" s="122">
        <v>109</v>
      </c>
      <c r="I176" s="122">
        <v>63</v>
      </c>
      <c r="J176" s="121">
        <v>868</v>
      </c>
      <c r="K176" s="121">
        <v>631</v>
      </c>
      <c r="L176" s="91"/>
      <c r="M176" s="184">
        <f t="shared" ca="1" si="6"/>
        <v>1</v>
      </c>
      <c r="N176" s="67">
        <f t="shared" ca="1" si="7"/>
        <v>1</v>
      </c>
      <c r="O176" s="68">
        <f t="shared" ca="1" si="8"/>
        <v>1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182" t="str">
        <f t="shared" ca="1" si="9"/>
        <v>Tổ Hạ tầng Gò Dầu</v>
      </c>
      <c r="C177" s="61" t="str">
        <f t="shared" ca="1" si="2"/>
        <v>Tô Tiểu Ngọc</v>
      </c>
      <c r="D177" s="183">
        <f t="shared" ca="1" si="3"/>
        <v>915502804</v>
      </c>
      <c r="E177" s="63" t="str">
        <f t="shared" ca="1" si="4"/>
        <v>ngoctt.tnh@vnpt.vn</v>
      </c>
      <c r="F177" s="64" t="str">
        <f t="shared" ca="1" si="5"/>
        <v>Lần 11</v>
      </c>
      <c r="G177" s="97">
        <v>46217</v>
      </c>
      <c r="H177" s="75">
        <v>123</v>
      </c>
      <c r="I177" s="75">
        <v>38</v>
      </c>
      <c r="J177" s="121">
        <v>119</v>
      </c>
      <c r="K177" s="121">
        <v>15</v>
      </c>
      <c r="L177" s="91"/>
      <c r="M177" s="184">
        <f t="shared" ca="1" si="6"/>
        <v>1</v>
      </c>
      <c r="N177" s="67">
        <f t="shared" ca="1" si="7"/>
        <v>1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182" t="str">
        <f t="shared" ca="1" si="9"/>
        <v>Tổ Hạ tầng Gò Dầu</v>
      </c>
      <c r="C178" s="61" t="str">
        <f t="shared" ca="1" si="2"/>
        <v>Tô Tiểu Ngọc</v>
      </c>
      <c r="D178" s="183">
        <f t="shared" ca="1" si="3"/>
        <v>915502804</v>
      </c>
      <c r="E178" s="63" t="str">
        <f t="shared" ca="1" si="4"/>
        <v>ngoctt.tnh@vnpt.vn</v>
      </c>
      <c r="F178" s="64" t="str">
        <f t="shared" ca="1" si="5"/>
        <v>Lần 12</v>
      </c>
      <c r="G178" s="97">
        <v>46217</v>
      </c>
      <c r="H178" s="122">
        <v>103</v>
      </c>
      <c r="I178" s="122">
        <v>65</v>
      </c>
      <c r="J178" s="121">
        <v>89</v>
      </c>
      <c r="K178" s="121">
        <v>63</v>
      </c>
      <c r="L178" s="91"/>
      <c r="M178" s="184">
        <f t="shared" ca="1" si="6"/>
        <v>1</v>
      </c>
      <c r="N178" s="67">
        <f t="shared" ca="1" si="7"/>
        <v>1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182" t="str">
        <f t="shared" ca="1" si="9"/>
        <v>Tổ Hạ tầng Gò Dầu</v>
      </c>
      <c r="C179" s="61" t="str">
        <f t="shared" ca="1" si="2"/>
        <v>Tô Tiểu Ngọc</v>
      </c>
      <c r="D179" s="183">
        <f t="shared" ca="1" si="3"/>
        <v>915502804</v>
      </c>
      <c r="E179" s="63" t="str">
        <f t="shared" ca="1" si="4"/>
        <v>ngoctt.tnh@vnpt.vn</v>
      </c>
      <c r="F179" s="64" t="str">
        <f t="shared" ca="1" si="5"/>
        <v>Lần 13</v>
      </c>
      <c r="G179" s="97">
        <v>46223</v>
      </c>
      <c r="H179" s="122"/>
      <c r="I179" s="122"/>
      <c r="J179" s="121"/>
      <c r="K179" s="121"/>
      <c r="L179" s="91"/>
      <c r="M179" s="184">
        <f t="shared" ca="1" si="6"/>
        <v>0</v>
      </c>
      <c r="N179" s="67">
        <f t="shared" ca="1" si="7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182" t="str">
        <f t="shared" ca="1" si="9"/>
        <v>Tổ Hạ tầng Gò Dầu</v>
      </c>
      <c r="C180" s="61" t="str">
        <f t="shared" ca="1" si="2"/>
        <v>Tô Tiểu Ngọc</v>
      </c>
      <c r="D180" s="183">
        <f t="shared" ca="1" si="3"/>
        <v>915502804</v>
      </c>
      <c r="E180" s="63" t="str">
        <f t="shared" ca="1" si="4"/>
        <v>ngoctt.tnh@vnpt.vn</v>
      </c>
      <c r="F180" s="64" t="str">
        <f t="shared" ca="1" si="5"/>
        <v>Lần 14</v>
      </c>
      <c r="G180" s="97">
        <v>46223</v>
      </c>
      <c r="H180" s="122"/>
      <c r="I180" s="122"/>
      <c r="J180" s="121"/>
      <c r="K180" s="121"/>
      <c r="L180" s="91"/>
      <c r="M180" s="184">
        <f t="shared" ca="1" si="6"/>
        <v>0</v>
      </c>
      <c r="N180" s="67">
        <f t="shared" ca="1" si="7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182" t="str">
        <f t="shared" ca="1" si="9"/>
        <v>Tổ Hạ tầng Gò Dầu</v>
      </c>
      <c r="C181" s="61" t="str">
        <f t="shared" ca="1" si="2"/>
        <v>Tô Tiểu Ngọc</v>
      </c>
      <c r="D181" s="183">
        <f t="shared" ca="1" si="3"/>
        <v>915502804</v>
      </c>
      <c r="E181" s="63" t="str">
        <f t="shared" ca="1" si="4"/>
        <v>ngoctt.tnh@vnpt.vn</v>
      </c>
      <c r="F181" s="64" t="str">
        <f t="shared" ca="1" si="5"/>
        <v>Lần 15</v>
      </c>
      <c r="G181" s="97">
        <v>46223</v>
      </c>
      <c r="H181" s="122"/>
      <c r="I181" s="122"/>
      <c r="J181" s="121"/>
      <c r="K181" s="121"/>
      <c r="L181" s="91"/>
      <c r="M181" s="184">
        <f t="shared" ca="1" si="6"/>
        <v>0</v>
      </c>
      <c r="N181" s="67">
        <f t="shared" ca="1" si="7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185" t="str">
        <f t="shared" ca="1" si="9"/>
        <v>Tổ Hạ tầng Gò Dầu</v>
      </c>
      <c r="C182" s="82" t="str">
        <f t="shared" ca="1" si="2"/>
        <v>Tô Tiểu Ngọc</v>
      </c>
      <c r="D182" s="186">
        <f t="shared" ca="1" si="3"/>
        <v>915502804</v>
      </c>
      <c r="E182" s="84" t="str">
        <f t="shared" ca="1" si="4"/>
        <v>ngoctt.tnh@vnpt.vn</v>
      </c>
      <c r="F182" s="85" t="str">
        <f t="shared" ca="1" si="5"/>
        <v>Lần 16</v>
      </c>
      <c r="G182" s="219">
        <v>46223</v>
      </c>
      <c r="H182" s="150"/>
      <c r="I182" s="150"/>
      <c r="J182" s="188"/>
      <c r="K182" s="188"/>
      <c r="L182" s="152"/>
      <c r="M182" s="189">
        <f t="shared" ca="1" si="6"/>
        <v>0</v>
      </c>
      <c r="N182" s="171">
        <f t="shared" ca="1" si="7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190" t="str">
        <f t="shared" ca="1" si="9"/>
        <v>Tổ Hạ tầng Gò Dầu</v>
      </c>
      <c r="C183" s="48" t="str">
        <f t="shared" ca="1" si="2"/>
        <v>Đặng Chí Hiếu</v>
      </c>
      <c r="D183" s="191">
        <f t="shared" ca="1" si="3"/>
        <v>828585258</v>
      </c>
      <c r="E183" s="50" t="str">
        <f t="shared" ca="1" si="4"/>
        <v>hieudc.tnh@vnpt.vn</v>
      </c>
      <c r="F183" s="51" t="str">
        <f t="shared" ca="1" si="5"/>
        <v>Lần 1</v>
      </c>
      <c r="G183" s="215">
        <v>46206</v>
      </c>
      <c r="H183" s="142">
        <v>100</v>
      </c>
      <c r="I183" s="142">
        <v>52</v>
      </c>
      <c r="J183" s="179">
        <v>233</v>
      </c>
      <c r="K183" s="179">
        <v>34</v>
      </c>
      <c r="L183" s="193"/>
      <c r="M183" s="194">
        <f t="shared" ca="1" si="6"/>
        <v>1</v>
      </c>
      <c r="N183" s="195">
        <f t="shared" ca="1" si="7"/>
        <v>1</v>
      </c>
      <c r="O183" s="68">
        <f t="shared" ca="1" si="8"/>
        <v>1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182" t="str">
        <f t="shared" ca="1" si="9"/>
        <v>Tổ Hạ tầng Gò Dầu</v>
      </c>
      <c r="C184" s="61" t="str">
        <f t="shared" ca="1" si="2"/>
        <v>Đặng Chí Hiếu</v>
      </c>
      <c r="D184" s="183">
        <f t="shared" ca="1" si="3"/>
        <v>828585258</v>
      </c>
      <c r="E184" s="63" t="str">
        <f t="shared" ca="1" si="4"/>
        <v>hieudc.tnh@vnpt.vn</v>
      </c>
      <c r="F184" s="64" t="str">
        <f t="shared" ca="1" si="5"/>
        <v>Lần 2</v>
      </c>
      <c r="G184" s="97">
        <v>46206</v>
      </c>
      <c r="H184" s="71">
        <v>87</v>
      </c>
      <c r="I184" s="71">
        <v>57</v>
      </c>
      <c r="J184" s="121">
        <v>236</v>
      </c>
      <c r="K184" s="121">
        <v>55</v>
      </c>
      <c r="L184" s="95"/>
      <c r="M184" s="184">
        <f t="shared" ca="1" si="6"/>
        <v>1</v>
      </c>
      <c r="N184" s="67">
        <f t="shared" ca="1" si="7"/>
        <v>1</v>
      </c>
      <c r="O184" s="68">
        <f t="shared" ca="1" si="8"/>
        <v>1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182" t="str">
        <f t="shared" ca="1" si="9"/>
        <v>Tổ Hạ tầng Gò Dầu</v>
      </c>
      <c r="C185" s="61" t="str">
        <f t="shared" ca="1" si="2"/>
        <v>Đặng Chí Hiếu</v>
      </c>
      <c r="D185" s="183">
        <f t="shared" ca="1" si="3"/>
        <v>828585258</v>
      </c>
      <c r="E185" s="63" t="str">
        <f t="shared" ca="1" si="4"/>
        <v>hieudc.tnh@vnpt.vn</v>
      </c>
      <c r="F185" s="64" t="str">
        <f t="shared" ca="1" si="5"/>
        <v>Lần 3</v>
      </c>
      <c r="G185" s="97">
        <v>46206</v>
      </c>
      <c r="H185" s="71">
        <v>96</v>
      </c>
      <c r="I185" s="71">
        <v>57</v>
      </c>
      <c r="J185" s="121">
        <v>100</v>
      </c>
      <c r="K185" s="121">
        <v>62</v>
      </c>
      <c r="L185" s="95"/>
      <c r="M185" s="184">
        <f t="shared" ca="1" si="6"/>
        <v>1</v>
      </c>
      <c r="N185" s="67">
        <f t="shared" ca="1" si="7"/>
        <v>1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182" t="str">
        <f t="shared" ca="1" si="9"/>
        <v>Tổ Hạ tầng Gò Dầu</v>
      </c>
      <c r="C186" s="61" t="str">
        <f t="shared" ca="1" si="2"/>
        <v>Đặng Chí Hiếu</v>
      </c>
      <c r="D186" s="183">
        <f t="shared" ca="1" si="3"/>
        <v>828585258</v>
      </c>
      <c r="E186" s="63" t="str">
        <f t="shared" ca="1" si="4"/>
        <v>hieudc.tnh@vnpt.vn</v>
      </c>
      <c r="F186" s="64" t="str">
        <f t="shared" ca="1" si="5"/>
        <v>Lần 4</v>
      </c>
      <c r="G186" s="97">
        <v>46206</v>
      </c>
      <c r="H186" s="71">
        <v>93</v>
      </c>
      <c r="I186" s="71">
        <v>57</v>
      </c>
      <c r="J186" s="121">
        <v>109</v>
      </c>
      <c r="K186" s="121">
        <v>64</v>
      </c>
      <c r="L186" s="95"/>
      <c r="M186" s="184">
        <f t="shared" ca="1" si="6"/>
        <v>1</v>
      </c>
      <c r="N186" s="67">
        <f t="shared" ca="1" si="7"/>
        <v>1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182" t="str">
        <f t="shared" ca="1" si="9"/>
        <v>Tổ Hạ tầng Gò Dầu</v>
      </c>
      <c r="C187" s="61" t="str">
        <f t="shared" ca="1" si="2"/>
        <v>Đặng Chí Hiếu</v>
      </c>
      <c r="D187" s="183">
        <f t="shared" ca="1" si="3"/>
        <v>828585258</v>
      </c>
      <c r="E187" s="63" t="str">
        <f t="shared" ca="1" si="4"/>
        <v>hieudc.tnh@vnpt.vn</v>
      </c>
      <c r="F187" s="64" t="str">
        <f t="shared" ca="1" si="5"/>
        <v>Lần 5</v>
      </c>
      <c r="G187" s="97">
        <v>46211</v>
      </c>
      <c r="H187" s="75">
        <v>90</v>
      </c>
      <c r="I187" s="75">
        <v>52</v>
      </c>
      <c r="J187" s="121">
        <v>89</v>
      </c>
      <c r="K187" s="121">
        <v>61</v>
      </c>
      <c r="L187" s="95"/>
      <c r="M187" s="184">
        <f t="shared" ca="1" si="6"/>
        <v>1</v>
      </c>
      <c r="N187" s="67">
        <f t="shared" ca="1" si="7"/>
        <v>1</v>
      </c>
      <c r="O187" s="68">
        <f t="shared" ca="1" si="8"/>
        <v>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182" t="str">
        <f t="shared" ca="1" si="9"/>
        <v>Tổ Hạ tầng Gò Dầu</v>
      </c>
      <c r="C188" s="61" t="str">
        <f t="shared" ca="1" si="2"/>
        <v>Đặng Chí Hiếu</v>
      </c>
      <c r="D188" s="183">
        <f t="shared" ca="1" si="3"/>
        <v>828585258</v>
      </c>
      <c r="E188" s="63" t="str">
        <f t="shared" ca="1" si="4"/>
        <v>hieudc.tnh@vnpt.vn</v>
      </c>
      <c r="F188" s="64" t="str">
        <f t="shared" ca="1" si="5"/>
        <v>Lần 6</v>
      </c>
      <c r="G188" s="97">
        <v>46211</v>
      </c>
      <c r="H188" s="75">
        <v>88</v>
      </c>
      <c r="I188" s="75">
        <v>57</v>
      </c>
      <c r="J188" s="121">
        <v>108</v>
      </c>
      <c r="K188" s="121">
        <v>63</v>
      </c>
      <c r="L188" s="95"/>
      <c r="M188" s="184">
        <f t="shared" ca="1" si="6"/>
        <v>1</v>
      </c>
      <c r="N188" s="67">
        <f t="shared" ca="1" si="7"/>
        <v>1</v>
      </c>
      <c r="O188" s="68">
        <f t="shared" ca="1" si="8"/>
        <v>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182" t="str">
        <f t="shared" ca="1" si="9"/>
        <v>Tổ Hạ tầng Gò Dầu</v>
      </c>
      <c r="C189" s="61" t="str">
        <f t="shared" ca="1" si="2"/>
        <v>Đặng Chí Hiếu</v>
      </c>
      <c r="D189" s="183">
        <f t="shared" ca="1" si="3"/>
        <v>828585258</v>
      </c>
      <c r="E189" s="63" t="str">
        <f t="shared" ca="1" si="4"/>
        <v>hieudc.tnh@vnpt.vn</v>
      </c>
      <c r="F189" s="64" t="str">
        <f t="shared" ca="1" si="5"/>
        <v>Lần 7</v>
      </c>
      <c r="G189" s="97">
        <v>46211</v>
      </c>
      <c r="H189" s="75">
        <v>87</v>
      </c>
      <c r="I189" s="75">
        <v>56</v>
      </c>
      <c r="J189" s="121">
        <v>107</v>
      </c>
      <c r="K189" s="121">
        <v>55</v>
      </c>
      <c r="L189" s="95"/>
      <c r="M189" s="184">
        <f t="shared" ca="1" si="6"/>
        <v>1</v>
      </c>
      <c r="N189" s="67">
        <f t="shared" ca="1" si="7"/>
        <v>1</v>
      </c>
      <c r="O189" s="68">
        <f t="shared" ca="1" si="8"/>
        <v>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182" t="str">
        <f t="shared" ca="1" si="9"/>
        <v>Tổ Hạ tầng Gò Dầu</v>
      </c>
      <c r="C190" s="61" t="str">
        <f t="shared" ca="1" si="2"/>
        <v>Đặng Chí Hiếu</v>
      </c>
      <c r="D190" s="183">
        <f t="shared" ca="1" si="3"/>
        <v>828585258</v>
      </c>
      <c r="E190" s="63" t="str">
        <f t="shared" ca="1" si="4"/>
        <v>hieudc.tnh@vnpt.vn</v>
      </c>
      <c r="F190" s="64" t="str">
        <f t="shared" ca="1" si="5"/>
        <v>Lần 8</v>
      </c>
      <c r="G190" s="97">
        <v>46211</v>
      </c>
      <c r="H190" s="75">
        <v>97</v>
      </c>
      <c r="I190" s="75">
        <v>55</v>
      </c>
      <c r="J190" s="121">
        <v>75</v>
      </c>
      <c r="K190" s="121">
        <v>61</v>
      </c>
      <c r="L190" s="95"/>
      <c r="M190" s="184">
        <f t="shared" ca="1" si="6"/>
        <v>1</v>
      </c>
      <c r="N190" s="67">
        <f t="shared" ca="1" si="7"/>
        <v>1</v>
      </c>
      <c r="O190" s="68">
        <f t="shared" ca="1" si="8"/>
        <v>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182" t="str">
        <f t="shared" ca="1" si="9"/>
        <v>Tổ Hạ tầng Gò Dầu</v>
      </c>
      <c r="C191" s="61" t="str">
        <f t="shared" ca="1" si="2"/>
        <v>Đặng Chí Hiếu</v>
      </c>
      <c r="D191" s="183">
        <f t="shared" ca="1" si="3"/>
        <v>828585258</v>
      </c>
      <c r="E191" s="63" t="str">
        <f t="shared" ca="1" si="4"/>
        <v>hieudc.tnh@vnpt.vn</v>
      </c>
      <c r="F191" s="64" t="str">
        <f t="shared" ca="1" si="5"/>
        <v>Lần 9</v>
      </c>
      <c r="G191" s="97">
        <v>46217</v>
      </c>
      <c r="H191" s="75">
        <v>90</v>
      </c>
      <c r="I191" s="75">
        <v>55</v>
      </c>
      <c r="J191" s="121">
        <v>91</v>
      </c>
      <c r="K191" s="121">
        <v>62</v>
      </c>
      <c r="L191" s="95"/>
      <c r="M191" s="184">
        <f t="shared" ca="1" si="6"/>
        <v>1</v>
      </c>
      <c r="N191" s="67">
        <f t="shared" ca="1" si="7"/>
        <v>1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182" t="str">
        <f t="shared" ca="1" si="9"/>
        <v>Tổ Hạ tầng Gò Dầu</v>
      </c>
      <c r="C192" s="61" t="str">
        <f t="shared" ca="1" si="2"/>
        <v>Đặng Chí Hiếu</v>
      </c>
      <c r="D192" s="183">
        <f t="shared" ca="1" si="3"/>
        <v>828585258</v>
      </c>
      <c r="E192" s="63" t="str">
        <f t="shared" ca="1" si="4"/>
        <v>hieudc.tnh@vnpt.vn</v>
      </c>
      <c r="F192" s="64" t="str">
        <f t="shared" ca="1" si="5"/>
        <v>Lần 10</v>
      </c>
      <c r="G192" s="97">
        <v>46217</v>
      </c>
      <c r="H192" s="75">
        <v>83</v>
      </c>
      <c r="I192" s="75">
        <v>57</v>
      </c>
      <c r="J192" s="121">
        <v>106</v>
      </c>
      <c r="K192" s="121">
        <v>62</v>
      </c>
      <c r="L192" s="95"/>
      <c r="M192" s="184">
        <f t="shared" ca="1" si="6"/>
        <v>1</v>
      </c>
      <c r="N192" s="67">
        <f t="shared" ca="1" si="7"/>
        <v>1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182" t="str">
        <f t="shared" ca="1" si="9"/>
        <v>Tổ Hạ tầng Gò Dầu</v>
      </c>
      <c r="C193" s="61" t="str">
        <f t="shared" ca="1" si="2"/>
        <v>Đặng Chí Hiếu</v>
      </c>
      <c r="D193" s="183">
        <f t="shared" ca="1" si="3"/>
        <v>828585258</v>
      </c>
      <c r="E193" s="63" t="str">
        <f t="shared" ca="1" si="4"/>
        <v>hieudc.tnh@vnpt.vn</v>
      </c>
      <c r="F193" s="64" t="str">
        <f t="shared" ca="1" si="5"/>
        <v>Lần 11</v>
      </c>
      <c r="G193" s="97">
        <v>46217</v>
      </c>
      <c r="H193" s="75">
        <v>101</v>
      </c>
      <c r="I193" s="75">
        <v>51</v>
      </c>
      <c r="J193" s="121">
        <v>107</v>
      </c>
      <c r="K193" s="121">
        <v>61</v>
      </c>
      <c r="L193" s="95"/>
      <c r="M193" s="184">
        <f t="shared" ca="1" si="6"/>
        <v>1</v>
      </c>
      <c r="N193" s="67">
        <f t="shared" ca="1" si="7"/>
        <v>1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182" t="str">
        <f t="shared" ca="1" si="9"/>
        <v>Tổ Hạ tầng Gò Dầu</v>
      </c>
      <c r="C194" s="61" t="str">
        <f t="shared" ca="1" si="2"/>
        <v>Đặng Chí Hiếu</v>
      </c>
      <c r="D194" s="183">
        <f t="shared" ca="1" si="3"/>
        <v>828585258</v>
      </c>
      <c r="E194" s="63" t="str">
        <f t="shared" ca="1" si="4"/>
        <v>hieudc.tnh@vnpt.vn</v>
      </c>
      <c r="F194" s="64" t="str">
        <f t="shared" ca="1" si="5"/>
        <v>Lần 12</v>
      </c>
      <c r="G194" s="97">
        <v>46217</v>
      </c>
      <c r="H194" s="75">
        <v>102</v>
      </c>
      <c r="I194" s="75">
        <v>102</v>
      </c>
      <c r="J194" s="121">
        <v>106</v>
      </c>
      <c r="K194" s="121">
        <v>62</v>
      </c>
      <c r="L194" s="95"/>
      <c r="M194" s="184">
        <f t="shared" ca="1" si="6"/>
        <v>1</v>
      </c>
      <c r="N194" s="67">
        <f t="shared" ca="1" si="7"/>
        <v>1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182" t="str">
        <f t="shared" ca="1" si="9"/>
        <v>Tổ Hạ tầng Gò Dầu</v>
      </c>
      <c r="C195" s="61" t="str">
        <f t="shared" ca="1" si="2"/>
        <v>Đặng Chí Hiếu</v>
      </c>
      <c r="D195" s="183">
        <f t="shared" ca="1" si="3"/>
        <v>828585258</v>
      </c>
      <c r="E195" s="63" t="str">
        <f t="shared" ca="1" si="4"/>
        <v>hieudc.tnh@vnpt.vn</v>
      </c>
      <c r="F195" s="64" t="str">
        <f t="shared" ca="1" si="5"/>
        <v>Lần 13</v>
      </c>
      <c r="G195" s="97">
        <v>46223</v>
      </c>
      <c r="H195" s="75"/>
      <c r="I195" s="75"/>
      <c r="J195" s="121"/>
      <c r="K195" s="121"/>
      <c r="L195" s="95"/>
      <c r="M195" s="184">
        <f t="shared" ca="1" si="6"/>
        <v>0</v>
      </c>
      <c r="N195" s="67">
        <f t="shared" ca="1" si="7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182" t="str">
        <f t="shared" ca="1" si="9"/>
        <v>Tổ Hạ tầng Gò Dầu</v>
      </c>
      <c r="C196" s="61" t="str">
        <f t="shared" ca="1" si="2"/>
        <v>Đặng Chí Hiếu</v>
      </c>
      <c r="D196" s="183">
        <f t="shared" ca="1" si="3"/>
        <v>828585258</v>
      </c>
      <c r="E196" s="63" t="str">
        <f t="shared" ca="1" si="4"/>
        <v>hieudc.tnh@vnpt.vn</v>
      </c>
      <c r="F196" s="64" t="str">
        <f t="shared" ca="1" si="5"/>
        <v>Lần 14</v>
      </c>
      <c r="G196" s="97">
        <v>46223</v>
      </c>
      <c r="H196" s="75"/>
      <c r="I196" s="75"/>
      <c r="J196" s="121"/>
      <c r="K196" s="121"/>
      <c r="L196" s="95"/>
      <c r="M196" s="184">
        <f t="shared" ca="1" si="6"/>
        <v>0</v>
      </c>
      <c r="N196" s="67">
        <f t="shared" ca="1" si="7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182" t="str">
        <f t="shared" ca="1" si="9"/>
        <v>Tổ Hạ tầng Gò Dầu</v>
      </c>
      <c r="C197" s="61" t="str">
        <f t="shared" ca="1" si="2"/>
        <v>Đặng Chí Hiếu</v>
      </c>
      <c r="D197" s="183">
        <f t="shared" ca="1" si="3"/>
        <v>828585258</v>
      </c>
      <c r="E197" s="63" t="str">
        <f t="shared" ca="1" si="4"/>
        <v>hieudc.tnh@vnpt.vn</v>
      </c>
      <c r="F197" s="64" t="str">
        <f t="shared" ca="1" si="5"/>
        <v>Lần 15</v>
      </c>
      <c r="G197" s="97">
        <v>46223</v>
      </c>
      <c r="H197" s="75"/>
      <c r="I197" s="75"/>
      <c r="J197" s="121"/>
      <c r="K197" s="121"/>
      <c r="L197" s="95"/>
      <c r="M197" s="184">
        <f t="shared" ca="1" si="6"/>
        <v>0</v>
      </c>
      <c r="N197" s="67">
        <f t="shared" ca="1" si="7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96" t="str">
        <f t="shared" ca="1" si="9"/>
        <v>Tổ Hạ tầng Gò Dầu</v>
      </c>
      <c r="C198" s="102" t="str">
        <f t="shared" ca="1" si="2"/>
        <v>Đặng Chí Hiếu</v>
      </c>
      <c r="D198" s="197">
        <f t="shared" ca="1" si="3"/>
        <v>828585258</v>
      </c>
      <c r="E198" s="104" t="str">
        <f t="shared" ca="1" si="4"/>
        <v>hieudc.tnh@vnpt.vn</v>
      </c>
      <c r="F198" s="105" t="str">
        <f t="shared" ca="1" si="5"/>
        <v>Lần 16</v>
      </c>
      <c r="G198" s="217">
        <v>46223</v>
      </c>
      <c r="H198" s="199"/>
      <c r="I198" s="199"/>
      <c r="J198" s="200"/>
      <c r="K198" s="200"/>
      <c r="L198" s="212"/>
      <c r="M198" s="202">
        <f t="shared" ca="1" si="6"/>
        <v>0</v>
      </c>
      <c r="N198" s="203">
        <f t="shared" ca="1" si="7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106">
        <f t="shared" ca="1" si="1"/>
        <v>193</v>
      </c>
      <c r="B199" s="204" t="str">
        <f t="shared" ca="1" si="9"/>
        <v>Tổ Hạ tầng Gò Dầu</v>
      </c>
      <c r="C199" s="108" t="str">
        <f t="shared" ca="1" si="2"/>
        <v>Trà Thanh Phong</v>
      </c>
      <c r="D199" s="205">
        <f t="shared" ca="1" si="3"/>
        <v>833406690</v>
      </c>
      <c r="E199" s="110" t="str">
        <f t="shared" ca="1" si="4"/>
        <v>phongtt.tnh@vnpt.vn</v>
      </c>
      <c r="F199" s="111" t="str">
        <f t="shared" ca="1" si="5"/>
        <v>Lần 1</v>
      </c>
      <c r="G199" s="192">
        <v>46206</v>
      </c>
      <c r="H199" s="207">
        <v>81</v>
      </c>
      <c r="I199" s="207">
        <v>60</v>
      </c>
      <c r="J199" s="207">
        <v>81</v>
      </c>
      <c r="K199" s="207">
        <v>60</v>
      </c>
      <c r="L199" s="213"/>
      <c r="M199" s="181">
        <f t="shared" ca="1" si="6"/>
        <v>1</v>
      </c>
      <c r="N199" s="57">
        <f t="shared" ca="1" si="7"/>
        <v>1</v>
      </c>
      <c r="O199" s="68">
        <f t="shared" ca="1" si="8"/>
        <v>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182" t="str">
        <f t="shared" ca="1" si="9"/>
        <v>Tổ Hạ tầng Gò Dầu</v>
      </c>
      <c r="C200" s="61" t="str">
        <f t="shared" ca="1" si="2"/>
        <v>Trà Thanh Phong</v>
      </c>
      <c r="D200" s="183">
        <f t="shared" ca="1" si="3"/>
        <v>833406690</v>
      </c>
      <c r="E200" s="63" t="str">
        <f t="shared" ca="1" si="4"/>
        <v>phongtt.tnh@vnpt.vn</v>
      </c>
      <c r="F200" s="64" t="str">
        <f t="shared" ca="1" si="5"/>
        <v>Lần 2</v>
      </c>
      <c r="G200" s="97">
        <v>46206</v>
      </c>
      <c r="H200" s="121">
        <v>89</v>
      </c>
      <c r="I200" s="121">
        <v>62</v>
      </c>
      <c r="J200" s="121">
        <v>89</v>
      </c>
      <c r="K200" s="121">
        <v>62</v>
      </c>
      <c r="L200" s="88"/>
      <c r="M200" s="184">
        <f t="shared" ca="1" si="6"/>
        <v>1</v>
      </c>
      <c r="N200" s="67">
        <f t="shared" ca="1" si="7"/>
        <v>1</v>
      </c>
      <c r="O200" s="68">
        <f t="shared" ca="1" si="8"/>
        <v>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182" t="str">
        <f t="shared" ca="1" si="9"/>
        <v>Tổ Hạ tầng Gò Dầu</v>
      </c>
      <c r="C201" s="61" t="str">
        <f t="shared" ca="1" si="2"/>
        <v>Trà Thanh Phong</v>
      </c>
      <c r="D201" s="183">
        <f t="shared" ca="1" si="3"/>
        <v>833406690</v>
      </c>
      <c r="E201" s="63" t="str">
        <f t="shared" ca="1" si="4"/>
        <v>phongtt.tnh@vnpt.vn</v>
      </c>
      <c r="F201" s="64" t="str">
        <f t="shared" ca="1" si="5"/>
        <v>Lần 3</v>
      </c>
      <c r="G201" s="97">
        <v>46206</v>
      </c>
      <c r="H201" s="121">
        <v>80</v>
      </c>
      <c r="I201" s="121">
        <v>61</v>
      </c>
      <c r="J201" s="121">
        <v>80</v>
      </c>
      <c r="K201" s="121">
        <v>61</v>
      </c>
      <c r="L201" s="88"/>
      <c r="M201" s="184">
        <f t="shared" ca="1" si="6"/>
        <v>1</v>
      </c>
      <c r="N201" s="67">
        <f t="shared" ca="1" si="7"/>
        <v>1</v>
      </c>
      <c r="O201" s="68">
        <f t="shared" ca="1" si="8"/>
        <v>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182" t="str">
        <f t="shared" ca="1" si="9"/>
        <v>Tổ Hạ tầng Gò Dầu</v>
      </c>
      <c r="C202" s="61" t="str">
        <f t="shared" ca="1" si="2"/>
        <v>Trà Thanh Phong</v>
      </c>
      <c r="D202" s="183">
        <f t="shared" ca="1" si="3"/>
        <v>833406690</v>
      </c>
      <c r="E202" s="63" t="str">
        <f t="shared" ca="1" si="4"/>
        <v>phongtt.tnh@vnpt.vn</v>
      </c>
      <c r="F202" s="64" t="str">
        <f t="shared" ca="1" si="5"/>
        <v>Lần 4</v>
      </c>
      <c r="G202" s="97">
        <v>46206</v>
      </c>
      <c r="H202" s="121">
        <v>88</v>
      </c>
      <c r="I202" s="121">
        <v>59</v>
      </c>
      <c r="J202" s="121">
        <v>88</v>
      </c>
      <c r="K202" s="121">
        <v>59</v>
      </c>
      <c r="L202" s="88"/>
      <c r="M202" s="184">
        <f t="shared" ca="1" si="6"/>
        <v>1</v>
      </c>
      <c r="N202" s="67">
        <f t="shared" ca="1" si="7"/>
        <v>1</v>
      </c>
      <c r="O202" s="68">
        <f t="shared" ca="1" si="8"/>
        <v>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182" t="str">
        <f t="shared" ca="1" si="9"/>
        <v>Tổ Hạ tầng Gò Dầu</v>
      </c>
      <c r="C203" s="61" t="str">
        <f t="shared" ca="1" si="2"/>
        <v>Trà Thanh Phong</v>
      </c>
      <c r="D203" s="183">
        <f t="shared" ca="1" si="3"/>
        <v>833406690</v>
      </c>
      <c r="E203" s="63" t="str">
        <f t="shared" ca="1" si="4"/>
        <v>phongtt.tnh@vnpt.vn</v>
      </c>
      <c r="F203" s="64" t="str">
        <f t="shared" ca="1" si="5"/>
        <v>Lần 5</v>
      </c>
      <c r="G203" s="97">
        <v>46211</v>
      </c>
      <c r="H203" s="122">
        <v>79</v>
      </c>
      <c r="I203" s="122">
        <v>60</v>
      </c>
      <c r="J203" s="121">
        <v>79</v>
      </c>
      <c r="K203" s="121">
        <v>60</v>
      </c>
      <c r="L203" s="88"/>
      <c r="M203" s="184">
        <f t="shared" ca="1" si="6"/>
        <v>1</v>
      </c>
      <c r="N203" s="67">
        <f t="shared" ca="1" si="7"/>
        <v>1</v>
      </c>
      <c r="O203" s="68">
        <f t="shared" ca="1" si="8"/>
        <v>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182" t="str">
        <f t="shared" ca="1" si="9"/>
        <v>Tổ Hạ tầng Gò Dầu</v>
      </c>
      <c r="C204" s="61" t="str">
        <f t="shared" ca="1" si="2"/>
        <v>Trà Thanh Phong</v>
      </c>
      <c r="D204" s="183">
        <f t="shared" ca="1" si="3"/>
        <v>833406690</v>
      </c>
      <c r="E204" s="63" t="str">
        <f t="shared" ca="1" si="4"/>
        <v>phongtt.tnh@vnpt.vn</v>
      </c>
      <c r="F204" s="64" t="str">
        <f t="shared" ca="1" si="5"/>
        <v>Lần 6</v>
      </c>
      <c r="G204" s="97">
        <v>46211</v>
      </c>
      <c r="H204" s="122">
        <v>97</v>
      </c>
      <c r="I204" s="122">
        <v>63</v>
      </c>
      <c r="J204" s="121">
        <v>97</v>
      </c>
      <c r="K204" s="121">
        <v>63</v>
      </c>
      <c r="L204" s="88"/>
      <c r="M204" s="184">
        <f t="shared" ca="1" si="6"/>
        <v>1</v>
      </c>
      <c r="N204" s="67">
        <f t="shared" ca="1" si="7"/>
        <v>1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182" t="str">
        <f t="shared" ca="1" si="9"/>
        <v>Tổ Hạ tầng Gò Dầu</v>
      </c>
      <c r="C205" s="61" t="str">
        <f t="shared" ca="1" si="2"/>
        <v>Trà Thanh Phong</v>
      </c>
      <c r="D205" s="183">
        <f t="shared" ca="1" si="3"/>
        <v>833406690</v>
      </c>
      <c r="E205" s="63" t="str">
        <f t="shared" ca="1" si="4"/>
        <v>phongtt.tnh@vnpt.vn</v>
      </c>
      <c r="F205" s="64" t="str">
        <f t="shared" ca="1" si="5"/>
        <v>Lần 7</v>
      </c>
      <c r="G205" s="97">
        <v>46211</v>
      </c>
      <c r="H205" s="122">
        <v>83</v>
      </c>
      <c r="I205" s="122">
        <v>57</v>
      </c>
      <c r="J205" s="121">
        <v>83</v>
      </c>
      <c r="K205" s="121">
        <v>57</v>
      </c>
      <c r="L205" s="88"/>
      <c r="M205" s="184">
        <f t="shared" ca="1" si="6"/>
        <v>1</v>
      </c>
      <c r="N205" s="67">
        <f t="shared" ca="1" si="7"/>
        <v>1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182" t="str">
        <f t="shared" ca="1" si="9"/>
        <v>Tổ Hạ tầng Gò Dầu</v>
      </c>
      <c r="C206" s="61" t="str">
        <f t="shared" ca="1" si="2"/>
        <v>Trà Thanh Phong</v>
      </c>
      <c r="D206" s="183">
        <f t="shared" ca="1" si="3"/>
        <v>833406690</v>
      </c>
      <c r="E206" s="63" t="str">
        <f t="shared" ca="1" si="4"/>
        <v>phongtt.tnh@vnpt.vn</v>
      </c>
      <c r="F206" s="64" t="str">
        <f t="shared" ca="1" si="5"/>
        <v>Lần 8</v>
      </c>
      <c r="G206" s="97">
        <v>46211</v>
      </c>
      <c r="H206" s="122">
        <v>85</v>
      </c>
      <c r="I206" s="122">
        <v>63</v>
      </c>
      <c r="J206" s="121">
        <v>85</v>
      </c>
      <c r="K206" s="121">
        <v>63</v>
      </c>
      <c r="L206" s="88"/>
      <c r="M206" s="184">
        <f t="shared" ca="1" si="6"/>
        <v>1</v>
      </c>
      <c r="N206" s="67">
        <f t="shared" ca="1" si="7"/>
        <v>1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182" t="str">
        <f t="shared" ca="1" si="9"/>
        <v>Tổ Hạ tầng Gò Dầu</v>
      </c>
      <c r="C207" s="61" t="str">
        <f t="shared" ca="1" si="2"/>
        <v>Trà Thanh Phong</v>
      </c>
      <c r="D207" s="183">
        <f t="shared" ca="1" si="3"/>
        <v>833406690</v>
      </c>
      <c r="E207" s="63" t="str">
        <f t="shared" ca="1" si="4"/>
        <v>phongtt.tnh@vnpt.vn</v>
      </c>
      <c r="F207" s="64" t="str">
        <f t="shared" ca="1" si="5"/>
        <v>Lần 9</v>
      </c>
      <c r="G207" s="97">
        <v>46217</v>
      </c>
      <c r="H207" s="122">
        <v>89</v>
      </c>
      <c r="I207" s="122">
        <v>59</v>
      </c>
      <c r="J207" s="121">
        <v>89</v>
      </c>
      <c r="K207" s="121">
        <v>59</v>
      </c>
      <c r="L207" s="88"/>
      <c r="M207" s="184">
        <f t="shared" ca="1" si="6"/>
        <v>1</v>
      </c>
      <c r="N207" s="67">
        <f t="shared" ca="1" si="7"/>
        <v>1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182" t="str">
        <f t="shared" ca="1" si="9"/>
        <v>Tổ Hạ tầng Gò Dầu</v>
      </c>
      <c r="C208" s="61" t="str">
        <f t="shared" ca="1" si="2"/>
        <v>Trà Thanh Phong</v>
      </c>
      <c r="D208" s="183">
        <f t="shared" ca="1" si="3"/>
        <v>833406690</v>
      </c>
      <c r="E208" s="63" t="str">
        <f t="shared" ca="1" si="4"/>
        <v>phongtt.tnh@vnpt.vn</v>
      </c>
      <c r="F208" s="64" t="str">
        <f t="shared" ca="1" si="5"/>
        <v>Lần 10</v>
      </c>
      <c r="G208" s="97">
        <v>46217</v>
      </c>
      <c r="H208" s="122">
        <v>82</v>
      </c>
      <c r="I208" s="122">
        <v>61</v>
      </c>
      <c r="J208" s="121">
        <v>82</v>
      </c>
      <c r="K208" s="121">
        <v>61</v>
      </c>
      <c r="L208" s="88"/>
      <c r="M208" s="184">
        <f t="shared" ca="1" si="6"/>
        <v>1</v>
      </c>
      <c r="N208" s="67">
        <f t="shared" ca="1" si="7"/>
        <v>1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182" t="str">
        <f t="shared" ca="1" si="9"/>
        <v>Tổ Hạ tầng Gò Dầu</v>
      </c>
      <c r="C209" s="61" t="str">
        <f t="shared" ca="1" si="2"/>
        <v>Trà Thanh Phong</v>
      </c>
      <c r="D209" s="183">
        <f t="shared" ca="1" si="3"/>
        <v>833406690</v>
      </c>
      <c r="E209" s="63" t="str">
        <f t="shared" ca="1" si="4"/>
        <v>phongtt.tnh@vnpt.vn</v>
      </c>
      <c r="F209" s="64" t="str">
        <f t="shared" ca="1" si="5"/>
        <v>Lần 11</v>
      </c>
      <c r="G209" s="97">
        <v>46217</v>
      </c>
      <c r="H209" s="122">
        <v>86</v>
      </c>
      <c r="I209" s="122">
        <v>56</v>
      </c>
      <c r="J209" s="121">
        <v>86</v>
      </c>
      <c r="K209" s="121">
        <v>56</v>
      </c>
      <c r="L209" s="88"/>
      <c r="M209" s="184">
        <f t="shared" ca="1" si="6"/>
        <v>1</v>
      </c>
      <c r="N209" s="67">
        <f t="shared" ca="1" si="7"/>
        <v>1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182" t="str">
        <f t="shared" ca="1" si="9"/>
        <v>Tổ Hạ tầng Gò Dầu</v>
      </c>
      <c r="C210" s="61" t="str">
        <f t="shared" ca="1" si="2"/>
        <v>Trà Thanh Phong</v>
      </c>
      <c r="D210" s="183">
        <f t="shared" ca="1" si="3"/>
        <v>833406690</v>
      </c>
      <c r="E210" s="63" t="str">
        <f t="shared" ca="1" si="4"/>
        <v>phongtt.tnh@vnpt.vn</v>
      </c>
      <c r="F210" s="64" t="str">
        <f t="shared" ca="1" si="5"/>
        <v>Lần 12</v>
      </c>
      <c r="G210" s="97">
        <v>46217</v>
      </c>
      <c r="H210" s="122">
        <v>81</v>
      </c>
      <c r="I210" s="122">
        <v>60</v>
      </c>
      <c r="J210" s="121">
        <v>81</v>
      </c>
      <c r="K210" s="121">
        <v>60</v>
      </c>
      <c r="L210" s="88"/>
      <c r="M210" s="184">
        <f t="shared" ca="1" si="6"/>
        <v>1</v>
      </c>
      <c r="N210" s="67">
        <f t="shared" ca="1" si="7"/>
        <v>1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182" t="str">
        <f t="shared" ca="1" si="9"/>
        <v>Tổ Hạ tầng Gò Dầu</v>
      </c>
      <c r="C211" s="61" t="str">
        <f t="shared" ca="1" si="2"/>
        <v>Trà Thanh Phong</v>
      </c>
      <c r="D211" s="183">
        <f t="shared" ca="1" si="3"/>
        <v>833406690</v>
      </c>
      <c r="E211" s="63" t="str">
        <f t="shared" ca="1" si="4"/>
        <v>phongtt.tnh@vnpt.vn</v>
      </c>
      <c r="F211" s="64" t="str">
        <f t="shared" ca="1" si="5"/>
        <v>Lần 13</v>
      </c>
      <c r="G211" s="97">
        <v>46223</v>
      </c>
      <c r="H211" s="122"/>
      <c r="I211" s="122"/>
      <c r="J211" s="121"/>
      <c r="K211" s="121"/>
      <c r="L211" s="88"/>
      <c r="M211" s="184">
        <f t="shared" ca="1" si="6"/>
        <v>0</v>
      </c>
      <c r="N211" s="67">
        <f t="shared" ca="1" si="7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182" t="str">
        <f t="shared" ca="1" si="9"/>
        <v>Tổ Hạ tầng Gò Dầu</v>
      </c>
      <c r="C212" s="61" t="str">
        <f t="shared" ca="1" si="2"/>
        <v>Trà Thanh Phong</v>
      </c>
      <c r="D212" s="183">
        <f t="shared" ca="1" si="3"/>
        <v>833406690</v>
      </c>
      <c r="E212" s="63" t="str">
        <f t="shared" ca="1" si="4"/>
        <v>phongtt.tnh@vnpt.vn</v>
      </c>
      <c r="F212" s="64" t="str">
        <f t="shared" ca="1" si="5"/>
        <v>Lần 14</v>
      </c>
      <c r="G212" s="97">
        <v>46223</v>
      </c>
      <c r="H212" s="122"/>
      <c r="I212" s="122"/>
      <c r="J212" s="121"/>
      <c r="K212" s="121"/>
      <c r="L212" s="88"/>
      <c r="M212" s="184">
        <f t="shared" ca="1" si="6"/>
        <v>0</v>
      </c>
      <c r="N212" s="67">
        <f t="shared" ca="1" si="7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182" t="str">
        <f t="shared" ca="1" si="9"/>
        <v>Tổ Hạ tầng Gò Dầu</v>
      </c>
      <c r="C213" s="61" t="str">
        <f t="shared" ca="1" si="2"/>
        <v>Trà Thanh Phong</v>
      </c>
      <c r="D213" s="183">
        <f t="shared" ca="1" si="3"/>
        <v>833406690</v>
      </c>
      <c r="E213" s="63" t="str">
        <f t="shared" ca="1" si="4"/>
        <v>phongtt.tnh@vnpt.vn</v>
      </c>
      <c r="F213" s="64" t="str">
        <f t="shared" ca="1" si="5"/>
        <v>Lần 15</v>
      </c>
      <c r="G213" s="97">
        <v>46223</v>
      </c>
      <c r="H213" s="122"/>
      <c r="I213" s="122"/>
      <c r="J213" s="119"/>
      <c r="K213" s="119"/>
      <c r="L213" s="88"/>
      <c r="M213" s="184">
        <f t="shared" ca="1" si="6"/>
        <v>0</v>
      </c>
      <c r="N213" s="67">
        <f t="shared" ca="1" si="7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80">
        <f t="shared" ca="1" si="1"/>
        <v>208</v>
      </c>
      <c r="B214" s="185" t="str">
        <f t="shared" ca="1" si="9"/>
        <v>Tổ Hạ tầng Gò Dầu</v>
      </c>
      <c r="C214" s="82" t="str">
        <f t="shared" ca="1" si="2"/>
        <v>Trà Thanh Phong</v>
      </c>
      <c r="D214" s="186">
        <f t="shared" ca="1" si="3"/>
        <v>833406690</v>
      </c>
      <c r="E214" s="84" t="str">
        <f t="shared" ca="1" si="4"/>
        <v>phongtt.tnh@vnpt.vn</v>
      </c>
      <c r="F214" s="85" t="str">
        <f t="shared" ca="1" si="5"/>
        <v>Lần 16</v>
      </c>
      <c r="G214" s="219">
        <v>46223</v>
      </c>
      <c r="H214" s="150"/>
      <c r="I214" s="150"/>
      <c r="J214" s="220"/>
      <c r="K214" s="220"/>
      <c r="L214" s="218"/>
      <c r="M214" s="189">
        <f t="shared" ca="1" si="6"/>
        <v>0</v>
      </c>
      <c r="N214" s="171">
        <f t="shared" ca="1" si="7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46">
        <f t="shared" ca="1" si="1"/>
        <v>209</v>
      </c>
      <c r="B215" s="190" t="str">
        <f t="shared" ca="1" si="9"/>
        <v>Tổ Hạ tầng Gò Dầu</v>
      </c>
      <c r="C215" s="48" t="str">
        <f t="shared" ca="1" si="2"/>
        <v>Nguyễn Văn Cường</v>
      </c>
      <c r="D215" s="191">
        <f t="shared" ca="1" si="3"/>
        <v>919256783</v>
      </c>
      <c r="E215" s="50" t="str">
        <f t="shared" ca="1" si="4"/>
        <v>cuongnv.tnh@vnpt.vn</v>
      </c>
      <c r="F215" s="51" t="str">
        <f t="shared" ca="1" si="5"/>
        <v>Lần 1</v>
      </c>
      <c r="G215" s="215">
        <v>46206</v>
      </c>
      <c r="H215" s="142">
        <v>613</v>
      </c>
      <c r="I215" s="142">
        <v>23</v>
      </c>
      <c r="J215" s="221">
        <v>513</v>
      </c>
      <c r="K215" s="221">
        <v>13</v>
      </c>
      <c r="L215" s="193"/>
      <c r="M215" s="194">
        <f t="shared" ca="1" si="6"/>
        <v>1</v>
      </c>
      <c r="N215" s="195">
        <f t="shared" ca="1" si="7"/>
        <v>1</v>
      </c>
      <c r="O215" s="68">
        <f t="shared" ca="1" si="8"/>
        <v>1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182" t="str">
        <f t="shared" ca="1" si="9"/>
        <v>Tổ Hạ tầng Gò Dầu</v>
      </c>
      <c r="C216" s="61" t="str">
        <f t="shared" ca="1" si="2"/>
        <v>Nguyễn Văn Cường</v>
      </c>
      <c r="D216" s="183">
        <f t="shared" ca="1" si="3"/>
        <v>919256783</v>
      </c>
      <c r="E216" s="63" t="str">
        <f t="shared" ca="1" si="4"/>
        <v>cuongnv.tnh@vnpt.vn</v>
      </c>
      <c r="F216" s="64" t="str">
        <f t="shared" ca="1" si="5"/>
        <v>Lần 2</v>
      </c>
      <c r="G216" s="97">
        <v>46206</v>
      </c>
      <c r="H216" s="71">
        <v>515</v>
      </c>
      <c r="I216" s="71">
        <v>10</v>
      </c>
      <c r="J216" s="119">
        <v>665</v>
      </c>
      <c r="K216" s="119">
        <v>13</v>
      </c>
      <c r="L216" s="95"/>
      <c r="M216" s="184">
        <f t="shared" ca="1" si="6"/>
        <v>1</v>
      </c>
      <c r="N216" s="67">
        <f t="shared" ca="1" si="7"/>
        <v>1</v>
      </c>
      <c r="O216" s="68">
        <f t="shared" ca="1" si="8"/>
        <v>1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182" t="str">
        <f t="shared" ca="1" si="9"/>
        <v>Tổ Hạ tầng Gò Dầu</v>
      </c>
      <c r="C217" s="61" t="str">
        <f t="shared" ca="1" si="2"/>
        <v>Nguyễn Văn Cường</v>
      </c>
      <c r="D217" s="183">
        <f t="shared" ca="1" si="3"/>
        <v>919256783</v>
      </c>
      <c r="E217" s="63" t="str">
        <f t="shared" ca="1" si="4"/>
        <v>cuongnv.tnh@vnpt.vn</v>
      </c>
      <c r="F217" s="64" t="str">
        <f t="shared" ca="1" si="5"/>
        <v>Lần 3</v>
      </c>
      <c r="G217" s="97">
        <v>46206</v>
      </c>
      <c r="H217" s="71">
        <v>429</v>
      </c>
      <c r="I217" s="71">
        <v>19</v>
      </c>
      <c r="J217" s="119">
        <v>686</v>
      </c>
      <c r="K217" s="119">
        <v>13</v>
      </c>
      <c r="L217" s="95"/>
      <c r="M217" s="184">
        <f t="shared" ca="1" si="6"/>
        <v>1</v>
      </c>
      <c r="N217" s="67">
        <f t="shared" ca="1" si="7"/>
        <v>1</v>
      </c>
      <c r="O217" s="68">
        <f t="shared" ca="1" si="8"/>
        <v>1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182" t="str">
        <f t="shared" ca="1" si="9"/>
        <v>Tổ Hạ tầng Gò Dầu</v>
      </c>
      <c r="C218" s="61" t="str">
        <f t="shared" ca="1" si="2"/>
        <v>Nguyễn Văn Cường</v>
      </c>
      <c r="D218" s="183">
        <f t="shared" ca="1" si="3"/>
        <v>919256783</v>
      </c>
      <c r="E218" s="63" t="str">
        <f t="shared" ca="1" si="4"/>
        <v>cuongnv.tnh@vnpt.vn</v>
      </c>
      <c r="F218" s="64" t="str">
        <f t="shared" ca="1" si="5"/>
        <v>Lần 4</v>
      </c>
      <c r="G218" s="97">
        <v>46206</v>
      </c>
      <c r="H218" s="71">
        <v>579</v>
      </c>
      <c r="I218" s="71">
        <v>18</v>
      </c>
      <c r="J218" s="220">
        <v>646</v>
      </c>
      <c r="K218" s="220">
        <v>9</v>
      </c>
      <c r="L218" s="95"/>
      <c r="M218" s="184">
        <f t="shared" ca="1" si="6"/>
        <v>1</v>
      </c>
      <c r="N218" s="67">
        <f t="shared" ca="1" si="7"/>
        <v>1</v>
      </c>
      <c r="O218" s="68">
        <f t="shared" ca="1" si="8"/>
        <v>1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182" t="str">
        <f t="shared" ca="1" si="9"/>
        <v>Tổ Hạ tầng Gò Dầu</v>
      </c>
      <c r="C219" s="61" t="str">
        <f t="shared" ca="1" si="2"/>
        <v>Nguyễn Văn Cường</v>
      </c>
      <c r="D219" s="183">
        <f t="shared" ca="1" si="3"/>
        <v>919256783</v>
      </c>
      <c r="E219" s="63" t="str">
        <f t="shared" ca="1" si="4"/>
        <v>cuongnv.tnh@vnpt.vn</v>
      </c>
      <c r="F219" s="64" t="str">
        <f t="shared" ca="1" si="5"/>
        <v>Lần 5</v>
      </c>
      <c r="G219" s="97">
        <v>46211</v>
      </c>
      <c r="H219" s="75">
        <v>616</v>
      </c>
      <c r="I219" s="75">
        <v>17</v>
      </c>
      <c r="J219" s="119">
        <v>688</v>
      </c>
      <c r="K219" s="119">
        <v>14</v>
      </c>
      <c r="L219" s="143"/>
      <c r="M219" s="184">
        <f t="shared" ca="1" si="6"/>
        <v>1</v>
      </c>
      <c r="N219" s="67">
        <f t="shared" ca="1" si="7"/>
        <v>1</v>
      </c>
      <c r="O219" s="68">
        <f t="shared" ca="1" si="8"/>
        <v>1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182" t="str">
        <f t="shared" ca="1" si="9"/>
        <v>Tổ Hạ tầng Gò Dầu</v>
      </c>
      <c r="C220" s="61" t="str">
        <f t="shared" ca="1" si="2"/>
        <v>Nguyễn Văn Cường</v>
      </c>
      <c r="D220" s="183">
        <f t="shared" ca="1" si="3"/>
        <v>919256783</v>
      </c>
      <c r="E220" s="63" t="str">
        <f t="shared" ca="1" si="4"/>
        <v>cuongnv.tnh@vnpt.vn</v>
      </c>
      <c r="F220" s="64" t="str">
        <f t="shared" ca="1" si="5"/>
        <v>Lần 6</v>
      </c>
      <c r="G220" s="97">
        <v>46211</v>
      </c>
      <c r="H220" s="75">
        <v>647</v>
      </c>
      <c r="I220" s="75">
        <v>18</v>
      </c>
      <c r="J220" s="119">
        <v>673</v>
      </c>
      <c r="K220" s="119">
        <v>15</v>
      </c>
      <c r="L220" s="143"/>
      <c r="M220" s="184">
        <f t="shared" ca="1" si="6"/>
        <v>1</v>
      </c>
      <c r="N220" s="67">
        <f t="shared" ca="1" si="7"/>
        <v>1</v>
      </c>
      <c r="O220" s="68">
        <f t="shared" ca="1" si="8"/>
        <v>1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182" t="str">
        <f t="shared" ca="1" si="9"/>
        <v>Tổ Hạ tầng Gò Dầu</v>
      </c>
      <c r="C221" s="61" t="str">
        <f t="shared" ca="1" si="2"/>
        <v>Nguyễn Văn Cường</v>
      </c>
      <c r="D221" s="183">
        <f t="shared" ca="1" si="3"/>
        <v>919256783</v>
      </c>
      <c r="E221" s="63" t="str">
        <f t="shared" ca="1" si="4"/>
        <v>cuongnv.tnh@vnpt.vn</v>
      </c>
      <c r="F221" s="64" t="str">
        <f t="shared" ca="1" si="5"/>
        <v>Lần 7</v>
      </c>
      <c r="G221" s="97">
        <v>46211</v>
      </c>
      <c r="H221" s="75">
        <v>656</v>
      </c>
      <c r="I221" s="75">
        <v>16</v>
      </c>
      <c r="J221" s="119">
        <v>647</v>
      </c>
      <c r="K221" s="119">
        <v>19</v>
      </c>
      <c r="L221" s="143"/>
      <c r="M221" s="184">
        <f t="shared" ca="1" si="6"/>
        <v>1</v>
      </c>
      <c r="N221" s="67">
        <f t="shared" ca="1" si="7"/>
        <v>1</v>
      </c>
      <c r="O221" s="68">
        <f t="shared" ca="1" si="8"/>
        <v>1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182" t="str">
        <f t="shared" ca="1" si="9"/>
        <v>Tổ Hạ tầng Gò Dầu</v>
      </c>
      <c r="C222" s="61" t="str">
        <f t="shared" ca="1" si="2"/>
        <v>Nguyễn Văn Cường</v>
      </c>
      <c r="D222" s="183">
        <f t="shared" ca="1" si="3"/>
        <v>919256783</v>
      </c>
      <c r="E222" s="63" t="str">
        <f t="shared" ca="1" si="4"/>
        <v>cuongnv.tnh@vnpt.vn</v>
      </c>
      <c r="F222" s="64" t="str">
        <f t="shared" ca="1" si="5"/>
        <v>Lần 8</v>
      </c>
      <c r="G222" s="97">
        <v>46211</v>
      </c>
      <c r="H222" s="75">
        <v>707</v>
      </c>
      <c r="I222" s="75">
        <v>18</v>
      </c>
      <c r="J222" s="119">
        <v>610</v>
      </c>
      <c r="K222" s="119">
        <v>10</v>
      </c>
      <c r="L222" s="143"/>
      <c r="M222" s="184">
        <f t="shared" ca="1" si="6"/>
        <v>1</v>
      </c>
      <c r="N222" s="67">
        <f t="shared" ca="1" si="7"/>
        <v>1</v>
      </c>
      <c r="O222" s="68">
        <f t="shared" ca="1" si="8"/>
        <v>1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182" t="str">
        <f t="shared" ca="1" si="9"/>
        <v>Tổ Hạ tầng Gò Dầu</v>
      </c>
      <c r="C223" s="61" t="str">
        <f t="shared" ca="1" si="2"/>
        <v>Nguyễn Văn Cường</v>
      </c>
      <c r="D223" s="183">
        <f t="shared" ca="1" si="3"/>
        <v>919256783</v>
      </c>
      <c r="E223" s="63" t="str">
        <f t="shared" ca="1" si="4"/>
        <v>cuongnv.tnh@vnpt.vn</v>
      </c>
      <c r="F223" s="64" t="str">
        <f t="shared" ca="1" si="5"/>
        <v>Lần 9</v>
      </c>
      <c r="G223" s="97">
        <v>46217</v>
      </c>
      <c r="H223" s="75">
        <v>552</v>
      </c>
      <c r="I223" s="75">
        <v>18</v>
      </c>
      <c r="J223" s="119">
        <v>637</v>
      </c>
      <c r="K223" s="119">
        <v>12</v>
      </c>
      <c r="L223" s="143"/>
      <c r="M223" s="184">
        <f t="shared" ca="1" si="6"/>
        <v>1</v>
      </c>
      <c r="N223" s="67">
        <f t="shared" ca="1" si="7"/>
        <v>1</v>
      </c>
      <c r="O223" s="68">
        <f t="shared" ca="1" si="8"/>
        <v>1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182" t="str">
        <f t="shared" ca="1" si="9"/>
        <v>Tổ Hạ tầng Gò Dầu</v>
      </c>
      <c r="C224" s="61" t="str">
        <f t="shared" ca="1" si="2"/>
        <v>Nguyễn Văn Cường</v>
      </c>
      <c r="D224" s="183">
        <f t="shared" ca="1" si="3"/>
        <v>919256783</v>
      </c>
      <c r="E224" s="63" t="str">
        <f t="shared" ca="1" si="4"/>
        <v>cuongnv.tnh@vnpt.vn</v>
      </c>
      <c r="F224" s="64" t="str">
        <f t="shared" ca="1" si="5"/>
        <v>Lần 10</v>
      </c>
      <c r="G224" s="97">
        <v>46217</v>
      </c>
      <c r="H224" s="75">
        <v>671</v>
      </c>
      <c r="I224" s="75">
        <v>18</v>
      </c>
      <c r="J224" s="119">
        <v>659</v>
      </c>
      <c r="K224" s="119">
        <v>14</v>
      </c>
      <c r="L224" s="143"/>
      <c r="M224" s="184">
        <f t="shared" ca="1" si="6"/>
        <v>1</v>
      </c>
      <c r="N224" s="67">
        <f t="shared" ca="1" si="7"/>
        <v>1</v>
      </c>
      <c r="O224" s="68">
        <f t="shared" ca="1" si="8"/>
        <v>1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182" t="str">
        <f t="shared" ca="1" si="9"/>
        <v>Tổ Hạ tầng Gò Dầu</v>
      </c>
      <c r="C225" s="61" t="str">
        <f t="shared" ca="1" si="2"/>
        <v>Nguyễn Văn Cường</v>
      </c>
      <c r="D225" s="183">
        <f t="shared" ca="1" si="3"/>
        <v>919256783</v>
      </c>
      <c r="E225" s="63" t="str">
        <f t="shared" ca="1" si="4"/>
        <v>cuongnv.tnh@vnpt.vn</v>
      </c>
      <c r="F225" s="64" t="str">
        <f t="shared" ca="1" si="5"/>
        <v>Lần 11</v>
      </c>
      <c r="G225" s="97">
        <v>46217</v>
      </c>
      <c r="H225" s="75">
        <v>601</v>
      </c>
      <c r="I225" s="75">
        <v>15</v>
      </c>
      <c r="J225" s="119">
        <v>655</v>
      </c>
      <c r="K225" s="119">
        <v>17</v>
      </c>
      <c r="L225" s="143"/>
      <c r="M225" s="184">
        <f t="shared" ca="1" si="6"/>
        <v>1</v>
      </c>
      <c r="N225" s="67">
        <f t="shared" ca="1" si="7"/>
        <v>1</v>
      </c>
      <c r="O225" s="68">
        <f t="shared" ca="1" si="8"/>
        <v>1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182" t="str">
        <f t="shared" ca="1" si="9"/>
        <v>Tổ Hạ tầng Gò Dầu</v>
      </c>
      <c r="C226" s="61" t="str">
        <f t="shared" ca="1" si="2"/>
        <v>Nguyễn Văn Cường</v>
      </c>
      <c r="D226" s="183">
        <f t="shared" ca="1" si="3"/>
        <v>919256783</v>
      </c>
      <c r="E226" s="63" t="str">
        <f t="shared" ca="1" si="4"/>
        <v>cuongnv.tnh@vnpt.vn</v>
      </c>
      <c r="F226" s="64" t="str">
        <f t="shared" ca="1" si="5"/>
        <v>Lần 12</v>
      </c>
      <c r="G226" s="97">
        <v>46217</v>
      </c>
      <c r="H226" s="75">
        <v>640</v>
      </c>
      <c r="I226" s="75">
        <v>23</v>
      </c>
      <c r="J226" s="119">
        <v>616</v>
      </c>
      <c r="K226" s="119">
        <v>7</v>
      </c>
      <c r="L226" s="143"/>
      <c r="M226" s="184">
        <f t="shared" ca="1" si="6"/>
        <v>1</v>
      </c>
      <c r="N226" s="67">
        <f t="shared" ca="1" si="7"/>
        <v>1</v>
      </c>
      <c r="O226" s="68">
        <f t="shared" ca="1" si="8"/>
        <v>1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182" t="str">
        <f t="shared" ca="1" si="9"/>
        <v>Tổ Hạ tầng Gò Dầu</v>
      </c>
      <c r="C227" s="61" t="str">
        <f t="shared" ca="1" si="2"/>
        <v>Nguyễn Văn Cường</v>
      </c>
      <c r="D227" s="183">
        <f t="shared" ca="1" si="3"/>
        <v>919256783</v>
      </c>
      <c r="E227" s="63" t="str">
        <f t="shared" ca="1" si="4"/>
        <v>cuongnv.tnh@vnpt.vn</v>
      </c>
      <c r="F227" s="64" t="str">
        <f t="shared" ca="1" si="5"/>
        <v>Lần 13</v>
      </c>
      <c r="G227" s="97">
        <v>46223</v>
      </c>
      <c r="H227" s="75"/>
      <c r="I227" s="75"/>
      <c r="J227" s="119"/>
      <c r="K227" s="119"/>
      <c r="L227" s="143"/>
      <c r="M227" s="184">
        <f t="shared" ca="1" si="6"/>
        <v>0</v>
      </c>
      <c r="N227" s="67">
        <f t="shared" ca="1" si="7"/>
        <v>0</v>
      </c>
      <c r="O227" s="68">
        <f t="shared" ca="1" si="8"/>
        <v>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182" t="str">
        <f t="shared" ca="1" si="9"/>
        <v>Tổ Hạ tầng Gò Dầu</v>
      </c>
      <c r="C228" s="61" t="str">
        <f t="shared" ca="1" si="2"/>
        <v>Nguyễn Văn Cường</v>
      </c>
      <c r="D228" s="183">
        <f t="shared" ca="1" si="3"/>
        <v>919256783</v>
      </c>
      <c r="E228" s="63" t="str">
        <f t="shared" ca="1" si="4"/>
        <v>cuongnv.tnh@vnpt.vn</v>
      </c>
      <c r="F228" s="64" t="str">
        <f t="shared" ca="1" si="5"/>
        <v>Lần 14</v>
      </c>
      <c r="G228" s="97">
        <v>46223</v>
      </c>
      <c r="H228" s="75"/>
      <c r="I228" s="75"/>
      <c r="J228" s="119"/>
      <c r="K228" s="119"/>
      <c r="L228" s="143"/>
      <c r="M228" s="184">
        <f t="shared" ca="1" si="6"/>
        <v>0</v>
      </c>
      <c r="N228" s="67">
        <f t="shared" ca="1" si="7"/>
        <v>0</v>
      </c>
      <c r="O228" s="68">
        <f t="shared" ca="1" si="8"/>
        <v>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182" t="str">
        <f t="shared" ca="1" si="9"/>
        <v>Tổ Hạ tầng Gò Dầu</v>
      </c>
      <c r="C229" s="61" t="str">
        <f t="shared" ca="1" si="2"/>
        <v>Nguyễn Văn Cường</v>
      </c>
      <c r="D229" s="183">
        <f t="shared" ca="1" si="3"/>
        <v>919256783</v>
      </c>
      <c r="E229" s="63" t="str">
        <f t="shared" ca="1" si="4"/>
        <v>cuongnv.tnh@vnpt.vn</v>
      </c>
      <c r="F229" s="64" t="str">
        <f t="shared" ca="1" si="5"/>
        <v>Lần 15</v>
      </c>
      <c r="G229" s="97">
        <v>46223</v>
      </c>
      <c r="H229" s="75"/>
      <c r="I229" s="75"/>
      <c r="J229" s="119"/>
      <c r="K229" s="119"/>
      <c r="L229" s="143"/>
      <c r="M229" s="184">
        <f t="shared" ca="1" si="6"/>
        <v>0</v>
      </c>
      <c r="N229" s="67">
        <f t="shared" ca="1" si="7"/>
        <v>0</v>
      </c>
      <c r="O229" s="68">
        <f t="shared" ca="1" si="8"/>
        <v>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100">
        <f t="shared" ca="1" si="1"/>
        <v>224</v>
      </c>
      <c r="B230" s="196" t="str">
        <f t="shared" ca="1" si="9"/>
        <v>Tổ Hạ tầng Gò Dầu</v>
      </c>
      <c r="C230" s="102" t="str">
        <f t="shared" ca="1" si="2"/>
        <v>Nguyễn Văn Cường</v>
      </c>
      <c r="D230" s="197">
        <f t="shared" ca="1" si="3"/>
        <v>919256783</v>
      </c>
      <c r="E230" s="104" t="str">
        <f t="shared" ca="1" si="4"/>
        <v>cuongnv.tnh@vnpt.vn</v>
      </c>
      <c r="F230" s="105" t="str">
        <f t="shared" ca="1" si="5"/>
        <v>Lần 16</v>
      </c>
      <c r="G230" s="217">
        <v>46223</v>
      </c>
      <c r="H230" s="199"/>
      <c r="I230" s="199"/>
      <c r="J230" s="222"/>
      <c r="K230" s="222"/>
      <c r="L230" s="144"/>
      <c r="M230" s="202">
        <f t="shared" ca="1" si="6"/>
        <v>0</v>
      </c>
      <c r="N230" s="203">
        <f t="shared" ca="1" si="7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106">
        <f t="shared" ca="1" si="1"/>
        <v>225</v>
      </c>
      <c r="B231" s="204" t="str">
        <f t="shared" ca="1" si="9"/>
        <v>Tổ Hạ tầng Gò Dầu</v>
      </c>
      <c r="C231" s="108" t="str">
        <f t="shared" ca="1" si="2"/>
        <v>Nguyễn Hữu Thế</v>
      </c>
      <c r="D231" s="205">
        <f t="shared" ca="1" si="3"/>
        <v>912172101</v>
      </c>
      <c r="E231" s="110" t="str">
        <f t="shared" ca="1" si="4"/>
        <v>thenh.tnh@vnpt.vn</v>
      </c>
      <c r="F231" s="111" t="str">
        <f t="shared" ca="1" si="5"/>
        <v>Lần 1</v>
      </c>
      <c r="G231" s="192">
        <v>46206</v>
      </c>
      <c r="H231" s="146">
        <v>99</v>
      </c>
      <c r="I231" s="146">
        <v>26</v>
      </c>
      <c r="J231" s="207">
        <v>108</v>
      </c>
      <c r="K231" s="207">
        <v>29</v>
      </c>
      <c r="L231" s="148"/>
      <c r="M231" s="181">
        <f t="shared" ca="1" si="6"/>
        <v>1</v>
      </c>
      <c r="N231" s="57">
        <f t="shared" ca="1" si="7"/>
        <v>1</v>
      </c>
      <c r="O231" s="68">
        <f t="shared" ca="1" si="8"/>
        <v>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>
        <f t="shared" ca="1" si="1"/>
        <v>226</v>
      </c>
      <c r="B232" s="182" t="str">
        <f t="shared" ca="1" si="9"/>
        <v>Tổ Hạ tầng Gò Dầu</v>
      </c>
      <c r="C232" s="61" t="str">
        <f t="shared" ca="1" si="2"/>
        <v>Nguyễn Hữu Thế</v>
      </c>
      <c r="D232" s="183">
        <f t="shared" ca="1" si="3"/>
        <v>912172101</v>
      </c>
      <c r="E232" s="63" t="str">
        <f t="shared" ca="1" si="4"/>
        <v>thenh.tnh@vnpt.vn</v>
      </c>
      <c r="F232" s="64" t="str">
        <f t="shared" ca="1" si="5"/>
        <v>Lần 2</v>
      </c>
      <c r="G232" s="97">
        <v>46206</v>
      </c>
      <c r="H232" s="122">
        <v>95</v>
      </c>
      <c r="I232" s="122">
        <v>25</v>
      </c>
      <c r="J232" s="121">
        <v>87</v>
      </c>
      <c r="K232" s="121">
        <v>31</v>
      </c>
      <c r="L232" s="91"/>
      <c r="M232" s="184">
        <f t="shared" ca="1" si="6"/>
        <v>1</v>
      </c>
      <c r="N232" s="67">
        <f t="shared" ca="1" si="7"/>
        <v>1</v>
      </c>
      <c r="O232" s="68">
        <f t="shared" ca="1" si="8"/>
        <v>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>
        <f t="shared" ca="1" si="1"/>
        <v>227</v>
      </c>
      <c r="B233" s="182" t="str">
        <f t="shared" ca="1" si="9"/>
        <v>Tổ Hạ tầng Gò Dầu</v>
      </c>
      <c r="C233" s="61" t="str">
        <f t="shared" ca="1" si="2"/>
        <v>Nguyễn Hữu Thế</v>
      </c>
      <c r="D233" s="183">
        <f t="shared" ca="1" si="3"/>
        <v>912172101</v>
      </c>
      <c r="E233" s="63" t="str">
        <f t="shared" ca="1" si="4"/>
        <v>thenh.tnh@vnpt.vn</v>
      </c>
      <c r="F233" s="64" t="str">
        <f t="shared" ca="1" si="5"/>
        <v>Lần 3</v>
      </c>
      <c r="G233" s="97">
        <v>46206</v>
      </c>
      <c r="H233" s="122">
        <v>101</v>
      </c>
      <c r="I233" s="122">
        <v>27</v>
      </c>
      <c r="J233" s="121">
        <v>89</v>
      </c>
      <c r="K233" s="121">
        <v>28</v>
      </c>
      <c r="L233" s="91"/>
      <c r="M233" s="184">
        <f t="shared" ca="1" si="6"/>
        <v>1</v>
      </c>
      <c r="N233" s="67">
        <f t="shared" ca="1" si="7"/>
        <v>1</v>
      </c>
      <c r="O233" s="68">
        <f t="shared" ca="1" si="8"/>
        <v>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>
        <f t="shared" ca="1" si="1"/>
        <v>228</v>
      </c>
      <c r="B234" s="182" t="str">
        <f t="shared" ca="1" si="9"/>
        <v>Tổ Hạ tầng Gò Dầu</v>
      </c>
      <c r="C234" s="61" t="str">
        <f t="shared" ca="1" si="2"/>
        <v>Nguyễn Hữu Thế</v>
      </c>
      <c r="D234" s="183">
        <f t="shared" ca="1" si="3"/>
        <v>912172101</v>
      </c>
      <c r="E234" s="63" t="str">
        <f t="shared" ca="1" si="4"/>
        <v>thenh.tnh@vnpt.vn</v>
      </c>
      <c r="F234" s="64" t="str">
        <f t="shared" ca="1" si="5"/>
        <v>Lần 4</v>
      </c>
      <c r="G234" s="97">
        <v>46206</v>
      </c>
      <c r="H234" s="122">
        <v>96</v>
      </c>
      <c r="I234" s="122">
        <v>27</v>
      </c>
      <c r="J234" s="121">
        <v>90</v>
      </c>
      <c r="K234" s="121">
        <v>28</v>
      </c>
      <c r="L234" s="91"/>
      <c r="M234" s="184">
        <f t="shared" ca="1" si="6"/>
        <v>1</v>
      </c>
      <c r="N234" s="67">
        <f t="shared" ca="1" si="7"/>
        <v>1</v>
      </c>
      <c r="O234" s="68">
        <f t="shared" ca="1" si="8"/>
        <v>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>
        <f t="shared" ca="1" si="1"/>
        <v>229</v>
      </c>
      <c r="B235" s="182" t="str">
        <f t="shared" ca="1" si="9"/>
        <v>Tổ Hạ tầng Gò Dầu</v>
      </c>
      <c r="C235" s="61" t="str">
        <f t="shared" ca="1" si="2"/>
        <v>Nguyễn Hữu Thế</v>
      </c>
      <c r="D235" s="183">
        <f t="shared" ca="1" si="3"/>
        <v>912172101</v>
      </c>
      <c r="E235" s="63" t="str">
        <f t="shared" ca="1" si="4"/>
        <v>thenh.tnh@vnpt.vn</v>
      </c>
      <c r="F235" s="64" t="str">
        <f t="shared" ca="1" si="5"/>
        <v>Lần 5</v>
      </c>
      <c r="G235" s="97">
        <v>46211</v>
      </c>
      <c r="H235" s="122">
        <v>106</v>
      </c>
      <c r="I235" s="122">
        <v>29</v>
      </c>
      <c r="J235" s="121">
        <v>93</v>
      </c>
      <c r="K235" s="121">
        <v>31</v>
      </c>
      <c r="L235" s="91"/>
      <c r="M235" s="184">
        <f t="shared" ca="1" si="6"/>
        <v>1</v>
      </c>
      <c r="N235" s="67">
        <f t="shared" ca="1" si="7"/>
        <v>1</v>
      </c>
      <c r="O235" s="68">
        <f t="shared" ca="1" si="8"/>
        <v>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>
        <f t="shared" ca="1" si="1"/>
        <v>230</v>
      </c>
      <c r="B236" s="182" t="str">
        <f t="shared" ca="1" si="9"/>
        <v>Tổ Hạ tầng Gò Dầu</v>
      </c>
      <c r="C236" s="61" t="str">
        <f t="shared" ca="1" si="2"/>
        <v>Nguyễn Hữu Thế</v>
      </c>
      <c r="D236" s="183">
        <f t="shared" ca="1" si="3"/>
        <v>912172101</v>
      </c>
      <c r="E236" s="63" t="str">
        <f t="shared" ca="1" si="4"/>
        <v>thenh.tnh@vnpt.vn</v>
      </c>
      <c r="F236" s="64" t="str">
        <f t="shared" ca="1" si="5"/>
        <v>Lần 6</v>
      </c>
      <c r="G236" s="97">
        <v>46211</v>
      </c>
      <c r="H236" s="122">
        <v>96</v>
      </c>
      <c r="I236" s="122">
        <v>30</v>
      </c>
      <c r="J236" s="121">
        <v>87</v>
      </c>
      <c r="K236" s="121">
        <v>28</v>
      </c>
      <c r="L236" s="91"/>
      <c r="M236" s="184">
        <f t="shared" ca="1" si="6"/>
        <v>1</v>
      </c>
      <c r="N236" s="67">
        <f t="shared" ca="1" si="7"/>
        <v>1</v>
      </c>
      <c r="O236" s="68">
        <f t="shared" ca="1" si="8"/>
        <v>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>
        <f t="shared" ca="1" si="1"/>
        <v>231</v>
      </c>
      <c r="B237" s="182" t="str">
        <f t="shared" ca="1" si="9"/>
        <v>Tổ Hạ tầng Gò Dầu</v>
      </c>
      <c r="C237" s="61" t="str">
        <f t="shared" ca="1" si="2"/>
        <v>Nguyễn Hữu Thế</v>
      </c>
      <c r="D237" s="183">
        <f t="shared" ca="1" si="3"/>
        <v>912172101</v>
      </c>
      <c r="E237" s="63" t="str">
        <f t="shared" ca="1" si="4"/>
        <v>thenh.tnh@vnpt.vn</v>
      </c>
      <c r="F237" s="64" t="str">
        <f t="shared" ca="1" si="5"/>
        <v>Lần 7</v>
      </c>
      <c r="G237" s="97">
        <v>46211</v>
      </c>
      <c r="H237" s="122">
        <v>109</v>
      </c>
      <c r="I237" s="122">
        <v>28</v>
      </c>
      <c r="J237" s="121">
        <v>111</v>
      </c>
      <c r="K237" s="121">
        <v>32</v>
      </c>
      <c r="L237" s="91"/>
      <c r="M237" s="184">
        <f t="shared" ca="1" si="6"/>
        <v>1</v>
      </c>
      <c r="N237" s="67">
        <f t="shared" ca="1" si="7"/>
        <v>1</v>
      </c>
      <c r="O237" s="68">
        <f t="shared" ca="1" si="8"/>
        <v>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>
        <f t="shared" ca="1" si="1"/>
        <v>232</v>
      </c>
      <c r="B238" s="182" t="str">
        <f t="shared" ca="1" si="9"/>
        <v>Tổ Hạ tầng Gò Dầu</v>
      </c>
      <c r="C238" s="61" t="str">
        <f t="shared" ca="1" si="2"/>
        <v>Nguyễn Hữu Thế</v>
      </c>
      <c r="D238" s="183">
        <f t="shared" ca="1" si="3"/>
        <v>912172101</v>
      </c>
      <c r="E238" s="63" t="str">
        <f t="shared" ca="1" si="4"/>
        <v>thenh.tnh@vnpt.vn</v>
      </c>
      <c r="F238" s="64" t="str">
        <f t="shared" ca="1" si="5"/>
        <v>Lần 8</v>
      </c>
      <c r="G238" s="97">
        <v>46211</v>
      </c>
      <c r="H238" s="122">
        <v>112</v>
      </c>
      <c r="I238" s="122">
        <v>26</v>
      </c>
      <c r="J238" s="121">
        <v>101</v>
      </c>
      <c r="K238" s="121">
        <v>33</v>
      </c>
      <c r="L238" s="91"/>
      <c r="M238" s="184">
        <f t="shared" ca="1" si="6"/>
        <v>1</v>
      </c>
      <c r="N238" s="67">
        <f t="shared" ca="1" si="7"/>
        <v>1</v>
      </c>
      <c r="O238" s="68">
        <f t="shared" ca="1" si="8"/>
        <v>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>
        <f t="shared" ca="1" si="1"/>
        <v>233</v>
      </c>
      <c r="B239" s="182" t="str">
        <f t="shared" ca="1" si="9"/>
        <v>Tổ Hạ tầng Gò Dầu</v>
      </c>
      <c r="C239" s="61" t="str">
        <f t="shared" ca="1" si="2"/>
        <v>Nguyễn Hữu Thế</v>
      </c>
      <c r="D239" s="183">
        <f t="shared" ca="1" si="3"/>
        <v>912172101</v>
      </c>
      <c r="E239" s="63" t="str">
        <f t="shared" ca="1" si="4"/>
        <v>thenh.tnh@vnpt.vn</v>
      </c>
      <c r="F239" s="64" t="str">
        <f t="shared" ca="1" si="5"/>
        <v>Lần 9</v>
      </c>
      <c r="G239" s="97">
        <v>46217</v>
      </c>
      <c r="H239" s="122">
        <v>117</v>
      </c>
      <c r="I239" s="122">
        <v>287</v>
      </c>
      <c r="J239" s="121">
        <v>118</v>
      </c>
      <c r="K239" s="121">
        <v>30</v>
      </c>
      <c r="L239" s="91"/>
      <c r="M239" s="184">
        <f t="shared" ca="1" si="6"/>
        <v>1</v>
      </c>
      <c r="N239" s="67">
        <f t="shared" ca="1" si="7"/>
        <v>1</v>
      </c>
      <c r="O239" s="68">
        <f t="shared" ca="1" si="8"/>
        <v>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>
        <f t="shared" ca="1" si="1"/>
        <v>234</v>
      </c>
      <c r="B240" s="182" t="str">
        <f t="shared" ca="1" si="9"/>
        <v>Tổ Hạ tầng Gò Dầu</v>
      </c>
      <c r="C240" s="61" t="str">
        <f t="shared" ca="1" si="2"/>
        <v>Nguyễn Hữu Thế</v>
      </c>
      <c r="D240" s="183">
        <f t="shared" ca="1" si="3"/>
        <v>912172101</v>
      </c>
      <c r="E240" s="63" t="str">
        <f t="shared" ca="1" si="4"/>
        <v>thenh.tnh@vnpt.vn</v>
      </c>
      <c r="F240" s="64" t="str">
        <f t="shared" ca="1" si="5"/>
        <v>Lần 10</v>
      </c>
      <c r="G240" s="97">
        <v>46217</v>
      </c>
      <c r="H240" s="122">
        <v>117</v>
      </c>
      <c r="I240" s="122">
        <v>28</v>
      </c>
      <c r="J240" s="121">
        <v>119</v>
      </c>
      <c r="K240" s="121">
        <v>26</v>
      </c>
      <c r="L240" s="91"/>
      <c r="M240" s="184">
        <f t="shared" ca="1" si="6"/>
        <v>1</v>
      </c>
      <c r="N240" s="67">
        <f t="shared" ca="1" si="7"/>
        <v>1</v>
      </c>
      <c r="O240" s="68">
        <f t="shared" ca="1" si="8"/>
        <v>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>
        <f t="shared" ca="1" si="1"/>
        <v>235</v>
      </c>
      <c r="B241" s="182" t="str">
        <f t="shared" ca="1" si="9"/>
        <v>Tổ Hạ tầng Gò Dầu</v>
      </c>
      <c r="C241" s="61" t="str">
        <f t="shared" ca="1" si="2"/>
        <v>Nguyễn Hữu Thế</v>
      </c>
      <c r="D241" s="183">
        <f t="shared" ca="1" si="3"/>
        <v>912172101</v>
      </c>
      <c r="E241" s="63" t="str">
        <f t="shared" ca="1" si="4"/>
        <v>thenh.tnh@vnpt.vn</v>
      </c>
      <c r="F241" s="64" t="str">
        <f t="shared" ca="1" si="5"/>
        <v>Lần 11</v>
      </c>
      <c r="G241" s="97">
        <v>46217</v>
      </c>
      <c r="H241" s="122">
        <v>108</v>
      </c>
      <c r="I241" s="122">
        <v>28</v>
      </c>
      <c r="J241" s="121">
        <v>95</v>
      </c>
      <c r="K241" s="121">
        <v>29</v>
      </c>
      <c r="L241" s="91"/>
      <c r="M241" s="184">
        <f t="shared" ca="1" si="6"/>
        <v>1</v>
      </c>
      <c r="N241" s="67">
        <f t="shared" ca="1" si="7"/>
        <v>1</v>
      </c>
      <c r="O241" s="68">
        <f t="shared" ca="1" si="8"/>
        <v>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>
        <f t="shared" ca="1" si="1"/>
        <v>236</v>
      </c>
      <c r="B242" s="182" t="str">
        <f t="shared" ca="1" si="9"/>
        <v>Tổ Hạ tầng Gò Dầu</v>
      </c>
      <c r="C242" s="61" t="str">
        <f t="shared" ca="1" si="2"/>
        <v>Nguyễn Hữu Thế</v>
      </c>
      <c r="D242" s="183">
        <f t="shared" ca="1" si="3"/>
        <v>912172101</v>
      </c>
      <c r="E242" s="63" t="str">
        <f t="shared" ca="1" si="4"/>
        <v>thenh.tnh@vnpt.vn</v>
      </c>
      <c r="F242" s="64" t="str">
        <f t="shared" ca="1" si="5"/>
        <v>Lần 12</v>
      </c>
      <c r="G242" s="97">
        <v>46217</v>
      </c>
      <c r="H242" s="122">
        <v>123</v>
      </c>
      <c r="I242" s="122">
        <v>29</v>
      </c>
      <c r="J242" s="121">
        <v>104</v>
      </c>
      <c r="K242" s="121">
        <v>25</v>
      </c>
      <c r="L242" s="91"/>
      <c r="M242" s="184">
        <f t="shared" ca="1" si="6"/>
        <v>1</v>
      </c>
      <c r="N242" s="67">
        <f t="shared" ca="1" si="7"/>
        <v>1</v>
      </c>
      <c r="O242" s="68">
        <f t="shared" ca="1" si="8"/>
        <v>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>
        <f t="shared" ca="1" si="1"/>
        <v>237</v>
      </c>
      <c r="B243" s="182" t="str">
        <f t="shared" ca="1" si="9"/>
        <v>Tổ Hạ tầng Gò Dầu</v>
      </c>
      <c r="C243" s="61" t="str">
        <f t="shared" ca="1" si="2"/>
        <v>Nguyễn Hữu Thế</v>
      </c>
      <c r="D243" s="183">
        <f t="shared" ca="1" si="3"/>
        <v>912172101</v>
      </c>
      <c r="E243" s="63" t="str">
        <f t="shared" ca="1" si="4"/>
        <v>thenh.tnh@vnpt.vn</v>
      </c>
      <c r="F243" s="64" t="str">
        <f t="shared" ca="1" si="5"/>
        <v>Lần 13</v>
      </c>
      <c r="G243" s="97">
        <v>46223</v>
      </c>
      <c r="H243" s="122"/>
      <c r="I243" s="122"/>
      <c r="J243" s="121"/>
      <c r="K243" s="121"/>
      <c r="L243" s="91"/>
      <c r="M243" s="184">
        <f t="shared" ca="1" si="6"/>
        <v>0</v>
      </c>
      <c r="N243" s="67">
        <f t="shared" ca="1" si="7"/>
        <v>0</v>
      </c>
      <c r="O243" s="68">
        <f t="shared" ca="1" si="8"/>
        <v>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>
        <f t="shared" ca="1" si="1"/>
        <v>238</v>
      </c>
      <c r="B244" s="182" t="str">
        <f t="shared" ca="1" si="9"/>
        <v>Tổ Hạ tầng Gò Dầu</v>
      </c>
      <c r="C244" s="61" t="str">
        <f t="shared" ca="1" si="2"/>
        <v>Nguyễn Hữu Thế</v>
      </c>
      <c r="D244" s="183">
        <f t="shared" ca="1" si="3"/>
        <v>912172101</v>
      </c>
      <c r="E244" s="63" t="str">
        <f t="shared" ca="1" si="4"/>
        <v>thenh.tnh@vnpt.vn</v>
      </c>
      <c r="F244" s="64" t="str">
        <f t="shared" ca="1" si="5"/>
        <v>Lần 14</v>
      </c>
      <c r="G244" s="97">
        <v>46223</v>
      </c>
      <c r="H244" s="122"/>
      <c r="I244" s="122"/>
      <c r="J244" s="121"/>
      <c r="K244" s="121"/>
      <c r="L244" s="91"/>
      <c r="M244" s="184">
        <f t="shared" ca="1" si="6"/>
        <v>0</v>
      </c>
      <c r="N244" s="67">
        <f t="shared" ca="1" si="7"/>
        <v>0</v>
      </c>
      <c r="O244" s="68">
        <f t="shared" ca="1" si="8"/>
        <v>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>
        <f t="shared" ca="1" si="1"/>
        <v>239</v>
      </c>
      <c r="B245" s="182" t="str">
        <f t="shared" ca="1" si="9"/>
        <v>Tổ Hạ tầng Gò Dầu</v>
      </c>
      <c r="C245" s="61" t="str">
        <f t="shared" ca="1" si="2"/>
        <v>Nguyễn Hữu Thế</v>
      </c>
      <c r="D245" s="183">
        <f t="shared" ca="1" si="3"/>
        <v>912172101</v>
      </c>
      <c r="E245" s="63" t="str">
        <f t="shared" ca="1" si="4"/>
        <v>thenh.tnh@vnpt.vn</v>
      </c>
      <c r="F245" s="64" t="str">
        <f t="shared" ca="1" si="5"/>
        <v>Lần 15</v>
      </c>
      <c r="G245" s="97">
        <v>46223</v>
      </c>
      <c r="H245" s="122"/>
      <c r="I245" s="122"/>
      <c r="J245" s="121"/>
      <c r="K245" s="121"/>
      <c r="L245" s="91"/>
      <c r="M245" s="184">
        <f t="shared" ca="1" si="6"/>
        <v>0</v>
      </c>
      <c r="N245" s="67">
        <f t="shared" ca="1" si="7"/>
        <v>0</v>
      </c>
      <c r="O245" s="68">
        <f t="shared" ca="1" si="8"/>
        <v>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80">
        <f t="shared" ca="1" si="1"/>
        <v>240</v>
      </c>
      <c r="B246" s="185" t="str">
        <f t="shared" ca="1" si="9"/>
        <v>Tổ Hạ tầng Gò Dầu</v>
      </c>
      <c r="C246" s="82" t="str">
        <f t="shared" ca="1" si="2"/>
        <v>Nguyễn Hữu Thế</v>
      </c>
      <c r="D246" s="186">
        <f t="shared" ca="1" si="3"/>
        <v>912172101</v>
      </c>
      <c r="E246" s="84" t="str">
        <f t="shared" ca="1" si="4"/>
        <v>thenh.tnh@vnpt.vn</v>
      </c>
      <c r="F246" s="85" t="str">
        <f t="shared" ca="1" si="5"/>
        <v>Lần 16</v>
      </c>
      <c r="G246" s="219">
        <v>46223</v>
      </c>
      <c r="H246" s="150"/>
      <c r="I246" s="150"/>
      <c r="J246" s="188"/>
      <c r="K246" s="188"/>
      <c r="L246" s="152"/>
      <c r="M246" s="189">
        <f t="shared" ca="1" si="6"/>
        <v>0</v>
      </c>
      <c r="N246" s="171">
        <f t="shared" ca="1" si="7"/>
        <v>0</v>
      </c>
      <c r="O246" s="68">
        <f t="shared" ca="1" si="8"/>
        <v>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46" t="str">
        <f t="shared" ca="1" si="1"/>
        <v/>
      </c>
      <c r="B247" s="190" t="str">
        <f t="shared" ca="1" si="9"/>
        <v/>
      </c>
      <c r="C247" s="48" t="str">
        <f t="shared" ca="1" si="2"/>
        <v/>
      </c>
      <c r="D247" s="191" t="str">
        <f t="shared" ca="1" si="3"/>
        <v/>
      </c>
      <c r="E247" s="50" t="str">
        <f t="shared" ca="1" si="4"/>
        <v/>
      </c>
      <c r="F247" s="51" t="str">
        <f t="shared" ca="1" si="5"/>
        <v/>
      </c>
      <c r="G247" s="215"/>
      <c r="H247" s="154"/>
      <c r="I247" s="154"/>
      <c r="J247" s="223"/>
      <c r="K247" s="223"/>
      <c r="L247" s="155"/>
      <c r="M247" s="194" t="str">
        <f t="shared" ca="1" si="6"/>
        <v/>
      </c>
      <c r="N247" s="195" t="str">
        <f t="shared" ca="1" si="7"/>
        <v/>
      </c>
      <c r="O247" s="68" t="str">
        <f t="shared" ca="1" si="8"/>
        <v/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 t="str">
        <f t="shared" ca="1" si="1"/>
        <v/>
      </c>
      <c r="B248" s="182" t="str">
        <f t="shared" ca="1" si="9"/>
        <v/>
      </c>
      <c r="C248" s="61" t="str">
        <f t="shared" ca="1" si="2"/>
        <v/>
      </c>
      <c r="D248" s="183" t="str">
        <f t="shared" ca="1" si="3"/>
        <v/>
      </c>
      <c r="E248" s="63" t="str">
        <f t="shared" ca="1" si="4"/>
        <v/>
      </c>
      <c r="F248" s="64" t="str">
        <f t="shared" ca="1" si="5"/>
        <v/>
      </c>
      <c r="G248" s="97"/>
      <c r="H248" s="157"/>
      <c r="I248" s="157"/>
      <c r="J248" s="224"/>
      <c r="K248" s="224"/>
      <c r="L248" s="158"/>
      <c r="M248" s="184" t="str">
        <f t="shared" ca="1" si="6"/>
        <v/>
      </c>
      <c r="N248" s="67" t="str">
        <f t="shared" ca="1" si="7"/>
        <v/>
      </c>
      <c r="O248" s="68" t="str">
        <f t="shared" ca="1" si="8"/>
        <v/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 t="str">
        <f t="shared" ca="1" si="1"/>
        <v/>
      </c>
      <c r="B249" s="182" t="str">
        <f t="shared" ca="1" si="9"/>
        <v/>
      </c>
      <c r="C249" s="61" t="str">
        <f t="shared" ca="1" si="2"/>
        <v/>
      </c>
      <c r="D249" s="183" t="str">
        <f t="shared" ca="1" si="3"/>
        <v/>
      </c>
      <c r="E249" s="63" t="str">
        <f t="shared" ca="1" si="4"/>
        <v/>
      </c>
      <c r="F249" s="64" t="str">
        <f t="shared" ca="1" si="5"/>
        <v/>
      </c>
      <c r="G249" s="97"/>
      <c r="H249" s="157"/>
      <c r="I249" s="157"/>
      <c r="J249" s="224"/>
      <c r="K249" s="224"/>
      <c r="L249" s="158"/>
      <c r="M249" s="184" t="str">
        <f t="shared" ca="1" si="6"/>
        <v/>
      </c>
      <c r="N249" s="67" t="str">
        <f t="shared" ca="1" si="7"/>
        <v/>
      </c>
      <c r="O249" s="68" t="str">
        <f t="shared" ca="1" si="8"/>
        <v/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 t="str">
        <f t="shared" ca="1" si="1"/>
        <v/>
      </c>
      <c r="B250" s="182" t="str">
        <f t="shared" ca="1" si="9"/>
        <v/>
      </c>
      <c r="C250" s="61" t="str">
        <f t="shared" ca="1" si="2"/>
        <v/>
      </c>
      <c r="D250" s="183" t="str">
        <f t="shared" ca="1" si="3"/>
        <v/>
      </c>
      <c r="E250" s="63" t="str">
        <f t="shared" ca="1" si="4"/>
        <v/>
      </c>
      <c r="F250" s="64" t="str">
        <f t="shared" ca="1" si="5"/>
        <v/>
      </c>
      <c r="G250" s="97"/>
      <c r="H250" s="157"/>
      <c r="I250" s="157"/>
      <c r="J250" s="224"/>
      <c r="K250" s="224"/>
      <c r="L250" s="158"/>
      <c r="M250" s="184" t="str">
        <f t="shared" ca="1" si="6"/>
        <v/>
      </c>
      <c r="N250" s="67" t="str">
        <f t="shared" ca="1" si="7"/>
        <v/>
      </c>
      <c r="O250" s="68" t="str">
        <f t="shared" ca="1" si="8"/>
        <v/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 t="str">
        <f t="shared" ca="1" si="1"/>
        <v/>
      </c>
      <c r="B251" s="182" t="str">
        <f t="shared" ca="1" si="9"/>
        <v/>
      </c>
      <c r="C251" s="61" t="str">
        <f t="shared" ca="1" si="2"/>
        <v/>
      </c>
      <c r="D251" s="183" t="str">
        <f t="shared" ca="1" si="3"/>
        <v/>
      </c>
      <c r="E251" s="63" t="str">
        <f t="shared" ca="1" si="4"/>
        <v/>
      </c>
      <c r="F251" s="64" t="str">
        <f t="shared" ca="1" si="5"/>
        <v/>
      </c>
      <c r="G251" s="97"/>
      <c r="H251" s="157"/>
      <c r="I251" s="157"/>
      <c r="J251" s="224"/>
      <c r="K251" s="224"/>
      <c r="L251" s="158"/>
      <c r="M251" s="184" t="str">
        <f t="shared" ca="1" si="6"/>
        <v/>
      </c>
      <c r="N251" s="67" t="str">
        <f t="shared" ca="1" si="7"/>
        <v/>
      </c>
      <c r="O251" s="68" t="str">
        <f t="shared" ca="1" si="8"/>
        <v/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 t="str">
        <f t="shared" ca="1" si="1"/>
        <v/>
      </c>
      <c r="B252" s="182" t="str">
        <f t="shared" ca="1" si="9"/>
        <v/>
      </c>
      <c r="C252" s="61" t="str">
        <f t="shared" ca="1" si="2"/>
        <v/>
      </c>
      <c r="D252" s="183" t="str">
        <f t="shared" ca="1" si="3"/>
        <v/>
      </c>
      <c r="E252" s="63" t="str">
        <f t="shared" ca="1" si="4"/>
        <v/>
      </c>
      <c r="F252" s="64" t="str">
        <f t="shared" ca="1" si="5"/>
        <v/>
      </c>
      <c r="G252" s="97"/>
      <c r="H252" s="157"/>
      <c r="I252" s="157"/>
      <c r="J252" s="225"/>
      <c r="K252" s="225"/>
      <c r="L252" s="158"/>
      <c r="M252" s="184" t="str">
        <f t="shared" ca="1" si="6"/>
        <v/>
      </c>
      <c r="N252" s="67" t="str">
        <f t="shared" ca="1" si="7"/>
        <v/>
      </c>
      <c r="O252" s="68" t="str">
        <f t="shared" ca="1" si="8"/>
        <v/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 t="str">
        <f t="shared" ca="1" si="1"/>
        <v/>
      </c>
      <c r="B253" s="182" t="str">
        <f t="shared" ca="1" si="9"/>
        <v/>
      </c>
      <c r="C253" s="61" t="str">
        <f t="shared" ca="1" si="2"/>
        <v/>
      </c>
      <c r="D253" s="183" t="str">
        <f t="shared" ca="1" si="3"/>
        <v/>
      </c>
      <c r="E253" s="63" t="str">
        <f t="shared" ca="1" si="4"/>
        <v/>
      </c>
      <c r="F253" s="64" t="str">
        <f t="shared" ca="1" si="5"/>
        <v/>
      </c>
      <c r="G253" s="97"/>
      <c r="H253" s="157"/>
      <c r="I253" s="157"/>
      <c r="J253" s="225"/>
      <c r="K253" s="225"/>
      <c r="L253" s="158"/>
      <c r="M253" s="184" t="str">
        <f t="shared" ca="1" si="6"/>
        <v/>
      </c>
      <c r="N253" s="67" t="str">
        <f t="shared" ca="1" si="7"/>
        <v/>
      </c>
      <c r="O253" s="68" t="str">
        <f t="shared" ca="1" si="8"/>
        <v/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 t="str">
        <f t="shared" ca="1" si="1"/>
        <v/>
      </c>
      <c r="B254" s="182" t="str">
        <f t="shared" ca="1" si="9"/>
        <v/>
      </c>
      <c r="C254" s="61" t="str">
        <f t="shared" ca="1" si="2"/>
        <v/>
      </c>
      <c r="D254" s="183" t="str">
        <f t="shared" ca="1" si="3"/>
        <v/>
      </c>
      <c r="E254" s="63" t="str">
        <f t="shared" ca="1" si="4"/>
        <v/>
      </c>
      <c r="F254" s="64" t="str">
        <f t="shared" ca="1" si="5"/>
        <v/>
      </c>
      <c r="G254" s="97"/>
      <c r="H254" s="157"/>
      <c r="I254" s="157"/>
      <c r="J254" s="225"/>
      <c r="K254" s="225"/>
      <c r="L254" s="158"/>
      <c r="M254" s="184" t="str">
        <f t="shared" ca="1" si="6"/>
        <v/>
      </c>
      <c r="N254" s="67" t="str">
        <f t="shared" ca="1" si="7"/>
        <v/>
      </c>
      <c r="O254" s="68" t="str">
        <f t="shared" ca="1" si="8"/>
        <v/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 t="str">
        <f t="shared" ca="1" si="1"/>
        <v/>
      </c>
      <c r="B255" s="182" t="str">
        <f t="shared" ca="1" si="9"/>
        <v/>
      </c>
      <c r="C255" s="61" t="str">
        <f t="shared" ca="1" si="2"/>
        <v/>
      </c>
      <c r="D255" s="183" t="str">
        <f t="shared" ca="1" si="3"/>
        <v/>
      </c>
      <c r="E255" s="63" t="str">
        <f t="shared" ca="1" si="4"/>
        <v/>
      </c>
      <c r="F255" s="64" t="str">
        <f t="shared" ca="1" si="5"/>
        <v/>
      </c>
      <c r="G255" s="97"/>
      <c r="H255" s="157"/>
      <c r="I255" s="157"/>
      <c r="J255" s="225"/>
      <c r="K255" s="225"/>
      <c r="L255" s="158"/>
      <c r="M255" s="184" t="str">
        <f t="shared" ca="1" si="6"/>
        <v/>
      </c>
      <c r="N255" s="67" t="str">
        <f t="shared" ca="1" si="7"/>
        <v/>
      </c>
      <c r="O255" s="68" t="str">
        <f t="shared" ca="1" si="8"/>
        <v/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 t="str">
        <f t="shared" ca="1" si="1"/>
        <v/>
      </c>
      <c r="B256" s="182" t="str">
        <f t="shared" ca="1" si="9"/>
        <v/>
      </c>
      <c r="C256" s="61" t="str">
        <f t="shared" ca="1" si="2"/>
        <v/>
      </c>
      <c r="D256" s="183" t="str">
        <f t="shared" ca="1" si="3"/>
        <v/>
      </c>
      <c r="E256" s="63" t="str">
        <f t="shared" ca="1" si="4"/>
        <v/>
      </c>
      <c r="F256" s="64" t="str">
        <f t="shared" ca="1" si="5"/>
        <v/>
      </c>
      <c r="G256" s="97"/>
      <c r="H256" s="157"/>
      <c r="I256" s="157"/>
      <c r="J256" s="225"/>
      <c r="K256" s="225"/>
      <c r="L256" s="158"/>
      <c r="M256" s="184" t="str">
        <f t="shared" ca="1" si="6"/>
        <v/>
      </c>
      <c r="N256" s="67" t="str">
        <f t="shared" ca="1" si="7"/>
        <v/>
      </c>
      <c r="O256" s="68" t="str">
        <f t="shared" ca="1" si="8"/>
        <v/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 t="str">
        <f t="shared" ca="1" si="1"/>
        <v/>
      </c>
      <c r="B257" s="182" t="str">
        <f t="shared" ca="1" si="9"/>
        <v/>
      </c>
      <c r="C257" s="61" t="str">
        <f t="shared" ca="1" si="2"/>
        <v/>
      </c>
      <c r="D257" s="183" t="str">
        <f t="shared" ca="1" si="3"/>
        <v/>
      </c>
      <c r="E257" s="63" t="str">
        <f t="shared" ca="1" si="4"/>
        <v/>
      </c>
      <c r="F257" s="64" t="str">
        <f t="shared" ca="1" si="5"/>
        <v/>
      </c>
      <c r="G257" s="97"/>
      <c r="H257" s="157"/>
      <c r="I257" s="157"/>
      <c r="J257" s="225"/>
      <c r="K257" s="225"/>
      <c r="L257" s="158"/>
      <c r="M257" s="184" t="str">
        <f t="shared" ca="1" si="6"/>
        <v/>
      </c>
      <c r="N257" s="67" t="str">
        <f t="shared" ca="1" si="7"/>
        <v/>
      </c>
      <c r="O257" s="68" t="str">
        <f t="shared" ca="1" si="8"/>
        <v/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 t="str">
        <f t="shared" ca="1" si="1"/>
        <v/>
      </c>
      <c r="B258" s="182" t="str">
        <f t="shared" ca="1" si="9"/>
        <v/>
      </c>
      <c r="C258" s="61" t="str">
        <f t="shared" ca="1" si="2"/>
        <v/>
      </c>
      <c r="D258" s="183" t="str">
        <f t="shared" ca="1" si="3"/>
        <v/>
      </c>
      <c r="E258" s="63" t="str">
        <f t="shared" ca="1" si="4"/>
        <v/>
      </c>
      <c r="F258" s="64" t="str">
        <f t="shared" ca="1" si="5"/>
        <v/>
      </c>
      <c r="G258" s="97"/>
      <c r="H258" s="157"/>
      <c r="I258" s="157"/>
      <c r="J258" s="225"/>
      <c r="K258" s="225"/>
      <c r="L258" s="158"/>
      <c r="M258" s="184" t="str">
        <f t="shared" ca="1" si="6"/>
        <v/>
      </c>
      <c r="N258" s="67" t="str">
        <f t="shared" ca="1" si="7"/>
        <v/>
      </c>
      <c r="O258" s="68" t="str">
        <f t="shared" ca="1" si="8"/>
        <v/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 t="str">
        <f t="shared" ca="1" si="1"/>
        <v/>
      </c>
      <c r="B259" s="182" t="str">
        <f t="shared" ca="1" si="9"/>
        <v/>
      </c>
      <c r="C259" s="61" t="str">
        <f t="shared" ca="1" si="2"/>
        <v/>
      </c>
      <c r="D259" s="183" t="str">
        <f t="shared" ca="1" si="3"/>
        <v/>
      </c>
      <c r="E259" s="63" t="str">
        <f t="shared" ca="1" si="4"/>
        <v/>
      </c>
      <c r="F259" s="64" t="str">
        <f t="shared" ca="1" si="5"/>
        <v/>
      </c>
      <c r="G259" s="97"/>
      <c r="H259" s="157"/>
      <c r="I259" s="157"/>
      <c r="J259" s="225"/>
      <c r="K259" s="225"/>
      <c r="L259" s="158"/>
      <c r="M259" s="184" t="str">
        <f t="shared" ca="1" si="6"/>
        <v/>
      </c>
      <c r="N259" s="67" t="str">
        <f t="shared" ca="1" si="7"/>
        <v/>
      </c>
      <c r="O259" s="68" t="str">
        <f t="shared" ca="1" si="8"/>
        <v/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 t="str">
        <f t="shared" ca="1" si="1"/>
        <v/>
      </c>
      <c r="B260" s="182" t="str">
        <f t="shared" ca="1" si="9"/>
        <v/>
      </c>
      <c r="C260" s="61" t="str">
        <f t="shared" ca="1" si="2"/>
        <v/>
      </c>
      <c r="D260" s="183" t="str">
        <f t="shared" ca="1" si="3"/>
        <v/>
      </c>
      <c r="E260" s="63" t="str">
        <f t="shared" ca="1" si="4"/>
        <v/>
      </c>
      <c r="F260" s="64" t="str">
        <f t="shared" ca="1" si="5"/>
        <v/>
      </c>
      <c r="G260" s="97"/>
      <c r="H260" s="157"/>
      <c r="I260" s="157"/>
      <c r="J260" s="225"/>
      <c r="K260" s="225"/>
      <c r="L260" s="158"/>
      <c r="M260" s="184" t="str">
        <f t="shared" ca="1" si="6"/>
        <v/>
      </c>
      <c r="N260" s="67" t="str">
        <f t="shared" ca="1" si="7"/>
        <v/>
      </c>
      <c r="O260" s="68" t="str">
        <f t="shared" ca="1" si="8"/>
        <v/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 t="str">
        <f t="shared" ca="1" si="1"/>
        <v/>
      </c>
      <c r="B261" s="182" t="str">
        <f t="shared" ca="1" si="9"/>
        <v/>
      </c>
      <c r="C261" s="61" t="str">
        <f t="shared" ca="1" si="2"/>
        <v/>
      </c>
      <c r="D261" s="183" t="str">
        <f t="shared" ca="1" si="3"/>
        <v/>
      </c>
      <c r="E261" s="63" t="str">
        <f t="shared" ca="1" si="4"/>
        <v/>
      </c>
      <c r="F261" s="64" t="str">
        <f t="shared" ca="1" si="5"/>
        <v/>
      </c>
      <c r="G261" s="97"/>
      <c r="H261" s="157"/>
      <c r="I261" s="157"/>
      <c r="J261" s="225"/>
      <c r="K261" s="225"/>
      <c r="L261" s="158"/>
      <c r="M261" s="184" t="str">
        <f t="shared" ca="1" si="6"/>
        <v/>
      </c>
      <c r="N261" s="67" t="str">
        <f t="shared" ca="1" si="7"/>
        <v/>
      </c>
      <c r="O261" s="68" t="str">
        <f t="shared" ca="1" si="8"/>
        <v/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100" t="str">
        <f t="shared" ref="A262:A294" ca="1" si="10">IF(INDIRECT("'DS nhân viên Speedtest'!B"&amp; (38+QUOTIENT(ROW()-ROW($A$7),16)))="","",ROW()-ROW($A$7)+1)</f>
        <v/>
      </c>
      <c r="B262" s="196" t="str">
        <f t="shared" ca="1" si="9"/>
        <v/>
      </c>
      <c r="C262" s="102" t="str">
        <f t="shared" ref="C262:C294" ca="1" si="11">IF(A262="","",INDIRECT("'DS nhân viên Speedtest'!B"&amp; (38+QUOTIENT(A262-1,16))))</f>
        <v/>
      </c>
      <c r="D262" s="197" t="str">
        <f t="shared" ref="D262:D294" ca="1" si="12">IF(A262="","",INDIRECT("'DS nhân viên Speedtest'!C"&amp; (38+QUOTIENT(A262-1,16))))</f>
        <v/>
      </c>
      <c r="E262" s="104" t="str">
        <f t="shared" ref="E262:E294" ca="1" si="13">IF(A262="","",INDIRECT("'DS nhân viên Speedtest'!D"&amp; (38+QUOTIENT(A262-1,16))))</f>
        <v/>
      </c>
      <c r="F262" s="105" t="str">
        <f t="shared" ref="F262:F294" ca="1" si="14">IF(A262="","","Lần "&amp;(MOD(ROW()-ROW($A$7),16)+1))</f>
        <v/>
      </c>
      <c r="G262" s="97"/>
      <c r="H262" s="167"/>
      <c r="I262" s="167"/>
      <c r="J262" s="226"/>
      <c r="K262" s="226"/>
      <c r="L262" s="162"/>
      <c r="M262" s="202" t="str">
        <f t="shared" ref="M262:M294" ca="1" si="15">IF(B262="","",IF(OR(G262="",H262="",I262=""),0,1))</f>
        <v/>
      </c>
      <c r="N262" s="203" t="str">
        <f t="shared" ref="N262:N294" ca="1" si="16">IF(B262="","",IF(OR(G262="",J262="",K262=""),0,1))</f>
        <v/>
      </c>
      <c r="O262" s="68" t="str">
        <f t="shared" ref="O262:O294" ca="1" si="17">IF(B262="","",IF((J262-0)&gt;200,1,0))</f>
        <v/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106" t="str">
        <f t="shared" ca="1" si="10"/>
        <v/>
      </c>
      <c r="B263" s="204" t="str">
        <f t="shared" ref="B263:B294" ca="1" si="18">IF(A263="","",B262)</f>
        <v/>
      </c>
      <c r="C263" s="108" t="str">
        <f t="shared" ca="1" si="11"/>
        <v/>
      </c>
      <c r="D263" s="205" t="str">
        <f t="shared" ca="1" si="12"/>
        <v/>
      </c>
      <c r="E263" s="110" t="str">
        <f t="shared" ca="1" si="13"/>
        <v/>
      </c>
      <c r="F263" s="111" t="str">
        <f t="shared" ca="1" si="14"/>
        <v/>
      </c>
      <c r="G263" s="227"/>
      <c r="H263" s="228"/>
      <c r="I263" s="228"/>
      <c r="J263" s="229"/>
      <c r="K263" s="229"/>
      <c r="L263" s="165"/>
      <c r="M263" s="181" t="str">
        <f t="shared" ca="1" si="15"/>
        <v/>
      </c>
      <c r="N263" s="57" t="str">
        <f t="shared" ca="1" si="16"/>
        <v/>
      </c>
      <c r="O263" s="68" t="str">
        <f t="shared" ca="1" si="17"/>
        <v/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59" t="str">
        <f t="shared" ca="1" si="10"/>
        <v/>
      </c>
      <c r="B264" s="182" t="str">
        <f t="shared" ca="1" si="18"/>
        <v/>
      </c>
      <c r="C264" s="61" t="str">
        <f t="shared" ca="1" si="11"/>
        <v/>
      </c>
      <c r="D264" s="183" t="str">
        <f t="shared" ca="1" si="12"/>
        <v/>
      </c>
      <c r="E264" s="63" t="str">
        <f t="shared" ca="1" si="13"/>
        <v/>
      </c>
      <c r="F264" s="64" t="str">
        <f t="shared" ca="1" si="14"/>
        <v/>
      </c>
      <c r="G264" s="156"/>
      <c r="H264" s="157"/>
      <c r="I264" s="157"/>
      <c r="J264" s="225"/>
      <c r="K264" s="225"/>
      <c r="L264" s="158"/>
      <c r="M264" s="184" t="str">
        <f t="shared" ca="1" si="15"/>
        <v/>
      </c>
      <c r="N264" s="67" t="str">
        <f t="shared" ca="1" si="16"/>
        <v/>
      </c>
      <c r="O264" s="68" t="str">
        <f t="shared" ca="1" si="17"/>
        <v/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59" t="str">
        <f t="shared" ca="1" si="10"/>
        <v/>
      </c>
      <c r="B265" s="182" t="str">
        <f t="shared" ca="1" si="18"/>
        <v/>
      </c>
      <c r="C265" s="61" t="str">
        <f t="shared" ca="1" si="11"/>
        <v/>
      </c>
      <c r="D265" s="183" t="str">
        <f t="shared" ca="1" si="12"/>
        <v/>
      </c>
      <c r="E265" s="63" t="str">
        <f t="shared" ca="1" si="13"/>
        <v/>
      </c>
      <c r="F265" s="64" t="str">
        <f t="shared" ca="1" si="14"/>
        <v/>
      </c>
      <c r="G265" s="156"/>
      <c r="H265" s="157"/>
      <c r="I265" s="157"/>
      <c r="J265" s="225"/>
      <c r="K265" s="225"/>
      <c r="L265" s="158"/>
      <c r="M265" s="184" t="str">
        <f t="shared" ca="1" si="15"/>
        <v/>
      </c>
      <c r="N265" s="67" t="str">
        <f t="shared" ca="1" si="16"/>
        <v/>
      </c>
      <c r="O265" s="68" t="str">
        <f t="shared" ca="1" si="17"/>
        <v/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59" t="str">
        <f t="shared" ca="1" si="10"/>
        <v/>
      </c>
      <c r="B266" s="182" t="str">
        <f t="shared" ca="1" si="18"/>
        <v/>
      </c>
      <c r="C266" s="61" t="str">
        <f t="shared" ca="1" si="11"/>
        <v/>
      </c>
      <c r="D266" s="183" t="str">
        <f t="shared" ca="1" si="12"/>
        <v/>
      </c>
      <c r="E266" s="63" t="str">
        <f t="shared" ca="1" si="13"/>
        <v/>
      </c>
      <c r="F266" s="64" t="str">
        <f t="shared" ca="1" si="14"/>
        <v/>
      </c>
      <c r="G266" s="156"/>
      <c r="H266" s="157"/>
      <c r="I266" s="157"/>
      <c r="J266" s="225"/>
      <c r="K266" s="225"/>
      <c r="L266" s="158"/>
      <c r="M266" s="184" t="str">
        <f t="shared" ca="1" si="15"/>
        <v/>
      </c>
      <c r="N266" s="67" t="str">
        <f t="shared" ca="1" si="16"/>
        <v/>
      </c>
      <c r="O266" s="68" t="str">
        <f t="shared" ca="1" si="17"/>
        <v/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59" t="str">
        <f t="shared" ca="1" si="10"/>
        <v/>
      </c>
      <c r="B267" s="182" t="str">
        <f t="shared" ca="1" si="18"/>
        <v/>
      </c>
      <c r="C267" s="61" t="str">
        <f t="shared" ca="1" si="11"/>
        <v/>
      </c>
      <c r="D267" s="183" t="str">
        <f t="shared" ca="1" si="12"/>
        <v/>
      </c>
      <c r="E267" s="63" t="str">
        <f t="shared" ca="1" si="13"/>
        <v/>
      </c>
      <c r="F267" s="64" t="str">
        <f t="shared" ca="1" si="14"/>
        <v/>
      </c>
      <c r="G267" s="156"/>
      <c r="H267" s="157"/>
      <c r="I267" s="157"/>
      <c r="J267" s="225"/>
      <c r="K267" s="225"/>
      <c r="L267" s="158"/>
      <c r="M267" s="184" t="str">
        <f t="shared" ca="1" si="15"/>
        <v/>
      </c>
      <c r="N267" s="67" t="str">
        <f t="shared" ca="1" si="16"/>
        <v/>
      </c>
      <c r="O267" s="68" t="str">
        <f t="shared" ca="1" si="17"/>
        <v/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59" t="str">
        <f t="shared" ca="1" si="10"/>
        <v/>
      </c>
      <c r="B268" s="182" t="str">
        <f t="shared" ca="1" si="18"/>
        <v/>
      </c>
      <c r="C268" s="61" t="str">
        <f t="shared" ca="1" si="11"/>
        <v/>
      </c>
      <c r="D268" s="183" t="str">
        <f t="shared" ca="1" si="12"/>
        <v/>
      </c>
      <c r="E268" s="63" t="str">
        <f t="shared" ca="1" si="13"/>
        <v/>
      </c>
      <c r="F268" s="64" t="str">
        <f t="shared" ca="1" si="14"/>
        <v/>
      </c>
      <c r="G268" s="156"/>
      <c r="H268" s="157"/>
      <c r="I268" s="157"/>
      <c r="J268" s="225"/>
      <c r="K268" s="225"/>
      <c r="L268" s="158"/>
      <c r="M268" s="184" t="str">
        <f t="shared" ca="1" si="15"/>
        <v/>
      </c>
      <c r="N268" s="67" t="str">
        <f t="shared" ca="1" si="16"/>
        <v/>
      </c>
      <c r="O268" s="68" t="str">
        <f t="shared" ca="1" si="17"/>
        <v/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59" t="str">
        <f t="shared" ca="1" si="10"/>
        <v/>
      </c>
      <c r="B269" s="182" t="str">
        <f t="shared" ca="1" si="18"/>
        <v/>
      </c>
      <c r="C269" s="61" t="str">
        <f t="shared" ca="1" si="11"/>
        <v/>
      </c>
      <c r="D269" s="183" t="str">
        <f t="shared" ca="1" si="12"/>
        <v/>
      </c>
      <c r="E269" s="63" t="str">
        <f t="shared" ca="1" si="13"/>
        <v/>
      </c>
      <c r="F269" s="64" t="str">
        <f t="shared" ca="1" si="14"/>
        <v/>
      </c>
      <c r="G269" s="156"/>
      <c r="H269" s="157"/>
      <c r="I269" s="157"/>
      <c r="J269" s="225"/>
      <c r="K269" s="225"/>
      <c r="L269" s="158"/>
      <c r="M269" s="184" t="str">
        <f t="shared" ca="1" si="15"/>
        <v/>
      </c>
      <c r="N269" s="67" t="str">
        <f t="shared" ca="1" si="16"/>
        <v/>
      </c>
      <c r="O269" s="68" t="str">
        <f t="shared" ca="1" si="17"/>
        <v/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59" t="str">
        <f t="shared" ca="1" si="10"/>
        <v/>
      </c>
      <c r="B270" s="182" t="str">
        <f t="shared" ca="1" si="18"/>
        <v/>
      </c>
      <c r="C270" s="61" t="str">
        <f t="shared" ca="1" si="11"/>
        <v/>
      </c>
      <c r="D270" s="183" t="str">
        <f t="shared" ca="1" si="12"/>
        <v/>
      </c>
      <c r="E270" s="63" t="str">
        <f t="shared" ca="1" si="13"/>
        <v/>
      </c>
      <c r="F270" s="64" t="str">
        <f t="shared" ca="1" si="14"/>
        <v/>
      </c>
      <c r="G270" s="156"/>
      <c r="H270" s="157"/>
      <c r="I270" s="157"/>
      <c r="J270" s="225"/>
      <c r="K270" s="225"/>
      <c r="L270" s="158"/>
      <c r="M270" s="184" t="str">
        <f t="shared" ca="1" si="15"/>
        <v/>
      </c>
      <c r="N270" s="67" t="str">
        <f t="shared" ca="1" si="16"/>
        <v/>
      </c>
      <c r="O270" s="68" t="str">
        <f t="shared" ca="1" si="17"/>
        <v/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59" t="str">
        <f t="shared" ca="1" si="10"/>
        <v/>
      </c>
      <c r="B271" s="182" t="str">
        <f t="shared" ca="1" si="18"/>
        <v/>
      </c>
      <c r="C271" s="61" t="str">
        <f t="shared" ca="1" si="11"/>
        <v/>
      </c>
      <c r="D271" s="183" t="str">
        <f t="shared" ca="1" si="12"/>
        <v/>
      </c>
      <c r="E271" s="63" t="str">
        <f t="shared" ca="1" si="13"/>
        <v/>
      </c>
      <c r="F271" s="64" t="str">
        <f t="shared" ca="1" si="14"/>
        <v/>
      </c>
      <c r="G271" s="156"/>
      <c r="H271" s="157"/>
      <c r="I271" s="157"/>
      <c r="J271" s="225"/>
      <c r="K271" s="225"/>
      <c r="L271" s="158"/>
      <c r="M271" s="184" t="str">
        <f t="shared" ca="1" si="15"/>
        <v/>
      </c>
      <c r="N271" s="67" t="str">
        <f t="shared" ca="1" si="16"/>
        <v/>
      </c>
      <c r="O271" s="68" t="str">
        <f t="shared" ca="1" si="17"/>
        <v/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59" t="str">
        <f t="shared" ca="1" si="10"/>
        <v/>
      </c>
      <c r="B272" s="182" t="str">
        <f t="shared" ca="1" si="18"/>
        <v/>
      </c>
      <c r="C272" s="61" t="str">
        <f t="shared" ca="1" si="11"/>
        <v/>
      </c>
      <c r="D272" s="183" t="str">
        <f t="shared" ca="1" si="12"/>
        <v/>
      </c>
      <c r="E272" s="63" t="str">
        <f t="shared" ca="1" si="13"/>
        <v/>
      </c>
      <c r="F272" s="64" t="str">
        <f t="shared" ca="1" si="14"/>
        <v/>
      </c>
      <c r="G272" s="156"/>
      <c r="H272" s="157"/>
      <c r="I272" s="157"/>
      <c r="J272" s="225"/>
      <c r="K272" s="225"/>
      <c r="L272" s="158"/>
      <c r="M272" s="184" t="str">
        <f t="shared" ca="1" si="15"/>
        <v/>
      </c>
      <c r="N272" s="67" t="str">
        <f t="shared" ca="1" si="16"/>
        <v/>
      </c>
      <c r="O272" s="68" t="str">
        <f t="shared" ca="1" si="17"/>
        <v/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59" t="str">
        <f t="shared" ca="1" si="10"/>
        <v/>
      </c>
      <c r="B273" s="182" t="str">
        <f t="shared" ca="1" si="18"/>
        <v/>
      </c>
      <c r="C273" s="61" t="str">
        <f t="shared" ca="1" si="11"/>
        <v/>
      </c>
      <c r="D273" s="183" t="str">
        <f t="shared" ca="1" si="12"/>
        <v/>
      </c>
      <c r="E273" s="63" t="str">
        <f t="shared" ca="1" si="13"/>
        <v/>
      </c>
      <c r="F273" s="64" t="str">
        <f t="shared" ca="1" si="14"/>
        <v/>
      </c>
      <c r="G273" s="156"/>
      <c r="H273" s="157"/>
      <c r="I273" s="157"/>
      <c r="J273" s="225"/>
      <c r="K273" s="225"/>
      <c r="L273" s="158"/>
      <c r="M273" s="184" t="str">
        <f t="shared" ca="1" si="15"/>
        <v/>
      </c>
      <c r="N273" s="67" t="str">
        <f t="shared" ca="1" si="16"/>
        <v/>
      </c>
      <c r="O273" s="68" t="str">
        <f t="shared" ca="1" si="17"/>
        <v/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59" t="str">
        <f t="shared" ca="1" si="10"/>
        <v/>
      </c>
      <c r="B274" s="182" t="str">
        <f t="shared" ca="1" si="18"/>
        <v/>
      </c>
      <c r="C274" s="61" t="str">
        <f t="shared" ca="1" si="11"/>
        <v/>
      </c>
      <c r="D274" s="183" t="str">
        <f t="shared" ca="1" si="12"/>
        <v/>
      </c>
      <c r="E274" s="63" t="str">
        <f t="shared" ca="1" si="13"/>
        <v/>
      </c>
      <c r="F274" s="64" t="str">
        <f t="shared" ca="1" si="14"/>
        <v/>
      </c>
      <c r="G274" s="156"/>
      <c r="H274" s="157"/>
      <c r="I274" s="157"/>
      <c r="J274" s="225"/>
      <c r="K274" s="225"/>
      <c r="L274" s="158"/>
      <c r="M274" s="184" t="str">
        <f t="shared" ca="1" si="15"/>
        <v/>
      </c>
      <c r="N274" s="67" t="str">
        <f t="shared" ca="1" si="16"/>
        <v/>
      </c>
      <c r="O274" s="68" t="str">
        <f t="shared" ca="1" si="17"/>
        <v/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59" t="str">
        <f t="shared" ca="1" si="10"/>
        <v/>
      </c>
      <c r="B275" s="182" t="str">
        <f t="shared" ca="1" si="18"/>
        <v/>
      </c>
      <c r="C275" s="61" t="str">
        <f t="shared" ca="1" si="11"/>
        <v/>
      </c>
      <c r="D275" s="183" t="str">
        <f t="shared" ca="1" si="12"/>
        <v/>
      </c>
      <c r="E275" s="63" t="str">
        <f t="shared" ca="1" si="13"/>
        <v/>
      </c>
      <c r="F275" s="64" t="str">
        <f t="shared" ca="1" si="14"/>
        <v/>
      </c>
      <c r="G275" s="156"/>
      <c r="H275" s="157"/>
      <c r="I275" s="157"/>
      <c r="J275" s="225"/>
      <c r="K275" s="225"/>
      <c r="L275" s="158"/>
      <c r="M275" s="184" t="str">
        <f t="shared" ca="1" si="15"/>
        <v/>
      </c>
      <c r="N275" s="67" t="str">
        <f t="shared" ca="1" si="16"/>
        <v/>
      </c>
      <c r="O275" s="68" t="str">
        <f t="shared" ca="1" si="17"/>
        <v/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59" t="str">
        <f t="shared" ca="1" si="10"/>
        <v/>
      </c>
      <c r="B276" s="182" t="str">
        <f t="shared" ca="1" si="18"/>
        <v/>
      </c>
      <c r="C276" s="61" t="str">
        <f t="shared" ca="1" si="11"/>
        <v/>
      </c>
      <c r="D276" s="183" t="str">
        <f t="shared" ca="1" si="12"/>
        <v/>
      </c>
      <c r="E276" s="63" t="str">
        <f t="shared" ca="1" si="13"/>
        <v/>
      </c>
      <c r="F276" s="64" t="str">
        <f t="shared" ca="1" si="14"/>
        <v/>
      </c>
      <c r="G276" s="156"/>
      <c r="H276" s="157"/>
      <c r="I276" s="157"/>
      <c r="J276" s="225"/>
      <c r="K276" s="225"/>
      <c r="L276" s="158"/>
      <c r="M276" s="184" t="str">
        <f t="shared" ca="1" si="15"/>
        <v/>
      </c>
      <c r="N276" s="67" t="str">
        <f t="shared" ca="1" si="16"/>
        <v/>
      </c>
      <c r="O276" s="68" t="str">
        <f t="shared" ca="1" si="17"/>
        <v/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59" t="str">
        <f t="shared" ca="1" si="10"/>
        <v/>
      </c>
      <c r="B277" s="182" t="str">
        <f t="shared" ca="1" si="18"/>
        <v/>
      </c>
      <c r="C277" s="61" t="str">
        <f t="shared" ca="1" si="11"/>
        <v/>
      </c>
      <c r="D277" s="183" t="str">
        <f t="shared" ca="1" si="12"/>
        <v/>
      </c>
      <c r="E277" s="63" t="str">
        <f t="shared" ca="1" si="13"/>
        <v/>
      </c>
      <c r="F277" s="64" t="str">
        <f t="shared" ca="1" si="14"/>
        <v/>
      </c>
      <c r="G277" s="156"/>
      <c r="H277" s="157"/>
      <c r="I277" s="157"/>
      <c r="J277" s="225"/>
      <c r="K277" s="225"/>
      <c r="L277" s="158"/>
      <c r="M277" s="184" t="str">
        <f t="shared" ca="1" si="15"/>
        <v/>
      </c>
      <c r="N277" s="67" t="str">
        <f t="shared" ca="1" si="16"/>
        <v/>
      </c>
      <c r="O277" s="68" t="str">
        <f t="shared" ca="1" si="17"/>
        <v/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80" t="str">
        <f t="shared" ca="1" si="10"/>
        <v/>
      </c>
      <c r="B278" s="185" t="str">
        <f t="shared" ca="1" si="18"/>
        <v/>
      </c>
      <c r="C278" s="82" t="str">
        <f t="shared" ca="1" si="11"/>
        <v/>
      </c>
      <c r="D278" s="186" t="str">
        <f t="shared" ca="1" si="12"/>
        <v/>
      </c>
      <c r="E278" s="84" t="str">
        <f t="shared" ca="1" si="13"/>
        <v/>
      </c>
      <c r="F278" s="85" t="str">
        <f t="shared" ca="1" si="14"/>
        <v/>
      </c>
      <c r="G278" s="166"/>
      <c r="H278" s="167"/>
      <c r="I278" s="167"/>
      <c r="J278" s="226"/>
      <c r="K278" s="226"/>
      <c r="L278" s="168"/>
      <c r="M278" s="202" t="str">
        <f t="shared" ca="1" si="15"/>
        <v/>
      </c>
      <c r="N278" s="203" t="str">
        <f t="shared" ca="1" si="16"/>
        <v/>
      </c>
      <c r="O278" s="68" t="str">
        <f t="shared" ca="1" si="17"/>
        <v/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46" t="str">
        <f t="shared" ca="1" si="10"/>
        <v/>
      </c>
      <c r="B279" s="190" t="str">
        <f t="shared" ca="1" si="18"/>
        <v/>
      </c>
      <c r="C279" s="48" t="str">
        <f t="shared" ca="1" si="11"/>
        <v/>
      </c>
      <c r="D279" s="191" t="str">
        <f t="shared" ca="1" si="12"/>
        <v/>
      </c>
      <c r="E279" s="50" t="str">
        <f t="shared" ca="1" si="13"/>
        <v/>
      </c>
      <c r="F279" s="51" t="str">
        <f t="shared" ca="1" si="14"/>
        <v/>
      </c>
      <c r="G279" s="153"/>
      <c r="H279" s="154"/>
      <c r="I279" s="154"/>
      <c r="J279" s="230"/>
      <c r="K279" s="230"/>
      <c r="L279" s="155"/>
      <c r="M279" s="181" t="str">
        <f t="shared" ca="1" si="15"/>
        <v/>
      </c>
      <c r="N279" s="57" t="str">
        <f t="shared" ca="1" si="16"/>
        <v/>
      </c>
      <c r="O279" s="68" t="str">
        <f t="shared" ca="1" si="17"/>
        <v/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59" t="str">
        <f t="shared" ca="1" si="10"/>
        <v/>
      </c>
      <c r="B280" s="182" t="str">
        <f t="shared" ca="1" si="18"/>
        <v/>
      </c>
      <c r="C280" s="61" t="str">
        <f t="shared" ca="1" si="11"/>
        <v/>
      </c>
      <c r="D280" s="183" t="str">
        <f t="shared" ca="1" si="12"/>
        <v/>
      </c>
      <c r="E280" s="63" t="str">
        <f t="shared" ca="1" si="13"/>
        <v/>
      </c>
      <c r="F280" s="64" t="str">
        <f t="shared" ca="1" si="14"/>
        <v/>
      </c>
      <c r="G280" s="156"/>
      <c r="H280" s="157"/>
      <c r="I280" s="157"/>
      <c r="J280" s="225"/>
      <c r="K280" s="225"/>
      <c r="L280" s="158"/>
      <c r="M280" s="184" t="str">
        <f t="shared" ca="1" si="15"/>
        <v/>
      </c>
      <c r="N280" s="67" t="str">
        <f t="shared" ca="1" si="16"/>
        <v/>
      </c>
      <c r="O280" s="68" t="str">
        <f t="shared" ca="1" si="17"/>
        <v/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59" t="str">
        <f t="shared" ca="1" si="10"/>
        <v/>
      </c>
      <c r="B281" s="182" t="str">
        <f t="shared" ca="1" si="18"/>
        <v/>
      </c>
      <c r="C281" s="61" t="str">
        <f t="shared" ca="1" si="11"/>
        <v/>
      </c>
      <c r="D281" s="183" t="str">
        <f t="shared" ca="1" si="12"/>
        <v/>
      </c>
      <c r="E281" s="63" t="str">
        <f t="shared" ca="1" si="13"/>
        <v/>
      </c>
      <c r="F281" s="64" t="str">
        <f t="shared" ca="1" si="14"/>
        <v/>
      </c>
      <c r="G281" s="156"/>
      <c r="H281" s="157"/>
      <c r="I281" s="157"/>
      <c r="J281" s="225"/>
      <c r="K281" s="225"/>
      <c r="L281" s="158"/>
      <c r="M281" s="184" t="str">
        <f t="shared" ca="1" si="15"/>
        <v/>
      </c>
      <c r="N281" s="67" t="str">
        <f t="shared" ca="1" si="16"/>
        <v/>
      </c>
      <c r="O281" s="68" t="str">
        <f t="shared" ca="1" si="17"/>
        <v/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59" t="str">
        <f t="shared" ca="1" si="10"/>
        <v/>
      </c>
      <c r="B282" s="182" t="str">
        <f t="shared" ca="1" si="18"/>
        <v/>
      </c>
      <c r="C282" s="61" t="str">
        <f t="shared" ca="1" si="11"/>
        <v/>
      </c>
      <c r="D282" s="183" t="str">
        <f t="shared" ca="1" si="12"/>
        <v/>
      </c>
      <c r="E282" s="63" t="str">
        <f t="shared" ca="1" si="13"/>
        <v/>
      </c>
      <c r="F282" s="64" t="str">
        <f t="shared" ca="1" si="14"/>
        <v/>
      </c>
      <c r="G282" s="156"/>
      <c r="H282" s="157"/>
      <c r="I282" s="157"/>
      <c r="J282" s="225"/>
      <c r="K282" s="225"/>
      <c r="L282" s="158"/>
      <c r="M282" s="184" t="str">
        <f t="shared" ca="1" si="15"/>
        <v/>
      </c>
      <c r="N282" s="67" t="str">
        <f t="shared" ca="1" si="16"/>
        <v/>
      </c>
      <c r="O282" s="68" t="str">
        <f t="shared" ca="1" si="17"/>
        <v/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59" t="str">
        <f t="shared" ca="1" si="10"/>
        <v/>
      </c>
      <c r="B283" s="182" t="str">
        <f t="shared" ca="1" si="18"/>
        <v/>
      </c>
      <c r="C283" s="61" t="str">
        <f t="shared" ca="1" si="11"/>
        <v/>
      </c>
      <c r="D283" s="183" t="str">
        <f t="shared" ca="1" si="12"/>
        <v/>
      </c>
      <c r="E283" s="63" t="str">
        <f t="shared" ca="1" si="13"/>
        <v/>
      </c>
      <c r="F283" s="64" t="str">
        <f t="shared" ca="1" si="14"/>
        <v/>
      </c>
      <c r="G283" s="156"/>
      <c r="H283" s="157"/>
      <c r="I283" s="157"/>
      <c r="J283" s="225"/>
      <c r="K283" s="225"/>
      <c r="L283" s="158"/>
      <c r="M283" s="184" t="str">
        <f t="shared" ca="1" si="15"/>
        <v/>
      </c>
      <c r="N283" s="67" t="str">
        <f t="shared" ca="1" si="16"/>
        <v/>
      </c>
      <c r="O283" s="68" t="str">
        <f t="shared" ca="1" si="17"/>
        <v/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59" t="str">
        <f t="shared" ca="1" si="10"/>
        <v/>
      </c>
      <c r="B284" s="182" t="str">
        <f t="shared" ca="1" si="18"/>
        <v/>
      </c>
      <c r="C284" s="61" t="str">
        <f t="shared" ca="1" si="11"/>
        <v/>
      </c>
      <c r="D284" s="183" t="str">
        <f t="shared" ca="1" si="12"/>
        <v/>
      </c>
      <c r="E284" s="63" t="str">
        <f t="shared" ca="1" si="13"/>
        <v/>
      </c>
      <c r="F284" s="64" t="str">
        <f t="shared" ca="1" si="14"/>
        <v/>
      </c>
      <c r="G284" s="156"/>
      <c r="H284" s="157"/>
      <c r="I284" s="157"/>
      <c r="J284" s="225"/>
      <c r="K284" s="225"/>
      <c r="L284" s="158"/>
      <c r="M284" s="184" t="str">
        <f t="shared" ca="1" si="15"/>
        <v/>
      </c>
      <c r="N284" s="67" t="str">
        <f t="shared" ca="1" si="16"/>
        <v/>
      </c>
      <c r="O284" s="68" t="str">
        <f t="shared" ca="1" si="17"/>
        <v/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59" t="str">
        <f t="shared" ca="1" si="10"/>
        <v/>
      </c>
      <c r="B285" s="182" t="str">
        <f t="shared" ca="1" si="18"/>
        <v/>
      </c>
      <c r="C285" s="61" t="str">
        <f t="shared" ca="1" si="11"/>
        <v/>
      </c>
      <c r="D285" s="183" t="str">
        <f t="shared" ca="1" si="12"/>
        <v/>
      </c>
      <c r="E285" s="63" t="str">
        <f t="shared" ca="1" si="13"/>
        <v/>
      </c>
      <c r="F285" s="64" t="str">
        <f t="shared" ca="1" si="14"/>
        <v/>
      </c>
      <c r="G285" s="156"/>
      <c r="H285" s="157"/>
      <c r="I285" s="157"/>
      <c r="J285" s="225"/>
      <c r="K285" s="225"/>
      <c r="L285" s="158"/>
      <c r="M285" s="184" t="str">
        <f t="shared" ca="1" si="15"/>
        <v/>
      </c>
      <c r="N285" s="67" t="str">
        <f t="shared" ca="1" si="16"/>
        <v/>
      </c>
      <c r="O285" s="68" t="str">
        <f t="shared" ca="1" si="17"/>
        <v/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59" t="str">
        <f t="shared" ca="1" si="10"/>
        <v/>
      </c>
      <c r="B286" s="182" t="str">
        <f t="shared" ca="1" si="18"/>
        <v/>
      </c>
      <c r="C286" s="61" t="str">
        <f t="shared" ca="1" si="11"/>
        <v/>
      </c>
      <c r="D286" s="183" t="str">
        <f t="shared" ca="1" si="12"/>
        <v/>
      </c>
      <c r="E286" s="63" t="str">
        <f t="shared" ca="1" si="13"/>
        <v/>
      </c>
      <c r="F286" s="64" t="str">
        <f t="shared" ca="1" si="14"/>
        <v/>
      </c>
      <c r="G286" s="156"/>
      <c r="H286" s="157"/>
      <c r="I286" s="157"/>
      <c r="J286" s="225"/>
      <c r="K286" s="225"/>
      <c r="L286" s="158"/>
      <c r="M286" s="184" t="str">
        <f t="shared" ca="1" si="15"/>
        <v/>
      </c>
      <c r="N286" s="67" t="str">
        <f t="shared" ca="1" si="16"/>
        <v/>
      </c>
      <c r="O286" s="68" t="str">
        <f t="shared" ca="1" si="17"/>
        <v/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59" t="str">
        <f t="shared" ca="1" si="10"/>
        <v/>
      </c>
      <c r="B287" s="182" t="str">
        <f t="shared" ca="1" si="18"/>
        <v/>
      </c>
      <c r="C287" s="61" t="str">
        <f t="shared" ca="1" si="11"/>
        <v/>
      </c>
      <c r="D287" s="183" t="str">
        <f t="shared" ca="1" si="12"/>
        <v/>
      </c>
      <c r="E287" s="63" t="str">
        <f t="shared" ca="1" si="13"/>
        <v/>
      </c>
      <c r="F287" s="64" t="str">
        <f t="shared" ca="1" si="14"/>
        <v/>
      </c>
      <c r="G287" s="156"/>
      <c r="H287" s="157"/>
      <c r="I287" s="157"/>
      <c r="J287" s="225"/>
      <c r="K287" s="225"/>
      <c r="L287" s="158"/>
      <c r="M287" s="184" t="str">
        <f t="shared" ca="1" si="15"/>
        <v/>
      </c>
      <c r="N287" s="67" t="str">
        <f t="shared" ca="1" si="16"/>
        <v/>
      </c>
      <c r="O287" s="68" t="str">
        <f t="shared" ca="1" si="17"/>
        <v/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59" t="str">
        <f t="shared" ca="1" si="10"/>
        <v/>
      </c>
      <c r="B288" s="182" t="str">
        <f t="shared" ca="1" si="18"/>
        <v/>
      </c>
      <c r="C288" s="61" t="str">
        <f t="shared" ca="1" si="11"/>
        <v/>
      </c>
      <c r="D288" s="183" t="str">
        <f t="shared" ca="1" si="12"/>
        <v/>
      </c>
      <c r="E288" s="63" t="str">
        <f t="shared" ca="1" si="13"/>
        <v/>
      </c>
      <c r="F288" s="64" t="str">
        <f t="shared" ca="1" si="14"/>
        <v/>
      </c>
      <c r="G288" s="156"/>
      <c r="H288" s="157"/>
      <c r="I288" s="157"/>
      <c r="J288" s="225"/>
      <c r="K288" s="225"/>
      <c r="L288" s="158"/>
      <c r="M288" s="184" t="str">
        <f t="shared" ca="1" si="15"/>
        <v/>
      </c>
      <c r="N288" s="67" t="str">
        <f t="shared" ca="1" si="16"/>
        <v/>
      </c>
      <c r="O288" s="68" t="str">
        <f t="shared" ca="1" si="17"/>
        <v/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59" t="str">
        <f t="shared" ca="1" si="10"/>
        <v/>
      </c>
      <c r="B289" s="182" t="str">
        <f t="shared" ca="1" si="18"/>
        <v/>
      </c>
      <c r="C289" s="61" t="str">
        <f t="shared" ca="1" si="11"/>
        <v/>
      </c>
      <c r="D289" s="183" t="str">
        <f t="shared" ca="1" si="12"/>
        <v/>
      </c>
      <c r="E289" s="63" t="str">
        <f t="shared" ca="1" si="13"/>
        <v/>
      </c>
      <c r="F289" s="64" t="str">
        <f t="shared" ca="1" si="14"/>
        <v/>
      </c>
      <c r="G289" s="156"/>
      <c r="H289" s="157"/>
      <c r="I289" s="157"/>
      <c r="J289" s="225"/>
      <c r="K289" s="225"/>
      <c r="L289" s="158"/>
      <c r="M289" s="184" t="str">
        <f t="shared" ca="1" si="15"/>
        <v/>
      </c>
      <c r="N289" s="67" t="str">
        <f t="shared" ca="1" si="16"/>
        <v/>
      </c>
      <c r="O289" s="68" t="str">
        <f t="shared" ca="1" si="17"/>
        <v/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59" t="str">
        <f t="shared" ca="1" si="10"/>
        <v/>
      </c>
      <c r="B290" s="182" t="str">
        <f t="shared" ca="1" si="18"/>
        <v/>
      </c>
      <c r="C290" s="61" t="str">
        <f t="shared" ca="1" si="11"/>
        <v/>
      </c>
      <c r="D290" s="183" t="str">
        <f t="shared" ca="1" si="12"/>
        <v/>
      </c>
      <c r="E290" s="63" t="str">
        <f t="shared" ca="1" si="13"/>
        <v/>
      </c>
      <c r="F290" s="64" t="str">
        <f t="shared" ca="1" si="14"/>
        <v/>
      </c>
      <c r="G290" s="156"/>
      <c r="H290" s="157"/>
      <c r="I290" s="157"/>
      <c r="J290" s="225"/>
      <c r="K290" s="225"/>
      <c r="L290" s="158"/>
      <c r="M290" s="184" t="str">
        <f t="shared" ca="1" si="15"/>
        <v/>
      </c>
      <c r="N290" s="67" t="str">
        <f t="shared" ca="1" si="16"/>
        <v/>
      </c>
      <c r="O290" s="68" t="str">
        <f t="shared" ca="1" si="17"/>
        <v/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59" t="str">
        <f t="shared" ca="1" si="10"/>
        <v/>
      </c>
      <c r="B291" s="182" t="str">
        <f t="shared" ca="1" si="18"/>
        <v/>
      </c>
      <c r="C291" s="61" t="str">
        <f t="shared" ca="1" si="11"/>
        <v/>
      </c>
      <c r="D291" s="183" t="str">
        <f t="shared" ca="1" si="12"/>
        <v/>
      </c>
      <c r="E291" s="63" t="str">
        <f t="shared" ca="1" si="13"/>
        <v/>
      </c>
      <c r="F291" s="64" t="str">
        <f t="shared" ca="1" si="14"/>
        <v/>
      </c>
      <c r="G291" s="156"/>
      <c r="H291" s="157"/>
      <c r="I291" s="157"/>
      <c r="J291" s="225"/>
      <c r="K291" s="225"/>
      <c r="L291" s="158"/>
      <c r="M291" s="184" t="str">
        <f t="shared" ca="1" si="15"/>
        <v/>
      </c>
      <c r="N291" s="67" t="str">
        <f t="shared" ca="1" si="16"/>
        <v/>
      </c>
      <c r="O291" s="68" t="str">
        <f t="shared" ca="1" si="17"/>
        <v/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59" t="str">
        <f t="shared" ca="1" si="10"/>
        <v/>
      </c>
      <c r="B292" s="182" t="str">
        <f t="shared" ca="1" si="18"/>
        <v/>
      </c>
      <c r="C292" s="61" t="str">
        <f t="shared" ca="1" si="11"/>
        <v/>
      </c>
      <c r="D292" s="183" t="str">
        <f t="shared" ca="1" si="12"/>
        <v/>
      </c>
      <c r="E292" s="63" t="str">
        <f t="shared" ca="1" si="13"/>
        <v/>
      </c>
      <c r="F292" s="64" t="str">
        <f t="shared" ca="1" si="14"/>
        <v/>
      </c>
      <c r="G292" s="156"/>
      <c r="H292" s="157"/>
      <c r="I292" s="157"/>
      <c r="J292" s="225"/>
      <c r="K292" s="225"/>
      <c r="L292" s="158"/>
      <c r="M292" s="184" t="str">
        <f t="shared" ca="1" si="15"/>
        <v/>
      </c>
      <c r="N292" s="67" t="str">
        <f t="shared" ca="1" si="16"/>
        <v/>
      </c>
      <c r="O292" s="68" t="str">
        <f t="shared" ca="1" si="17"/>
        <v/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59" t="str">
        <f t="shared" ca="1" si="10"/>
        <v/>
      </c>
      <c r="B293" s="182" t="str">
        <f t="shared" ca="1" si="18"/>
        <v/>
      </c>
      <c r="C293" s="61" t="str">
        <f t="shared" ca="1" si="11"/>
        <v/>
      </c>
      <c r="D293" s="183" t="str">
        <f t="shared" ca="1" si="12"/>
        <v/>
      </c>
      <c r="E293" s="63" t="str">
        <f t="shared" ca="1" si="13"/>
        <v/>
      </c>
      <c r="F293" s="64" t="str">
        <f t="shared" ca="1" si="14"/>
        <v/>
      </c>
      <c r="G293" s="156"/>
      <c r="H293" s="157"/>
      <c r="I293" s="157"/>
      <c r="J293" s="225"/>
      <c r="K293" s="225"/>
      <c r="L293" s="158"/>
      <c r="M293" s="184" t="str">
        <f t="shared" ca="1" si="15"/>
        <v/>
      </c>
      <c r="N293" s="67" t="str">
        <f t="shared" ca="1" si="16"/>
        <v/>
      </c>
      <c r="O293" s="68" t="str">
        <f t="shared" ca="1" si="17"/>
        <v/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100" t="str">
        <f t="shared" ca="1" si="10"/>
        <v/>
      </c>
      <c r="B294" s="196" t="str">
        <f t="shared" ca="1" si="18"/>
        <v/>
      </c>
      <c r="C294" s="102" t="str">
        <f t="shared" ca="1" si="11"/>
        <v/>
      </c>
      <c r="D294" s="197" t="str">
        <f t="shared" ca="1" si="12"/>
        <v/>
      </c>
      <c r="E294" s="104" t="str">
        <f t="shared" ca="1" si="13"/>
        <v/>
      </c>
      <c r="F294" s="105" t="str">
        <f t="shared" ca="1" si="14"/>
        <v/>
      </c>
      <c r="G294" s="159"/>
      <c r="H294" s="160"/>
      <c r="I294" s="160"/>
      <c r="J294" s="231"/>
      <c r="K294" s="231"/>
      <c r="L294" s="162"/>
      <c r="M294" s="189" t="str">
        <f t="shared" ca="1" si="15"/>
        <v/>
      </c>
      <c r="N294" s="171" t="str">
        <f t="shared" ca="1" si="16"/>
        <v/>
      </c>
      <c r="O294" s="172" t="str">
        <f t="shared" ca="1" si="17"/>
        <v/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232"/>
      <c r="K295" s="232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232"/>
      <c r="K296" s="232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232"/>
      <c r="K297" s="232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232"/>
      <c r="K298" s="232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232"/>
      <c r="K299" s="232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232"/>
      <c r="K300" s="232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232"/>
      <c r="K301" s="232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232"/>
      <c r="K302" s="232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232"/>
      <c r="K303" s="232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232"/>
      <c r="K304" s="232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232"/>
      <c r="K305" s="232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232"/>
      <c r="K306" s="232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232"/>
      <c r="K307" s="232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232"/>
      <c r="K308" s="232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232"/>
      <c r="K309" s="232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232"/>
      <c r="K310" s="232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232"/>
      <c r="K311" s="232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232"/>
      <c r="K312" s="232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232"/>
      <c r="K313" s="232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232"/>
      <c r="K314" s="232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232"/>
      <c r="K315" s="232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232"/>
      <c r="K316" s="232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232"/>
      <c r="K317" s="232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232"/>
      <c r="K318" s="232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232"/>
      <c r="K319" s="232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232"/>
      <c r="K320" s="232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232"/>
      <c r="K321" s="232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232"/>
      <c r="K322" s="232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232"/>
      <c r="K323" s="232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232"/>
      <c r="K324" s="232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232"/>
      <c r="K325" s="232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232"/>
      <c r="K326" s="232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232"/>
      <c r="K327" s="232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232"/>
      <c r="K328" s="232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232"/>
      <c r="K329" s="232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232"/>
      <c r="K330" s="232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232"/>
      <c r="K331" s="232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232"/>
      <c r="K332" s="232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232"/>
      <c r="K333" s="232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232"/>
      <c r="K334" s="232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232"/>
      <c r="K335" s="232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232"/>
      <c r="K336" s="232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232"/>
      <c r="K337" s="232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232"/>
      <c r="K338" s="232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232"/>
      <c r="K339" s="232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232"/>
      <c r="K340" s="232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232"/>
      <c r="K341" s="232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232"/>
      <c r="K342" s="232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232"/>
      <c r="K343" s="232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232"/>
      <c r="K344" s="232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232"/>
      <c r="K345" s="232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232"/>
      <c r="K346" s="232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232"/>
      <c r="K347" s="232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232"/>
      <c r="K348" s="232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232"/>
      <c r="K349" s="232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232"/>
      <c r="K350" s="232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232"/>
      <c r="K351" s="232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232"/>
      <c r="K352" s="232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232"/>
      <c r="K353" s="232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232"/>
      <c r="K354" s="232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232"/>
      <c r="K355" s="232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232"/>
      <c r="K356" s="232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232"/>
      <c r="K357" s="232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232"/>
      <c r="K358" s="232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232"/>
      <c r="K359" s="232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232"/>
      <c r="K360" s="232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232"/>
      <c r="K361" s="232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232"/>
      <c r="K362" s="232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232"/>
      <c r="K363" s="232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232"/>
      <c r="K364" s="232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232"/>
      <c r="K365" s="232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232"/>
      <c r="K366" s="232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232"/>
      <c r="K367" s="232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232"/>
      <c r="K368" s="232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232"/>
      <c r="K369" s="232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232"/>
      <c r="K370" s="232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232"/>
      <c r="K371" s="232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232"/>
      <c r="K372" s="232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232"/>
      <c r="K373" s="232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232"/>
      <c r="K374" s="232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232"/>
      <c r="K375" s="232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232"/>
      <c r="K376" s="232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232"/>
      <c r="K377" s="232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232"/>
      <c r="K378" s="232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232"/>
      <c r="K379" s="232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232"/>
      <c r="K380" s="232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232"/>
      <c r="K381" s="232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232"/>
      <c r="K382" s="232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232"/>
      <c r="K383" s="232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232"/>
      <c r="K384" s="232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232"/>
      <c r="K385" s="232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232"/>
      <c r="K386" s="232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232"/>
      <c r="K387" s="232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232"/>
      <c r="K388" s="232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232"/>
      <c r="K389" s="232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232"/>
      <c r="K390" s="232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232"/>
      <c r="K391" s="232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232"/>
      <c r="K392" s="232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232"/>
      <c r="K393" s="232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232"/>
      <c r="K394" s="232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232"/>
      <c r="K395" s="232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232"/>
      <c r="K396" s="232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232"/>
      <c r="K397" s="232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232"/>
      <c r="K398" s="232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232"/>
      <c r="K399" s="232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232"/>
      <c r="K400" s="232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232"/>
      <c r="K401" s="232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232"/>
      <c r="K402" s="232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232"/>
      <c r="K403" s="232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232"/>
      <c r="K404" s="232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232"/>
      <c r="K405" s="232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232"/>
      <c r="K406" s="232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232"/>
      <c r="K407" s="232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232"/>
      <c r="K408" s="232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232"/>
      <c r="K409" s="232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232"/>
      <c r="K410" s="232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232"/>
      <c r="K411" s="232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232"/>
      <c r="K412" s="232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232"/>
      <c r="K413" s="232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232"/>
      <c r="K414" s="232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232"/>
      <c r="K415" s="232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232"/>
      <c r="K416" s="232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232"/>
      <c r="K417" s="232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232"/>
      <c r="K418" s="232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232"/>
      <c r="K419" s="232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232"/>
      <c r="K420" s="232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232"/>
      <c r="K421" s="232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174"/>
      <c r="H422" s="174"/>
      <c r="I422" s="174"/>
      <c r="J422" s="232"/>
      <c r="K422" s="232"/>
      <c r="L422" s="174"/>
      <c r="M422" s="174"/>
      <c r="N422" s="174"/>
      <c r="O422" s="174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174"/>
      <c r="H423" s="174"/>
      <c r="I423" s="174"/>
      <c r="J423" s="232"/>
      <c r="K423" s="232"/>
      <c r="L423" s="174"/>
      <c r="M423" s="174"/>
      <c r="N423" s="174"/>
      <c r="O423" s="174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174"/>
      <c r="H424" s="174"/>
      <c r="I424" s="174"/>
      <c r="J424" s="232"/>
      <c r="K424" s="232"/>
      <c r="L424" s="174"/>
      <c r="M424" s="174"/>
      <c r="N424" s="174"/>
      <c r="O424" s="174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174"/>
      <c r="H425" s="174"/>
      <c r="I425" s="174"/>
      <c r="J425" s="232"/>
      <c r="K425" s="232"/>
      <c r="L425" s="174"/>
      <c r="M425" s="174"/>
      <c r="N425" s="174"/>
      <c r="O425" s="174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174"/>
      <c r="H426" s="174"/>
      <c r="I426" s="174"/>
      <c r="J426" s="232"/>
      <c r="K426" s="232"/>
      <c r="L426" s="174"/>
      <c r="M426" s="174"/>
      <c r="N426" s="174"/>
      <c r="O426" s="174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174"/>
      <c r="H427" s="174"/>
      <c r="I427" s="174"/>
      <c r="J427" s="232"/>
      <c r="K427" s="232"/>
      <c r="L427" s="174"/>
      <c r="M427" s="174"/>
      <c r="N427" s="174"/>
      <c r="O427" s="174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174"/>
      <c r="H428" s="174"/>
      <c r="I428" s="174"/>
      <c r="J428" s="232"/>
      <c r="K428" s="232"/>
      <c r="L428" s="174"/>
      <c r="M428" s="174"/>
      <c r="N428" s="174"/>
      <c r="O428" s="174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174"/>
      <c r="H429" s="174"/>
      <c r="I429" s="174"/>
      <c r="J429" s="232"/>
      <c r="K429" s="232"/>
      <c r="L429" s="174"/>
      <c r="M429" s="174"/>
      <c r="N429" s="174"/>
      <c r="O429" s="174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174"/>
      <c r="H430" s="174"/>
      <c r="I430" s="174"/>
      <c r="J430" s="232"/>
      <c r="K430" s="232"/>
      <c r="L430" s="174"/>
      <c r="M430" s="174"/>
      <c r="N430" s="174"/>
      <c r="O430" s="174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174"/>
      <c r="H431" s="174"/>
      <c r="I431" s="174"/>
      <c r="J431" s="232"/>
      <c r="K431" s="232"/>
      <c r="L431" s="174"/>
      <c r="M431" s="174"/>
      <c r="N431" s="174"/>
      <c r="O431" s="174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174"/>
      <c r="H432" s="174"/>
      <c r="I432" s="174"/>
      <c r="J432" s="233"/>
      <c r="K432" s="233"/>
      <c r="L432" s="174"/>
      <c r="M432" s="174"/>
      <c r="N432" s="174"/>
      <c r="O432" s="174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174"/>
      <c r="H433" s="174"/>
      <c r="I433" s="174"/>
      <c r="J433" s="233"/>
      <c r="K433" s="233"/>
      <c r="L433" s="174"/>
      <c r="M433" s="174"/>
      <c r="N433" s="174"/>
      <c r="O433" s="174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174"/>
      <c r="H434" s="174"/>
      <c r="I434" s="174"/>
      <c r="J434" s="233"/>
      <c r="K434" s="233"/>
      <c r="L434" s="174"/>
      <c r="M434" s="174"/>
      <c r="N434" s="174"/>
      <c r="O434" s="174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174"/>
      <c r="H435" s="174"/>
      <c r="I435" s="174"/>
      <c r="J435" s="233"/>
      <c r="K435" s="233"/>
      <c r="L435" s="174"/>
      <c r="M435" s="174"/>
      <c r="N435" s="174"/>
      <c r="O435" s="174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174"/>
      <c r="H436" s="174"/>
      <c r="I436" s="174"/>
      <c r="J436" s="233"/>
      <c r="K436" s="233"/>
      <c r="L436" s="174"/>
      <c r="M436" s="174"/>
      <c r="N436" s="174"/>
      <c r="O436" s="174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174"/>
      <c r="H437" s="174"/>
      <c r="I437" s="174"/>
      <c r="J437" s="233"/>
      <c r="K437" s="233"/>
      <c r="L437" s="174"/>
      <c r="M437" s="174"/>
      <c r="N437" s="174"/>
      <c r="O437" s="174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233"/>
      <c r="K438" s="233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233"/>
      <c r="K439" s="233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233"/>
      <c r="K440" s="233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233"/>
      <c r="K441" s="233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233"/>
      <c r="K442" s="233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233"/>
      <c r="K443" s="233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233"/>
      <c r="K444" s="233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233"/>
      <c r="K445" s="233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233"/>
      <c r="K446" s="233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233"/>
      <c r="K447" s="233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233"/>
      <c r="K448" s="233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233"/>
      <c r="K449" s="233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233"/>
      <c r="K450" s="233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233"/>
      <c r="K451" s="233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233"/>
      <c r="K452" s="233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233"/>
      <c r="K453" s="233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233"/>
      <c r="K454" s="233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233"/>
      <c r="K455" s="233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233"/>
      <c r="K456" s="233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233"/>
      <c r="K457" s="233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233"/>
      <c r="K458" s="233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233"/>
      <c r="K459" s="233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233"/>
      <c r="K460" s="233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233"/>
      <c r="K461" s="233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233"/>
      <c r="K462" s="233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233"/>
      <c r="K463" s="233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233"/>
      <c r="K464" s="233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233"/>
      <c r="K465" s="233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233"/>
      <c r="K466" s="233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233"/>
      <c r="K467" s="233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233"/>
      <c r="K468" s="233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233"/>
      <c r="K469" s="233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233"/>
      <c r="K470" s="233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233"/>
      <c r="K471" s="233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233"/>
      <c r="K472" s="233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233"/>
      <c r="K473" s="233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233"/>
      <c r="K474" s="233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233"/>
      <c r="K475" s="233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233"/>
      <c r="K476" s="233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233"/>
      <c r="K477" s="233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233"/>
      <c r="K478" s="233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233"/>
      <c r="K479" s="233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233"/>
      <c r="K480" s="233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233"/>
      <c r="K481" s="233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233"/>
      <c r="K482" s="233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233"/>
      <c r="K483" s="233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233"/>
      <c r="K484" s="233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233"/>
      <c r="K485" s="233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233"/>
      <c r="K486" s="233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233"/>
      <c r="K487" s="233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233"/>
      <c r="K488" s="233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233"/>
      <c r="K489" s="233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233"/>
      <c r="K490" s="233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233"/>
      <c r="K491" s="233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233"/>
      <c r="K492" s="233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233"/>
      <c r="K493" s="233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233"/>
      <c r="K494" s="233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233"/>
      <c r="K495" s="233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233"/>
      <c r="K496" s="233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233"/>
      <c r="K497" s="233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233"/>
      <c r="K498" s="233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233"/>
      <c r="K499" s="233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233"/>
      <c r="K500" s="233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233"/>
      <c r="K501" s="233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233"/>
      <c r="K502" s="233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233"/>
      <c r="K503" s="233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233"/>
      <c r="K504" s="233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233"/>
      <c r="K505" s="233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233"/>
      <c r="K506" s="233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233"/>
      <c r="K507" s="233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233"/>
      <c r="K508" s="233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233"/>
      <c r="K509" s="233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233"/>
      <c r="K510" s="233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233"/>
      <c r="K511" s="233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233"/>
      <c r="K512" s="233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233"/>
      <c r="K513" s="233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233"/>
      <c r="K514" s="233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233"/>
      <c r="K515" s="233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233"/>
      <c r="K516" s="233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233"/>
      <c r="K517" s="233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233"/>
      <c r="K518" s="233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233"/>
      <c r="K519" s="233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233"/>
      <c r="K520" s="233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233"/>
      <c r="K521" s="233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233"/>
      <c r="K522" s="233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233"/>
      <c r="K523" s="233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233"/>
      <c r="K524" s="233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233"/>
      <c r="K525" s="233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233"/>
      <c r="K526" s="233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233"/>
      <c r="K527" s="233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233"/>
      <c r="K528" s="233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233"/>
      <c r="K529" s="233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233"/>
      <c r="K530" s="233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233"/>
      <c r="K531" s="233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233"/>
      <c r="K532" s="233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233"/>
      <c r="K533" s="233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233"/>
      <c r="K534" s="233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233"/>
      <c r="K535" s="233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233"/>
      <c r="K536" s="233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233"/>
      <c r="K537" s="233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233"/>
      <c r="K538" s="233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233"/>
      <c r="K539" s="233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233"/>
      <c r="K540" s="233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233"/>
      <c r="K541" s="233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233"/>
      <c r="K542" s="233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233"/>
      <c r="K543" s="233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233"/>
      <c r="K544" s="233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233"/>
      <c r="K545" s="233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233"/>
      <c r="K546" s="233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233"/>
      <c r="K547" s="233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233"/>
      <c r="K548" s="233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233"/>
      <c r="K549" s="233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233"/>
      <c r="K550" s="233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233"/>
      <c r="K551" s="233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233"/>
      <c r="K552" s="233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233"/>
      <c r="K553" s="233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233"/>
      <c r="K554" s="233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233"/>
      <c r="K555" s="233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233"/>
      <c r="K556" s="233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233"/>
      <c r="K557" s="233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233"/>
      <c r="K558" s="233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233"/>
      <c r="K559" s="233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233"/>
      <c r="K560" s="233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233"/>
      <c r="K561" s="233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233"/>
      <c r="K562" s="233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233"/>
      <c r="K563" s="233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233"/>
      <c r="K564" s="233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233"/>
      <c r="K565" s="233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233"/>
      <c r="K566" s="233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233"/>
      <c r="K567" s="233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233"/>
      <c r="K568" s="233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233"/>
      <c r="K569" s="233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233"/>
      <c r="K570" s="233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233"/>
      <c r="K571" s="233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233"/>
      <c r="K572" s="233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233"/>
      <c r="K573" s="233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233"/>
      <c r="K574" s="233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233"/>
      <c r="K575" s="233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233"/>
      <c r="K576" s="233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233"/>
      <c r="K577" s="233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233"/>
      <c r="K578" s="233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233"/>
      <c r="K579" s="233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233"/>
      <c r="K580" s="233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233"/>
      <c r="K581" s="233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233"/>
      <c r="K582" s="233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233"/>
      <c r="K583" s="233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233"/>
      <c r="K584" s="233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233"/>
      <c r="K585" s="233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233"/>
      <c r="K586" s="233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233"/>
      <c r="K587" s="233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233"/>
      <c r="K588" s="233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233"/>
      <c r="K589" s="233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233"/>
      <c r="K590" s="233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233"/>
      <c r="K591" s="233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233"/>
      <c r="K592" s="233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233"/>
      <c r="K593" s="233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233"/>
      <c r="K594" s="233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233"/>
      <c r="K595" s="233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233"/>
      <c r="K596" s="233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233"/>
      <c r="K597" s="233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233"/>
      <c r="K598" s="233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233"/>
      <c r="K599" s="233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233"/>
      <c r="K600" s="233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233"/>
      <c r="K601" s="233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233"/>
      <c r="K602" s="233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233"/>
      <c r="K603" s="233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233"/>
      <c r="K604" s="233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233"/>
      <c r="K605" s="233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233"/>
      <c r="K606" s="233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233"/>
      <c r="K607" s="233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233"/>
      <c r="K608" s="233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233"/>
      <c r="K609" s="233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233"/>
      <c r="K610" s="233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233"/>
      <c r="K611" s="233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233"/>
      <c r="K612" s="233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233"/>
      <c r="K613" s="233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233"/>
      <c r="K614" s="233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233"/>
      <c r="K615" s="233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233"/>
      <c r="K616" s="233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233"/>
      <c r="K617" s="233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233"/>
      <c r="K618" s="233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233"/>
      <c r="K619" s="233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233"/>
      <c r="K620" s="233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233"/>
      <c r="K621" s="233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233"/>
      <c r="K622" s="233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233"/>
      <c r="K623" s="233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233"/>
      <c r="K624" s="233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233"/>
      <c r="K625" s="233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233"/>
      <c r="K626" s="233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233"/>
      <c r="K627" s="233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233"/>
      <c r="K628" s="233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233"/>
      <c r="K629" s="233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233"/>
      <c r="K630" s="233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233"/>
      <c r="K631" s="233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233"/>
      <c r="K632" s="233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233"/>
      <c r="K633" s="233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233"/>
      <c r="K634" s="233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233"/>
      <c r="K635" s="233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233"/>
      <c r="K636" s="233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233"/>
      <c r="K637" s="233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233"/>
      <c r="K638" s="233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233"/>
      <c r="K639" s="233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233"/>
      <c r="K640" s="233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233"/>
      <c r="K641" s="233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233"/>
      <c r="K642" s="233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233"/>
      <c r="K643" s="233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233"/>
      <c r="K644" s="233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233"/>
      <c r="K645" s="233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233"/>
      <c r="K646" s="233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233"/>
      <c r="K647" s="233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233"/>
      <c r="K648" s="233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233"/>
      <c r="K649" s="233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233"/>
      <c r="K650" s="233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233"/>
      <c r="K651" s="233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233"/>
      <c r="K652" s="233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233"/>
      <c r="K653" s="233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233"/>
      <c r="K654" s="233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233"/>
      <c r="K655" s="233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233"/>
      <c r="K656" s="233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233"/>
      <c r="K657" s="233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233"/>
      <c r="K658" s="233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233"/>
      <c r="K659" s="233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233"/>
      <c r="K660" s="233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233"/>
      <c r="K661" s="233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233"/>
      <c r="K662" s="233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233"/>
      <c r="K663" s="233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233"/>
      <c r="K664" s="233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233"/>
      <c r="K665" s="233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233"/>
      <c r="K666" s="233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233"/>
      <c r="K667" s="233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233"/>
      <c r="K668" s="233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233"/>
      <c r="K669" s="233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233"/>
      <c r="K670" s="233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233"/>
      <c r="K671" s="233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233"/>
      <c r="K672" s="233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233"/>
      <c r="K673" s="233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233"/>
      <c r="K674" s="233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233"/>
      <c r="K675" s="233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233"/>
      <c r="K676" s="233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233"/>
      <c r="K677" s="233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233"/>
      <c r="K678" s="233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233"/>
      <c r="K679" s="233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233"/>
      <c r="K680" s="233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233"/>
      <c r="K681" s="233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233"/>
      <c r="K682" s="233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233"/>
      <c r="K683" s="233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233"/>
      <c r="K684" s="233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233"/>
      <c r="K685" s="233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233"/>
      <c r="K686" s="233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233"/>
      <c r="K687" s="233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233"/>
      <c r="K688" s="233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233"/>
      <c r="K689" s="233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233"/>
      <c r="K690" s="233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233"/>
      <c r="K691" s="233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233"/>
      <c r="K692" s="233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233"/>
      <c r="K693" s="233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233"/>
      <c r="K694" s="233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233"/>
      <c r="K695" s="233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233"/>
      <c r="K696" s="233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233"/>
      <c r="K697" s="233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233"/>
      <c r="K698" s="233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233"/>
      <c r="K699" s="233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233"/>
      <c r="K700" s="233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233"/>
      <c r="K701" s="233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233"/>
      <c r="K702" s="233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233"/>
      <c r="K703" s="233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233"/>
      <c r="K704" s="233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233"/>
      <c r="K705" s="233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233"/>
      <c r="K706" s="233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233"/>
      <c r="K707" s="233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233"/>
      <c r="K708" s="233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233"/>
      <c r="K709" s="233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233"/>
      <c r="K710" s="233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233"/>
      <c r="K711" s="233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233"/>
      <c r="K712" s="233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233"/>
      <c r="K713" s="233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233"/>
      <c r="K714" s="233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233"/>
      <c r="K715" s="233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233"/>
      <c r="K716" s="233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233"/>
      <c r="K717" s="233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233"/>
      <c r="K718" s="233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233"/>
      <c r="K719" s="233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233"/>
      <c r="K720" s="233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233"/>
      <c r="K721" s="233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233"/>
      <c r="K722" s="233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233"/>
      <c r="K723" s="233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233"/>
      <c r="K724" s="233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233"/>
      <c r="K725" s="233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233"/>
      <c r="K726" s="233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233"/>
      <c r="K727" s="233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233"/>
      <c r="K728" s="233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233"/>
      <c r="K729" s="233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233"/>
      <c r="K730" s="233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233"/>
      <c r="K731" s="233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233"/>
      <c r="K732" s="233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233"/>
      <c r="K733" s="233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233"/>
      <c r="K734" s="233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233"/>
      <c r="K735" s="233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233"/>
      <c r="K736" s="233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233"/>
      <c r="K737" s="233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233"/>
      <c r="K738" s="233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233"/>
      <c r="K739" s="233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233"/>
      <c r="K740" s="233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233"/>
      <c r="K741" s="233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233"/>
      <c r="K742" s="233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233"/>
      <c r="K743" s="233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233"/>
      <c r="K744" s="233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233"/>
      <c r="K745" s="233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233"/>
      <c r="K746" s="233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233"/>
      <c r="K747" s="233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233"/>
      <c r="K748" s="233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233"/>
      <c r="K749" s="233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233"/>
      <c r="K750" s="233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233"/>
      <c r="K751" s="233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233"/>
      <c r="K752" s="233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233"/>
      <c r="K753" s="233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233"/>
      <c r="K754" s="233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233"/>
      <c r="K755" s="233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233"/>
      <c r="K756" s="233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233"/>
      <c r="K757" s="233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233"/>
      <c r="K758" s="233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233"/>
      <c r="K759" s="233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233"/>
      <c r="K760" s="233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233"/>
      <c r="K761" s="233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233"/>
      <c r="K762" s="233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233"/>
      <c r="K763" s="233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233"/>
      <c r="K764" s="233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233"/>
      <c r="K765" s="233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233"/>
      <c r="K766" s="233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233"/>
      <c r="K767" s="233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233"/>
      <c r="K768" s="233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233"/>
      <c r="K769" s="233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233"/>
      <c r="K770" s="233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233"/>
      <c r="K771" s="233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233"/>
      <c r="K772" s="233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233"/>
      <c r="K773" s="233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233"/>
      <c r="K774" s="233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233"/>
      <c r="K775" s="233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233"/>
      <c r="K776" s="233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233"/>
      <c r="K777" s="233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233"/>
      <c r="K778" s="233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233"/>
      <c r="K779" s="233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233"/>
      <c r="K780" s="233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233"/>
      <c r="K781" s="233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233"/>
      <c r="K782" s="233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233"/>
      <c r="K783" s="233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233"/>
      <c r="K784" s="233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233"/>
      <c r="K785" s="233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233"/>
      <c r="K786" s="233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233"/>
      <c r="K787" s="233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233"/>
      <c r="K788" s="233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233"/>
      <c r="K789" s="233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233"/>
      <c r="K790" s="233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233"/>
      <c r="K791" s="233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233"/>
      <c r="K792" s="233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233"/>
      <c r="K793" s="233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233"/>
      <c r="K794" s="233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233"/>
      <c r="K795" s="233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233"/>
      <c r="K796" s="233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233"/>
      <c r="K797" s="233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233"/>
      <c r="K798" s="233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233"/>
      <c r="K799" s="233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233"/>
      <c r="K800" s="233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233"/>
      <c r="K801" s="233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233"/>
      <c r="K802" s="233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233"/>
      <c r="K803" s="233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233"/>
      <c r="K804" s="233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233"/>
      <c r="K805" s="233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233"/>
      <c r="K806" s="233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233"/>
      <c r="K807" s="233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233"/>
      <c r="K808" s="233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233"/>
      <c r="K809" s="233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233"/>
      <c r="K810" s="233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233"/>
      <c r="K811" s="233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233"/>
      <c r="K812" s="233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233"/>
      <c r="K813" s="233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233"/>
      <c r="K814" s="233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233"/>
      <c r="K815" s="233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233"/>
      <c r="K816" s="233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233"/>
      <c r="K817" s="233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233"/>
      <c r="K818" s="233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233"/>
      <c r="K819" s="233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233"/>
      <c r="K820" s="233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233"/>
      <c r="K821" s="233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233"/>
      <c r="K822" s="233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233"/>
      <c r="K823" s="233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233"/>
      <c r="K824" s="233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233"/>
      <c r="K825" s="233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233"/>
      <c r="K826" s="233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233"/>
      <c r="K827" s="233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233"/>
      <c r="K828" s="233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233"/>
      <c r="K829" s="233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233"/>
      <c r="K830" s="233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233"/>
      <c r="K831" s="233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233"/>
      <c r="K832" s="233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233"/>
      <c r="K833" s="233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233"/>
      <c r="K834" s="233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233"/>
      <c r="K835" s="233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233"/>
      <c r="K836" s="233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233"/>
      <c r="K837" s="233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233"/>
      <c r="K838" s="233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233"/>
      <c r="K839" s="233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233"/>
      <c r="K840" s="233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233"/>
      <c r="K841" s="233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233"/>
      <c r="K842" s="233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233"/>
      <c r="K843" s="233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233"/>
      <c r="K844" s="233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233"/>
      <c r="K845" s="233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233"/>
      <c r="K846" s="233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233"/>
      <c r="K847" s="233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233"/>
      <c r="K848" s="233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233"/>
      <c r="K849" s="233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233"/>
      <c r="K850" s="233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233"/>
      <c r="K851" s="233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233"/>
      <c r="K852" s="233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233"/>
      <c r="K853" s="233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233"/>
      <c r="K854" s="233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233"/>
      <c r="K855" s="233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233"/>
      <c r="K856" s="233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233"/>
      <c r="K857" s="233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233"/>
      <c r="K858" s="233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233"/>
      <c r="K859" s="233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233"/>
      <c r="K860" s="233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233"/>
      <c r="K861" s="233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233"/>
      <c r="K862" s="233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233"/>
      <c r="K863" s="233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233"/>
      <c r="K864" s="233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233"/>
      <c r="K865" s="233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233"/>
      <c r="K866" s="233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233"/>
      <c r="K867" s="233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233"/>
      <c r="K868" s="233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233"/>
      <c r="K869" s="233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233"/>
      <c r="K870" s="233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233"/>
      <c r="K871" s="233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233"/>
      <c r="K872" s="233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233"/>
      <c r="K873" s="233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233"/>
      <c r="K874" s="233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233"/>
      <c r="K875" s="233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233"/>
      <c r="K876" s="233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233"/>
      <c r="K877" s="233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233"/>
      <c r="K878" s="233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233"/>
      <c r="K879" s="233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233"/>
      <c r="K880" s="233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233"/>
      <c r="K881" s="233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233"/>
      <c r="K882" s="233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233"/>
      <c r="K883" s="233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233"/>
      <c r="K884" s="233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233"/>
      <c r="K885" s="233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233"/>
      <c r="K886" s="233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233"/>
      <c r="K887" s="233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233"/>
      <c r="K888" s="233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233"/>
      <c r="K889" s="233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233"/>
      <c r="K890" s="233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233"/>
      <c r="K891" s="233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233"/>
      <c r="K892" s="233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233"/>
      <c r="K893" s="233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233"/>
      <c r="K894" s="233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233"/>
      <c r="K895" s="233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233"/>
      <c r="K896" s="233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233"/>
      <c r="K897" s="233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233"/>
      <c r="K898" s="233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233"/>
      <c r="K899" s="233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233"/>
      <c r="K900" s="233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233"/>
      <c r="K901" s="233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233"/>
      <c r="K902" s="233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233"/>
      <c r="K903" s="233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233"/>
      <c r="K904" s="233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233"/>
      <c r="K905" s="233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233"/>
      <c r="K906" s="233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233"/>
      <c r="K907" s="233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233"/>
      <c r="K908" s="233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233"/>
      <c r="K909" s="233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233"/>
      <c r="K910" s="233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233"/>
      <c r="K911" s="233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233"/>
      <c r="K912" s="233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233"/>
      <c r="K913" s="233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233"/>
      <c r="K914" s="233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233"/>
      <c r="K915" s="233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233"/>
      <c r="K916" s="233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233"/>
      <c r="K917" s="233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233"/>
      <c r="K918" s="233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233"/>
      <c r="K919" s="233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233"/>
      <c r="K920" s="233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233"/>
      <c r="K921" s="233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233"/>
      <c r="K922" s="233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233"/>
      <c r="K923" s="233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233"/>
      <c r="K924" s="233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233"/>
      <c r="K925" s="233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233"/>
      <c r="K926" s="233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233"/>
      <c r="K927" s="233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233"/>
      <c r="K928" s="233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233"/>
      <c r="K929" s="233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233"/>
      <c r="K930" s="233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233"/>
      <c r="K931" s="233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233"/>
      <c r="K932" s="233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233"/>
      <c r="K933" s="233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233"/>
      <c r="K934" s="233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233"/>
      <c r="K935" s="233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233"/>
      <c r="K936" s="233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233"/>
      <c r="K937" s="233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233"/>
      <c r="K938" s="233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233"/>
      <c r="K939" s="233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233"/>
      <c r="K940" s="233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233"/>
      <c r="K941" s="233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233"/>
      <c r="K942" s="233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233"/>
      <c r="K943" s="233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233"/>
      <c r="K944" s="233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233"/>
      <c r="K945" s="233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233"/>
      <c r="K946" s="233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233"/>
      <c r="K947" s="233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233"/>
      <c r="K948" s="233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233"/>
      <c r="K949" s="233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233"/>
      <c r="K950" s="233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233"/>
      <c r="K951" s="233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233"/>
      <c r="K952" s="233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233"/>
      <c r="K953" s="233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233"/>
      <c r="K954" s="233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 ht="15.75" customHeight="1">
      <c r="A955" s="37"/>
      <c r="B955" s="37"/>
      <c r="C955" s="37"/>
      <c r="D955" s="37"/>
      <c r="E955" s="173"/>
      <c r="F955" s="37"/>
      <c r="G955" s="37"/>
      <c r="H955" s="37"/>
      <c r="I955" s="37"/>
      <c r="J955" s="233"/>
      <c r="K955" s="233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 ht="15.75" customHeight="1">
      <c r="A956" s="37"/>
      <c r="B956" s="37"/>
      <c r="C956" s="37"/>
      <c r="D956" s="37"/>
      <c r="E956" s="173"/>
      <c r="F956" s="37"/>
      <c r="G956" s="37"/>
      <c r="H956" s="37"/>
      <c r="I956" s="37"/>
      <c r="J956" s="233"/>
      <c r="K956" s="233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 ht="15.75" customHeight="1">
      <c r="A957" s="37"/>
      <c r="B957" s="37"/>
      <c r="C957" s="37"/>
      <c r="D957" s="37"/>
      <c r="E957" s="173"/>
      <c r="F957" s="37"/>
      <c r="G957" s="37"/>
      <c r="H957" s="37"/>
      <c r="I957" s="37"/>
      <c r="J957" s="233"/>
      <c r="K957" s="233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 ht="15.75" customHeight="1">
      <c r="A958" s="37"/>
      <c r="B958" s="37"/>
      <c r="C958" s="37"/>
      <c r="D958" s="37"/>
      <c r="E958" s="173"/>
      <c r="F958" s="37"/>
      <c r="G958" s="37"/>
      <c r="H958" s="37"/>
      <c r="I958" s="37"/>
      <c r="J958" s="233"/>
      <c r="K958" s="233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 ht="15.75" customHeight="1">
      <c r="A959" s="37"/>
      <c r="B959" s="37"/>
      <c r="C959" s="37"/>
      <c r="D959" s="37"/>
      <c r="E959" s="173"/>
      <c r="F959" s="37"/>
      <c r="G959" s="37"/>
      <c r="H959" s="37"/>
      <c r="I959" s="37"/>
      <c r="J959" s="233"/>
      <c r="K959" s="233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 ht="15.75" customHeight="1">
      <c r="A960" s="37"/>
      <c r="B960" s="37"/>
      <c r="C960" s="37"/>
      <c r="D960" s="37"/>
      <c r="E960" s="173"/>
      <c r="F960" s="37"/>
      <c r="G960" s="37"/>
      <c r="H960" s="37"/>
      <c r="I960" s="37"/>
      <c r="J960" s="233"/>
      <c r="K960" s="233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 ht="15.75" customHeight="1">
      <c r="A961" s="37"/>
      <c r="B961" s="37"/>
      <c r="C961" s="37"/>
      <c r="D961" s="37"/>
      <c r="E961" s="173"/>
      <c r="F961" s="37"/>
      <c r="G961" s="37"/>
      <c r="H961" s="37"/>
      <c r="I961" s="37"/>
      <c r="J961" s="233"/>
      <c r="K961" s="233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 ht="15.75" customHeight="1">
      <c r="A962" s="37"/>
      <c r="B962" s="37"/>
      <c r="C962" s="37"/>
      <c r="D962" s="37"/>
      <c r="E962" s="173"/>
      <c r="F962" s="37"/>
      <c r="G962" s="37"/>
      <c r="H962" s="37"/>
      <c r="I962" s="37"/>
      <c r="J962" s="233"/>
      <c r="K962" s="233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 ht="15.75" customHeight="1">
      <c r="A963" s="37"/>
      <c r="B963" s="37"/>
      <c r="C963" s="37"/>
      <c r="D963" s="37"/>
      <c r="E963" s="173"/>
      <c r="F963" s="37"/>
      <c r="G963" s="37"/>
      <c r="H963" s="37"/>
      <c r="I963" s="37"/>
      <c r="J963" s="233"/>
      <c r="K963" s="233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 ht="15.75" customHeight="1">
      <c r="A964" s="37"/>
      <c r="B964" s="37"/>
      <c r="C964" s="37"/>
      <c r="D964" s="37"/>
      <c r="E964" s="173"/>
      <c r="F964" s="37"/>
      <c r="G964" s="37"/>
      <c r="H964" s="37"/>
      <c r="I964" s="37"/>
      <c r="J964" s="233"/>
      <c r="K964" s="233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 ht="15.75" customHeight="1">
      <c r="A965" s="37"/>
      <c r="B965" s="37"/>
      <c r="C965" s="37"/>
      <c r="D965" s="37"/>
      <c r="E965" s="173"/>
      <c r="F965" s="37"/>
      <c r="G965" s="37"/>
      <c r="H965" s="37"/>
      <c r="I965" s="37"/>
      <c r="J965" s="233"/>
      <c r="K965" s="233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 ht="15.75" customHeight="1">
      <c r="A966" s="37"/>
      <c r="B966" s="37"/>
      <c r="C966" s="37"/>
      <c r="D966" s="37"/>
      <c r="E966" s="173"/>
      <c r="F966" s="37"/>
      <c r="G966" s="37"/>
      <c r="H966" s="37"/>
      <c r="I966" s="37"/>
      <c r="J966" s="233"/>
      <c r="K966" s="233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 ht="15.75" customHeight="1">
      <c r="A967" s="37"/>
      <c r="B967" s="37"/>
      <c r="C967" s="37"/>
      <c r="D967" s="37"/>
      <c r="E967" s="173"/>
      <c r="F967" s="37"/>
      <c r="G967" s="37"/>
      <c r="H967" s="37"/>
      <c r="I967" s="37"/>
      <c r="J967" s="233"/>
      <c r="K967" s="233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 ht="15.75" customHeight="1">
      <c r="A968" s="37"/>
      <c r="B968" s="37"/>
      <c r="C968" s="37"/>
      <c r="D968" s="37"/>
      <c r="E968" s="173"/>
      <c r="F968" s="37"/>
      <c r="G968" s="37"/>
      <c r="H968" s="37"/>
      <c r="I968" s="37"/>
      <c r="J968" s="233"/>
      <c r="K968" s="233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 ht="15.75" customHeight="1">
      <c r="A969" s="37"/>
      <c r="B969" s="37"/>
      <c r="C969" s="37"/>
      <c r="D969" s="37"/>
      <c r="E969" s="173"/>
      <c r="F969" s="37"/>
      <c r="G969" s="37"/>
      <c r="H969" s="37"/>
      <c r="I969" s="37"/>
      <c r="J969" s="233"/>
      <c r="K969" s="233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 ht="15.75" customHeight="1">
      <c r="A970" s="37"/>
      <c r="B970" s="37"/>
      <c r="C970" s="37"/>
      <c r="D970" s="37"/>
      <c r="E970" s="173"/>
      <c r="F970" s="37"/>
      <c r="G970" s="37"/>
      <c r="H970" s="37"/>
      <c r="I970" s="37"/>
      <c r="J970" s="233"/>
      <c r="K970" s="233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94">
    <cfRule type="expression" dxfId="27" priority="1">
      <formula>ISEVEN(QUOTIENT(ROW()-ROW($A$7),16))</formula>
    </cfRule>
  </conditionalFormatting>
  <conditionalFormatting sqref="A7:O294">
    <cfRule type="expression" dxfId="26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70"/>
  <sheetViews>
    <sheetView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1.710937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15.7109375" customWidth="1"/>
    <col min="13" max="13" width="7.42578125" customWidth="1"/>
    <col min="14" max="14" width="9.7109375" customWidth="1"/>
    <col min="15" max="15" width="15.710937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70" t="s">
        <v>370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21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 0, O6/O2)</f>
        <v>0.23809523809523808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43" t="s">
        <v>280</v>
      </c>
      <c r="K6" s="44" t="s">
        <v>281</v>
      </c>
      <c r="L6" s="559"/>
      <c r="M6" s="45">
        <f t="shared" ref="M6:N6" ca="1" si="0">SUM(M7:M470)</f>
        <v>23</v>
      </c>
      <c r="N6" s="45">
        <f t="shared" ca="1" si="0"/>
        <v>21</v>
      </c>
      <c r="O6" s="45">
        <f ca="1">SUM(O7:O999)</f>
        <v>5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(20+QUOTIENT(ROW()-ROW($A$7),16)))="","",ROW()-ROW($A$7)+1)</f>
        <v>1</v>
      </c>
      <c r="B7" s="47" t="str">
        <f ca="1">IF(A7="","","Tổ Hạ tầng " &amp; 'Báo cáo'!B3)</f>
        <v>Tổ Hạ tầng Đức Hòa</v>
      </c>
      <c r="C7" s="178" t="str">
        <f t="shared" ref="C7:C261" ca="1" si="2">IF(A7="","",INDIRECT("'DS nhân viên Speedtest'!B"&amp; (20+QUOTIENT(A7-1,16))))</f>
        <v>Nguyễn Minh Tùng</v>
      </c>
      <c r="D7" s="49">
        <f t="shared" ref="D7:D261" ca="1" si="3">IF(A7="","",INDIRECT("'DS nhân viên Speedtest'!C"&amp; (20+QUOTIENT(A7-1,16))))</f>
        <v>919786039</v>
      </c>
      <c r="E7" s="50" t="str">
        <f t="shared" ref="E7:E261" ca="1" si="4">IF(A7="","",INDIRECT("'DS nhân viên Speedtest'!D"&amp; (20+QUOTIENT(A7-1,16))))</f>
        <v>tungnm.lan@vnpt.vn</v>
      </c>
      <c r="F7" s="51" t="str">
        <f t="shared" ref="F7:F261" ca="1" si="5">IF(A7="","","Lần "&amp;(MOD(ROW()-ROW($A$7),16)+1))</f>
        <v>Lần 1</v>
      </c>
      <c r="G7" s="215"/>
      <c r="H7" s="179"/>
      <c r="I7" s="179"/>
      <c r="J7" s="234"/>
      <c r="K7" s="179"/>
      <c r="L7" s="180"/>
      <c r="M7" s="181">
        <f t="shared" ref="M7:M135" ca="1" si="6">IF(B7="","",IF(OR(G7="",H7="",I7=""),0,1))</f>
        <v>0</v>
      </c>
      <c r="N7" s="57">
        <f t="shared" ref="N7:N95" ca="1" si="7">IF(B7="","",IF(OR(G7="",J7="",K7=""),0,1))</f>
        <v>0</v>
      </c>
      <c r="O7" s="58">
        <f t="shared" ref="O7:O261" ca="1" si="8">IF(B7="","",IF((J7-0)&gt;200,1,0))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Đức Hòa</v>
      </c>
      <c r="C8" s="61" t="str">
        <f t="shared" ca="1" si="2"/>
        <v>Nguyễn Minh Tùng</v>
      </c>
      <c r="D8" s="183">
        <f t="shared" ca="1" si="3"/>
        <v>919786039</v>
      </c>
      <c r="E8" s="63" t="str">
        <f t="shared" ca="1" si="4"/>
        <v>tungnm.lan@vnpt.vn</v>
      </c>
      <c r="F8" s="64" t="str">
        <f t="shared" ca="1" si="5"/>
        <v>Lần 2</v>
      </c>
      <c r="G8" s="215"/>
      <c r="H8" s="121"/>
      <c r="I8" s="121"/>
      <c r="J8" s="99"/>
      <c r="K8" s="121"/>
      <c r="L8" s="91"/>
      <c r="M8" s="184">
        <f t="shared" ca="1" si="6"/>
        <v>0</v>
      </c>
      <c r="N8" s="67">
        <f t="shared" ca="1" si="7"/>
        <v>0</v>
      </c>
      <c r="O8" s="68">
        <f t="shared" ca="1" si="8"/>
        <v>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60" t="str">
        <f t="shared" ca="1" si="9"/>
        <v>Tổ Hạ tầng Đức Hòa</v>
      </c>
      <c r="C9" s="61" t="str">
        <f t="shared" ca="1" si="2"/>
        <v>Nguyễn Minh Tùng</v>
      </c>
      <c r="D9" s="183">
        <f t="shared" ca="1" si="3"/>
        <v>919786039</v>
      </c>
      <c r="E9" s="63" t="str">
        <f t="shared" ca="1" si="4"/>
        <v>tungnm.lan@vnpt.vn</v>
      </c>
      <c r="F9" s="64" t="str">
        <f t="shared" ca="1" si="5"/>
        <v>Lần 3</v>
      </c>
      <c r="G9" s="215"/>
      <c r="H9" s="121"/>
      <c r="I9" s="121"/>
      <c r="J9" s="99"/>
      <c r="K9" s="121"/>
      <c r="L9" s="91"/>
      <c r="M9" s="184">
        <f t="shared" ca="1" si="6"/>
        <v>0</v>
      </c>
      <c r="N9" s="67">
        <f t="shared" ca="1" si="7"/>
        <v>0</v>
      </c>
      <c r="O9" s="68">
        <f t="shared" ca="1" si="8"/>
        <v>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60" t="str">
        <f t="shared" ca="1" si="9"/>
        <v>Tổ Hạ tầng Đức Hòa</v>
      </c>
      <c r="C10" s="61" t="str">
        <f t="shared" ca="1" si="2"/>
        <v>Nguyễn Minh Tùng</v>
      </c>
      <c r="D10" s="183">
        <f t="shared" ca="1" si="3"/>
        <v>919786039</v>
      </c>
      <c r="E10" s="63" t="str">
        <f t="shared" ca="1" si="4"/>
        <v>tungnm.lan@vnpt.vn</v>
      </c>
      <c r="F10" s="64" t="str">
        <f t="shared" ca="1" si="5"/>
        <v>Lần 4</v>
      </c>
      <c r="G10" s="215"/>
      <c r="H10" s="121"/>
      <c r="I10" s="121"/>
      <c r="J10" s="121"/>
      <c r="K10" s="121"/>
      <c r="L10" s="91"/>
      <c r="M10" s="184">
        <f t="shared" ca="1" si="6"/>
        <v>0</v>
      </c>
      <c r="N10" s="67">
        <f t="shared" ca="1" si="7"/>
        <v>0</v>
      </c>
      <c r="O10" s="68">
        <f t="shared" ca="1" si="8"/>
        <v>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60" t="str">
        <f t="shared" ca="1" si="9"/>
        <v>Tổ Hạ tầng Đức Hòa</v>
      </c>
      <c r="C11" s="61" t="str">
        <f t="shared" ca="1" si="2"/>
        <v>Nguyễn Minh Tùng</v>
      </c>
      <c r="D11" s="183">
        <f t="shared" ca="1" si="3"/>
        <v>919786039</v>
      </c>
      <c r="E11" s="63" t="str">
        <f t="shared" ca="1" si="4"/>
        <v>tungnm.lan@vnpt.vn</v>
      </c>
      <c r="F11" s="64" t="str">
        <f t="shared" ca="1" si="5"/>
        <v>Lần 5</v>
      </c>
      <c r="G11" s="215"/>
      <c r="H11" s="121"/>
      <c r="I11" s="121"/>
      <c r="J11" s="99"/>
      <c r="K11" s="99"/>
      <c r="L11" s="91"/>
      <c r="M11" s="184">
        <f t="shared" ca="1" si="6"/>
        <v>0</v>
      </c>
      <c r="N11" s="67">
        <f t="shared" ca="1" si="7"/>
        <v>0</v>
      </c>
      <c r="O11" s="68">
        <f t="shared" ca="1" si="8"/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60" t="str">
        <f t="shared" ca="1" si="9"/>
        <v>Tổ Hạ tầng Đức Hòa</v>
      </c>
      <c r="C12" s="61" t="str">
        <f t="shared" ca="1" si="2"/>
        <v>Nguyễn Minh Tùng</v>
      </c>
      <c r="D12" s="183">
        <f t="shared" ca="1" si="3"/>
        <v>919786039</v>
      </c>
      <c r="E12" s="63" t="str">
        <f t="shared" ca="1" si="4"/>
        <v>tungnm.lan@vnpt.vn</v>
      </c>
      <c r="F12" s="64" t="str">
        <f t="shared" ca="1" si="5"/>
        <v>Lần 6</v>
      </c>
      <c r="G12" s="215"/>
      <c r="H12" s="122"/>
      <c r="I12" s="122"/>
      <c r="J12" s="99"/>
      <c r="K12" s="99"/>
      <c r="L12" s="91"/>
      <c r="M12" s="184">
        <f t="shared" ca="1" si="6"/>
        <v>0</v>
      </c>
      <c r="N12" s="67">
        <f t="shared" ca="1" si="7"/>
        <v>0</v>
      </c>
      <c r="O12" s="68">
        <f t="shared" ca="1" si="8"/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60" t="str">
        <f t="shared" ca="1" si="9"/>
        <v>Tổ Hạ tầng Đức Hòa</v>
      </c>
      <c r="C13" s="61" t="str">
        <f t="shared" ca="1" si="2"/>
        <v>Nguyễn Minh Tùng</v>
      </c>
      <c r="D13" s="183">
        <f t="shared" ca="1" si="3"/>
        <v>919786039</v>
      </c>
      <c r="E13" s="63" t="str">
        <f t="shared" ca="1" si="4"/>
        <v>tungnm.lan@vnpt.vn</v>
      </c>
      <c r="F13" s="64" t="str">
        <f t="shared" ca="1" si="5"/>
        <v>Lần 7</v>
      </c>
      <c r="G13" s="215"/>
      <c r="H13" s="122"/>
      <c r="I13" s="122"/>
      <c r="J13" s="99"/>
      <c r="K13" s="99"/>
      <c r="L13" s="91"/>
      <c r="M13" s="184">
        <f t="shared" ca="1" si="6"/>
        <v>0</v>
      </c>
      <c r="N13" s="67">
        <f t="shared" ca="1" si="7"/>
        <v>0</v>
      </c>
      <c r="O13" s="68">
        <f t="shared" ca="1" si="8"/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60" t="str">
        <f t="shared" ca="1" si="9"/>
        <v>Tổ Hạ tầng Đức Hòa</v>
      </c>
      <c r="C14" s="61" t="str">
        <f t="shared" ca="1" si="2"/>
        <v>Nguyễn Minh Tùng</v>
      </c>
      <c r="D14" s="183">
        <f t="shared" ca="1" si="3"/>
        <v>919786039</v>
      </c>
      <c r="E14" s="63" t="str">
        <f t="shared" ca="1" si="4"/>
        <v>tungnm.lan@vnpt.vn</v>
      </c>
      <c r="F14" s="64" t="str">
        <f t="shared" ca="1" si="5"/>
        <v>Lần 8</v>
      </c>
      <c r="G14" s="139"/>
      <c r="H14" s="122"/>
      <c r="I14" s="122"/>
      <c r="J14" s="98"/>
      <c r="K14" s="98"/>
      <c r="L14" s="91"/>
      <c r="M14" s="184">
        <f t="shared" ca="1" si="6"/>
        <v>0</v>
      </c>
      <c r="N14" s="67">
        <f t="shared" ca="1" si="7"/>
        <v>0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60" t="str">
        <f t="shared" ca="1" si="9"/>
        <v>Tổ Hạ tầng Đức Hòa</v>
      </c>
      <c r="C15" s="61" t="str">
        <f t="shared" ca="1" si="2"/>
        <v>Nguyễn Minh Tùng</v>
      </c>
      <c r="D15" s="183">
        <f t="shared" ca="1" si="3"/>
        <v>919786039</v>
      </c>
      <c r="E15" s="63" t="str">
        <f t="shared" ca="1" si="4"/>
        <v>tungnm.lan@vnpt.vn</v>
      </c>
      <c r="F15" s="64" t="str">
        <f t="shared" ca="1" si="5"/>
        <v>Lần 9</v>
      </c>
      <c r="G15" s="139"/>
      <c r="H15" s="122"/>
      <c r="I15" s="122"/>
      <c r="J15" s="98"/>
      <c r="K15" s="98"/>
      <c r="L15" s="91"/>
      <c r="M15" s="184">
        <f t="shared" ca="1" si="6"/>
        <v>0</v>
      </c>
      <c r="N15" s="67">
        <f t="shared" ca="1" si="7"/>
        <v>0</v>
      </c>
      <c r="O15" s="68">
        <f t="shared" ca="1" si="8"/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60" t="str">
        <f t="shared" ca="1" si="9"/>
        <v>Tổ Hạ tầng Đức Hòa</v>
      </c>
      <c r="C16" s="61" t="str">
        <f t="shared" ca="1" si="2"/>
        <v>Nguyễn Minh Tùng</v>
      </c>
      <c r="D16" s="183">
        <f t="shared" ca="1" si="3"/>
        <v>919786039</v>
      </c>
      <c r="E16" s="63" t="str">
        <f t="shared" ca="1" si="4"/>
        <v>tungnm.lan@vnpt.vn</v>
      </c>
      <c r="F16" s="64" t="str">
        <f t="shared" ca="1" si="5"/>
        <v>Lần 10</v>
      </c>
      <c r="G16" s="139"/>
      <c r="H16" s="122"/>
      <c r="I16" s="122"/>
      <c r="J16" s="98"/>
      <c r="K16" s="98"/>
      <c r="L16" s="91"/>
      <c r="M16" s="184">
        <f t="shared" ca="1" si="6"/>
        <v>0</v>
      </c>
      <c r="N16" s="67">
        <f t="shared" ca="1" si="7"/>
        <v>0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60" t="str">
        <f t="shared" ca="1" si="9"/>
        <v>Tổ Hạ tầng Đức Hòa</v>
      </c>
      <c r="C17" s="61" t="str">
        <f t="shared" ca="1" si="2"/>
        <v>Nguyễn Minh Tùng</v>
      </c>
      <c r="D17" s="183">
        <f t="shared" ca="1" si="3"/>
        <v>919786039</v>
      </c>
      <c r="E17" s="63" t="str">
        <f t="shared" ca="1" si="4"/>
        <v>tungnm.lan@vnpt.vn</v>
      </c>
      <c r="F17" s="64" t="str">
        <f t="shared" ca="1" si="5"/>
        <v>Lần 11</v>
      </c>
      <c r="G17" s="139"/>
      <c r="H17" s="122"/>
      <c r="I17" s="122"/>
      <c r="J17" s="98"/>
      <c r="K17" s="98"/>
      <c r="L17" s="91"/>
      <c r="M17" s="184">
        <f t="shared" ca="1" si="6"/>
        <v>0</v>
      </c>
      <c r="N17" s="67">
        <f t="shared" ca="1" si="7"/>
        <v>0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60" t="str">
        <f t="shared" ca="1" si="9"/>
        <v>Tổ Hạ tầng Đức Hòa</v>
      </c>
      <c r="C18" s="61" t="str">
        <f t="shared" ca="1" si="2"/>
        <v>Nguyễn Minh Tùng</v>
      </c>
      <c r="D18" s="183">
        <f t="shared" ca="1" si="3"/>
        <v>919786039</v>
      </c>
      <c r="E18" s="63" t="str">
        <f t="shared" ca="1" si="4"/>
        <v>tungnm.lan@vnpt.vn</v>
      </c>
      <c r="F18" s="64" t="str">
        <f t="shared" ca="1" si="5"/>
        <v>Lần 12</v>
      </c>
      <c r="G18" s="139"/>
      <c r="H18" s="122"/>
      <c r="I18" s="122"/>
      <c r="J18" s="98"/>
      <c r="K18" s="60"/>
      <c r="L18" s="91"/>
      <c r="M18" s="184">
        <f t="shared" ca="1" si="6"/>
        <v>0</v>
      </c>
      <c r="N18" s="67">
        <f t="shared" ca="1" si="7"/>
        <v>0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60" t="str">
        <f t="shared" ca="1" si="9"/>
        <v>Tổ Hạ tầng Đức Hòa</v>
      </c>
      <c r="C19" s="61" t="str">
        <f t="shared" ca="1" si="2"/>
        <v>Nguyễn Minh Tùng</v>
      </c>
      <c r="D19" s="183">
        <f t="shared" ca="1" si="3"/>
        <v>919786039</v>
      </c>
      <c r="E19" s="63" t="str">
        <f t="shared" ca="1" si="4"/>
        <v>tungnm.lan@vnpt.vn</v>
      </c>
      <c r="F19" s="64" t="str">
        <f t="shared" ca="1" si="5"/>
        <v>Lần 13</v>
      </c>
      <c r="G19" s="139"/>
      <c r="H19" s="122"/>
      <c r="I19" s="122"/>
      <c r="J19" s="98"/>
      <c r="K19" s="98"/>
      <c r="L19" s="91"/>
      <c r="M19" s="184">
        <f t="shared" ca="1" si="6"/>
        <v>0</v>
      </c>
      <c r="N19" s="67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60" t="str">
        <f t="shared" ca="1" si="9"/>
        <v>Tổ Hạ tầng Đức Hòa</v>
      </c>
      <c r="C20" s="61" t="str">
        <f t="shared" ca="1" si="2"/>
        <v>Nguyễn Minh Tùng</v>
      </c>
      <c r="D20" s="183">
        <f t="shared" ca="1" si="3"/>
        <v>919786039</v>
      </c>
      <c r="E20" s="63" t="str">
        <f t="shared" ca="1" si="4"/>
        <v>tungnm.lan@vnpt.vn</v>
      </c>
      <c r="F20" s="64" t="str">
        <f t="shared" ca="1" si="5"/>
        <v>Lần 14</v>
      </c>
      <c r="G20" s="139"/>
      <c r="H20" s="122"/>
      <c r="I20" s="122"/>
      <c r="J20" s="98"/>
      <c r="K20" s="98"/>
      <c r="L20" s="91"/>
      <c r="M20" s="184">
        <f t="shared" ca="1" si="6"/>
        <v>0</v>
      </c>
      <c r="N20" s="67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60" t="str">
        <f t="shared" ca="1" si="9"/>
        <v>Tổ Hạ tầng Đức Hòa</v>
      </c>
      <c r="C21" s="61" t="str">
        <f t="shared" ca="1" si="2"/>
        <v>Nguyễn Minh Tùng</v>
      </c>
      <c r="D21" s="183">
        <f t="shared" ca="1" si="3"/>
        <v>919786039</v>
      </c>
      <c r="E21" s="63" t="str">
        <f t="shared" ca="1" si="4"/>
        <v>tungnm.lan@vnpt.vn</v>
      </c>
      <c r="F21" s="64" t="str">
        <f t="shared" ca="1" si="5"/>
        <v>Lần 15</v>
      </c>
      <c r="G21" s="139"/>
      <c r="H21" s="122"/>
      <c r="I21" s="122"/>
      <c r="J21" s="98"/>
      <c r="K21" s="98"/>
      <c r="L21" s="91"/>
      <c r="M21" s="184">
        <f t="shared" ca="1" si="6"/>
        <v>0</v>
      </c>
      <c r="N21" s="67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81" t="str">
        <f t="shared" ca="1" si="9"/>
        <v>Tổ Hạ tầng Đức Hòa</v>
      </c>
      <c r="C22" s="82" t="str">
        <f t="shared" ca="1" si="2"/>
        <v>Nguyễn Minh Tùng</v>
      </c>
      <c r="D22" s="186">
        <f t="shared" ca="1" si="3"/>
        <v>919786039</v>
      </c>
      <c r="E22" s="84" t="str">
        <f t="shared" ca="1" si="4"/>
        <v>tungnm.lan@vnpt.vn</v>
      </c>
      <c r="F22" s="85" t="str">
        <f t="shared" ca="1" si="5"/>
        <v>Lần 16</v>
      </c>
      <c r="G22" s="139"/>
      <c r="H22" s="122"/>
      <c r="I22" s="122"/>
      <c r="J22" s="98"/>
      <c r="K22" s="99"/>
      <c r="L22" s="152"/>
      <c r="M22" s="189">
        <f t="shared" ca="1" si="6"/>
        <v>0</v>
      </c>
      <c r="N22" s="171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47" t="str">
        <f t="shared" ca="1" si="9"/>
        <v>Tổ Hạ tầng Đức Hòa</v>
      </c>
      <c r="C23" s="48" t="str">
        <f t="shared" ca="1" si="2"/>
        <v>Nguyễn Công Giang</v>
      </c>
      <c r="D23" s="191">
        <f t="shared" ca="1" si="3"/>
        <v>941254259</v>
      </c>
      <c r="E23" s="50" t="str">
        <f t="shared" ca="1" si="4"/>
        <v>giangnc.lan@vnpt.vn</v>
      </c>
      <c r="F23" s="51" t="str">
        <f t="shared" ca="1" si="5"/>
        <v>Lần 1</v>
      </c>
      <c r="G23" s="192"/>
      <c r="H23" s="121"/>
      <c r="I23" s="121"/>
      <c r="J23" s="98"/>
      <c r="K23" s="98"/>
      <c r="L23" s="193"/>
      <c r="M23" s="194">
        <f t="shared" ca="1" si="6"/>
        <v>0</v>
      </c>
      <c r="N23" s="195">
        <f t="shared" ca="1" si="7"/>
        <v>0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60" t="str">
        <f t="shared" ca="1" si="9"/>
        <v>Tổ Hạ tầng Đức Hòa</v>
      </c>
      <c r="C24" s="61" t="str">
        <f t="shared" ca="1" si="2"/>
        <v>Nguyễn Công Giang</v>
      </c>
      <c r="D24" s="183">
        <f t="shared" ca="1" si="3"/>
        <v>941254259</v>
      </c>
      <c r="E24" s="63" t="str">
        <f t="shared" ca="1" si="4"/>
        <v>giangnc.lan@vnpt.vn</v>
      </c>
      <c r="F24" s="64" t="str">
        <f t="shared" ca="1" si="5"/>
        <v>Lần 2</v>
      </c>
      <c r="G24" s="97"/>
      <c r="H24" s="121"/>
      <c r="I24" s="121"/>
      <c r="J24" s="99"/>
      <c r="K24" s="99"/>
      <c r="L24" s="95"/>
      <c r="M24" s="184">
        <f t="shared" ca="1" si="6"/>
        <v>0</v>
      </c>
      <c r="N24" s="67">
        <f t="shared" ca="1" si="7"/>
        <v>0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60" t="str">
        <f t="shared" ca="1" si="9"/>
        <v>Tổ Hạ tầng Đức Hòa</v>
      </c>
      <c r="C25" s="61" t="str">
        <f t="shared" ca="1" si="2"/>
        <v>Nguyễn Công Giang</v>
      </c>
      <c r="D25" s="183">
        <f t="shared" ca="1" si="3"/>
        <v>941254259</v>
      </c>
      <c r="E25" s="63" t="str">
        <f t="shared" ca="1" si="4"/>
        <v>giangnc.lan@vnpt.vn</v>
      </c>
      <c r="F25" s="64" t="str">
        <f t="shared" ca="1" si="5"/>
        <v>Lần 3</v>
      </c>
      <c r="G25" s="97"/>
      <c r="H25" s="121"/>
      <c r="I25" s="121"/>
      <c r="J25" s="99"/>
      <c r="K25" s="99"/>
      <c r="L25" s="95"/>
      <c r="M25" s="184">
        <f t="shared" ca="1" si="6"/>
        <v>0</v>
      </c>
      <c r="N25" s="67">
        <f t="shared" ca="1" si="7"/>
        <v>0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60" t="str">
        <f t="shared" ca="1" si="9"/>
        <v>Tổ Hạ tầng Đức Hòa</v>
      </c>
      <c r="C26" s="61" t="str">
        <f t="shared" ca="1" si="2"/>
        <v>Nguyễn Công Giang</v>
      </c>
      <c r="D26" s="183">
        <f t="shared" ca="1" si="3"/>
        <v>941254259</v>
      </c>
      <c r="E26" s="63" t="str">
        <f t="shared" ca="1" si="4"/>
        <v>giangnc.lan@vnpt.vn</v>
      </c>
      <c r="F26" s="64" t="str">
        <f t="shared" ca="1" si="5"/>
        <v>Lần 4</v>
      </c>
      <c r="G26" s="97"/>
      <c r="H26" s="121"/>
      <c r="I26" s="121"/>
      <c r="J26" s="99"/>
      <c r="K26" s="99"/>
      <c r="L26" s="95"/>
      <c r="M26" s="184">
        <f t="shared" ca="1" si="6"/>
        <v>0</v>
      </c>
      <c r="N26" s="67">
        <f t="shared" ca="1" si="7"/>
        <v>0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60" t="str">
        <f t="shared" ca="1" si="9"/>
        <v>Tổ Hạ tầng Đức Hòa</v>
      </c>
      <c r="C27" s="61" t="str">
        <f t="shared" ca="1" si="2"/>
        <v>Nguyễn Công Giang</v>
      </c>
      <c r="D27" s="183">
        <f t="shared" ca="1" si="3"/>
        <v>941254259</v>
      </c>
      <c r="E27" s="63" t="str">
        <f t="shared" ca="1" si="4"/>
        <v>giangnc.lan@vnpt.vn</v>
      </c>
      <c r="F27" s="64" t="str">
        <f t="shared" ca="1" si="5"/>
        <v>Lần 5</v>
      </c>
      <c r="G27" s="97"/>
      <c r="H27" s="122"/>
      <c r="I27" s="122"/>
      <c r="J27" s="98"/>
      <c r="K27" s="98"/>
      <c r="L27" s="95"/>
      <c r="M27" s="184">
        <f t="shared" ca="1" si="6"/>
        <v>0</v>
      </c>
      <c r="N27" s="67">
        <f t="shared" ca="1" si="7"/>
        <v>0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60" t="str">
        <f t="shared" ca="1" si="9"/>
        <v>Tổ Hạ tầng Đức Hòa</v>
      </c>
      <c r="C28" s="61" t="str">
        <f t="shared" ca="1" si="2"/>
        <v>Nguyễn Công Giang</v>
      </c>
      <c r="D28" s="183">
        <f t="shared" ca="1" si="3"/>
        <v>941254259</v>
      </c>
      <c r="E28" s="63" t="str">
        <f t="shared" ca="1" si="4"/>
        <v>giangnc.lan@vnpt.vn</v>
      </c>
      <c r="F28" s="64" t="str">
        <f t="shared" ca="1" si="5"/>
        <v>Lần 6</v>
      </c>
      <c r="G28" s="97"/>
      <c r="H28" s="122"/>
      <c r="I28" s="122"/>
      <c r="J28" s="98"/>
      <c r="K28" s="98"/>
      <c r="L28" s="95"/>
      <c r="M28" s="184">
        <f t="shared" ca="1" si="6"/>
        <v>0</v>
      </c>
      <c r="N28" s="67">
        <f t="shared" ca="1" si="7"/>
        <v>0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60" t="str">
        <f t="shared" ca="1" si="9"/>
        <v>Tổ Hạ tầng Đức Hòa</v>
      </c>
      <c r="C29" s="61" t="str">
        <f t="shared" ca="1" si="2"/>
        <v>Nguyễn Công Giang</v>
      </c>
      <c r="D29" s="183">
        <f t="shared" ca="1" si="3"/>
        <v>941254259</v>
      </c>
      <c r="E29" s="63" t="str">
        <f t="shared" ca="1" si="4"/>
        <v>giangnc.lan@vnpt.vn</v>
      </c>
      <c r="F29" s="64" t="str">
        <f t="shared" ca="1" si="5"/>
        <v>Lần 7</v>
      </c>
      <c r="G29" s="139"/>
      <c r="H29" s="122"/>
      <c r="I29" s="122"/>
      <c r="J29" s="98"/>
      <c r="K29" s="98"/>
      <c r="L29" s="96"/>
      <c r="M29" s="184">
        <f t="shared" ca="1" si="6"/>
        <v>0</v>
      </c>
      <c r="N29" s="67">
        <f t="shared" ca="1" si="7"/>
        <v>0</v>
      </c>
      <c r="O29" s="68">
        <f t="shared" ca="1" si="8"/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60" t="str">
        <f t="shared" ca="1" si="9"/>
        <v>Tổ Hạ tầng Đức Hòa</v>
      </c>
      <c r="C30" s="61" t="str">
        <f t="shared" ca="1" si="2"/>
        <v>Nguyễn Công Giang</v>
      </c>
      <c r="D30" s="183">
        <f t="shared" ca="1" si="3"/>
        <v>941254259</v>
      </c>
      <c r="E30" s="63" t="str">
        <f t="shared" ca="1" si="4"/>
        <v>giangnc.lan@vnpt.vn</v>
      </c>
      <c r="F30" s="64" t="str">
        <f t="shared" ca="1" si="5"/>
        <v>Lần 8</v>
      </c>
      <c r="G30" s="139"/>
      <c r="H30" s="122"/>
      <c r="I30" s="122"/>
      <c r="J30" s="98"/>
      <c r="K30" s="98"/>
      <c r="L30" s="96"/>
      <c r="M30" s="184">
        <f t="shared" ca="1" si="6"/>
        <v>0</v>
      </c>
      <c r="N30" s="67">
        <f t="shared" ca="1" si="7"/>
        <v>0</v>
      </c>
      <c r="O30" s="68">
        <f t="shared" ca="1" si="8"/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60" t="str">
        <f t="shared" ca="1" si="9"/>
        <v>Tổ Hạ tầng Đức Hòa</v>
      </c>
      <c r="C31" s="61" t="str">
        <f t="shared" ca="1" si="2"/>
        <v>Nguyễn Công Giang</v>
      </c>
      <c r="D31" s="183">
        <f t="shared" ca="1" si="3"/>
        <v>941254259</v>
      </c>
      <c r="E31" s="63" t="str">
        <f t="shared" ca="1" si="4"/>
        <v>giangnc.lan@vnpt.vn</v>
      </c>
      <c r="F31" s="64" t="str">
        <f t="shared" ca="1" si="5"/>
        <v>Lần 9</v>
      </c>
      <c r="G31" s="70"/>
      <c r="H31" s="71"/>
      <c r="I31" s="71"/>
      <c r="J31" s="72"/>
      <c r="K31" s="73"/>
      <c r="L31" s="96"/>
      <c r="M31" s="184">
        <f t="shared" ca="1" si="6"/>
        <v>0</v>
      </c>
      <c r="N31" s="67">
        <f t="shared" ca="1" si="7"/>
        <v>0</v>
      </c>
      <c r="O31" s="68">
        <f t="shared" ca="1" si="8"/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60" t="str">
        <f t="shared" ca="1" si="9"/>
        <v>Tổ Hạ tầng Đức Hòa</v>
      </c>
      <c r="C32" s="61" t="str">
        <f t="shared" ca="1" si="2"/>
        <v>Nguyễn Công Giang</v>
      </c>
      <c r="D32" s="183">
        <f t="shared" ca="1" si="3"/>
        <v>941254259</v>
      </c>
      <c r="E32" s="63" t="str">
        <f t="shared" ca="1" si="4"/>
        <v>giangnc.lan@vnpt.vn</v>
      </c>
      <c r="F32" s="64" t="str">
        <f t="shared" ca="1" si="5"/>
        <v>Lần 10</v>
      </c>
      <c r="G32" s="74"/>
      <c r="H32" s="71"/>
      <c r="I32" s="71"/>
      <c r="J32" s="72"/>
      <c r="K32" s="72"/>
      <c r="L32" s="95"/>
      <c r="M32" s="184">
        <f t="shared" ca="1" si="6"/>
        <v>0</v>
      </c>
      <c r="N32" s="67">
        <f t="shared" ca="1" si="7"/>
        <v>0</v>
      </c>
      <c r="O32" s="68">
        <f t="shared" ca="1" si="8"/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60" t="str">
        <f t="shared" ca="1" si="9"/>
        <v>Tổ Hạ tầng Đức Hòa</v>
      </c>
      <c r="C33" s="61" t="str">
        <f t="shared" ca="1" si="2"/>
        <v>Nguyễn Công Giang</v>
      </c>
      <c r="D33" s="183">
        <f t="shared" ca="1" si="3"/>
        <v>941254259</v>
      </c>
      <c r="E33" s="63" t="str">
        <f t="shared" ca="1" si="4"/>
        <v>giangnc.lan@vnpt.vn</v>
      </c>
      <c r="F33" s="64" t="str">
        <f t="shared" ca="1" si="5"/>
        <v>Lần 11</v>
      </c>
      <c r="G33" s="74"/>
      <c r="H33" s="71"/>
      <c r="I33" s="71"/>
      <c r="J33" s="72"/>
      <c r="K33" s="72"/>
      <c r="L33" s="95"/>
      <c r="M33" s="184">
        <f t="shared" ca="1" si="6"/>
        <v>0</v>
      </c>
      <c r="N33" s="67">
        <f t="shared" ca="1" si="7"/>
        <v>0</v>
      </c>
      <c r="O33" s="68">
        <f t="shared" ca="1" si="8"/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60" t="str">
        <f t="shared" ca="1" si="9"/>
        <v>Tổ Hạ tầng Đức Hòa</v>
      </c>
      <c r="C34" s="61" t="str">
        <f t="shared" ca="1" si="2"/>
        <v>Nguyễn Công Giang</v>
      </c>
      <c r="D34" s="183">
        <f t="shared" ca="1" si="3"/>
        <v>941254259</v>
      </c>
      <c r="E34" s="63" t="str">
        <f t="shared" ca="1" si="4"/>
        <v>giangnc.lan@vnpt.vn</v>
      </c>
      <c r="F34" s="64" t="str">
        <f t="shared" ca="1" si="5"/>
        <v>Lần 12</v>
      </c>
      <c r="G34" s="74"/>
      <c r="H34" s="71"/>
      <c r="I34" s="71"/>
      <c r="J34" s="72"/>
      <c r="K34" s="72"/>
      <c r="L34" s="96"/>
      <c r="M34" s="184">
        <f t="shared" ca="1" si="6"/>
        <v>0</v>
      </c>
      <c r="N34" s="67">
        <f t="shared" ca="1" si="7"/>
        <v>0</v>
      </c>
      <c r="O34" s="68">
        <f t="shared" ca="1" si="8"/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60" t="str">
        <f t="shared" ca="1" si="9"/>
        <v>Tổ Hạ tầng Đức Hòa</v>
      </c>
      <c r="C35" s="61" t="str">
        <f t="shared" ca="1" si="2"/>
        <v>Nguyễn Công Giang</v>
      </c>
      <c r="D35" s="183">
        <f t="shared" ca="1" si="3"/>
        <v>941254259</v>
      </c>
      <c r="E35" s="63" t="str">
        <f t="shared" ca="1" si="4"/>
        <v>giangnc.lan@vnpt.vn</v>
      </c>
      <c r="F35" s="64" t="str">
        <f t="shared" ca="1" si="5"/>
        <v>Lần 13</v>
      </c>
      <c r="G35" s="74"/>
      <c r="H35" s="75"/>
      <c r="I35" s="75"/>
      <c r="J35" s="72"/>
      <c r="K35" s="73"/>
      <c r="L35" s="96"/>
      <c r="M35" s="184">
        <f t="shared" ca="1" si="6"/>
        <v>0</v>
      </c>
      <c r="N35" s="67">
        <f t="shared" ca="1" si="7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60" t="str">
        <f t="shared" ca="1" si="9"/>
        <v>Tổ Hạ tầng Đức Hòa</v>
      </c>
      <c r="C36" s="61" t="str">
        <f t="shared" ca="1" si="2"/>
        <v>Nguyễn Công Giang</v>
      </c>
      <c r="D36" s="183">
        <f t="shared" ca="1" si="3"/>
        <v>941254259</v>
      </c>
      <c r="E36" s="63" t="str">
        <f t="shared" ca="1" si="4"/>
        <v>giangnc.lan@vnpt.vn</v>
      </c>
      <c r="F36" s="64" t="str">
        <f t="shared" ca="1" si="5"/>
        <v>Lần 14</v>
      </c>
      <c r="G36" s="74"/>
      <c r="H36" s="75"/>
      <c r="I36" s="75"/>
      <c r="J36" s="72"/>
      <c r="K36" s="73"/>
      <c r="L36" s="96"/>
      <c r="M36" s="184">
        <f t="shared" ca="1" si="6"/>
        <v>0</v>
      </c>
      <c r="N36" s="67">
        <f t="shared" ca="1" si="7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60" t="str">
        <f t="shared" ca="1" si="9"/>
        <v>Tổ Hạ tầng Đức Hòa</v>
      </c>
      <c r="C37" s="61" t="str">
        <f t="shared" ca="1" si="2"/>
        <v>Nguyễn Công Giang</v>
      </c>
      <c r="D37" s="183">
        <f t="shared" ca="1" si="3"/>
        <v>941254259</v>
      </c>
      <c r="E37" s="63" t="str">
        <f t="shared" ca="1" si="4"/>
        <v>giangnc.lan@vnpt.vn</v>
      </c>
      <c r="F37" s="64" t="str">
        <f t="shared" ca="1" si="5"/>
        <v>Lần 15</v>
      </c>
      <c r="G37" s="74"/>
      <c r="H37" s="75"/>
      <c r="I37" s="75"/>
      <c r="J37" s="72"/>
      <c r="K37" s="73"/>
      <c r="L37" s="96"/>
      <c r="M37" s="184">
        <f t="shared" ca="1" si="6"/>
        <v>0</v>
      </c>
      <c r="N37" s="67">
        <f t="shared" ca="1" si="7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01" t="str">
        <f t="shared" ca="1" si="9"/>
        <v>Tổ Hạ tầng Đức Hòa</v>
      </c>
      <c r="C38" s="102" t="str">
        <f t="shared" ca="1" si="2"/>
        <v>Nguyễn Công Giang</v>
      </c>
      <c r="D38" s="197">
        <f t="shared" ca="1" si="3"/>
        <v>941254259</v>
      </c>
      <c r="E38" s="104" t="str">
        <f t="shared" ca="1" si="4"/>
        <v>giangnc.lan@vnpt.vn</v>
      </c>
      <c r="F38" s="105" t="str">
        <f t="shared" ca="1" si="5"/>
        <v>Lần 16</v>
      </c>
      <c r="G38" s="74"/>
      <c r="H38" s="75"/>
      <c r="I38" s="75"/>
      <c r="J38" s="72"/>
      <c r="K38" s="73"/>
      <c r="L38" s="201"/>
      <c r="M38" s="202">
        <f t="shared" ca="1" si="6"/>
        <v>0</v>
      </c>
      <c r="N38" s="203">
        <f t="shared" ca="1" si="7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107" t="str">
        <f t="shared" ca="1" si="9"/>
        <v>Tổ Hạ tầng Đức Hòa</v>
      </c>
      <c r="C39" s="108" t="str">
        <f t="shared" ca="1" si="2"/>
        <v>Nguyễn Phước Lộc</v>
      </c>
      <c r="D39" s="205">
        <f t="shared" ca="1" si="3"/>
        <v>888802064</v>
      </c>
      <c r="E39" s="110" t="str">
        <f t="shared" ca="1" si="4"/>
        <v>nploc.lan@vnpt.vn</v>
      </c>
      <c r="F39" s="111" t="str">
        <f t="shared" ca="1" si="5"/>
        <v>Lần 1</v>
      </c>
      <c r="G39" s="70">
        <v>46208</v>
      </c>
      <c r="H39" s="71">
        <v>78</v>
      </c>
      <c r="I39" s="71">
        <v>14</v>
      </c>
      <c r="J39" s="72">
        <v>73</v>
      </c>
      <c r="K39" s="73">
        <v>11</v>
      </c>
      <c r="L39" s="132"/>
      <c r="M39" s="181">
        <f t="shared" ca="1" si="6"/>
        <v>1</v>
      </c>
      <c r="N39" s="57">
        <f t="shared" ca="1" si="7"/>
        <v>1</v>
      </c>
      <c r="O39" s="68">
        <f t="shared" ca="1" si="8"/>
        <v>0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60" t="str">
        <f t="shared" ca="1" si="9"/>
        <v>Tổ Hạ tầng Đức Hòa</v>
      </c>
      <c r="C40" s="61" t="str">
        <f t="shared" ca="1" si="2"/>
        <v>Nguyễn Phước Lộc</v>
      </c>
      <c r="D40" s="183">
        <f t="shared" ca="1" si="3"/>
        <v>888802064</v>
      </c>
      <c r="E40" s="63" t="str">
        <f t="shared" ca="1" si="4"/>
        <v>nploc.lan@vnpt.vn</v>
      </c>
      <c r="F40" s="64" t="str">
        <f t="shared" ca="1" si="5"/>
        <v>Lần 2</v>
      </c>
      <c r="G40" s="74">
        <v>46209</v>
      </c>
      <c r="H40" s="71">
        <v>132</v>
      </c>
      <c r="I40" s="71">
        <v>21</v>
      </c>
      <c r="J40" s="72">
        <v>100</v>
      </c>
      <c r="K40" s="72">
        <v>14</v>
      </c>
      <c r="L40" s="116"/>
      <c r="M40" s="184">
        <f t="shared" ca="1" si="6"/>
        <v>1</v>
      </c>
      <c r="N40" s="67">
        <f t="shared" ca="1" si="7"/>
        <v>1</v>
      </c>
      <c r="O40" s="68">
        <f t="shared" ca="1" si="8"/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60" t="str">
        <f t="shared" ca="1" si="9"/>
        <v>Tổ Hạ tầng Đức Hòa</v>
      </c>
      <c r="C41" s="61" t="str">
        <f t="shared" ca="1" si="2"/>
        <v>Nguyễn Phước Lộc</v>
      </c>
      <c r="D41" s="183">
        <f t="shared" ca="1" si="3"/>
        <v>888802064</v>
      </c>
      <c r="E41" s="63" t="str">
        <f t="shared" ca="1" si="4"/>
        <v>nploc.lan@vnpt.vn</v>
      </c>
      <c r="F41" s="64" t="str">
        <f t="shared" ca="1" si="5"/>
        <v>Lần 3</v>
      </c>
      <c r="G41" s="74">
        <v>46209</v>
      </c>
      <c r="H41" s="71">
        <v>107</v>
      </c>
      <c r="I41" s="71">
        <v>15</v>
      </c>
      <c r="J41" s="72">
        <v>98</v>
      </c>
      <c r="K41" s="72">
        <v>21</v>
      </c>
      <c r="L41" s="116"/>
      <c r="M41" s="184">
        <f t="shared" ca="1" si="6"/>
        <v>1</v>
      </c>
      <c r="N41" s="67">
        <f t="shared" ca="1" si="7"/>
        <v>1</v>
      </c>
      <c r="O41" s="68">
        <f t="shared" ca="1" si="8"/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60" t="str">
        <f t="shared" ca="1" si="9"/>
        <v>Tổ Hạ tầng Đức Hòa</v>
      </c>
      <c r="C42" s="61" t="str">
        <f t="shared" ca="1" si="2"/>
        <v>Nguyễn Phước Lộc</v>
      </c>
      <c r="D42" s="183">
        <f t="shared" ca="1" si="3"/>
        <v>888802064</v>
      </c>
      <c r="E42" s="63" t="str">
        <f t="shared" ca="1" si="4"/>
        <v>nploc.lan@vnpt.vn</v>
      </c>
      <c r="F42" s="64" t="str">
        <f t="shared" ca="1" si="5"/>
        <v>Lần 4</v>
      </c>
      <c r="G42" s="74">
        <v>46209</v>
      </c>
      <c r="H42" s="71">
        <v>77</v>
      </c>
      <c r="I42" s="71">
        <v>46</v>
      </c>
      <c r="J42" s="72">
        <v>82</v>
      </c>
      <c r="K42" s="72">
        <v>13</v>
      </c>
      <c r="L42" s="208"/>
      <c r="M42" s="184">
        <f t="shared" ca="1" si="6"/>
        <v>1</v>
      </c>
      <c r="N42" s="67">
        <f t="shared" ca="1" si="7"/>
        <v>1</v>
      </c>
      <c r="O42" s="68">
        <f t="shared" ca="1" si="8"/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60" t="str">
        <f t="shared" ca="1" si="9"/>
        <v>Tổ Hạ tầng Đức Hòa</v>
      </c>
      <c r="C43" s="61" t="str">
        <f t="shared" ca="1" si="2"/>
        <v>Nguyễn Phước Lộc</v>
      </c>
      <c r="D43" s="183">
        <f t="shared" ca="1" si="3"/>
        <v>888802064</v>
      </c>
      <c r="E43" s="63" t="str">
        <f t="shared" ca="1" si="4"/>
        <v>nploc.lan@vnpt.vn</v>
      </c>
      <c r="F43" s="64" t="str">
        <f t="shared" ca="1" si="5"/>
        <v>Lần 5</v>
      </c>
      <c r="G43" s="74">
        <v>46209</v>
      </c>
      <c r="H43" s="75">
        <v>95</v>
      </c>
      <c r="I43" s="75">
        <v>53</v>
      </c>
      <c r="J43" s="72">
        <v>93</v>
      </c>
      <c r="K43" s="73">
        <v>47</v>
      </c>
      <c r="L43" s="208"/>
      <c r="M43" s="184">
        <f t="shared" ca="1" si="6"/>
        <v>1</v>
      </c>
      <c r="N43" s="67">
        <f t="shared" ca="1" si="7"/>
        <v>1</v>
      </c>
      <c r="O43" s="68">
        <f t="shared" ca="1" si="8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60" t="str">
        <f t="shared" ca="1" si="9"/>
        <v>Tổ Hạ tầng Đức Hòa</v>
      </c>
      <c r="C44" s="61" t="str">
        <f t="shared" ca="1" si="2"/>
        <v>Nguyễn Phước Lộc</v>
      </c>
      <c r="D44" s="183">
        <f t="shared" ca="1" si="3"/>
        <v>888802064</v>
      </c>
      <c r="E44" s="63" t="str">
        <f t="shared" ca="1" si="4"/>
        <v>nploc.lan@vnpt.vn</v>
      </c>
      <c r="F44" s="64" t="str">
        <f t="shared" ca="1" si="5"/>
        <v>Lần 6</v>
      </c>
      <c r="G44" s="74">
        <v>46209</v>
      </c>
      <c r="H44" s="75">
        <v>135</v>
      </c>
      <c r="I44" s="75">
        <v>53</v>
      </c>
      <c r="J44" s="72">
        <v>99</v>
      </c>
      <c r="K44" s="73">
        <v>51</v>
      </c>
      <c r="L44" s="208"/>
      <c r="M44" s="184">
        <f t="shared" ca="1" si="6"/>
        <v>1</v>
      </c>
      <c r="N44" s="67">
        <f t="shared" ca="1" si="7"/>
        <v>1</v>
      </c>
      <c r="O44" s="68">
        <f t="shared" ca="1" si="8"/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60" t="str">
        <f t="shared" ca="1" si="9"/>
        <v>Tổ Hạ tầng Đức Hòa</v>
      </c>
      <c r="C45" s="61" t="str">
        <f t="shared" ca="1" si="2"/>
        <v>Nguyễn Phước Lộc</v>
      </c>
      <c r="D45" s="183">
        <f t="shared" ca="1" si="3"/>
        <v>888802064</v>
      </c>
      <c r="E45" s="63" t="str">
        <f t="shared" ca="1" si="4"/>
        <v>nploc.lan@vnpt.vn</v>
      </c>
      <c r="F45" s="64" t="str">
        <f t="shared" ca="1" si="5"/>
        <v>Lần 7</v>
      </c>
      <c r="G45" s="74">
        <v>46209</v>
      </c>
      <c r="H45" s="75">
        <v>65</v>
      </c>
      <c r="I45" s="75">
        <v>47</v>
      </c>
      <c r="J45" s="72"/>
      <c r="K45" s="73"/>
      <c r="L45" s="208"/>
      <c r="M45" s="184">
        <f t="shared" ca="1" si="6"/>
        <v>1</v>
      </c>
      <c r="N45" s="67">
        <f t="shared" ca="1" si="7"/>
        <v>0</v>
      </c>
      <c r="O45" s="68">
        <f t="shared" ca="1" si="8"/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60" t="str">
        <f t="shared" ca="1" si="9"/>
        <v>Tổ Hạ tầng Đức Hòa</v>
      </c>
      <c r="C46" s="61" t="str">
        <f t="shared" ca="1" si="2"/>
        <v>Nguyễn Phước Lộc</v>
      </c>
      <c r="D46" s="183">
        <f t="shared" ca="1" si="3"/>
        <v>888802064</v>
      </c>
      <c r="E46" s="63" t="str">
        <f t="shared" ca="1" si="4"/>
        <v>nploc.lan@vnpt.vn</v>
      </c>
      <c r="F46" s="64" t="str">
        <f t="shared" ca="1" si="5"/>
        <v>Lần 8</v>
      </c>
      <c r="G46" s="74">
        <v>46209</v>
      </c>
      <c r="H46" s="75">
        <v>101</v>
      </c>
      <c r="I46" s="75">
        <v>46</v>
      </c>
      <c r="J46" s="72"/>
      <c r="K46" s="73"/>
      <c r="L46" s="116"/>
      <c r="M46" s="184">
        <f t="shared" ca="1" si="6"/>
        <v>1</v>
      </c>
      <c r="N46" s="67">
        <f t="shared" ca="1" si="7"/>
        <v>0</v>
      </c>
      <c r="O46" s="68">
        <f t="shared" ca="1" si="8"/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60" t="str">
        <f t="shared" ca="1" si="9"/>
        <v>Tổ Hạ tầng Đức Hòa</v>
      </c>
      <c r="C47" s="61" t="str">
        <f t="shared" ca="1" si="2"/>
        <v>Nguyễn Phước Lộc</v>
      </c>
      <c r="D47" s="183">
        <f t="shared" ca="1" si="3"/>
        <v>888802064</v>
      </c>
      <c r="E47" s="63" t="str">
        <f t="shared" ca="1" si="4"/>
        <v>nploc.lan@vnpt.vn</v>
      </c>
      <c r="F47" s="64" t="str">
        <f t="shared" ca="1" si="5"/>
        <v>Lần 9</v>
      </c>
      <c r="G47" s="74"/>
      <c r="H47" s="75"/>
      <c r="I47" s="75"/>
      <c r="J47" s="72"/>
      <c r="K47" s="73"/>
      <c r="L47" s="116"/>
      <c r="M47" s="184">
        <f t="shared" ca="1" si="6"/>
        <v>0</v>
      </c>
      <c r="N47" s="67">
        <f t="shared" ca="1" si="7"/>
        <v>0</v>
      </c>
      <c r="O47" s="68">
        <f t="shared" ca="1" si="8"/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60" t="str">
        <f t="shared" ca="1" si="9"/>
        <v>Tổ Hạ tầng Đức Hòa</v>
      </c>
      <c r="C48" s="61" t="str">
        <f t="shared" ca="1" si="2"/>
        <v>Nguyễn Phước Lộc</v>
      </c>
      <c r="D48" s="183">
        <f t="shared" ca="1" si="3"/>
        <v>888802064</v>
      </c>
      <c r="E48" s="63" t="str">
        <f t="shared" ca="1" si="4"/>
        <v>nploc.lan@vnpt.vn</v>
      </c>
      <c r="F48" s="64" t="str">
        <f t="shared" ca="1" si="5"/>
        <v>Lần 10</v>
      </c>
      <c r="G48" s="74"/>
      <c r="H48" s="75"/>
      <c r="I48" s="75"/>
      <c r="J48" s="72"/>
      <c r="K48" s="73"/>
      <c r="L48" s="116"/>
      <c r="M48" s="184">
        <f t="shared" ca="1" si="6"/>
        <v>0</v>
      </c>
      <c r="N48" s="67">
        <f t="shared" ca="1" si="7"/>
        <v>0</v>
      </c>
      <c r="O48" s="68">
        <f t="shared" ca="1" si="8"/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60" t="str">
        <f t="shared" ca="1" si="9"/>
        <v>Tổ Hạ tầng Đức Hòa</v>
      </c>
      <c r="C49" s="61" t="str">
        <f t="shared" ca="1" si="2"/>
        <v>Nguyễn Phước Lộc</v>
      </c>
      <c r="D49" s="183">
        <f t="shared" ca="1" si="3"/>
        <v>888802064</v>
      </c>
      <c r="E49" s="63" t="str">
        <f t="shared" ca="1" si="4"/>
        <v>nploc.lan@vnpt.vn</v>
      </c>
      <c r="F49" s="64" t="str">
        <f t="shared" ca="1" si="5"/>
        <v>Lần 11</v>
      </c>
      <c r="G49" s="74"/>
      <c r="H49" s="75"/>
      <c r="I49" s="75"/>
      <c r="J49" s="72"/>
      <c r="K49" s="72"/>
      <c r="L49" s="116"/>
      <c r="M49" s="184">
        <f t="shared" ca="1" si="6"/>
        <v>0</v>
      </c>
      <c r="N49" s="67">
        <f t="shared" ca="1" si="7"/>
        <v>0</v>
      </c>
      <c r="O49" s="68">
        <f t="shared" ca="1" si="8"/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60" t="str">
        <f t="shared" ca="1" si="9"/>
        <v>Tổ Hạ tầng Đức Hòa</v>
      </c>
      <c r="C50" s="61" t="str">
        <f t="shared" ca="1" si="2"/>
        <v>Nguyễn Phước Lộc</v>
      </c>
      <c r="D50" s="183">
        <f t="shared" ca="1" si="3"/>
        <v>888802064</v>
      </c>
      <c r="E50" s="63" t="str">
        <f t="shared" ca="1" si="4"/>
        <v>nploc.lan@vnpt.vn</v>
      </c>
      <c r="F50" s="64" t="str">
        <f t="shared" ca="1" si="5"/>
        <v>Lần 12</v>
      </c>
      <c r="G50" s="74"/>
      <c r="H50" s="75"/>
      <c r="I50" s="75"/>
      <c r="J50" s="72"/>
      <c r="K50" s="72"/>
      <c r="L50" s="116"/>
      <c r="M50" s="184">
        <f t="shared" ca="1" si="6"/>
        <v>0</v>
      </c>
      <c r="N50" s="67">
        <f t="shared" ca="1" si="7"/>
        <v>0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60" t="str">
        <f t="shared" ca="1" si="9"/>
        <v>Tổ Hạ tầng Đức Hòa</v>
      </c>
      <c r="C51" s="61" t="str">
        <f t="shared" ca="1" si="2"/>
        <v>Nguyễn Phước Lộc</v>
      </c>
      <c r="D51" s="183">
        <f t="shared" ca="1" si="3"/>
        <v>888802064</v>
      </c>
      <c r="E51" s="63" t="str">
        <f t="shared" ca="1" si="4"/>
        <v>nploc.lan@vnpt.vn</v>
      </c>
      <c r="F51" s="64" t="str">
        <f t="shared" ca="1" si="5"/>
        <v>Lần 13</v>
      </c>
      <c r="G51" s="74"/>
      <c r="H51" s="75"/>
      <c r="I51" s="75"/>
      <c r="J51" s="72"/>
      <c r="K51" s="72"/>
      <c r="L51" s="116"/>
      <c r="M51" s="184">
        <f t="shared" ca="1" si="6"/>
        <v>0</v>
      </c>
      <c r="N51" s="67">
        <f t="shared" ca="1" si="7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60" t="str">
        <f t="shared" ca="1" si="9"/>
        <v>Tổ Hạ tầng Đức Hòa</v>
      </c>
      <c r="C52" s="61" t="str">
        <f t="shared" ca="1" si="2"/>
        <v>Nguyễn Phước Lộc</v>
      </c>
      <c r="D52" s="183">
        <f t="shared" ca="1" si="3"/>
        <v>888802064</v>
      </c>
      <c r="E52" s="63" t="str">
        <f t="shared" ca="1" si="4"/>
        <v>nploc.lan@vnpt.vn</v>
      </c>
      <c r="F52" s="64" t="str">
        <f t="shared" ca="1" si="5"/>
        <v>Lần 14</v>
      </c>
      <c r="G52" s="74"/>
      <c r="H52" s="75"/>
      <c r="I52" s="75"/>
      <c r="J52" s="72"/>
      <c r="K52" s="72"/>
      <c r="L52" s="116"/>
      <c r="M52" s="184">
        <f t="shared" ca="1" si="6"/>
        <v>0</v>
      </c>
      <c r="N52" s="67">
        <f t="shared" ca="1" si="7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60" t="str">
        <f t="shared" ca="1" si="9"/>
        <v>Tổ Hạ tầng Đức Hòa</v>
      </c>
      <c r="C53" s="61" t="str">
        <f t="shared" ca="1" si="2"/>
        <v>Nguyễn Phước Lộc</v>
      </c>
      <c r="D53" s="183">
        <f t="shared" ca="1" si="3"/>
        <v>888802064</v>
      </c>
      <c r="E53" s="63" t="str">
        <f t="shared" ca="1" si="4"/>
        <v>nploc.lan@vnpt.vn</v>
      </c>
      <c r="F53" s="64" t="str">
        <f t="shared" ca="1" si="5"/>
        <v>Lần 15</v>
      </c>
      <c r="G53" s="74"/>
      <c r="H53" s="75"/>
      <c r="I53" s="75"/>
      <c r="J53" s="72"/>
      <c r="K53" s="72"/>
      <c r="L53" s="116"/>
      <c r="M53" s="184">
        <f t="shared" ca="1" si="6"/>
        <v>0</v>
      </c>
      <c r="N53" s="67">
        <f t="shared" ca="1" si="7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81" t="str">
        <f t="shared" ca="1" si="9"/>
        <v>Tổ Hạ tầng Đức Hòa</v>
      </c>
      <c r="C54" s="82" t="str">
        <f t="shared" ca="1" si="2"/>
        <v>Nguyễn Phước Lộc</v>
      </c>
      <c r="D54" s="186">
        <f t="shared" ca="1" si="3"/>
        <v>888802064</v>
      </c>
      <c r="E54" s="84" t="str">
        <f t="shared" ca="1" si="4"/>
        <v>nploc.lan@vnpt.vn</v>
      </c>
      <c r="F54" s="85" t="str">
        <f t="shared" ca="1" si="5"/>
        <v>Lần 16</v>
      </c>
      <c r="G54" s="235"/>
      <c r="H54" s="75"/>
      <c r="I54" s="75"/>
      <c r="J54" s="72"/>
      <c r="K54" s="72"/>
      <c r="L54" s="211"/>
      <c r="M54" s="189">
        <f t="shared" ca="1" si="6"/>
        <v>0</v>
      </c>
      <c r="N54" s="171">
        <f t="shared" ca="1" si="7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47" t="str">
        <f t="shared" ca="1" si="9"/>
        <v>Tổ Hạ tầng Đức Hòa</v>
      </c>
      <c r="C55" s="48" t="str">
        <f t="shared" ca="1" si="2"/>
        <v>Phạm Tiến Dũng</v>
      </c>
      <c r="D55" s="191">
        <f t="shared" ca="1" si="3"/>
        <v>915907377</v>
      </c>
      <c r="E55" s="50" t="str">
        <f t="shared" ca="1" si="4"/>
        <v>dungpt.lan@vnpt.vn</v>
      </c>
      <c r="F55" s="51" t="str">
        <f t="shared" ca="1" si="5"/>
        <v>Lần 1</v>
      </c>
      <c r="G55" s="70">
        <v>46208</v>
      </c>
      <c r="H55" s="71">
        <v>83</v>
      </c>
      <c r="I55" s="71">
        <v>37.9</v>
      </c>
      <c r="J55" s="94">
        <v>72</v>
      </c>
      <c r="K55" s="94">
        <v>37.200000000000003</v>
      </c>
      <c r="L55" s="193"/>
      <c r="M55" s="194">
        <f t="shared" ca="1" si="6"/>
        <v>1</v>
      </c>
      <c r="N55" s="195">
        <f t="shared" ca="1" si="7"/>
        <v>1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60" t="str">
        <f t="shared" ca="1" si="9"/>
        <v>Tổ Hạ tầng Đức Hòa</v>
      </c>
      <c r="C56" s="61" t="str">
        <f t="shared" ca="1" si="2"/>
        <v>Phạm Tiến Dũng</v>
      </c>
      <c r="D56" s="183">
        <f t="shared" ca="1" si="3"/>
        <v>915907377</v>
      </c>
      <c r="E56" s="63" t="str">
        <f t="shared" ca="1" si="4"/>
        <v>dungpt.lan@vnpt.vn</v>
      </c>
      <c r="F56" s="64" t="str">
        <f t="shared" ca="1" si="5"/>
        <v>Lần 2</v>
      </c>
      <c r="G56" s="76">
        <v>46214</v>
      </c>
      <c r="H56" s="71">
        <v>81.900000000000006</v>
      </c>
      <c r="I56" s="71">
        <v>44.2</v>
      </c>
      <c r="J56" s="94">
        <v>73.099999999999994</v>
      </c>
      <c r="K56" s="94">
        <v>50</v>
      </c>
      <c r="L56" s="95"/>
      <c r="M56" s="184">
        <f t="shared" ca="1" si="6"/>
        <v>1</v>
      </c>
      <c r="N56" s="67">
        <f t="shared" ca="1" si="7"/>
        <v>1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60" t="str">
        <f t="shared" ca="1" si="9"/>
        <v>Tổ Hạ tầng Đức Hòa</v>
      </c>
      <c r="C57" s="61" t="str">
        <f t="shared" ca="1" si="2"/>
        <v>Phạm Tiến Dũng</v>
      </c>
      <c r="D57" s="183">
        <f t="shared" ca="1" si="3"/>
        <v>915907377</v>
      </c>
      <c r="E57" s="63" t="str">
        <f t="shared" ca="1" si="4"/>
        <v>dungpt.lan@vnpt.vn</v>
      </c>
      <c r="F57" s="64" t="str">
        <f t="shared" ca="1" si="5"/>
        <v>Lần 3</v>
      </c>
      <c r="G57" s="76">
        <v>46215</v>
      </c>
      <c r="H57" s="71">
        <v>79.8</v>
      </c>
      <c r="I57" s="71">
        <v>14.8</v>
      </c>
      <c r="J57" s="94">
        <v>64.400000000000006</v>
      </c>
      <c r="K57" s="94">
        <v>17.7</v>
      </c>
      <c r="L57" s="95"/>
      <c r="M57" s="184">
        <f t="shared" ca="1" si="6"/>
        <v>1</v>
      </c>
      <c r="N57" s="67">
        <f t="shared" ca="1" si="7"/>
        <v>1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60" t="str">
        <f t="shared" ca="1" si="9"/>
        <v>Tổ Hạ tầng Đức Hòa</v>
      </c>
      <c r="C58" s="61" t="str">
        <f t="shared" ca="1" si="2"/>
        <v>Phạm Tiến Dũng</v>
      </c>
      <c r="D58" s="183">
        <f t="shared" ca="1" si="3"/>
        <v>915907377</v>
      </c>
      <c r="E58" s="63" t="str">
        <f t="shared" ca="1" si="4"/>
        <v>dungpt.lan@vnpt.vn</v>
      </c>
      <c r="F58" s="64" t="str">
        <f t="shared" ca="1" si="5"/>
        <v>Lần 4</v>
      </c>
      <c r="G58" s="76">
        <v>46215</v>
      </c>
      <c r="H58" s="75">
        <v>237</v>
      </c>
      <c r="I58" s="75">
        <v>20.399999999999999</v>
      </c>
      <c r="J58" s="94">
        <v>164.4</v>
      </c>
      <c r="K58" s="94">
        <v>31.1</v>
      </c>
      <c r="L58" s="95"/>
      <c r="M58" s="184">
        <f t="shared" ca="1" si="6"/>
        <v>1</v>
      </c>
      <c r="N58" s="67">
        <f t="shared" ca="1" si="7"/>
        <v>1</v>
      </c>
      <c r="O58" s="68">
        <f t="shared" ca="1" si="8"/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60" t="str">
        <f t="shared" ca="1" si="9"/>
        <v>Tổ Hạ tầng Đức Hòa</v>
      </c>
      <c r="C59" s="61" t="str">
        <f t="shared" ca="1" si="2"/>
        <v>Phạm Tiến Dũng</v>
      </c>
      <c r="D59" s="183">
        <f t="shared" ca="1" si="3"/>
        <v>915907377</v>
      </c>
      <c r="E59" s="63" t="str">
        <f t="shared" ca="1" si="4"/>
        <v>dungpt.lan@vnpt.vn</v>
      </c>
      <c r="F59" s="64" t="str">
        <f t="shared" ca="1" si="5"/>
        <v>Lần 5</v>
      </c>
      <c r="G59" s="76"/>
      <c r="H59" s="75"/>
      <c r="I59" s="75"/>
      <c r="J59" s="94"/>
      <c r="K59" s="94"/>
      <c r="L59" s="95"/>
      <c r="M59" s="184">
        <f t="shared" ca="1" si="6"/>
        <v>0</v>
      </c>
      <c r="N59" s="67">
        <f t="shared" ca="1" si="7"/>
        <v>0</v>
      </c>
      <c r="O59" s="68">
        <f t="shared" ca="1" si="8"/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60" t="str">
        <f t="shared" ca="1" si="9"/>
        <v>Tổ Hạ tầng Đức Hòa</v>
      </c>
      <c r="C60" s="61" t="str">
        <f t="shared" ca="1" si="2"/>
        <v>Phạm Tiến Dũng</v>
      </c>
      <c r="D60" s="183">
        <f t="shared" ca="1" si="3"/>
        <v>915907377</v>
      </c>
      <c r="E60" s="63" t="str">
        <f t="shared" ca="1" si="4"/>
        <v>dungpt.lan@vnpt.vn</v>
      </c>
      <c r="F60" s="64" t="str">
        <f t="shared" ca="1" si="5"/>
        <v>Lần 6</v>
      </c>
      <c r="G60" s="76"/>
      <c r="H60" s="75"/>
      <c r="I60" s="75"/>
      <c r="J60" s="94"/>
      <c r="K60" s="94"/>
      <c r="L60" s="95"/>
      <c r="M60" s="184">
        <f t="shared" ca="1" si="6"/>
        <v>0</v>
      </c>
      <c r="N60" s="67">
        <f t="shared" ca="1" si="7"/>
        <v>0</v>
      </c>
      <c r="O60" s="68">
        <f t="shared" ca="1" si="8"/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60" t="str">
        <f t="shared" ca="1" si="9"/>
        <v>Tổ Hạ tầng Đức Hòa</v>
      </c>
      <c r="C61" s="61" t="str">
        <f t="shared" ca="1" si="2"/>
        <v>Phạm Tiến Dũng</v>
      </c>
      <c r="D61" s="183">
        <f t="shared" ca="1" si="3"/>
        <v>915907377</v>
      </c>
      <c r="E61" s="63" t="str">
        <f t="shared" ca="1" si="4"/>
        <v>dungpt.lan@vnpt.vn</v>
      </c>
      <c r="F61" s="64" t="str">
        <f t="shared" ca="1" si="5"/>
        <v>Lần 7</v>
      </c>
      <c r="G61" s="76"/>
      <c r="H61" s="75"/>
      <c r="I61" s="75"/>
      <c r="J61" s="94"/>
      <c r="K61" s="94"/>
      <c r="L61" s="95"/>
      <c r="M61" s="184">
        <f t="shared" ca="1" si="6"/>
        <v>0</v>
      </c>
      <c r="N61" s="67">
        <f t="shared" ca="1" si="7"/>
        <v>0</v>
      </c>
      <c r="O61" s="68">
        <f t="shared" ca="1" si="8"/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60" t="str">
        <f t="shared" ca="1" si="9"/>
        <v>Tổ Hạ tầng Đức Hòa</v>
      </c>
      <c r="C62" s="61" t="str">
        <f t="shared" ca="1" si="2"/>
        <v>Phạm Tiến Dũng</v>
      </c>
      <c r="D62" s="183">
        <f t="shared" ca="1" si="3"/>
        <v>915907377</v>
      </c>
      <c r="E62" s="63" t="str">
        <f t="shared" ca="1" si="4"/>
        <v>dungpt.lan@vnpt.vn</v>
      </c>
      <c r="F62" s="64" t="str">
        <f t="shared" ca="1" si="5"/>
        <v>Lần 8</v>
      </c>
      <c r="G62" s="76"/>
      <c r="H62" s="75"/>
      <c r="I62" s="75"/>
      <c r="J62" s="94"/>
      <c r="K62" s="94"/>
      <c r="L62" s="95"/>
      <c r="M62" s="184">
        <f t="shared" ca="1" si="6"/>
        <v>0</v>
      </c>
      <c r="N62" s="67">
        <f t="shared" ca="1" si="7"/>
        <v>0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60" t="str">
        <f t="shared" ca="1" si="9"/>
        <v>Tổ Hạ tầng Đức Hòa</v>
      </c>
      <c r="C63" s="61" t="str">
        <f t="shared" ca="1" si="2"/>
        <v>Phạm Tiến Dũng</v>
      </c>
      <c r="D63" s="183">
        <f t="shared" ca="1" si="3"/>
        <v>915907377</v>
      </c>
      <c r="E63" s="63" t="str">
        <f t="shared" ca="1" si="4"/>
        <v>dungpt.lan@vnpt.vn</v>
      </c>
      <c r="F63" s="64" t="str">
        <f t="shared" ca="1" si="5"/>
        <v>Lần 9</v>
      </c>
      <c r="G63" s="76"/>
      <c r="H63" s="75"/>
      <c r="I63" s="75"/>
      <c r="J63" s="94"/>
      <c r="K63" s="94"/>
      <c r="L63" s="95"/>
      <c r="M63" s="184">
        <f t="shared" ca="1" si="6"/>
        <v>0</v>
      </c>
      <c r="N63" s="67">
        <f t="shared" ca="1" si="7"/>
        <v>0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60" t="str">
        <f t="shared" ca="1" si="9"/>
        <v>Tổ Hạ tầng Đức Hòa</v>
      </c>
      <c r="C64" s="61" t="str">
        <f t="shared" ca="1" si="2"/>
        <v>Phạm Tiến Dũng</v>
      </c>
      <c r="D64" s="183">
        <f t="shared" ca="1" si="3"/>
        <v>915907377</v>
      </c>
      <c r="E64" s="63" t="str">
        <f t="shared" ca="1" si="4"/>
        <v>dungpt.lan@vnpt.vn</v>
      </c>
      <c r="F64" s="64" t="str">
        <f t="shared" ca="1" si="5"/>
        <v>Lần 10</v>
      </c>
      <c r="G64" s="76"/>
      <c r="H64" s="75"/>
      <c r="I64" s="75"/>
      <c r="J64" s="94"/>
      <c r="K64" s="94"/>
      <c r="L64" s="95"/>
      <c r="M64" s="184">
        <f t="shared" ca="1" si="6"/>
        <v>0</v>
      </c>
      <c r="N64" s="67">
        <f t="shared" ca="1" si="7"/>
        <v>0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60" t="str">
        <f t="shared" ca="1" si="9"/>
        <v>Tổ Hạ tầng Đức Hòa</v>
      </c>
      <c r="C65" s="61" t="str">
        <f t="shared" ca="1" si="2"/>
        <v>Phạm Tiến Dũng</v>
      </c>
      <c r="D65" s="183">
        <f t="shared" ca="1" si="3"/>
        <v>915907377</v>
      </c>
      <c r="E65" s="63" t="str">
        <f t="shared" ca="1" si="4"/>
        <v>dungpt.lan@vnpt.vn</v>
      </c>
      <c r="F65" s="64" t="str">
        <f t="shared" ca="1" si="5"/>
        <v>Lần 11</v>
      </c>
      <c r="G65" s="76"/>
      <c r="H65" s="75"/>
      <c r="I65" s="75"/>
      <c r="J65" s="94"/>
      <c r="K65" s="94"/>
      <c r="L65" s="95"/>
      <c r="M65" s="184">
        <f t="shared" ca="1" si="6"/>
        <v>0</v>
      </c>
      <c r="N65" s="67">
        <f t="shared" ca="1" si="7"/>
        <v>0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60" t="str">
        <f t="shared" ca="1" si="9"/>
        <v>Tổ Hạ tầng Đức Hòa</v>
      </c>
      <c r="C66" s="61" t="str">
        <f t="shared" ca="1" si="2"/>
        <v>Phạm Tiến Dũng</v>
      </c>
      <c r="D66" s="183">
        <f t="shared" ca="1" si="3"/>
        <v>915907377</v>
      </c>
      <c r="E66" s="63" t="str">
        <f t="shared" ca="1" si="4"/>
        <v>dungpt.lan@vnpt.vn</v>
      </c>
      <c r="F66" s="64" t="str">
        <f t="shared" ca="1" si="5"/>
        <v>Lần 12</v>
      </c>
      <c r="G66" s="136"/>
      <c r="H66" s="75"/>
      <c r="I66" s="75"/>
      <c r="J66" s="94"/>
      <c r="K66" s="94"/>
      <c r="L66" s="95"/>
      <c r="M66" s="184">
        <f t="shared" ca="1" si="6"/>
        <v>0</v>
      </c>
      <c r="N66" s="67">
        <f t="shared" ca="1" si="7"/>
        <v>0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60" t="str">
        <f t="shared" ca="1" si="9"/>
        <v>Tổ Hạ tầng Đức Hòa</v>
      </c>
      <c r="C67" s="61" t="str">
        <f t="shared" ca="1" si="2"/>
        <v>Phạm Tiến Dũng</v>
      </c>
      <c r="D67" s="183">
        <f t="shared" ca="1" si="3"/>
        <v>915907377</v>
      </c>
      <c r="E67" s="63" t="str">
        <f t="shared" ca="1" si="4"/>
        <v>dungpt.lan@vnpt.vn</v>
      </c>
      <c r="F67" s="64" t="str">
        <f t="shared" ca="1" si="5"/>
        <v>Lần 13</v>
      </c>
      <c r="G67" s="76"/>
      <c r="H67" s="75"/>
      <c r="I67" s="75"/>
      <c r="J67" s="94"/>
      <c r="K67" s="94"/>
      <c r="L67" s="95"/>
      <c r="M67" s="184">
        <f t="shared" ca="1" si="6"/>
        <v>0</v>
      </c>
      <c r="N67" s="67">
        <f t="shared" ca="1" si="7"/>
        <v>0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60" t="str">
        <f t="shared" ca="1" si="9"/>
        <v>Tổ Hạ tầng Đức Hòa</v>
      </c>
      <c r="C68" s="61" t="str">
        <f t="shared" ca="1" si="2"/>
        <v>Phạm Tiến Dũng</v>
      </c>
      <c r="D68" s="183">
        <f t="shared" ca="1" si="3"/>
        <v>915907377</v>
      </c>
      <c r="E68" s="63" t="str">
        <f t="shared" ca="1" si="4"/>
        <v>dungpt.lan@vnpt.vn</v>
      </c>
      <c r="F68" s="64" t="str">
        <f t="shared" ca="1" si="5"/>
        <v>Lần 14</v>
      </c>
      <c r="G68" s="76"/>
      <c r="H68" s="75"/>
      <c r="I68" s="75"/>
      <c r="J68" s="94"/>
      <c r="K68" s="94"/>
      <c r="L68" s="95"/>
      <c r="M68" s="184">
        <f t="shared" ca="1" si="6"/>
        <v>0</v>
      </c>
      <c r="N68" s="67">
        <f t="shared" ca="1" si="7"/>
        <v>0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60" t="str">
        <f t="shared" ca="1" si="9"/>
        <v>Tổ Hạ tầng Đức Hòa</v>
      </c>
      <c r="C69" s="61" t="str">
        <f t="shared" ca="1" si="2"/>
        <v>Phạm Tiến Dũng</v>
      </c>
      <c r="D69" s="183">
        <f t="shared" ca="1" si="3"/>
        <v>915907377</v>
      </c>
      <c r="E69" s="63" t="str">
        <f t="shared" ca="1" si="4"/>
        <v>dungpt.lan@vnpt.vn</v>
      </c>
      <c r="F69" s="64" t="str">
        <f t="shared" ca="1" si="5"/>
        <v>Lần 15</v>
      </c>
      <c r="G69" s="76"/>
      <c r="H69" s="75"/>
      <c r="I69" s="75"/>
      <c r="J69" s="94"/>
      <c r="K69" s="94"/>
      <c r="L69" s="95"/>
      <c r="M69" s="184">
        <f t="shared" ca="1" si="6"/>
        <v>0</v>
      </c>
      <c r="N69" s="67">
        <f t="shared" ca="1" si="7"/>
        <v>0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01" t="str">
        <f t="shared" ca="1" si="9"/>
        <v>Tổ Hạ tầng Đức Hòa</v>
      </c>
      <c r="C70" s="102" t="str">
        <f t="shared" ca="1" si="2"/>
        <v>Phạm Tiến Dũng</v>
      </c>
      <c r="D70" s="197">
        <f t="shared" ca="1" si="3"/>
        <v>915907377</v>
      </c>
      <c r="E70" s="104" t="str">
        <f t="shared" ca="1" si="4"/>
        <v>dungpt.lan@vnpt.vn</v>
      </c>
      <c r="F70" s="105" t="str">
        <f t="shared" ca="1" si="5"/>
        <v>Lần 16</v>
      </c>
      <c r="G70" s="236"/>
      <c r="H70" s="75"/>
      <c r="I70" s="75"/>
      <c r="J70" s="94"/>
      <c r="K70" s="94"/>
      <c r="L70" s="212"/>
      <c r="M70" s="202">
        <f t="shared" ca="1" si="6"/>
        <v>0</v>
      </c>
      <c r="N70" s="203">
        <f t="shared" ca="1" si="7"/>
        <v>0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107" t="str">
        <f t="shared" ca="1" si="9"/>
        <v>Tổ Hạ tầng Đức Hòa</v>
      </c>
      <c r="C71" s="108" t="str">
        <f t="shared" ca="1" si="2"/>
        <v>Nguyễn Thanh Hùng</v>
      </c>
      <c r="D71" s="205">
        <f t="shared" ca="1" si="3"/>
        <v>945562692</v>
      </c>
      <c r="E71" s="110" t="str">
        <f t="shared" ca="1" si="4"/>
        <v>nthung.lan@vnpt.vn</v>
      </c>
      <c r="F71" s="111" t="str">
        <f t="shared" ca="1" si="5"/>
        <v>Lần 1</v>
      </c>
      <c r="G71" s="192">
        <v>46206</v>
      </c>
      <c r="H71" s="121">
        <v>72</v>
      </c>
      <c r="I71" s="121">
        <v>31</v>
      </c>
      <c r="J71" s="98">
        <v>81</v>
      </c>
      <c r="K71" s="98">
        <v>39</v>
      </c>
      <c r="L71" s="35"/>
      <c r="M71" s="181">
        <f t="shared" ca="1" si="6"/>
        <v>1</v>
      </c>
      <c r="N71" s="57">
        <f t="shared" ca="1" si="7"/>
        <v>1</v>
      </c>
      <c r="O71" s="68">
        <f t="shared" ca="1" si="8"/>
        <v>0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60" t="str">
        <f t="shared" ca="1" si="9"/>
        <v>Tổ Hạ tầng Đức Hòa</v>
      </c>
      <c r="C72" s="61" t="str">
        <f t="shared" ca="1" si="2"/>
        <v>Nguyễn Thanh Hùng</v>
      </c>
      <c r="D72" s="183">
        <f t="shared" ca="1" si="3"/>
        <v>945562692</v>
      </c>
      <c r="E72" s="63" t="str">
        <f t="shared" ca="1" si="4"/>
        <v>nthung.lan@vnpt.vn</v>
      </c>
      <c r="F72" s="64" t="str">
        <f t="shared" ca="1" si="5"/>
        <v>Lần 2</v>
      </c>
      <c r="G72" s="97">
        <v>46207</v>
      </c>
      <c r="H72" s="121">
        <v>89</v>
      </c>
      <c r="I72" s="121">
        <v>45</v>
      </c>
      <c r="J72" s="99">
        <v>89</v>
      </c>
      <c r="K72" s="99">
        <v>38.5</v>
      </c>
      <c r="L72" s="35"/>
      <c r="M72" s="184">
        <f t="shared" ca="1" si="6"/>
        <v>1</v>
      </c>
      <c r="N72" s="67">
        <f t="shared" ca="1" si="7"/>
        <v>1</v>
      </c>
      <c r="O72" s="68">
        <f t="shared" ca="1" si="8"/>
        <v>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60" t="str">
        <f t="shared" ca="1" si="9"/>
        <v>Tổ Hạ tầng Đức Hòa</v>
      </c>
      <c r="C73" s="61" t="str">
        <f t="shared" ca="1" si="2"/>
        <v>Nguyễn Thanh Hùng</v>
      </c>
      <c r="D73" s="183">
        <f t="shared" ca="1" si="3"/>
        <v>945562692</v>
      </c>
      <c r="E73" s="63" t="str">
        <f t="shared" ca="1" si="4"/>
        <v>nthung.lan@vnpt.vn</v>
      </c>
      <c r="F73" s="64" t="str">
        <f t="shared" ca="1" si="5"/>
        <v>Lần 3</v>
      </c>
      <c r="G73" s="97">
        <v>46209</v>
      </c>
      <c r="H73" s="121">
        <v>102</v>
      </c>
      <c r="I73" s="121">
        <v>37</v>
      </c>
      <c r="J73" s="99">
        <v>75.8</v>
      </c>
      <c r="K73" s="99">
        <v>34.1</v>
      </c>
      <c r="L73" s="35"/>
      <c r="M73" s="184">
        <f t="shared" ca="1" si="6"/>
        <v>1</v>
      </c>
      <c r="N73" s="67">
        <f t="shared" ca="1" si="7"/>
        <v>1</v>
      </c>
      <c r="O73" s="68">
        <f t="shared" ca="1" si="8"/>
        <v>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60" t="str">
        <f t="shared" ca="1" si="9"/>
        <v>Tổ Hạ tầng Đức Hòa</v>
      </c>
      <c r="C74" s="61" t="str">
        <f t="shared" ca="1" si="2"/>
        <v>Nguyễn Thanh Hùng</v>
      </c>
      <c r="D74" s="183">
        <f t="shared" ca="1" si="3"/>
        <v>945562692</v>
      </c>
      <c r="E74" s="63" t="str">
        <f t="shared" ca="1" si="4"/>
        <v>nthung.lan@vnpt.vn</v>
      </c>
      <c r="F74" s="64" t="str">
        <f t="shared" ca="1" si="5"/>
        <v>Lần 4</v>
      </c>
      <c r="G74" s="97">
        <v>46211</v>
      </c>
      <c r="H74" s="121">
        <v>76</v>
      </c>
      <c r="I74" s="121">
        <v>29</v>
      </c>
      <c r="J74" s="99">
        <v>112</v>
      </c>
      <c r="K74" s="99">
        <v>42.4</v>
      </c>
      <c r="L74" s="35"/>
      <c r="M74" s="184">
        <f t="shared" ca="1" si="6"/>
        <v>1</v>
      </c>
      <c r="N74" s="67">
        <f t="shared" ca="1" si="7"/>
        <v>1</v>
      </c>
      <c r="O74" s="68">
        <f t="shared" ca="1" si="8"/>
        <v>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60" t="str">
        <f t="shared" ca="1" si="9"/>
        <v>Tổ Hạ tầng Đức Hòa</v>
      </c>
      <c r="C75" s="61" t="str">
        <f t="shared" ca="1" si="2"/>
        <v>Nguyễn Thanh Hùng</v>
      </c>
      <c r="D75" s="183">
        <f t="shared" ca="1" si="3"/>
        <v>945562692</v>
      </c>
      <c r="E75" s="63" t="str">
        <f t="shared" ca="1" si="4"/>
        <v>nthung.lan@vnpt.vn</v>
      </c>
      <c r="F75" s="64" t="str">
        <f t="shared" ca="1" si="5"/>
        <v>Lần 5</v>
      </c>
      <c r="G75" s="97">
        <v>46212</v>
      </c>
      <c r="H75" s="122">
        <v>93</v>
      </c>
      <c r="I75" s="122">
        <v>39</v>
      </c>
      <c r="J75" s="98">
        <v>101</v>
      </c>
      <c r="K75" s="98">
        <v>32.4</v>
      </c>
      <c r="L75" s="35"/>
      <c r="M75" s="184">
        <f t="shared" ca="1" si="6"/>
        <v>1</v>
      </c>
      <c r="N75" s="67">
        <f t="shared" ca="1" si="7"/>
        <v>1</v>
      </c>
      <c r="O75" s="68">
        <f t="shared" ca="1" si="8"/>
        <v>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60" t="str">
        <f t="shared" ca="1" si="9"/>
        <v>Tổ Hạ tầng Đức Hòa</v>
      </c>
      <c r="C76" s="61" t="str">
        <f t="shared" ca="1" si="2"/>
        <v>Nguyễn Thanh Hùng</v>
      </c>
      <c r="D76" s="183">
        <f t="shared" ca="1" si="3"/>
        <v>945562692</v>
      </c>
      <c r="E76" s="63" t="str">
        <f t="shared" ca="1" si="4"/>
        <v>nthung.lan@vnpt.vn</v>
      </c>
      <c r="F76" s="64" t="str">
        <f t="shared" ca="1" si="5"/>
        <v>Lần 6</v>
      </c>
      <c r="G76" s="97"/>
      <c r="H76" s="122"/>
      <c r="I76" s="122"/>
      <c r="J76" s="98"/>
      <c r="K76" s="98"/>
      <c r="L76" s="35"/>
      <c r="M76" s="184">
        <f t="shared" ca="1" si="6"/>
        <v>0</v>
      </c>
      <c r="N76" s="67">
        <f t="shared" ca="1" si="7"/>
        <v>0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60" t="str">
        <f t="shared" ca="1" si="9"/>
        <v>Tổ Hạ tầng Đức Hòa</v>
      </c>
      <c r="C77" s="61" t="str">
        <f t="shared" ca="1" si="2"/>
        <v>Nguyễn Thanh Hùng</v>
      </c>
      <c r="D77" s="183">
        <f t="shared" ca="1" si="3"/>
        <v>945562692</v>
      </c>
      <c r="E77" s="63" t="str">
        <f t="shared" ca="1" si="4"/>
        <v>nthung.lan@vnpt.vn</v>
      </c>
      <c r="F77" s="64" t="str">
        <f t="shared" ca="1" si="5"/>
        <v>Lần 7</v>
      </c>
      <c r="G77" s="139"/>
      <c r="H77" s="122"/>
      <c r="I77" s="122"/>
      <c r="J77" s="98"/>
      <c r="K77" s="98"/>
      <c r="L77" s="35"/>
      <c r="M77" s="184">
        <f t="shared" ca="1" si="6"/>
        <v>0</v>
      </c>
      <c r="N77" s="67">
        <f t="shared" ca="1" si="7"/>
        <v>0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60" t="str">
        <f t="shared" ca="1" si="9"/>
        <v>Tổ Hạ tầng Đức Hòa</v>
      </c>
      <c r="C78" s="61" t="str">
        <f t="shared" ca="1" si="2"/>
        <v>Nguyễn Thanh Hùng</v>
      </c>
      <c r="D78" s="183">
        <f t="shared" ca="1" si="3"/>
        <v>945562692</v>
      </c>
      <c r="E78" s="63" t="str">
        <f t="shared" ca="1" si="4"/>
        <v>nthung.lan@vnpt.vn</v>
      </c>
      <c r="F78" s="64" t="str">
        <f t="shared" ca="1" si="5"/>
        <v>Lần 8</v>
      </c>
      <c r="G78" s="139"/>
      <c r="H78" s="122"/>
      <c r="I78" s="122"/>
      <c r="J78" s="98"/>
      <c r="K78" s="98"/>
      <c r="L78" s="35"/>
      <c r="M78" s="184">
        <f t="shared" ca="1" si="6"/>
        <v>0</v>
      </c>
      <c r="N78" s="67">
        <f t="shared" ca="1" si="7"/>
        <v>0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60" t="str">
        <f t="shared" ca="1" si="9"/>
        <v>Tổ Hạ tầng Đức Hòa</v>
      </c>
      <c r="C79" s="61" t="str">
        <f t="shared" ca="1" si="2"/>
        <v>Nguyễn Thanh Hùng</v>
      </c>
      <c r="D79" s="183">
        <f t="shared" ca="1" si="3"/>
        <v>945562692</v>
      </c>
      <c r="E79" s="63" t="str">
        <f t="shared" ca="1" si="4"/>
        <v>nthung.lan@vnpt.vn</v>
      </c>
      <c r="F79" s="64" t="str">
        <f t="shared" ca="1" si="5"/>
        <v>Lần 9</v>
      </c>
      <c r="G79" s="139"/>
      <c r="H79" s="122"/>
      <c r="I79" s="122"/>
      <c r="J79" s="98"/>
      <c r="K79" s="98"/>
      <c r="L79" s="91"/>
      <c r="M79" s="184">
        <f t="shared" ca="1" si="6"/>
        <v>0</v>
      </c>
      <c r="N79" s="67">
        <f t="shared" ca="1" si="7"/>
        <v>0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60" t="str">
        <f t="shared" ca="1" si="9"/>
        <v>Tổ Hạ tầng Đức Hòa</v>
      </c>
      <c r="C80" s="61" t="str">
        <f t="shared" ca="1" si="2"/>
        <v>Nguyễn Thanh Hùng</v>
      </c>
      <c r="D80" s="183">
        <f t="shared" ca="1" si="3"/>
        <v>945562692</v>
      </c>
      <c r="E80" s="63" t="str">
        <f t="shared" ca="1" si="4"/>
        <v>nthung.lan@vnpt.vn</v>
      </c>
      <c r="F80" s="64" t="str">
        <f t="shared" ca="1" si="5"/>
        <v>Lần 10</v>
      </c>
      <c r="G80" s="139"/>
      <c r="H80" s="122"/>
      <c r="I80" s="122"/>
      <c r="J80" s="98"/>
      <c r="K80" s="98"/>
      <c r="L80" s="91"/>
      <c r="M80" s="184">
        <f t="shared" ca="1" si="6"/>
        <v>0</v>
      </c>
      <c r="N80" s="67">
        <f t="shared" ca="1" si="7"/>
        <v>0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60" t="str">
        <f t="shared" ca="1" si="9"/>
        <v>Tổ Hạ tầng Đức Hòa</v>
      </c>
      <c r="C81" s="61" t="str">
        <f t="shared" ca="1" si="2"/>
        <v>Nguyễn Thanh Hùng</v>
      </c>
      <c r="D81" s="183">
        <f t="shared" ca="1" si="3"/>
        <v>945562692</v>
      </c>
      <c r="E81" s="63" t="str">
        <f t="shared" ca="1" si="4"/>
        <v>nthung.lan@vnpt.vn</v>
      </c>
      <c r="F81" s="64" t="str">
        <f t="shared" ca="1" si="5"/>
        <v>Lần 11</v>
      </c>
      <c r="G81" s="139"/>
      <c r="H81" s="122"/>
      <c r="I81" s="122"/>
      <c r="J81" s="98"/>
      <c r="K81" s="98"/>
      <c r="L81" s="91"/>
      <c r="M81" s="184">
        <f t="shared" ca="1" si="6"/>
        <v>0</v>
      </c>
      <c r="N81" s="67">
        <f t="shared" ca="1" si="7"/>
        <v>0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60" t="str">
        <f t="shared" ca="1" si="9"/>
        <v>Tổ Hạ tầng Đức Hòa</v>
      </c>
      <c r="C82" s="61" t="str">
        <f t="shared" ca="1" si="2"/>
        <v>Nguyễn Thanh Hùng</v>
      </c>
      <c r="D82" s="183">
        <f t="shared" ca="1" si="3"/>
        <v>945562692</v>
      </c>
      <c r="E82" s="63" t="str">
        <f t="shared" ca="1" si="4"/>
        <v>nthung.lan@vnpt.vn</v>
      </c>
      <c r="F82" s="64" t="str">
        <f t="shared" ca="1" si="5"/>
        <v>Lần 12</v>
      </c>
      <c r="G82" s="139"/>
      <c r="H82" s="122"/>
      <c r="I82" s="122"/>
      <c r="J82" s="98"/>
      <c r="K82" s="98"/>
      <c r="L82" s="91"/>
      <c r="M82" s="184">
        <f t="shared" ca="1" si="6"/>
        <v>0</v>
      </c>
      <c r="N82" s="67">
        <f t="shared" ca="1" si="7"/>
        <v>0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60" t="str">
        <f t="shared" ca="1" si="9"/>
        <v>Tổ Hạ tầng Đức Hòa</v>
      </c>
      <c r="C83" s="61" t="str">
        <f t="shared" ca="1" si="2"/>
        <v>Nguyễn Thanh Hùng</v>
      </c>
      <c r="D83" s="183">
        <f t="shared" ca="1" si="3"/>
        <v>945562692</v>
      </c>
      <c r="E83" s="63" t="str">
        <f t="shared" ca="1" si="4"/>
        <v>nthung.lan@vnpt.vn</v>
      </c>
      <c r="F83" s="64" t="str">
        <f t="shared" ca="1" si="5"/>
        <v>Lần 13</v>
      </c>
      <c r="G83" s="139"/>
      <c r="H83" s="122"/>
      <c r="I83" s="122"/>
      <c r="J83" s="122"/>
      <c r="K83" s="122"/>
      <c r="L83" s="91"/>
      <c r="M83" s="184">
        <f t="shared" ca="1" si="6"/>
        <v>0</v>
      </c>
      <c r="N83" s="67">
        <f t="shared" ca="1" si="7"/>
        <v>0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60" t="str">
        <f t="shared" ca="1" si="9"/>
        <v>Tổ Hạ tầng Đức Hòa</v>
      </c>
      <c r="C84" s="61" t="str">
        <f t="shared" ca="1" si="2"/>
        <v>Nguyễn Thanh Hùng</v>
      </c>
      <c r="D84" s="183">
        <f t="shared" ca="1" si="3"/>
        <v>945562692</v>
      </c>
      <c r="E84" s="63" t="str">
        <f t="shared" ca="1" si="4"/>
        <v>nthung.lan@vnpt.vn</v>
      </c>
      <c r="F84" s="64" t="str">
        <f t="shared" ca="1" si="5"/>
        <v>Lần 14</v>
      </c>
      <c r="G84" s="139"/>
      <c r="H84" s="122"/>
      <c r="I84" s="122"/>
      <c r="J84" s="98"/>
      <c r="K84" s="98"/>
      <c r="L84" s="91"/>
      <c r="M84" s="184">
        <f t="shared" ca="1" si="6"/>
        <v>0</v>
      </c>
      <c r="N84" s="67">
        <f t="shared" ca="1" si="7"/>
        <v>0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60" t="str">
        <f t="shared" ca="1" si="9"/>
        <v>Tổ Hạ tầng Đức Hòa</v>
      </c>
      <c r="C85" s="61" t="str">
        <f t="shared" ca="1" si="2"/>
        <v>Nguyễn Thanh Hùng</v>
      </c>
      <c r="D85" s="183">
        <f t="shared" ca="1" si="3"/>
        <v>945562692</v>
      </c>
      <c r="E85" s="63" t="str">
        <f t="shared" ca="1" si="4"/>
        <v>nthung.lan@vnpt.vn</v>
      </c>
      <c r="F85" s="64" t="str">
        <f t="shared" ca="1" si="5"/>
        <v>Lần 15</v>
      </c>
      <c r="G85" s="139"/>
      <c r="H85" s="122"/>
      <c r="I85" s="122"/>
      <c r="J85" s="98"/>
      <c r="K85" s="98"/>
      <c r="L85" s="91"/>
      <c r="M85" s="184">
        <f t="shared" ca="1" si="6"/>
        <v>0</v>
      </c>
      <c r="N85" s="67">
        <f t="shared" ca="1" si="7"/>
        <v>0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81" t="str">
        <f t="shared" ca="1" si="9"/>
        <v>Tổ Hạ tầng Đức Hòa</v>
      </c>
      <c r="C86" s="82" t="str">
        <f t="shared" ca="1" si="2"/>
        <v>Nguyễn Thanh Hùng</v>
      </c>
      <c r="D86" s="186">
        <f t="shared" ca="1" si="3"/>
        <v>945562692</v>
      </c>
      <c r="E86" s="84" t="str">
        <f t="shared" ca="1" si="4"/>
        <v>nthung.lan@vnpt.vn</v>
      </c>
      <c r="F86" s="85" t="str">
        <f t="shared" ca="1" si="5"/>
        <v>Lần 16</v>
      </c>
      <c r="G86" s="149"/>
      <c r="H86" s="122"/>
      <c r="I86" s="122"/>
      <c r="J86" s="98"/>
      <c r="K86" s="98"/>
      <c r="L86" s="152"/>
      <c r="M86" s="189">
        <f t="shared" ca="1" si="6"/>
        <v>0</v>
      </c>
      <c r="N86" s="171">
        <f t="shared" ca="1" si="7"/>
        <v>0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47" t="str">
        <f t="shared" ca="1" si="9"/>
        <v>Tổ Hạ tầng Đức Hòa</v>
      </c>
      <c r="C87" s="48" t="str">
        <f t="shared" ca="1" si="2"/>
        <v>Hứa Kế Tường</v>
      </c>
      <c r="D87" s="191">
        <f t="shared" ca="1" si="3"/>
        <v>911917719</v>
      </c>
      <c r="E87" s="50" t="str">
        <f t="shared" ca="1" si="4"/>
        <v>tuonghk.lan@vnpt.vn</v>
      </c>
      <c r="F87" s="51" t="str">
        <f t="shared" ca="1" si="5"/>
        <v>Lần 1</v>
      </c>
      <c r="G87" s="70"/>
      <c r="H87" s="71"/>
      <c r="I87" s="71"/>
      <c r="J87" s="94"/>
      <c r="K87" s="71"/>
      <c r="L87" s="216"/>
      <c r="M87" s="194">
        <f t="shared" ca="1" si="6"/>
        <v>0</v>
      </c>
      <c r="N87" s="195">
        <f t="shared" ca="1" si="7"/>
        <v>0</v>
      </c>
      <c r="O87" s="68">
        <f t="shared" ca="1" si="8"/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60" t="str">
        <f t="shared" ca="1" si="9"/>
        <v>Tổ Hạ tầng Đức Hòa</v>
      </c>
      <c r="C88" s="61" t="str">
        <f t="shared" ca="1" si="2"/>
        <v>Hứa Kế Tường</v>
      </c>
      <c r="D88" s="183">
        <f t="shared" ca="1" si="3"/>
        <v>911917719</v>
      </c>
      <c r="E88" s="63" t="str">
        <f t="shared" ca="1" si="4"/>
        <v>tuonghk.lan@vnpt.vn</v>
      </c>
      <c r="F88" s="64" t="str">
        <f t="shared" ca="1" si="5"/>
        <v>Lần 2</v>
      </c>
      <c r="G88" s="76"/>
      <c r="H88" s="71"/>
      <c r="I88" s="71"/>
      <c r="J88" s="94"/>
      <c r="K88" s="94"/>
      <c r="L88" s="96"/>
      <c r="M88" s="184">
        <f t="shared" ca="1" si="6"/>
        <v>0</v>
      </c>
      <c r="N88" s="67">
        <f t="shared" ca="1" si="7"/>
        <v>0</v>
      </c>
      <c r="O88" s="68">
        <f t="shared" ca="1" si="8"/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60" t="str">
        <f t="shared" ca="1" si="9"/>
        <v>Tổ Hạ tầng Đức Hòa</v>
      </c>
      <c r="C89" s="61" t="str">
        <f t="shared" ca="1" si="2"/>
        <v>Hứa Kế Tường</v>
      </c>
      <c r="D89" s="183">
        <f t="shared" ca="1" si="3"/>
        <v>911917719</v>
      </c>
      <c r="E89" s="63" t="str">
        <f t="shared" ca="1" si="4"/>
        <v>tuonghk.lan@vnpt.vn</v>
      </c>
      <c r="F89" s="64" t="str">
        <f t="shared" ca="1" si="5"/>
        <v>Lần 3</v>
      </c>
      <c r="G89" s="76"/>
      <c r="H89" s="71"/>
      <c r="I89" s="71"/>
      <c r="J89" s="94"/>
      <c r="K89" s="71"/>
      <c r="L89" s="96"/>
      <c r="M89" s="184">
        <f t="shared" ca="1" si="6"/>
        <v>0</v>
      </c>
      <c r="N89" s="67">
        <f t="shared" ca="1" si="7"/>
        <v>0</v>
      </c>
      <c r="O89" s="68">
        <f t="shared" ca="1" si="8"/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60" t="str">
        <f t="shared" ca="1" si="9"/>
        <v>Tổ Hạ tầng Đức Hòa</v>
      </c>
      <c r="C90" s="61" t="str">
        <f t="shared" ca="1" si="2"/>
        <v>Hứa Kế Tường</v>
      </c>
      <c r="D90" s="183">
        <f t="shared" ca="1" si="3"/>
        <v>911917719</v>
      </c>
      <c r="E90" s="63" t="str">
        <f t="shared" ca="1" si="4"/>
        <v>tuonghk.lan@vnpt.vn</v>
      </c>
      <c r="F90" s="64" t="str">
        <f t="shared" ca="1" si="5"/>
        <v>Lần 4</v>
      </c>
      <c r="G90" s="76"/>
      <c r="H90" s="71"/>
      <c r="I90" s="71"/>
      <c r="J90" s="94"/>
      <c r="K90" s="94"/>
      <c r="L90" s="95"/>
      <c r="M90" s="184">
        <f t="shared" ca="1" si="6"/>
        <v>0</v>
      </c>
      <c r="N90" s="67">
        <f t="shared" ca="1" si="7"/>
        <v>0</v>
      </c>
      <c r="O90" s="68">
        <f t="shared" ca="1" si="8"/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60" t="str">
        <f t="shared" ca="1" si="9"/>
        <v>Tổ Hạ tầng Đức Hòa</v>
      </c>
      <c r="C91" s="61" t="str">
        <f t="shared" ca="1" si="2"/>
        <v>Hứa Kế Tường</v>
      </c>
      <c r="D91" s="183">
        <f t="shared" ca="1" si="3"/>
        <v>911917719</v>
      </c>
      <c r="E91" s="63" t="str">
        <f t="shared" ca="1" si="4"/>
        <v>tuonghk.lan@vnpt.vn</v>
      </c>
      <c r="F91" s="64" t="str">
        <f t="shared" ca="1" si="5"/>
        <v>Lần 5</v>
      </c>
      <c r="G91" s="76"/>
      <c r="H91" s="75"/>
      <c r="I91" s="75"/>
      <c r="J91" s="94"/>
      <c r="K91" s="71"/>
      <c r="L91" s="95"/>
      <c r="M91" s="184">
        <f t="shared" ca="1" si="6"/>
        <v>0</v>
      </c>
      <c r="N91" s="67">
        <f t="shared" ca="1" si="7"/>
        <v>0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60" t="str">
        <f t="shared" ca="1" si="9"/>
        <v>Tổ Hạ tầng Đức Hòa</v>
      </c>
      <c r="C92" s="61" t="str">
        <f t="shared" ca="1" si="2"/>
        <v>Hứa Kế Tường</v>
      </c>
      <c r="D92" s="183">
        <f t="shared" ca="1" si="3"/>
        <v>911917719</v>
      </c>
      <c r="E92" s="63" t="str">
        <f t="shared" ca="1" si="4"/>
        <v>tuonghk.lan@vnpt.vn</v>
      </c>
      <c r="F92" s="64" t="str">
        <f t="shared" ca="1" si="5"/>
        <v>Lần 6</v>
      </c>
      <c r="G92" s="76"/>
      <c r="H92" s="75"/>
      <c r="I92" s="75"/>
      <c r="J92" s="94"/>
      <c r="K92" s="94"/>
      <c r="L92" s="95"/>
      <c r="M92" s="184">
        <f t="shared" ca="1" si="6"/>
        <v>0</v>
      </c>
      <c r="N92" s="67">
        <f t="shared" ca="1" si="7"/>
        <v>0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60" t="str">
        <f t="shared" ca="1" si="9"/>
        <v>Tổ Hạ tầng Đức Hòa</v>
      </c>
      <c r="C93" s="61" t="str">
        <f t="shared" ca="1" si="2"/>
        <v>Hứa Kế Tường</v>
      </c>
      <c r="D93" s="183">
        <f t="shared" ca="1" si="3"/>
        <v>911917719</v>
      </c>
      <c r="E93" s="63" t="str">
        <f t="shared" ca="1" si="4"/>
        <v>tuonghk.lan@vnpt.vn</v>
      </c>
      <c r="F93" s="64" t="str">
        <f t="shared" ca="1" si="5"/>
        <v>Lần 7</v>
      </c>
      <c r="G93" s="76"/>
      <c r="H93" s="75"/>
      <c r="I93" s="75"/>
      <c r="J93" s="94"/>
      <c r="K93" s="94"/>
      <c r="L93" s="95"/>
      <c r="M93" s="184">
        <f t="shared" ca="1" si="6"/>
        <v>0</v>
      </c>
      <c r="N93" s="67">
        <f t="shared" ca="1" si="7"/>
        <v>0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60" t="str">
        <f t="shared" ca="1" si="9"/>
        <v>Tổ Hạ tầng Đức Hòa</v>
      </c>
      <c r="C94" s="61" t="str">
        <f t="shared" ca="1" si="2"/>
        <v>Hứa Kế Tường</v>
      </c>
      <c r="D94" s="183">
        <f t="shared" ca="1" si="3"/>
        <v>911917719</v>
      </c>
      <c r="E94" s="63" t="str">
        <f t="shared" ca="1" si="4"/>
        <v>tuonghk.lan@vnpt.vn</v>
      </c>
      <c r="F94" s="64" t="str">
        <f t="shared" ca="1" si="5"/>
        <v>Lần 8</v>
      </c>
      <c r="G94" s="76"/>
      <c r="H94" s="75"/>
      <c r="I94" s="75"/>
      <c r="J94" s="94"/>
      <c r="K94" s="94"/>
      <c r="L94" s="95"/>
      <c r="M94" s="184">
        <f t="shared" ca="1" si="6"/>
        <v>0</v>
      </c>
      <c r="N94" s="67">
        <f t="shared" ca="1" si="7"/>
        <v>0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60" t="str">
        <f t="shared" ca="1" si="9"/>
        <v>Tổ Hạ tầng Đức Hòa</v>
      </c>
      <c r="C95" s="61" t="str">
        <f t="shared" ca="1" si="2"/>
        <v>Hứa Kế Tường</v>
      </c>
      <c r="D95" s="183">
        <f t="shared" ca="1" si="3"/>
        <v>911917719</v>
      </c>
      <c r="E95" s="63" t="str">
        <f t="shared" ca="1" si="4"/>
        <v>tuonghk.lan@vnpt.vn</v>
      </c>
      <c r="F95" s="64" t="str">
        <f t="shared" ca="1" si="5"/>
        <v>Lần 9</v>
      </c>
      <c r="G95" s="76"/>
      <c r="H95" s="75"/>
      <c r="I95" s="75"/>
      <c r="J95" s="94"/>
      <c r="K95" s="94"/>
      <c r="L95" s="95"/>
      <c r="M95" s="184">
        <f t="shared" ca="1" si="6"/>
        <v>0</v>
      </c>
      <c r="N95" s="67">
        <f t="shared" ca="1" si="7"/>
        <v>0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60" t="str">
        <f t="shared" ca="1" si="9"/>
        <v>Tổ Hạ tầng Đức Hòa</v>
      </c>
      <c r="C96" s="61" t="str">
        <f t="shared" ca="1" si="2"/>
        <v>Hứa Kế Tường</v>
      </c>
      <c r="D96" s="183">
        <f t="shared" ca="1" si="3"/>
        <v>911917719</v>
      </c>
      <c r="E96" s="63" t="str">
        <f t="shared" ca="1" si="4"/>
        <v>tuonghk.lan@vnpt.vn</v>
      </c>
      <c r="F96" s="64" t="str">
        <f t="shared" ca="1" si="5"/>
        <v>Lần 10</v>
      </c>
      <c r="G96" s="76"/>
      <c r="H96" s="75"/>
      <c r="I96" s="75"/>
      <c r="J96" s="94"/>
      <c r="K96" s="94"/>
      <c r="L96" s="95"/>
      <c r="M96" s="184">
        <f t="shared" ca="1" si="6"/>
        <v>0</v>
      </c>
      <c r="N96" s="67">
        <f t="shared" ref="N96:N110" ca="1" si="10">IF(B96="","",IF(OR(G96="",J95="",K96=""),0,1))</f>
        <v>0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60" t="str">
        <f t="shared" ca="1" si="9"/>
        <v>Tổ Hạ tầng Đức Hòa</v>
      </c>
      <c r="C97" s="61" t="str">
        <f t="shared" ca="1" si="2"/>
        <v>Hứa Kế Tường</v>
      </c>
      <c r="D97" s="183">
        <f t="shared" ca="1" si="3"/>
        <v>911917719</v>
      </c>
      <c r="E97" s="63" t="str">
        <f t="shared" ca="1" si="4"/>
        <v>tuonghk.lan@vnpt.vn</v>
      </c>
      <c r="F97" s="64" t="str">
        <f t="shared" ca="1" si="5"/>
        <v>Lần 11</v>
      </c>
      <c r="G97" s="76"/>
      <c r="H97" s="75"/>
      <c r="I97" s="75"/>
      <c r="J97" s="94"/>
      <c r="K97" s="94"/>
      <c r="L97" s="95"/>
      <c r="M97" s="184">
        <f t="shared" ca="1" si="6"/>
        <v>0</v>
      </c>
      <c r="N97" s="67">
        <f t="shared" ca="1" si="10"/>
        <v>0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60" t="str">
        <f t="shared" ca="1" si="9"/>
        <v>Tổ Hạ tầng Đức Hòa</v>
      </c>
      <c r="C98" s="61" t="str">
        <f t="shared" ca="1" si="2"/>
        <v>Hứa Kế Tường</v>
      </c>
      <c r="D98" s="183">
        <f t="shared" ca="1" si="3"/>
        <v>911917719</v>
      </c>
      <c r="E98" s="63" t="str">
        <f t="shared" ca="1" si="4"/>
        <v>tuonghk.lan@vnpt.vn</v>
      </c>
      <c r="F98" s="64" t="str">
        <f t="shared" ca="1" si="5"/>
        <v>Lần 12</v>
      </c>
      <c r="G98" s="76"/>
      <c r="H98" s="75"/>
      <c r="I98" s="75"/>
      <c r="J98" s="94"/>
      <c r="K98" s="94"/>
      <c r="L98" s="96"/>
      <c r="M98" s="184">
        <f t="shared" ca="1" si="6"/>
        <v>0</v>
      </c>
      <c r="N98" s="67">
        <f t="shared" ca="1" si="10"/>
        <v>0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60" t="str">
        <f t="shared" ca="1" si="9"/>
        <v>Tổ Hạ tầng Đức Hòa</v>
      </c>
      <c r="C99" s="61" t="str">
        <f t="shared" ca="1" si="2"/>
        <v>Hứa Kế Tường</v>
      </c>
      <c r="D99" s="183">
        <f t="shared" ca="1" si="3"/>
        <v>911917719</v>
      </c>
      <c r="E99" s="63" t="str">
        <f t="shared" ca="1" si="4"/>
        <v>tuonghk.lan@vnpt.vn</v>
      </c>
      <c r="F99" s="64" t="str">
        <f t="shared" ca="1" si="5"/>
        <v>Lần 13</v>
      </c>
      <c r="G99" s="76"/>
      <c r="H99" s="75"/>
      <c r="I99" s="75"/>
      <c r="J99" s="94"/>
      <c r="K99" s="71"/>
      <c r="L99" s="96"/>
      <c r="M99" s="184">
        <f t="shared" ca="1" si="6"/>
        <v>0</v>
      </c>
      <c r="N99" s="67">
        <f t="shared" ca="1" si="10"/>
        <v>0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60" t="str">
        <f t="shared" ca="1" si="9"/>
        <v>Tổ Hạ tầng Đức Hòa</v>
      </c>
      <c r="C100" s="61" t="str">
        <f t="shared" ca="1" si="2"/>
        <v>Hứa Kế Tường</v>
      </c>
      <c r="D100" s="183">
        <f t="shared" ca="1" si="3"/>
        <v>911917719</v>
      </c>
      <c r="E100" s="63" t="str">
        <f t="shared" ca="1" si="4"/>
        <v>tuonghk.lan@vnpt.vn</v>
      </c>
      <c r="F100" s="64" t="str">
        <f t="shared" ca="1" si="5"/>
        <v>Lần 14</v>
      </c>
      <c r="G100" s="76"/>
      <c r="H100" s="75"/>
      <c r="I100" s="75"/>
      <c r="J100" s="94"/>
      <c r="K100" s="94"/>
      <c r="L100" s="96"/>
      <c r="M100" s="184">
        <f t="shared" ca="1" si="6"/>
        <v>0</v>
      </c>
      <c r="N100" s="67">
        <f t="shared" ca="1" si="10"/>
        <v>0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60" t="str">
        <f t="shared" ca="1" si="9"/>
        <v>Tổ Hạ tầng Đức Hòa</v>
      </c>
      <c r="C101" s="61" t="str">
        <f t="shared" ca="1" si="2"/>
        <v>Hứa Kế Tường</v>
      </c>
      <c r="D101" s="183">
        <f t="shared" ca="1" si="3"/>
        <v>911917719</v>
      </c>
      <c r="E101" s="63" t="str">
        <f t="shared" ca="1" si="4"/>
        <v>tuonghk.lan@vnpt.vn</v>
      </c>
      <c r="F101" s="64" t="str">
        <f t="shared" ca="1" si="5"/>
        <v>Lần 15</v>
      </c>
      <c r="G101" s="76"/>
      <c r="H101" s="75"/>
      <c r="I101" s="75"/>
      <c r="J101" s="94"/>
      <c r="K101" s="94"/>
      <c r="L101" s="96"/>
      <c r="M101" s="184">
        <f t="shared" ca="1" si="6"/>
        <v>0</v>
      </c>
      <c r="N101" s="67">
        <f t="shared" ca="1" si="10"/>
        <v>0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01" t="str">
        <f t="shared" ca="1" si="9"/>
        <v>Tổ Hạ tầng Đức Hòa</v>
      </c>
      <c r="C102" s="102" t="str">
        <f t="shared" ca="1" si="2"/>
        <v>Hứa Kế Tường</v>
      </c>
      <c r="D102" s="197">
        <f t="shared" ca="1" si="3"/>
        <v>911917719</v>
      </c>
      <c r="E102" s="104" t="str">
        <f t="shared" ca="1" si="4"/>
        <v>tuonghk.lan@vnpt.vn</v>
      </c>
      <c r="F102" s="105" t="str">
        <f t="shared" ca="1" si="5"/>
        <v>Lần 16</v>
      </c>
      <c r="G102" s="236"/>
      <c r="H102" s="75"/>
      <c r="I102" s="75"/>
      <c r="J102" s="75"/>
      <c r="K102" s="94"/>
      <c r="L102" s="201"/>
      <c r="M102" s="202">
        <f t="shared" ca="1" si="6"/>
        <v>0</v>
      </c>
      <c r="N102" s="203">
        <f t="shared" ca="1" si="10"/>
        <v>0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107" t="str">
        <f t="shared" ca="1" si="9"/>
        <v>Tổ Hạ tầng Đức Hòa</v>
      </c>
      <c r="C103" s="108" t="str">
        <f t="shared" ca="1" si="2"/>
        <v>Lại Quang Vinh</v>
      </c>
      <c r="D103" s="205">
        <f t="shared" ca="1" si="3"/>
        <v>912223973</v>
      </c>
      <c r="E103" s="110" t="str">
        <f t="shared" ca="1" si="4"/>
        <v>vinhlq.lan@vnpt.vn</v>
      </c>
      <c r="F103" s="111" t="str">
        <f t="shared" ca="1" si="5"/>
        <v>Lần 1</v>
      </c>
      <c r="G103" s="192"/>
      <c r="H103" s="98"/>
      <c r="I103" s="99"/>
      <c r="J103" s="98"/>
      <c r="K103" s="99"/>
      <c r="L103" s="213"/>
      <c r="M103" s="181">
        <f t="shared" ca="1" si="6"/>
        <v>0</v>
      </c>
      <c r="N103" s="57">
        <f t="shared" ca="1" si="10"/>
        <v>0</v>
      </c>
      <c r="O103" s="68">
        <f t="shared" ca="1" si="8"/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60" t="str">
        <f t="shared" ca="1" si="9"/>
        <v>Tổ Hạ tầng Đức Hòa</v>
      </c>
      <c r="C104" s="61" t="str">
        <f t="shared" ca="1" si="2"/>
        <v>Lại Quang Vinh</v>
      </c>
      <c r="D104" s="183">
        <f t="shared" ca="1" si="3"/>
        <v>912223973</v>
      </c>
      <c r="E104" s="63" t="str">
        <f t="shared" ca="1" si="4"/>
        <v>vinhlq.lan@vnpt.vn</v>
      </c>
      <c r="F104" s="64" t="str">
        <f t="shared" ca="1" si="5"/>
        <v>Lần 2</v>
      </c>
      <c r="G104" s="192"/>
      <c r="H104" s="99"/>
      <c r="I104" s="98"/>
      <c r="J104" s="99"/>
      <c r="K104" s="98"/>
      <c r="L104" s="88"/>
      <c r="M104" s="184">
        <f t="shared" ca="1" si="6"/>
        <v>0</v>
      </c>
      <c r="N104" s="67">
        <f t="shared" ca="1" si="10"/>
        <v>0</v>
      </c>
      <c r="O104" s="68">
        <f t="shared" ca="1" si="8"/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60" t="str">
        <f t="shared" ca="1" si="9"/>
        <v>Tổ Hạ tầng Đức Hòa</v>
      </c>
      <c r="C105" s="61" t="str">
        <f t="shared" ca="1" si="2"/>
        <v>Lại Quang Vinh</v>
      </c>
      <c r="D105" s="183">
        <f t="shared" ca="1" si="3"/>
        <v>912223973</v>
      </c>
      <c r="E105" s="63" t="str">
        <f t="shared" ca="1" si="4"/>
        <v>vinhlq.lan@vnpt.vn</v>
      </c>
      <c r="F105" s="64" t="str">
        <f t="shared" ca="1" si="5"/>
        <v>Lần 3</v>
      </c>
      <c r="G105" s="192"/>
      <c r="H105" s="99"/>
      <c r="I105" s="99"/>
      <c r="J105" s="99"/>
      <c r="K105" s="99"/>
      <c r="L105" s="88"/>
      <c r="M105" s="184">
        <f t="shared" ca="1" si="6"/>
        <v>0</v>
      </c>
      <c r="N105" s="67">
        <f t="shared" ca="1" si="10"/>
        <v>0</v>
      </c>
      <c r="O105" s="68">
        <f t="shared" ca="1" si="8"/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60" t="str">
        <f t="shared" ca="1" si="9"/>
        <v>Tổ Hạ tầng Đức Hòa</v>
      </c>
      <c r="C106" s="61" t="str">
        <f t="shared" ca="1" si="2"/>
        <v>Lại Quang Vinh</v>
      </c>
      <c r="D106" s="183">
        <f t="shared" ca="1" si="3"/>
        <v>912223973</v>
      </c>
      <c r="E106" s="63" t="str">
        <f t="shared" ca="1" si="4"/>
        <v>vinhlq.lan@vnpt.vn</v>
      </c>
      <c r="F106" s="64" t="str">
        <f t="shared" ca="1" si="5"/>
        <v>Lần 4</v>
      </c>
      <c r="G106" s="192"/>
      <c r="H106" s="98"/>
      <c r="I106" s="99"/>
      <c r="J106" s="98"/>
      <c r="K106" s="99"/>
      <c r="L106" s="88"/>
      <c r="M106" s="184">
        <f t="shared" ca="1" si="6"/>
        <v>0</v>
      </c>
      <c r="N106" s="67">
        <f t="shared" ca="1" si="10"/>
        <v>0</v>
      </c>
      <c r="O106" s="68">
        <f t="shared" ca="1" si="8"/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60" t="str">
        <f t="shared" ca="1" si="9"/>
        <v>Tổ Hạ tầng Đức Hòa</v>
      </c>
      <c r="C107" s="61" t="str">
        <f t="shared" ca="1" si="2"/>
        <v>Lại Quang Vinh</v>
      </c>
      <c r="D107" s="183">
        <f t="shared" ca="1" si="3"/>
        <v>912223973</v>
      </c>
      <c r="E107" s="63" t="str">
        <f t="shared" ca="1" si="4"/>
        <v>vinhlq.lan@vnpt.vn</v>
      </c>
      <c r="F107" s="64" t="str">
        <f t="shared" ca="1" si="5"/>
        <v>Lần 5</v>
      </c>
      <c r="G107" s="192"/>
      <c r="H107" s="98"/>
      <c r="I107" s="98"/>
      <c r="J107" s="98"/>
      <c r="K107" s="98"/>
      <c r="L107" s="88"/>
      <c r="M107" s="184">
        <f t="shared" ca="1" si="6"/>
        <v>0</v>
      </c>
      <c r="N107" s="67">
        <f t="shared" ca="1" si="10"/>
        <v>0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60" t="str">
        <f t="shared" ca="1" si="9"/>
        <v>Tổ Hạ tầng Đức Hòa</v>
      </c>
      <c r="C108" s="61" t="str">
        <f t="shared" ca="1" si="2"/>
        <v>Lại Quang Vinh</v>
      </c>
      <c r="D108" s="183">
        <f t="shared" ca="1" si="3"/>
        <v>912223973</v>
      </c>
      <c r="E108" s="63" t="str">
        <f t="shared" ca="1" si="4"/>
        <v>vinhlq.lan@vnpt.vn</v>
      </c>
      <c r="F108" s="64" t="str">
        <f t="shared" ca="1" si="5"/>
        <v>Lần 6</v>
      </c>
      <c r="G108" s="192"/>
      <c r="H108" s="98"/>
      <c r="I108" s="98"/>
      <c r="J108" s="98"/>
      <c r="K108" s="98"/>
      <c r="L108" s="88"/>
      <c r="M108" s="184">
        <f t="shared" ca="1" si="6"/>
        <v>0</v>
      </c>
      <c r="N108" s="67">
        <f t="shared" ca="1" si="10"/>
        <v>0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60" t="str">
        <f t="shared" ca="1" si="9"/>
        <v>Tổ Hạ tầng Đức Hòa</v>
      </c>
      <c r="C109" s="61" t="str">
        <f t="shared" ca="1" si="2"/>
        <v>Lại Quang Vinh</v>
      </c>
      <c r="D109" s="183">
        <f t="shared" ca="1" si="3"/>
        <v>912223973</v>
      </c>
      <c r="E109" s="63" t="str">
        <f t="shared" ca="1" si="4"/>
        <v>vinhlq.lan@vnpt.vn</v>
      </c>
      <c r="F109" s="64" t="str">
        <f t="shared" ca="1" si="5"/>
        <v>Lần 7</v>
      </c>
      <c r="G109" s="192"/>
      <c r="H109" s="98"/>
      <c r="I109" s="98"/>
      <c r="J109" s="98"/>
      <c r="K109" s="98"/>
      <c r="L109" s="88"/>
      <c r="M109" s="184">
        <f t="shared" ca="1" si="6"/>
        <v>0</v>
      </c>
      <c r="N109" s="67">
        <f t="shared" ca="1" si="10"/>
        <v>0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60" t="str">
        <f t="shared" ca="1" si="9"/>
        <v>Tổ Hạ tầng Đức Hòa</v>
      </c>
      <c r="C110" s="61" t="str">
        <f t="shared" ca="1" si="2"/>
        <v>Lại Quang Vinh</v>
      </c>
      <c r="D110" s="183">
        <f t="shared" ca="1" si="3"/>
        <v>912223973</v>
      </c>
      <c r="E110" s="63" t="str">
        <f t="shared" ca="1" si="4"/>
        <v>vinhlq.lan@vnpt.vn</v>
      </c>
      <c r="F110" s="64" t="str">
        <f t="shared" ca="1" si="5"/>
        <v>Lần 8</v>
      </c>
      <c r="G110" s="192"/>
      <c r="H110" s="237"/>
      <c r="I110" s="98"/>
      <c r="J110" s="23"/>
      <c r="K110" s="98"/>
      <c r="L110" s="88"/>
      <c r="M110" s="184">
        <f t="shared" ca="1" si="6"/>
        <v>0</v>
      </c>
      <c r="N110" s="67">
        <f t="shared" ca="1" si="10"/>
        <v>0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60" t="str">
        <f t="shared" ca="1" si="9"/>
        <v>Tổ Hạ tầng Đức Hòa</v>
      </c>
      <c r="C111" s="61" t="str">
        <f t="shared" ca="1" si="2"/>
        <v>Lại Quang Vinh</v>
      </c>
      <c r="D111" s="183">
        <f t="shared" ca="1" si="3"/>
        <v>912223973</v>
      </c>
      <c r="E111" s="63" t="str">
        <f t="shared" ca="1" si="4"/>
        <v>vinhlq.lan@vnpt.vn</v>
      </c>
      <c r="F111" s="64" t="str">
        <f t="shared" ca="1" si="5"/>
        <v>Lần 9</v>
      </c>
      <c r="G111" s="192"/>
      <c r="H111" s="98"/>
      <c r="I111" s="98"/>
      <c r="J111" s="98"/>
      <c r="K111" s="98"/>
      <c r="L111" s="88"/>
      <c r="M111" s="184">
        <f t="shared" ca="1" si="6"/>
        <v>0</v>
      </c>
      <c r="N111" s="67">
        <f t="shared" ref="N111:N119" ca="1" si="11">IF(B111="","",IF(OR(G111="",J111="",K111=""),0,1))</f>
        <v>0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60" t="str">
        <f t="shared" ca="1" si="9"/>
        <v>Tổ Hạ tầng Đức Hòa</v>
      </c>
      <c r="C112" s="61" t="str">
        <f t="shared" ca="1" si="2"/>
        <v>Lại Quang Vinh</v>
      </c>
      <c r="D112" s="183">
        <f t="shared" ca="1" si="3"/>
        <v>912223973</v>
      </c>
      <c r="E112" s="63" t="str">
        <f t="shared" ca="1" si="4"/>
        <v>vinhlq.lan@vnpt.vn</v>
      </c>
      <c r="F112" s="64" t="str">
        <f t="shared" ca="1" si="5"/>
        <v>Lần 10</v>
      </c>
      <c r="G112" s="192"/>
      <c r="H112" s="98"/>
      <c r="I112" s="98"/>
      <c r="J112" s="98"/>
      <c r="K112" s="98"/>
      <c r="L112" s="88"/>
      <c r="M112" s="184">
        <f t="shared" ca="1" si="6"/>
        <v>0</v>
      </c>
      <c r="N112" s="67">
        <f t="shared" ca="1" si="11"/>
        <v>0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60" t="str">
        <f t="shared" ca="1" si="9"/>
        <v>Tổ Hạ tầng Đức Hòa</v>
      </c>
      <c r="C113" s="61" t="str">
        <f t="shared" ca="1" si="2"/>
        <v>Lại Quang Vinh</v>
      </c>
      <c r="D113" s="183">
        <f t="shared" ca="1" si="3"/>
        <v>912223973</v>
      </c>
      <c r="E113" s="63" t="str">
        <f t="shared" ca="1" si="4"/>
        <v>vinhlq.lan@vnpt.vn</v>
      </c>
      <c r="F113" s="64" t="str">
        <f t="shared" ca="1" si="5"/>
        <v>Lần 11</v>
      </c>
      <c r="G113" s="192"/>
      <c r="H113" s="98"/>
      <c r="I113" s="98"/>
      <c r="J113" s="98"/>
      <c r="K113" s="98"/>
      <c r="L113" s="88"/>
      <c r="M113" s="184">
        <f t="shared" ca="1" si="6"/>
        <v>0</v>
      </c>
      <c r="N113" s="67">
        <f t="shared" ca="1" si="11"/>
        <v>0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60" t="str">
        <f t="shared" ca="1" si="9"/>
        <v>Tổ Hạ tầng Đức Hòa</v>
      </c>
      <c r="C114" s="61" t="str">
        <f t="shared" ca="1" si="2"/>
        <v>Lại Quang Vinh</v>
      </c>
      <c r="D114" s="183">
        <f t="shared" ca="1" si="3"/>
        <v>912223973</v>
      </c>
      <c r="E114" s="63" t="str">
        <f t="shared" ca="1" si="4"/>
        <v>vinhlq.lan@vnpt.vn</v>
      </c>
      <c r="F114" s="64" t="str">
        <f t="shared" ca="1" si="5"/>
        <v>Lần 12</v>
      </c>
      <c r="G114" s="192"/>
      <c r="H114" s="98"/>
      <c r="I114" s="98"/>
      <c r="J114" s="98"/>
      <c r="K114" s="98"/>
      <c r="L114" s="88"/>
      <c r="M114" s="184">
        <f t="shared" ca="1" si="6"/>
        <v>0</v>
      </c>
      <c r="N114" s="67">
        <f t="shared" ca="1" si="11"/>
        <v>0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60" t="str">
        <f t="shared" ca="1" si="9"/>
        <v>Tổ Hạ tầng Đức Hòa</v>
      </c>
      <c r="C115" s="61" t="str">
        <f t="shared" ca="1" si="2"/>
        <v>Lại Quang Vinh</v>
      </c>
      <c r="D115" s="183">
        <f t="shared" ca="1" si="3"/>
        <v>912223973</v>
      </c>
      <c r="E115" s="63" t="str">
        <f t="shared" ca="1" si="4"/>
        <v>vinhlq.lan@vnpt.vn</v>
      </c>
      <c r="F115" s="64" t="str">
        <f t="shared" ca="1" si="5"/>
        <v>Lần 13</v>
      </c>
      <c r="G115" s="192"/>
      <c r="H115" s="98"/>
      <c r="I115" s="98"/>
      <c r="J115" s="98"/>
      <c r="K115" s="98"/>
      <c r="L115" s="88"/>
      <c r="M115" s="184">
        <f t="shared" ca="1" si="6"/>
        <v>0</v>
      </c>
      <c r="N115" s="67">
        <f t="shared" ca="1" si="11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60" t="str">
        <f t="shared" ca="1" si="9"/>
        <v>Tổ Hạ tầng Đức Hòa</v>
      </c>
      <c r="C116" s="61" t="str">
        <f t="shared" ca="1" si="2"/>
        <v>Lại Quang Vinh</v>
      </c>
      <c r="D116" s="183">
        <f t="shared" ca="1" si="3"/>
        <v>912223973</v>
      </c>
      <c r="E116" s="63" t="str">
        <f t="shared" ca="1" si="4"/>
        <v>vinhlq.lan@vnpt.vn</v>
      </c>
      <c r="F116" s="64" t="str">
        <f t="shared" ca="1" si="5"/>
        <v>Lần 14</v>
      </c>
      <c r="G116" s="192"/>
      <c r="H116" s="98"/>
      <c r="I116" s="98"/>
      <c r="J116" s="98"/>
      <c r="K116" s="98"/>
      <c r="L116" s="88"/>
      <c r="M116" s="184">
        <f t="shared" ca="1" si="6"/>
        <v>0</v>
      </c>
      <c r="N116" s="67">
        <f t="shared" ca="1" si="11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60" t="str">
        <f t="shared" ca="1" si="9"/>
        <v>Tổ Hạ tầng Đức Hòa</v>
      </c>
      <c r="C117" s="61" t="str">
        <f t="shared" ca="1" si="2"/>
        <v>Lại Quang Vinh</v>
      </c>
      <c r="D117" s="183">
        <f t="shared" ca="1" si="3"/>
        <v>912223973</v>
      </c>
      <c r="E117" s="63" t="str">
        <f t="shared" ca="1" si="4"/>
        <v>vinhlq.lan@vnpt.vn</v>
      </c>
      <c r="F117" s="64" t="str">
        <f t="shared" ca="1" si="5"/>
        <v>Lần 15</v>
      </c>
      <c r="G117" s="192"/>
      <c r="H117" s="98"/>
      <c r="I117" s="98"/>
      <c r="J117" s="98"/>
      <c r="K117" s="98"/>
      <c r="L117" s="88"/>
      <c r="M117" s="184">
        <f t="shared" ca="1" si="6"/>
        <v>0</v>
      </c>
      <c r="N117" s="67">
        <f t="shared" ca="1" si="11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81" t="str">
        <f t="shared" ca="1" si="9"/>
        <v>Tổ Hạ tầng Đức Hòa</v>
      </c>
      <c r="C118" s="82" t="str">
        <f t="shared" ca="1" si="2"/>
        <v>Lại Quang Vinh</v>
      </c>
      <c r="D118" s="186">
        <f t="shared" ca="1" si="3"/>
        <v>912223973</v>
      </c>
      <c r="E118" s="84" t="str">
        <f t="shared" ca="1" si="4"/>
        <v>vinhlq.lan@vnpt.vn</v>
      </c>
      <c r="F118" s="85" t="str">
        <f t="shared" ca="1" si="5"/>
        <v>Lần 16</v>
      </c>
      <c r="G118" s="192"/>
      <c r="H118" s="98"/>
      <c r="I118" s="98"/>
      <c r="J118" s="98"/>
      <c r="K118" s="98"/>
      <c r="L118" s="218"/>
      <c r="M118" s="189">
        <f t="shared" ca="1" si="6"/>
        <v>0</v>
      </c>
      <c r="N118" s="67">
        <f t="shared" ca="1" si="11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47" t="str">
        <f t="shared" ca="1" si="9"/>
        <v>Tổ Hạ tầng Đức Hòa</v>
      </c>
      <c r="C119" s="48" t="str">
        <f t="shared" ca="1" si="2"/>
        <v>Thái Duy Lâm</v>
      </c>
      <c r="D119" s="238" t="str">
        <f t="shared" ca="1" si="3"/>
        <v>0837821860</v>
      </c>
      <c r="E119" s="50" t="str">
        <f t="shared" ca="1" si="4"/>
        <v>lamdt.lan@vnpt.vn</v>
      </c>
      <c r="F119" s="51" t="str">
        <f t="shared" ca="1" si="5"/>
        <v>Lần 1</v>
      </c>
      <c r="G119" s="70"/>
      <c r="H119" s="71"/>
      <c r="I119" s="71"/>
      <c r="J119" s="94"/>
      <c r="K119" s="94"/>
      <c r="L119" s="35"/>
      <c r="M119" s="194">
        <f t="shared" ca="1" si="6"/>
        <v>0</v>
      </c>
      <c r="N119" s="67">
        <f t="shared" ca="1" si="11"/>
        <v>0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60" t="str">
        <f t="shared" ca="1" si="9"/>
        <v>Tổ Hạ tầng Đức Hòa</v>
      </c>
      <c r="C120" s="61" t="str">
        <f t="shared" ca="1" si="2"/>
        <v>Thái Duy Lâm</v>
      </c>
      <c r="D120" s="239" t="str">
        <f t="shared" ca="1" si="3"/>
        <v>0837821860</v>
      </c>
      <c r="E120" s="63" t="str">
        <f t="shared" ca="1" si="4"/>
        <v>lamdt.lan@vnpt.vn</v>
      </c>
      <c r="F120" s="64" t="str">
        <f t="shared" ca="1" si="5"/>
        <v>Lần 2</v>
      </c>
      <c r="G120" s="76"/>
      <c r="H120" s="71"/>
      <c r="I120" s="71"/>
      <c r="J120" s="94"/>
      <c r="K120" s="94"/>
      <c r="L120" s="193"/>
      <c r="M120" s="184">
        <f t="shared" ca="1" si="6"/>
        <v>0</v>
      </c>
      <c r="N120" s="67">
        <f ca="1">IF(B120="","",IF(OR(G120="",J120="",K119=""),0,1))</f>
        <v>0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60" t="str">
        <f t="shared" ca="1" si="9"/>
        <v>Tổ Hạ tầng Đức Hòa</v>
      </c>
      <c r="C121" s="61" t="str">
        <f t="shared" ca="1" si="2"/>
        <v>Thái Duy Lâm</v>
      </c>
      <c r="D121" s="239" t="str">
        <f t="shared" ca="1" si="3"/>
        <v>0837821860</v>
      </c>
      <c r="E121" s="63" t="str">
        <f t="shared" ca="1" si="4"/>
        <v>lamdt.lan@vnpt.vn</v>
      </c>
      <c r="F121" s="64" t="str">
        <f t="shared" ca="1" si="5"/>
        <v>Lần 3</v>
      </c>
      <c r="G121" s="76"/>
      <c r="H121" s="71"/>
      <c r="I121" s="71"/>
      <c r="J121" s="94"/>
      <c r="K121" s="94"/>
      <c r="L121" s="96"/>
      <c r="M121" s="184">
        <f t="shared" ca="1" si="6"/>
        <v>0</v>
      </c>
      <c r="N121" s="67">
        <f t="shared" ref="N121:N294" ca="1" si="12">IF(B121="","",IF(OR(G121="",J121="",K121=""),0,1))</f>
        <v>0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60" t="str">
        <f t="shared" ca="1" si="9"/>
        <v>Tổ Hạ tầng Đức Hòa</v>
      </c>
      <c r="C122" s="61" t="str">
        <f t="shared" ca="1" si="2"/>
        <v>Thái Duy Lâm</v>
      </c>
      <c r="D122" s="239" t="str">
        <f t="shared" ca="1" si="3"/>
        <v>0837821860</v>
      </c>
      <c r="E122" s="63" t="str">
        <f t="shared" ca="1" si="4"/>
        <v>lamdt.lan@vnpt.vn</v>
      </c>
      <c r="F122" s="64" t="str">
        <f t="shared" ca="1" si="5"/>
        <v>Lần 4</v>
      </c>
      <c r="G122" s="76"/>
      <c r="H122" s="71"/>
      <c r="I122" s="71"/>
      <c r="J122" s="94"/>
      <c r="K122" s="94"/>
      <c r="L122" s="95"/>
      <c r="M122" s="184">
        <f t="shared" ca="1" si="6"/>
        <v>0</v>
      </c>
      <c r="N122" s="67">
        <f t="shared" ca="1" si="12"/>
        <v>0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60" t="str">
        <f t="shared" ca="1" si="9"/>
        <v>Tổ Hạ tầng Đức Hòa</v>
      </c>
      <c r="C123" s="61" t="str">
        <f t="shared" ca="1" si="2"/>
        <v>Thái Duy Lâm</v>
      </c>
      <c r="D123" s="239" t="str">
        <f t="shared" ca="1" si="3"/>
        <v>0837821860</v>
      </c>
      <c r="E123" s="63" t="str">
        <f t="shared" ca="1" si="4"/>
        <v>lamdt.lan@vnpt.vn</v>
      </c>
      <c r="F123" s="64" t="str">
        <f t="shared" ca="1" si="5"/>
        <v>Lần 5</v>
      </c>
      <c r="G123" s="76"/>
      <c r="H123" s="75"/>
      <c r="I123" s="75"/>
      <c r="J123" s="94"/>
      <c r="K123" s="71"/>
      <c r="L123" s="96"/>
      <c r="M123" s="184">
        <f t="shared" ca="1" si="6"/>
        <v>0</v>
      </c>
      <c r="N123" s="67">
        <f t="shared" ca="1" si="12"/>
        <v>0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60" t="str">
        <f t="shared" ca="1" si="9"/>
        <v>Tổ Hạ tầng Đức Hòa</v>
      </c>
      <c r="C124" s="61" t="str">
        <f t="shared" ca="1" si="2"/>
        <v>Thái Duy Lâm</v>
      </c>
      <c r="D124" s="239" t="str">
        <f t="shared" ca="1" si="3"/>
        <v>0837821860</v>
      </c>
      <c r="E124" s="63" t="str">
        <f t="shared" ca="1" si="4"/>
        <v>lamdt.lan@vnpt.vn</v>
      </c>
      <c r="F124" s="64" t="str">
        <f t="shared" ca="1" si="5"/>
        <v>Lần 6</v>
      </c>
      <c r="G124" s="76"/>
      <c r="H124" s="75"/>
      <c r="I124" s="75"/>
      <c r="J124" s="94"/>
      <c r="K124" s="94"/>
      <c r="L124" s="95"/>
      <c r="M124" s="184">
        <f t="shared" ca="1" si="6"/>
        <v>0</v>
      </c>
      <c r="N124" s="67">
        <f t="shared" ca="1" si="12"/>
        <v>0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60" t="str">
        <f t="shared" ca="1" si="9"/>
        <v>Tổ Hạ tầng Đức Hòa</v>
      </c>
      <c r="C125" s="61" t="str">
        <f t="shared" ca="1" si="2"/>
        <v>Thái Duy Lâm</v>
      </c>
      <c r="D125" s="239" t="str">
        <f t="shared" ca="1" si="3"/>
        <v>0837821860</v>
      </c>
      <c r="E125" s="63" t="str">
        <f t="shared" ca="1" si="4"/>
        <v>lamdt.lan@vnpt.vn</v>
      </c>
      <c r="F125" s="64" t="str">
        <f t="shared" ca="1" si="5"/>
        <v>Lần 7</v>
      </c>
      <c r="G125" s="76"/>
      <c r="H125" s="75"/>
      <c r="I125" s="75"/>
      <c r="J125" s="94"/>
      <c r="K125" s="94"/>
      <c r="L125" s="95"/>
      <c r="M125" s="184">
        <f t="shared" ca="1" si="6"/>
        <v>0</v>
      </c>
      <c r="N125" s="67">
        <f t="shared" ca="1" si="12"/>
        <v>0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60" t="str">
        <f t="shared" ca="1" si="9"/>
        <v>Tổ Hạ tầng Đức Hòa</v>
      </c>
      <c r="C126" s="61" t="str">
        <f t="shared" ca="1" si="2"/>
        <v>Thái Duy Lâm</v>
      </c>
      <c r="D126" s="239" t="str">
        <f t="shared" ca="1" si="3"/>
        <v>0837821860</v>
      </c>
      <c r="E126" s="63" t="str">
        <f t="shared" ca="1" si="4"/>
        <v>lamdt.lan@vnpt.vn</v>
      </c>
      <c r="F126" s="64" t="str">
        <f t="shared" ca="1" si="5"/>
        <v>Lần 8</v>
      </c>
      <c r="G126" s="76"/>
      <c r="H126" s="75"/>
      <c r="I126" s="75"/>
      <c r="J126" s="94"/>
      <c r="K126" s="94"/>
      <c r="L126" s="95"/>
      <c r="M126" s="184">
        <f t="shared" ca="1" si="6"/>
        <v>0</v>
      </c>
      <c r="N126" s="67">
        <f t="shared" ca="1" si="12"/>
        <v>0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60" t="str">
        <f t="shared" ca="1" si="9"/>
        <v>Tổ Hạ tầng Đức Hòa</v>
      </c>
      <c r="C127" s="61" t="str">
        <f t="shared" ca="1" si="2"/>
        <v>Thái Duy Lâm</v>
      </c>
      <c r="D127" s="239" t="str">
        <f t="shared" ca="1" si="3"/>
        <v>0837821860</v>
      </c>
      <c r="E127" s="63" t="str">
        <f t="shared" ca="1" si="4"/>
        <v>lamdt.lan@vnpt.vn</v>
      </c>
      <c r="F127" s="64" t="str">
        <f t="shared" ca="1" si="5"/>
        <v>Lần 9</v>
      </c>
      <c r="G127" s="76"/>
      <c r="H127" s="75"/>
      <c r="I127" s="75"/>
      <c r="J127" s="94"/>
      <c r="K127" s="94"/>
      <c r="L127" s="96"/>
      <c r="M127" s="184">
        <f t="shared" ca="1" si="6"/>
        <v>0</v>
      </c>
      <c r="N127" s="67">
        <f t="shared" ca="1" si="12"/>
        <v>0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60" t="str">
        <f t="shared" ca="1" si="9"/>
        <v>Tổ Hạ tầng Đức Hòa</v>
      </c>
      <c r="C128" s="61" t="str">
        <f t="shared" ca="1" si="2"/>
        <v>Thái Duy Lâm</v>
      </c>
      <c r="D128" s="239" t="str">
        <f t="shared" ca="1" si="3"/>
        <v>0837821860</v>
      </c>
      <c r="E128" s="63" t="str">
        <f t="shared" ca="1" si="4"/>
        <v>lamdt.lan@vnpt.vn</v>
      </c>
      <c r="F128" s="64" t="str">
        <f t="shared" ca="1" si="5"/>
        <v>Lần 10</v>
      </c>
      <c r="G128" s="76"/>
      <c r="H128" s="75"/>
      <c r="I128" s="75"/>
      <c r="J128" s="94"/>
      <c r="K128" s="71"/>
      <c r="L128" s="95"/>
      <c r="M128" s="184">
        <f t="shared" ca="1" si="6"/>
        <v>0</v>
      </c>
      <c r="N128" s="67">
        <f t="shared" ca="1" si="12"/>
        <v>0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60" t="str">
        <f t="shared" ca="1" si="9"/>
        <v>Tổ Hạ tầng Đức Hòa</v>
      </c>
      <c r="C129" s="61" t="str">
        <f t="shared" ca="1" si="2"/>
        <v>Thái Duy Lâm</v>
      </c>
      <c r="D129" s="239" t="str">
        <f t="shared" ca="1" si="3"/>
        <v>0837821860</v>
      </c>
      <c r="E129" s="63" t="str">
        <f t="shared" ca="1" si="4"/>
        <v>lamdt.lan@vnpt.vn</v>
      </c>
      <c r="F129" s="64" t="str">
        <f t="shared" ca="1" si="5"/>
        <v>Lần 11</v>
      </c>
      <c r="G129" s="76"/>
      <c r="H129" s="75"/>
      <c r="I129" s="240"/>
      <c r="J129" s="94"/>
      <c r="K129" s="94"/>
      <c r="L129" s="95"/>
      <c r="M129" s="184">
        <f t="shared" ca="1" si="6"/>
        <v>0</v>
      </c>
      <c r="N129" s="67">
        <f t="shared" ca="1" si="12"/>
        <v>0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60" t="str">
        <f t="shared" ca="1" si="9"/>
        <v>Tổ Hạ tầng Đức Hòa</v>
      </c>
      <c r="C130" s="61" t="str">
        <f t="shared" ca="1" si="2"/>
        <v>Thái Duy Lâm</v>
      </c>
      <c r="D130" s="239" t="str">
        <f t="shared" ca="1" si="3"/>
        <v>0837821860</v>
      </c>
      <c r="E130" s="63" t="str">
        <f t="shared" ca="1" si="4"/>
        <v>lamdt.lan@vnpt.vn</v>
      </c>
      <c r="F130" s="64" t="str">
        <f t="shared" ca="1" si="5"/>
        <v>Lần 12</v>
      </c>
      <c r="G130" s="76"/>
      <c r="H130" s="75"/>
      <c r="I130" s="75"/>
      <c r="J130" s="94"/>
      <c r="K130" s="94"/>
      <c r="L130" s="95"/>
      <c r="M130" s="184">
        <f t="shared" ca="1" si="6"/>
        <v>0</v>
      </c>
      <c r="N130" s="67">
        <f t="shared" ca="1" si="12"/>
        <v>0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60" t="str">
        <f t="shared" ca="1" si="9"/>
        <v>Tổ Hạ tầng Đức Hòa</v>
      </c>
      <c r="C131" s="61" t="str">
        <f t="shared" ca="1" si="2"/>
        <v>Thái Duy Lâm</v>
      </c>
      <c r="D131" s="239" t="str">
        <f t="shared" ca="1" si="3"/>
        <v>0837821860</v>
      </c>
      <c r="E131" s="63" t="str">
        <f t="shared" ca="1" si="4"/>
        <v>lamdt.lan@vnpt.vn</v>
      </c>
      <c r="F131" s="64" t="str">
        <f t="shared" ca="1" si="5"/>
        <v>Lần 13</v>
      </c>
      <c r="G131" s="76"/>
      <c r="H131" s="75"/>
      <c r="I131" s="75"/>
      <c r="J131" s="94"/>
      <c r="K131" s="94"/>
      <c r="L131" s="95"/>
      <c r="M131" s="184">
        <f t="shared" ca="1" si="6"/>
        <v>0</v>
      </c>
      <c r="N131" s="67">
        <f t="shared" ca="1" si="12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60" t="str">
        <f t="shared" ca="1" si="9"/>
        <v>Tổ Hạ tầng Đức Hòa</v>
      </c>
      <c r="C132" s="61" t="str">
        <f t="shared" ca="1" si="2"/>
        <v>Thái Duy Lâm</v>
      </c>
      <c r="D132" s="239" t="str">
        <f t="shared" ca="1" si="3"/>
        <v>0837821860</v>
      </c>
      <c r="E132" s="63" t="str">
        <f t="shared" ca="1" si="4"/>
        <v>lamdt.lan@vnpt.vn</v>
      </c>
      <c r="F132" s="64" t="str">
        <f t="shared" ca="1" si="5"/>
        <v>Lần 14</v>
      </c>
      <c r="G132" s="76"/>
      <c r="H132" s="75"/>
      <c r="I132" s="75"/>
      <c r="J132" s="94"/>
      <c r="K132" s="94"/>
      <c r="L132" s="96"/>
      <c r="M132" s="184">
        <f t="shared" ca="1" si="6"/>
        <v>0</v>
      </c>
      <c r="N132" s="67">
        <f t="shared" ca="1" si="12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60" t="str">
        <f t="shared" ca="1" si="9"/>
        <v>Tổ Hạ tầng Đức Hòa</v>
      </c>
      <c r="C133" s="61" t="str">
        <f t="shared" ca="1" si="2"/>
        <v>Thái Duy Lâm</v>
      </c>
      <c r="D133" s="239" t="str">
        <f t="shared" ca="1" si="3"/>
        <v>0837821860</v>
      </c>
      <c r="E133" s="63" t="str">
        <f t="shared" ca="1" si="4"/>
        <v>lamdt.lan@vnpt.vn</v>
      </c>
      <c r="F133" s="64" t="str">
        <f t="shared" ca="1" si="5"/>
        <v>Lần 15</v>
      </c>
      <c r="G133" s="76"/>
      <c r="H133" s="75"/>
      <c r="I133" s="75"/>
      <c r="J133" s="94"/>
      <c r="K133" s="94"/>
      <c r="L133" s="95"/>
      <c r="M133" s="184">
        <f t="shared" ca="1" si="6"/>
        <v>0</v>
      </c>
      <c r="N133" s="67">
        <f t="shared" ca="1" si="12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01" t="str">
        <f t="shared" ca="1" si="9"/>
        <v>Tổ Hạ tầng Đức Hòa</v>
      </c>
      <c r="C134" s="102" t="str">
        <f t="shared" ca="1" si="2"/>
        <v>Thái Duy Lâm</v>
      </c>
      <c r="D134" s="241" t="str">
        <f t="shared" ca="1" si="3"/>
        <v>0837821860</v>
      </c>
      <c r="E134" s="104" t="str">
        <f t="shared" ca="1" si="4"/>
        <v>lamdt.lan@vnpt.vn</v>
      </c>
      <c r="F134" s="105" t="str">
        <f t="shared" ca="1" si="5"/>
        <v>Lần 16</v>
      </c>
      <c r="G134" s="242"/>
      <c r="H134" s="75"/>
      <c r="I134" s="75"/>
      <c r="J134" s="94"/>
      <c r="K134" s="94"/>
      <c r="L134" s="201"/>
      <c r="M134" s="202">
        <f t="shared" ca="1" si="6"/>
        <v>0</v>
      </c>
      <c r="N134" s="203">
        <f t="shared" ca="1" si="12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107" t="str">
        <f t="shared" ca="1" si="9"/>
        <v>Tổ Hạ tầng Đức Hòa</v>
      </c>
      <c r="C135" s="108" t="str">
        <f t="shared" ca="1" si="2"/>
        <v>Nguyễn Hải Đăng</v>
      </c>
      <c r="D135" s="205">
        <f t="shared" ca="1" si="3"/>
        <v>945796839</v>
      </c>
      <c r="E135" s="110" t="str">
        <f t="shared" ca="1" si="4"/>
        <v>dangnh.lan@vnpt.vn</v>
      </c>
      <c r="F135" s="111" t="str">
        <f t="shared" ca="1" si="5"/>
        <v>Lần 1</v>
      </c>
      <c r="G135" s="70"/>
      <c r="H135" s="121"/>
      <c r="I135" s="121"/>
      <c r="J135" s="98"/>
      <c r="K135" s="98"/>
      <c r="L135" s="148"/>
      <c r="M135" s="181">
        <f t="shared" ca="1" si="6"/>
        <v>0</v>
      </c>
      <c r="N135" s="57">
        <f t="shared" ca="1" si="12"/>
        <v>0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60" t="str">
        <f t="shared" ca="1" si="9"/>
        <v>Tổ Hạ tầng Đức Hòa</v>
      </c>
      <c r="C136" s="61" t="str">
        <f t="shared" ca="1" si="2"/>
        <v>Nguyễn Hải Đăng</v>
      </c>
      <c r="D136" s="183">
        <f t="shared" ca="1" si="3"/>
        <v>945796839</v>
      </c>
      <c r="E136" s="63" t="str">
        <f t="shared" ca="1" si="4"/>
        <v>dangnh.lan@vnpt.vn</v>
      </c>
      <c r="F136" s="64" t="str">
        <f t="shared" ca="1" si="5"/>
        <v>Lần 2</v>
      </c>
      <c r="G136" s="76"/>
      <c r="H136" s="71"/>
      <c r="I136" s="121"/>
      <c r="J136" s="98"/>
      <c r="K136" s="94"/>
      <c r="L136" s="91"/>
      <c r="M136" s="184">
        <f ca="1">IF(B136="","",IF(OR(G136="",H136="",I148=""),0,1))</f>
        <v>0</v>
      </c>
      <c r="N136" s="67">
        <f t="shared" ca="1" si="12"/>
        <v>0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60" t="str">
        <f t="shared" ca="1" si="9"/>
        <v>Tổ Hạ tầng Đức Hòa</v>
      </c>
      <c r="C137" s="61" t="str">
        <f t="shared" ca="1" si="2"/>
        <v>Nguyễn Hải Đăng</v>
      </c>
      <c r="D137" s="183">
        <f t="shared" ca="1" si="3"/>
        <v>945796839</v>
      </c>
      <c r="E137" s="63" t="str">
        <f t="shared" ca="1" si="4"/>
        <v>dangnh.lan@vnpt.vn</v>
      </c>
      <c r="F137" s="64" t="str">
        <f t="shared" ca="1" si="5"/>
        <v>Lần 3</v>
      </c>
      <c r="G137" s="76"/>
      <c r="H137" s="71"/>
      <c r="I137" s="71"/>
      <c r="J137" s="94"/>
      <c r="K137" s="94"/>
      <c r="L137" s="91"/>
      <c r="M137" s="184">
        <f t="shared" ref="M137:M294" ca="1" si="13">IF(B137="","",IF(OR(G137="",H137="",I137=""),0,1))</f>
        <v>0</v>
      </c>
      <c r="N137" s="67">
        <f t="shared" ca="1" si="12"/>
        <v>0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60" t="str">
        <f t="shared" ca="1" si="9"/>
        <v>Tổ Hạ tầng Đức Hòa</v>
      </c>
      <c r="C138" s="61" t="str">
        <f t="shared" ca="1" si="2"/>
        <v>Nguyễn Hải Đăng</v>
      </c>
      <c r="D138" s="183">
        <f t="shared" ca="1" si="3"/>
        <v>945796839</v>
      </c>
      <c r="E138" s="63" t="str">
        <f t="shared" ca="1" si="4"/>
        <v>dangnh.lan@vnpt.vn</v>
      </c>
      <c r="F138" s="64" t="str">
        <f t="shared" ca="1" si="5"/>
        <v>Lần 4</v>
      </c>
      <c r="G138" s="76"/>
      <c r="H138" s="71"/>
      <c r="I138" s="71"/>
      <c r="J138" s="94"/>
      <c r="K138" s="94"/>
      <c r="L138" s="91"/>
      <c r="M138" s="184">
        <f t="shared" ca="1" si="13"/>
        <v>0</v>
      </c>
      <c r="N138" s="67">
        <f t="shared" ca="1" si="12"/>
        <v>0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60" t="str">
        <f t="shared" ca="1" si="9"/>
        <v>Tổ Hạ tầng Đức Hòa</v>
      </c>
      <c r="C139" s="61" t="str">
        <f t="shared" ca="1" si="2"/>
        <v>Nguyễn Hải Đăng</v>
      </c>
      <c r="D139" s="183">
        <f t="shared" ca="1" si="3"/>
        <v>945796839</v>
      </c>
      <c r="E139" s="63" t="str">
        <f t="shared" ca="1" si="4"/>
        <v>dangnh.lan@vnpt.vn</v>
      </c>
      <c r="F139" s="64" t="str">
        <f t="shared" ca="1" si="5"/>
        <v>Lần 5</v>
      </c>
      <c r="G139" s="76"/>
      <c r="H139" s="71"/>
      <c r="I139" s="71"/>
      <c r="J139" s="94"/>
      <c r="K139" s="94"/>
      <c r="L139" s="91"/>
      <c r="M139" s="184">
        <f t="shared" ca="1" si="13"/>
        <v>0</v>
      </c>
      <c r="N139" s="67">
        <f t="shared" ca="1" si="12"/>
        <v>0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60" t="str">
        <f t="shared" ca="1" si="9"/>
        <v>Tổ Hạ tầng Đức Hòa</v>
      </c>
      <c r="C140" s="61" t="str">
        <f t="shared" ca="1" si="2"/>
        <v>Nguyễn Hải Đăng</v>
      </c>
      <c r="D140" s="183">
        <f t="shared" ca="1" si="3"/>
        <v>945796839</v>
      </c>
      <c r="E140" s="63" t="str">
        <f t="shared" ca="1" si="4"/>
        <v>dangnh.lan@vnpt.vn</v>
      </c>
      <c r="F140" s="64" t="str">
        <f t="shared" ca="1" si="5"/>
        <v>Lần 6</v>
      </c>
      <c r="G140" s="76"/>
      <c r="H140" s="75"/>
      <c r="I140" s="71"/>
      <c r="J140" s="94"/>
      <c r="K140" s="71"/>
      <c r="L140" s="91"/>
      <c r="M140" s="184">
        <f t="shared" ca="1" si="13"/>
        <v>0</v>
      </c>
      <c r="N140" s="67">
        <f t="shared" ca="1" si="12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60" t="str">
        <f t="shared" ca="1" si="9"/>
        <v>Tổ Hạ tầng Đức Hòa</v>
      </c>
      <c r="C141" s="61" t="str">
        <f t="shared" ca="1" si="2"/>
        <v>Nguyễn Hải Đăng</v>
      </c>
      <c r="D141" s="183">
        <f t="shared" ca="1" si="3"/>
        <v>945796839</v>
      </c>
      <c r="E141" s="63" t="str">
        <f t="shared" ca="1" si="4"/>
        <v>dangnh.lan@vnpt.vn</v>
      </c>
      <c r="F141" s="64" t="str">
        <f t="shared" ca="1" si="5"/>
        <v>Lần 7</v>
      </c>
      <c r="G141" s="76"/>
      <c r="H141" s="75"/>
      <c r="I141" s="75"/>
      <c r="J141" s="94"/>
      <c r="K141" s="94"/>
      <c r="L141" s="91"/>
      <c r="M141" s="184">
        <f t="shared" ca="1" si="13"/>
        <v>0</v>
      </c>
      <c r="N141" s="67">
        <f t="shared" ca="1" si="12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60" t="str">
        <f t="shared" ca="1" si="9"/>
        <v>Tổ Hạ tầng Đức Hòa</v>
      </c>
      <c r="C142" s="61" t="str">
        <f t="shared" ca="1" si="2"/>
        <v>Nguyễn Hải Đăng</v>
      </c>
      <c r="D142" s="183">
        <f t="shared" ca="1" si="3"/>
        <v>945796839</v>
      </c>
      <c r="E142" s="63" t="str">
        <f t="shared" ca="1" si="4"/>
        <v>dangnh.lan@vnpt.vn</v>
      </c>
      <c r="F142" s="64" t="str">
        <f t="shared" ca="1" si="5"/>
        <v>Lần 8</v>
      </c>
      <c r="G142" s="76"/>
      <c r="H142" s="75"/>
      <c r="I142" s="75"/>
      <c r="J142" s="94"/>
      <c r="K142" s="94"/>
      <c r="L142" s="91"/>
      <c r="M142" s="184">
        <f t="shared" ca="1" si="13"/>
        <v>0</v>
      </c>
      <c r="N142" s="67">
        <f t="shared" ca="1" si="12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60" t="str">
        <f t="shared" ca="1" si="9"/>
        <v>Tổ Hạ tầng Đức Hòa</v>
      </c>
      <c r="C143" s="61" t="str">
        <f t="shared" ca="1" si="2"/>
        <v>Nguyễn Hải Đăng</v>
      </c>
      <c r="D143" s="183">
        <f t="shared" ca="1" si="3"/>
        <v>945796839</v>
      </c>
      <c r="E143" s="63" t="str">
        <f t="shared" ca="1" si="4"/>
        <v>dangnh.lan@vnpt.vn</v>
      </c>
      <c r="F143" s="64" t="str">
        <f t="shared" ca="1" si="5"/>
        <v>Lần 9</v>
      </c>
      <c r="G143" s="76"/>
      <c r="H143" s="75"/>
      <c r="I143" s="75"/>
      <c r="J143" s="94"/>
      <c r="K143" s="94"/>
      <c r="L143" s="91"/>
      <c r="M143" s="184">
        <f t="shared" ca="1" si="13"/>
        <v>0</v>
      </c>
      <c r="N143" s="67">
        <f t="shared" ca="1" si="12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60" t="str">
        <f t="shared" ca="1" si="9"/>
        <v>Tổ Hạ tầng Đức Hòa</v>
      </c>
      <c r="C144" s="61" t="str">
        <f t="shared" ca="1" si="2"/>
        <v>Nguyễn Hải Đăng</v>
      </c>
      <c r="D144" s="183">
        <f t="shared" ca="1" si="3"/>
        <v>945796839</v>
      </c>
      <c r="E144" s="63" t="str">
        <f t="shared" ca="1" si="4"/>
        <v>dangnh.lan@vnpt.vn</v>
      </c>
      <c r="F144" s="64" t="str">
        <f t="shared" ca="1" si="5"/>
        <v>Lần 10</v>
      </c>
      <c r="G144" s="76"/>
      <c r="H144" s="75"/>
      <c r="I144" s="75"/>
      <c r="J144" s="94"/>
      <c r="K144" s="94"/>
      <c r="L144" s="91"/>
      <c r="M144" s="184">
        <f t="shared" ca="1" si="13"/>
        <v>0</v>
      </c>
      <c r="N144" s="67">
        <f t="shared" ca="1" si="12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60" t="str">
        <f t="shared" ca="1" si="9"/>
        <v>Tổ Hạ tầng Đức Hòa</v>
      </c>
      <c r="C145" s="61" t="str">
        <f t="shared" ca="1" si="2"/>
        <v>Nguyễn Hải Đăng</v>
      </c>
      <c r="D145" s="183">
        <f t="shared" ca="1" si="3"/>
        <v>945796839</v>
      </c>
      <c r="E145" s="63" t="str">
        <f t="shared" ca="1" si="4"/>
        <v>dangnh.lan@vnpt.vn</v>
      </c>
      <c r="F145" s="64" t="str">
        <f t="shared" ca="1" si="5"/>
        <v>Lần 11</v>
      </c>
      <c r="G145" s="76"/>
      <c r="H145" s="75"/>
      <c r="I145" s="75"/>
      <c r="J145" s="94"/>
      <c r="K145" s="71"/>
      <c r="L145" s="91"/>
      <c r="M145" s="184">
        <f t="shared" ca="1" si="13"/>
        <v>0</v>
      </c>
      <c r="N145" s="67">
        <f t="shared" ca="1" si="12"/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60" t="str">
        <f t="shared" ca="1" si="9"/>
        <v>Tổ Hạ tầng Đức Hòa</v>
      </c>
      <c r="C146" s="61" t="str">
        <f t="shared" ca="1" si="2"/>
        <v>Nguyễn Hải Đăng</v>
      </c>
      <c r="D146" s="183">
        <f t="shared" ca="1" si="3"/>
        <v>945796839</v>
      </c>
      <c r="E146" s="63" t="str">
        <f t="shared" ca="1" si="4"/>
        <v>dangnh.lan@vnpt.vn</v>
      </c>
      <c r="F146" s="64" t="str">
        <f t="shared" ca="1" si="5"/>
        <v>Lần 12</v>
      </c>
      <c r="G146" s="76"/>
      <c r="H146" s="75"/>
      <c r="I146" s="75"/>
      <c r="J146" s="94"/>
      <c r="K146" s="94"/>
      <c r="L146" s="91"/>
      <c r="M146" s="184">
        <f t="shared" ca="1" si="13"/>
        <v>0</v>
      </c>
      <c r="N146" s="67">
        <f t="shared" ca="1" si="12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60" t="str">
        <f t="shared" ca="1" si="9"/>
        <v>Tổ Hạ tầng Đức Hòa</v>
      </c>
      <c r="C147" s="61" t="str">
        <f t="shared" ca="1" si="2"/>
        <v>Nguyễn Hải Đăng</v>
      </c>
      <c r="D147" s="183">
        <f t="shared" ca="1" si="3"/>
        <v>945796839</v>
      </c>
      <c r="E147" s="63" t="str">
        <f t="shared" ca="1" si="4"/>
        <v>dangnh.lan@vnpt.vn</v>
      </c>
      <c r="F147" s="64" t="str">
        <f t="shared" ca="1" si="5"/>
        <v>Lần 13</v>
      </c>
      <c r="G147" s="76"/>
      <c r="H147" s="75"/>
      <c r="I147" s="240"/>
      <c r="J147" s="94"/>
      <c r="K147" s="94"/>
      <c r="L147" s="91"/>
      <c r="M147" s="184">
        <f t="shared" ca="1" si="13"/>
        <v>0</v>
      </c>
      <c r="N147" s="67">
        <f t="shared" ca="1" si="12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60" t="str">
        <f t="shared" ca="1" si="9"/>
        <v>Tổ Hạ tầng Đức Hòa</v>
      </c>
      <c r="C148" s="61" t="str">
        <f t="shared" ca="1" si="2"/>
        <v>Nguyễn Hải Đăng</v>
      </c>
      <c r="D148" s="183">
        <f t="shared" ca="1" si="3"/>
        <v>945796839</v>
      </c>
      <c r="E148" s="63" t="str">
        <f t="shared" ca="1" si="4"/>
        <v>dangnh.lan@vnpt.vn</v>
      </c>
      <c r="F148" s="64" t="str">
        <f t="shared" ca="1" si="5"/>
        <v>Lần 14</v>
      </c>
      <c r="G148" s="76"/>
      <c r="H148" s="75"/>
      <c r="I148" s="75"/>
      <c r="J148" s="94"/>
      <c r="K148" s="94"/>
      <c r="L148" s="91"/>
      <c r="M148" s="184">
        <f t="shared" ca="1" si="13"/>
        <v>0</v>
      </c>
      <c r="N148" s="67">
        <f t="shared" ca="1" si="12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60" t="str">
        <f t="shared" ca="1" si="9"/>
        <v>Tổ Hạ tầng Đức Hòa</v>
      </c>
      <c r="C149" s="61" t="str">
        <f t="shared" ca="1" si="2"/>
        <v>Nguyễn Hải Đăng</v>
      </c>
      <c r="D149" s="183">
        <f t="shared" ca="1" si="3"/>
        <v>945796839</v>
      </c>
      <c r="E149" s="63" t="str">
        <f t="shared" ca="1" si="4"/>
        <v>dangnh.lan@vnpt.vn</v>
      </c>
      <c r="F149" s="64" t="str">
        <f t="shared" ca="1" si="5"/>
        <v>Lần 15</v>
      </c>
      <c r="G149" s="76"/>
      <c r="H149" s="122"/>
      <c r="I149" s="75"/>
      <c r="J149" s="94"/>
      <c r="K149" s="98"/>
      <c r="L149" s="91"/>
      <c r="M149" s="184">
        <f t="shared" ca="1" si="13"/>
        <v>0</v>
      </c>
      <c r="N149" s="67">
        <f t="shared" ca="1" si="12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81" t="str">
        <f t="shared" ca="1" si="9"/>
        <v>Tổ Hạ tầng Đức Hòa</v>
      </c>
      <c r="C150" s="82" t="str">
        <f t="shared" ca="1" si="2"/>
        <v>Nguyễn Hải Đăng</v>
      </c>
      <c r="D150" s="186">
        <f t="shared" ca="1" si="3"/>
        <v>945796839</v>
      </c>
      <c r="E150" s="84" t="str">
        <f t="shared" ca="1" si="4"/>
        <v>dangnh.lan@vnpt.vn</v>
      </c>
      <c r="F150" s="85" t="str">
        <f t="shared" ca="1" si="5"/>
        <v>Lần 16</v>
      </c>
      <c r="G150" s="236"/>
      <c r="H150" s="122"/>
      <c r="I150" s="122"/>
      <c r="J150" s="94"/>
      <c r="K150" s="122"/>
      <c r="L150" s="150"/>
      <c r="M150" s="189">
        <f t="shared" ca="1" si="13"/>
        <v>0</v>
      </c>
      <c r="N150" s="171">
        <f t="shared" ca="1" si="12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47" t="str">
        <f t="shared" ca="1" si="9"/>
        <v>Tổ Hạ tầng Đức Hòa</v>
      </c>
      <c r="C151" s="48" t="str">
        <f t="shared" ca="1" si="2"/>
        <v>Hồ Chí Linh</v>
      </c>
      <c r="D151" s="191">
        <f t="shared" ca="1" si="3"/>
        <v>916245738</v>
      </c>
      <c r="E151" s="50" t="str">
        <f t="shared" ca="1" si="4"/>
        <v>linhhc.lan@vnpt.vn</v>
      </c>
      <c r="F151" s="51" t="str">
        <f t="shared" ca="1" si="5"/>
        <v>Lần 1</v>
      </c>
      <c r="G151" s="70"/>
      <c r="H151" s="71"/>
      <c r="I151" s="71"/>
      <c r="J151" s="94"/>
      <c r="K151" s="94"/>
      <c r="L151" s="216"/>
      <c r="M151" s="194">
        <f t="shared" ca="1" si="13"/>
        <v>0</v>
      </c>
      <c r="N151" s="195">
        <f t="shared" ca="1" si="12"/>
        <v>0</v>
      </c>
      <c r="O151" s="68">
        <f t="shared" ca="1" si="8"/>
        <v>0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60" t="str">
        <f t="shared" ca="1" si="9"/>
        <v>Tổ Hạ tầng Đức Hòa</v>
      </c>
      <c r="C152" s="61" t="str">
        <f t="shared" ca="1" si="2"/>
        <v>Hồ Chí Linh</v>
      </c>
      <c r="D152" s="183">
        <f t="shared" ca="1" si="3"/>
        <v>916245738</v>
      </c>
      <c r="E152" s="63" t="str">
        <f t="shared" ca="1" si="4"/>
        <v>linhhc.lan@vnpt.vn</v>
      </c>
      <c r="F152" s="64" t="str">
        <f t="shared" ca="1" si="5"/>
        <v>Lần 2</v>
      </c>
      <c r="G152" s="76"/>
      <c r="H152" s="71"/>
      <c r="I152" s="71"/>
      <c r="J152" s="94"/>
      <c r="K152" s="71"/>
      <c r="L152" s="96"/>
      <c r="M152" s="184">
        <f t="shared" ca="1" si="13"/>
        <v>0</v>
      </c>
      <c r="N152" s="67">
        <f t="shared" ca="1" si="12"/>
        <v>0</v>
      </c>
      <c r="O152" s="68">
        <f t="shared" ca="1" si="8"/>
        <v>0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60" t="str">
        <f t="shared" ca="1" si="9"/>
        <v>Tổ Hạ tầng Đức Hòa</v>
      </c>
      <c r="C153" s="61" t="str">
        <f t="shared" ca="1" si="2"/>
        <v>Hồ Chí Linh</v>
      </c>
      <c r="D153" s="183">
        <f t="shared" ca="1" si="3"/>
        <v>916245738</v>
      </c>
      <c r="E153" s="63" t="str">
        <f t="shared" ca="1" si="4"/>
        <v>linhhc.lan@vnpt.vn</v>
      </c>
      <c r="F153" s="64" t="str">
        <f t="shared" ca="1" si="5"/>
        <v>Lần 3</v>
      </c>
      <c r="G153" s="76"/>
      <c r="H153" s="71"/>
      <c r="I153" s="71"/>
      <c r="J153" s="94"/>
      <c r="K153" s="94"/>
      <c r="L153" s="96"/>
      <c r="M153" s="184">
        <f t="shared" ca="1" si="13"/>
        <v>0</v>
      </c>
      <c r="N153" s="67">
        <f t="shared" ca="1" si="12"/>
        <v>0</v>
      </c>
      <c r="O153" s="68">
        <f t="shared" ca="1" si="8"/>
        <v>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60" t="str">
        <f t="shared" ca="1" si="9"/>
        <v>Tổ Hạ tầng Đức Hòa</v>
      </c>
      <c r="C154" s="61" t="str">
        <f t="shared" ca="1" si="2"/>
        <v>Hồ Chí Linh</v>
      </c>
      <c r="D154" s="183">
        <f t="shared" ca="1" si="3"/>
        <v>916245738</v>
      </c>
      <c r="E154" s="63" t="str">
        <f t="shared" ca="1" si="4"/>
        <v>linhhc.lan@vnpt.vn</v>
      </c>
      <c r="F154" s="64" t="str">
        <f t="shared" ca="1" si="5"/>
        <v>Lần 4</v>
      </c>
      <c r="G154" s="76"/>
      <c r="H154" s="71"/>
      <c r="I154" s="71"/>
      <c r="J154" s="94"/>
      <c r="K154" s="71"/>
      <c r="L154" s="96"/>
      <c r="M154" s="184">
        <f t="shared" ca="1" si="13"/>
        <v>0</v>
      </c>
      <c r="N154" s="67">
        <f t="shared" ca="1" si="12"/>
        <v>0</v>
      </c>
      <c r="O154" s="68">
        <f t="shared" ca="1" si="8"/>
        <v>0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60" t="str">
        <f t="shared" ca="1" si="9"/>
        <v>Tổ Hạ tầng Đức Hòa</v>
      </c>
      <c r="C155" s="61" t="str">
        <f t="shared" ca="1" si="2"/>
        <v>Hồ Chí Linh</v>
      </c>
      <c r="D155" s="183">
        <f t="shared" ca="1" si="3"/>
        <v>916245738</v>
      </c>
      <c r="E155" s="63" t="str">
        <f t="shared" ca="1" si="4"/>
        <v>linhhc.lan@vnpt.vn</v>
      </c>
      <c r="F155" s="64" t="str">
        <f t="shared" ca="1" si="5"/>
        <v>Lần 5</v>
      </c>
      <c r="G155" s="76"/>
      <c r="H155" s="75"/>
      <c r="I155" s="75"/>
      <c r="J155" s="94"/>
      <c r="K155" s="94"/>
      <c r="L155" s="96"/>
      <c r="M155" s="184">
        <f t="shared" ca="1" si="13"/>
        <v>0</v>
      </c>
      <c r="N155" s="67">
        <f t="shared" ca="1" si="12"/>
        <v>0</v>
      </c>
      <c r="O155" s="68">
        <f t="shared" ca="1" si="8"/>
        <v>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60" t="str">
        <f t="shared" ca="1" si="9"/>
        <v>Tổ Hạ tầng Đức Hòa</v>
      </c>
      <c r="C156" s="61" t="str">
        <f t="shared" ca="1" si="2"/>
        <v>Hồ Chí Linh</v>
      </c>
      <c r="D156" s="183">
        <f t="shared" ca="1" si="3"/>
        <v>916245738</v>
      </c>
      <c r="E156" s="63" t="str">
        <f t="shared" ca="1" si="4"/>
        <v>linhhc.lan@vnpt.vn</v>
      </c>
      <c r="F156" s="64" t="str">
        <f t="shared" ca="1" si="5"/>
        <v>Lần 6</v>
      </c>
      <c r="G156" s="76"/>
      <c r="H156" s="75"/>
      <c r="I156" s="75"/>
      <c r="J156" s="94"/>
      <c r="K156" s="94"/>
      <c r="L156" s="96"/>
      <c r="M156" s="184">
        <f t="shared" ca="1" si="13"/>
        <v>0</v>
      </c>
      <c r="N156" s="67">
        <f t="shared" ca="1" si="12"/>
        <v>0</v>
      </c>
      <c r="O156" s="68">
        <f t="shared" ca="1" si="8"/>
        <v>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60" t="str">
        <f t="shared" ca="1" si="9"/>
        <v>Tổ Hạ tầng Đức Hòa</v>
      </c>
      <c r="C157" s="61" t="str">
        <f t="shared" ca="1" si="2"/>
        <v>Hồ Chí Linh</v>
      </c>
      <c r="D157" s="183">
        <f t="shared" ca="1" si="3"/>
        <v>916245738</v>
      </c>
      <c r="E157" s="63" t="str">
        <f t="shared" ca="1" si="4"/>
        <v>linhhc.lan@vnpt.vn</v>
      </c>
      <c r="F157" s="64" t="str">
        <f t="shared" ca="1" si="5"/>
        <v>Lần 7</v>
      </c>
      <c r="G157" s="76"/>
      <c r="H157" s="75"/>
      <c r="I157" s="75"/>
      <c r="J157" s="94"/>
      <c r="K157" s="94"/>
      <c r="L157" s="96"/>
      <c r="M157" s="184">
        <f t="shared" ca="1" si="13"/>
        <v>0</v>
      </c>
      <c r="N157" s="67">
        <f t="shared" ca="1" si="12"/>
        <v>0</v>
      </c>
      <c r="O157" s="68">
        <f t="shared" ca="1" si="8"/>
        <v>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60" t="str">
        <f t="shared" ca="1" si="9"/>
        <v>Tổ Hạ tầng Đức Hòa</v>
      </c>
      <c r="C158" s="61" t="str">
        <f t="shared" ca="1" si="2"/>
        <v>Hồ Chí Linh</v>
      </c>
      <c r="D158" s="183">
        <f t="shared" ca="1" si="3"/>
        <v>916245738</v>
      </c>
      <c r="E158" s="63" t="str">
        <f t="shared" ca="1" si="4"/>
        <v>linhhc.lan@vnpt.vn</v>
      </c>
      <c r="F158" s="64" t="str">
        <f t="shared" ca="1" si="5"/>
        <v>Lần 8</v>
      </c>
      <c r="G158" s="76"/>
      <c r="H158" s="75"/>
      <c r="I158" s="75"/>
      <c r="J158" s="94"/>
      <c r="K158" s="94"/>
      <c r="L158" s="96"/>
      <c r="M158" s="184">
        <f t="shared" ca="1" si="13"/>
        <v>0</v>
      </c>
      <c r="N158" s="67">
        <f t="shared" ca="1" si="12"/>
        <v>0</v>
      </c>
      <c r="O158" s="68">
        <f t="shared" ca="1" si="8"/>
        <v>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60" t="str">
        <f t="shared" ca="1" si="9"/>
        <v>Tổ Hạ tầng Đức Hòa</v>
      </c>
      <c r="C159" s="61" t="str">
        <f t="shared" ca="1" si="2"/>
        <v>Hồ Chí Linh</v>
      </c>
      <c r="D159" s="183">
        <f t="shared" ca="1" si="3"/>
        <v>916245738</v>
      </c>
      <c r="E159" s="63" t="str">
        <f t="shared" ca="1" si="4"/>
        <v>linhhc.lan@vnpt.vn</v>
      </c>
      <c r="F159" s="64" t="str">
        <f t="shared" ca="1" si="5"/>
        <v>Lần 9</v>
      </c>
      <c r="G159" s="76"/>
      <c r="H159" s="75"/>
      <c r="I159" s="75"/>
      <c r="J159" s="99"/>
      <c r="K159" s="94"/>
      <c r="L159" s="96"/>
      <c r="M159" s="184">
        <f t="shared" ca="1" si="13"/>
        <v>0</v>
      </c>
      <c r="N159" s="67">
        <f t="shared" ca="1" si="12"/>
        <v>0</v>
      </c>
      <c r="O159" s="68">
        <f t="shared" ca="1" si="8"/>
        <v>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60" t="str">
        <f t="shared" ca="1" si="9"/>
        <v>Tổ Hạ tầng Đức Hòa</v>
      </c>
      <c r="C160" s="61" t="str">
        <f t="shared" ca="1" si="2"/>
        <v>Hồ Chí Linh</v>
      </c>
      <c r="D160" s="183">
        <f t="shared" ca="1" si="3"/>
        <v>916245738</v>
      </c>
      <c r="E160" s="63" t="str">
        <f t="shared" ca="1" si="4"/>
        <v>linhhc.lan@vnpt.vn</v>
      </c>
      <c r="F160" s="64" t="str">
        <f t="shared" ca="1" si="5"/>
        <v>Lần 10</v>
      </c>
      <c r="G160" s="76"/>
      <c r="H160" s="75"/>
      <c r="I160" s="75"/>
      <c r="J160" s="98"/>
      <c r="K160" s="94"/>
      <c r="L160" s="96"/>
      <c r="M160" s="184">
        <f t="shared" ca="1" si="13"/>
        <v>0</v>
      </c>
      <c r="N160" s="67">
        <f t="shared" ca="1" si="12"/>
        <v>0</v>
      </c>
      <c r="O160" s="68">
        <f t="shared" ca="1" si="8"/>
        <v>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60" t="str">
        <f t="shared" ca="1" si="9"/>
        <v>Tổ Hạ tầng Đức Hòa</v>
      </c>
      <c r="C161" s="61" t="str">
        <f t="shared" ca="1" si="2"/>
        <v>Hồ Chí Linh</v>
      </c>
      <c r="D161" s="183">
        <f t="shared" ca="1" si="3"/>
        <v>916245738</v>
      </c>
      <c r="E161" s="63" t="str">
        <f t="shared" ca="1" si="4"/>
        <v>linhhc.lan@vnpt.vn</v>
      </c>
      <c r="F161" s="64" t="str">
        <f t="shared" ca="1" si="5"/>
        <v>Lần 11</v>
      </c>
      <c r="G161" s="76"/>
      <c r="H161" s="75"/>
      <c r="I161" s="75"/>
      <c r="J161" s="99"/>
      <c r="K161" s="94"/>
      <c r="L161" s="96"/>
      <c r="M161" s="184">
        <f t="shared" ca="1" si="13"/>
        <v>0</v>
      </c>
      <c r="N161" s="67">
        <f t="shared" ca="1" si="12"/>
        <v>0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60" t="str">
        <f t="shared" ca="1" si="9"/>
        <v>Tổ Hạ tầng Đức Hòa</v>
      </c>
      <c r="C162" s="61" t="str">
        <f t="shared" ca="1" si="2"/>
        <v>Hồ Chí Linh</v>
      </c>
      <c r="D162" s="183">
        <f t="shared" ca="1" si="3"/>
        <v>916245738</v>
      </c>
      <c r="E162" s="63" t="str">
        <f t="shared" ca="1" si="4"/>
        <v>linhhc.lan@vnpt.vn</v>
      </c>
      <c r="F162" s="64" t="str">
        <f t="shared" ca="1" si="5"/>
        <v>Lần 12</v>
      </c>
      <c r="G162" s="76"/>
      <c r="H162" s="75"/>
      <c r="I162" s="75"/>
      <c r="J162" s="99"/>
      <c r="K162" s="71"/>
      <c r="L162" s="96"/>
      <c r="M162" s="184">
        <f t="shared" ca="1" si="13"/>
        <v>0</v>
      </c>
      <c r="N162" s="67">
        <f t="shared" ca="1" si="12"/>
        <v>0</v>
      </c>
      <c r="O162" s="68">
        <f t="shared" ca="1" si="8"/>
        <v>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60" t="str">
        <f t="shared" ca="1" si="9"/>
        <v>Tổ Hạ tầng Đức Hòa</v>
      </c>
      <c r="C163" s="61" t="str">
        <f t="shared" ca="1" si="2"/>
        <v>Hồ Chí Linh</v>
      </c>
      <c r="D163" s="183">
        <f t="shared" ca="1" si="3"/>
        <v>916245738</v>
      </c>
      <c r="E163" s="63" t="str">
        <f t="shared" ca="1" si="4"/>
        <v>linhhc.lan@vnpt.vn</v>
      </c>
      <c r="F163" s="64" t="str">
        <f t="shared" ca="1" si="5"/>
        <v>Lần 13</v>
      </c>
      <c r="G163" s="76"/>
      <c r="H163" s="75"/>
      <c r="I163" s="75"/>
      <c r="J163" s="98"/>
      <c r="K163" s="94"/>
      <c r="L163" s="96"/>
      <c r="M163" s="184">
        <f t="shared" ca="1" si="13"/>
        <v>0</v>
      </c>
      <c r="N163" s="67">
        <f t="shared" ca="1" si="12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60" t="str">
        <f t="shared" ca="1" si="9"/>
        <v>Tổ Hạ tầng Đức Hòa</v>
      </c>
      <c r="C164" s="61" t="str">
        <f t="shared" ca="1" si="2"/>
        <v>Hồ Chí Linh</v>
      </c>
      <c r="D164" s="183">
        <f t="shared" ca="1" si="3"/>
        <v>916245738</v>
      </c>
      <c r="E164" s="63" t="str">
        <f t="shared" ca="1" si="4"/>
        <v>linhhc.lan@vnpt.vn</v>
      </c>
      <c r="F164" s="64" t="str">
        <f t="shared" ca="1" si="5"/>
        <v>Lần 14</v>
      </c>
      <c r="G164" s="76"/>
      <c r="H164" s="75"/>
      <c r="I164" s="75"/>
      <c r="J164" s="98"/>
      <c r="K164" s="94"/>
      <c r="L164" s="96"/>
      <c r="M164" s="184">
        <f t="shared" ca="1" si="13"/>
        <v>0</v>
      </c>
      <c r="N164" s="67">
        <f t="shared" ca="1" si="12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60" t="str">
        <f t="shared" ca="1" si="9"/>
        <v>Tổ Hạ tầng Đức Hòa</v>
      </c>
      <c r="C165" s="61" t="str">
        <f t="shared" ca="1" si="2"/>
        <v>Hồ Chí Linh</v>
      </c>
      <c r="D165" s="183">
        <f t="shared" ca="1" si="3"/>
        <v>916245738</v>
      </c>
      <c r="E165" s="63" t="str">
        <f t="shared" ca="1" si="4"/>
        <v>linhhc.lan@vnpt.vn</v>
      </c>
      <c r="F165" s="64" t="str">
        <f t="shared" ca="1" si="5"/>
        <v>Lần 15</v>
      </c>
      <c r="G165" s="76"/>
      <c r="H165" s="75"/>
      <c r="I165" s="75"/>
      <c r="J165" s="98"/>
      <c r="K165" s="94"/>
      <c r="L165" s="96"/>
      <c r="M165" s="184">
        <f t="shared" ca="1" si="13"/>
        <v>0</v>
      </c>
      <c r="N165" s="67">
        <f t="shared" ca="1" si="12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01" t="str">
        <f t="shared" ca="1" si="9"/>
        <v>Tổ Hạ tầng Đức Hòa</v>
      </c>
      <c r="C166" s="102" t="str">
        <f t="shared" ca="1" si="2"/>
        <v>Hồ Chí Linh</v>
      </c>
      <c r="D166" s="197">
        <f t="shared" ca="1" si="3"/>
        <v>916245738</v>
      </c>
      <c r="E166" s="104" t="str">
        <f t="shared" ca="1" si="4"/>
        <v>linhhc.lan@vnpt.vn</v>
      </c>
      <c r="F166" s="105" t="str">
        <f t="shared" ca="1" si="5"/>
        <v>Lần 16</v>
      </c>
      <c r="G166" s="236"/>
      <c r="H166" s="75"/>
      <c r="I166" s="75"/>
      <c r="J166" s="75"/>
      <c r="K166" s="75"/>
      <c r="L166" s="201"/>
      <c r="M166" s="202">
        <f t="shared" ca="1" si="13"/>
        <v>0</v>
      </c>
      <c r="N166" s="203">
        <f t="shared" ca="1" si="12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107" t="str">
        <f t="shared" ca="1" si="9"/>
        <v>Tổ Hạ tầng Đức Hòa</v>
      </c>
      <c r="C167" s="108" t="str">
        <f t="shared" ca="1" si="2"/>
        <v>Lê Ân Tình</v>
      </c>
      <c r="D167" s="205">
        <f t="shared" ca="1" si="3"/>
        <v>941202345</v>
      </c>
      <c r="E167" s="110" t="str">
        <f t="shared" ca="1" si="4"/>
        <v>tinhla.lan@vnpt.vn</v>
      </c>
      <c r="F167" s="111" t="str">
        <f t="shared" ca="1" si="5"/>
        <v>Lần 1</v>
      </c>
      <c r="G167" s="192">
        <v>46205</v>
      </c>
      <c r="H167" s="121">
        <v>90</v>
      </c>
      <c r="I167" s="121">
        <v>40</v>
      </c>
      <c r="J167" s="98">
        <v>98</v>
      </c>
      <c r="K167" s="60">
        <v>49</v>
      </c>
      <c r="L167" s="148"/>
      <c r="M167" s="181">
        <f t="shared" ca="1" si="13"/>
        <v>1</v>
      </c>
      <c r="N167" s="57">
        <f t="shared" ca="1" si="12"/>
        <v>1</v>
      </c>
      <c r="O167" s="68">
        <f t="shared" ca="1" si="8"/>
        <v>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60" t="str">
        <f t="shared" ca="1" si="9"/>
        <v>Tổ Hạ tầng Đức Hòa</v>
      </c>
      <c r="C168" s="61" t="str">
        <f t="shared" ca="1" si="2"/>
        <v>Lê Ân Tình</v>
      </c>
      <c r="D168" s="183">
        <f t="shared" ca="1" si="3"/>
        <v>941202345</v>
      </c>
      <c r="E168" s="63" t="str">
        <f t="shared" ca="1" si="4"/>
        <v>tinhla.lan@vnpt.vn</v>
      </c>
      <c r="F168" s="64" t="str">
        <f t="shared" ca="1" si="5"/>
        <v>Lần 2</v>
      </c>
      <c r="G168" s="97">
        <v>46206</v>
      </c>
      <c r="H168" s="121">
        <v>700</v>
      </c>
      <c r="I168" s="121">
        <v>60</v>
      </c>
      <c r="J168" s="98">
        <v>750</v>
      </c>
      <c r="K168" s="98">
        <v>69</v>
      </c>
      <c r="L168" s="91"/>
      <c r="M168" s="184">
        <f t="shared" ca="1" si="13"/>
        <v>1</v>
      </c>
      <c r="N168" s="67">
        <f t="shared" ca="1" si="12"/>
        <v>1</v>
      </c>
      <c r="O168" s="68">
        <f t="shared" ca="1" si="8"/>
        <v>1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60" t="str">
        <f t="shared" ca="1" si="9"/>
        <v>Tổ Hạ tầng Đức Hòa</v>
      </c>
      <c r="C169" s="61" t="str">
        <f t="shared" ca="1" si="2"/>
        <v>Lê Ân Tình</v>
      </c>
      <c r="D169" s="183">
        <f t="shared" ca="1" si="3"/>
        <v>941202345</v>
      </c>
      <c r="E169" s="63" t="str">
        <f t="shared" ca="1" si="4"/>
        <v>tinhla.lan@vnpt.vn</v>
      </c>
      <c r="F169" s="64" t="str">
        <f t="shared" ca="1" si="5"/>
        <v>Lần 3</v>
      </c>
      <c r="G169" s="97">
        <v>46206</v>
      </c>
      <c r="H169" s="121">
        <v>750</v>
      </c>
      <c r="I169" s="121">
        <v>58</v>
      </c>
      <c r="J169" s="121">
        <v>769</v>
      </c>
      <c r="K169" s="99">
        <v>77</v>
      </c>
      <c r="L169" s="91"/>
      <c r="M169" s="184">
        <f t="shared" ca="1" si="13"/>
        <v>1</v>
      </c>
      <c r="N169" s="67">
        <f t="shared" ca="1" si="12"/>
        <v>1</v>
      </c>
      <c r="O169" s="68">
        <f t="shared" ca="1" si="8"/>
        <v>1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60" t="str">
        <f t="shared" ca="1" si="9"/>
        <v>Tổ Hạ tầng Đức Hòa</v>
      </c>
      <c r="C170" s="61" t="str">
        <f t="shared" ca="1" si="2"/>
        <v>Lê Ân Tình</v>
      </c>
      <c r="D170" s="183">
        <f t="shared" ca="1" si="3"/>
        <v>941202345</v>
      </c>
      <c r="E170" s="63" t="str">
        <f t="shared" ca="1" si="4"/>
        <v>tinhla.lan@vnpt.vn</v>
      </c>
      <c r="F170" s="64" t="str">
        <f t="shared" ca="1" si="5"/>
        <v>Lần 4</v>
      </c>
      <c r="G170" s="97">
        <v>46208</v>
      </c>
      <c r="H170" s="121">
        <v>220</v>
      </c>
      <c r="I170" s="121">
        <v>49</v>
      </c>
      <c r="J170" s="121">
        <v>250</v>
      </c>
      <c r="K170" s="121">
        <v>70</v>
      </c>
      <c r="L170" s="91"/>
      <c r="M170" s="184">
        <f t="shared" ca="1" si="13"/>
        <v>1</v>
      </c>
      <c r="N170" s="67">
        <f t="shared" ca="1" si="12"/>
        <v>1</v>
      </c>
      <c r="O170" s="68">
        <f t="shared" ca="1" si="8"/>
        <v>1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60" t="str">
        <f t="shared" ca="1" si="9"/>
        <v>Tổ Hạ tầng Đức Hòa</v>
      </c>
      <c r="C171" s="61" t="str">
        <f t="shared" ca="1" si="2"/>
        <v>Lê Ân Tình</v>
      </c>
      <c r="D171" s="183">
        <f t="shared" ca="1" si="3"/>
        <v>941202345</v>
      </c>
      <c r="E171" s="63" t="str">
        <f t="shared" ca="1" si="4"/>
        <v>tinhla.lan@vnpt.vn</v>
      </c>
      <c r="F171" s="64" t="str">
        <f t="shared" ca="1" si="5"/>
        <v>Lần 5</v>
      </c>
      <c r="G171" s="97">
        <v>46211</v>
      </c>
      <c r="H171" s="122">
        <v>667</v>
      </c>
      <c r="I171" s="122">
        <v>55</v>
      </c>
      <c r="J171" s="98">
        <v>701</v>
      </c>
      <c r="K171" s="60">
        <v>54</v>
      </c>
      <c r="L171" s="91"/>
      <c r="M171" s="184">
        <f t="shared" ca="1" si="13"/>
        <v>1</v>
      </c>
      <c r="N171" s="67">
        <f t="shared" ca="1" si="12"/>
        <v>1</v>
      </c>
      <c r="O171" s="68">
        <f t="shared" ca="1" si="8"/>
        <v>1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60" t="str">
        <f t="shared" ca="1" si="9"/>
        <v>Tổ Hạ tầng Đức Hòa</v>
      </c>
      <c r="C172" s="61" t="str">
        <f t="shared" ca="1" si="2"/>
        <v>Lê Ân Tình</v>
      </c>
      <c r="D172" s="183">
        <f t="shared" ca="1" si="3"/>
        <v>941202345</v>
      </c>
      <c r="E172" s="63" t="str">
        <f t="shared" ca="1" si="4"/>
        <v>tinhla.lan@vnpt.vn</v>
      </c>
      <c r="F172" s="64" t="str">
        <f t="shared" ca="1" si="5"/>
        <v>Lần 6</v>
      </c>
      <c r="G172" s="97">
        <v>46212</v>
      </c>
      <c r="H172" s="122">
        <v>804</v>
      </c>
      <c r="I172" s="122">
        <v>56</v>
      </c>
      <c r="J172" s="60">
        <v>810</v>
      </c>
      <c r="K172" s="60">
        <v>43</v>
      </c>
      <c r="L172" s="91"/>
      <c r="M172" s="184">
        <f t="shared" ca="1" si="13"/>
        <v>1</v>
      </c>
      <c r="N172" s="67">
        <f t="shared" ca="1" si="12"/>
        <v>1</v>
      </c>
      <c r="O172" s="68">
        <f t="shared" ca="1" si="8"/>
        <v>1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60" t="str">
        <f t="shared" ca="1" si="9"/>
        <v>Tổ Hạ tầng Đức Hòa</v>
      </c>
      <c r="C173" s="61" t="str">
        <f t="shared" ca="1" si="2"/>
        <v>Lê Ân Tình</v>
      </c>
      <c r="D173" s="183">
        <f t="shared" ca="1" si="3"/>
        <v>941202345</v>
      </c>
      <c r="E173" s="63" t="str">
        <f t="shared" ca="1" si="4"/>
        <v>tinhla.lan@vnpt.vn</v>
      </c>
      <c r="F173" s="64" t="str">
        <f t="shared" ca="1" si="5"/>
        <v>Lần 7</v>
      </c>
      <c r="G173" s="139"/>
      <c r="H173" s="122"/>
      <c r="I173" s="122"/>
      <c r="J173" s="60"/>
      <c r="K173" s="60"/>
      <c r="L173" s="91"/>
      <c r="M173" s="184">
        <f t="shared" ca="1" si="13"/>
        <v>0</v>
      </c>
      <c r="N173" s="67">
        <f t="shared" ca="1" si="12"/>
        <v>0</v>
      </c>
      <c r="O173" s="68">
        <f t="shared" ca="1" si="8"/>
        <v>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60" t="str">
        <f t="shared" ca="1" si="9"/>
        <v>Tổ Hạ tầng Đức Hòa</v>
      </c>
      <c r="C174" s="61" t="str">
        <f t="shared" ca="1" si="2"/>
        <v>Lê Ân Tình</v>
      </c>
      <c r="D174" s="183">
        <f t="shared" ca="1" si="3"/>
        <v>941202345</v>
      </c>
      <c r="E174" s="63" t="str">
        <f t="shared" ca="1" si="4"/>
        <v>tinhla.lan@vnpt.vn</v>
      </c>
      <c r="F174" s="64" t="str">
        <f t="shared" ca="1" si="5"/>
        <v>Lần 8</v>
      </c>
      <c r="G174" s="139"/>
      <c r="H174" s="122"/>
      <c r="I174" s="122"/>
      <c r="J174" s="98"/>
      <c r="K174" s="98"/>
      <c r="L174" s="91"/>
      <c r="M174" s="184">
        <f t="shared" ca="1" si="13"/>
        <v>0</v>
      </c>
      <c r="N174" s="67">
        <f t="shared" ca="1" si="12"/>
        <v>0</v>
      </c>
      <c r="O174" s="68">
        <f t="shared" ca="1" si="8"/>
        <v>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60" t="str">
        <f t="shared" ca="1" si="9"/>
        <v>Tổ Hạ tầng Đức Hòa</v>
      </c>
      <c r="C175" s="61" t="str">
        <f t="shared" ca="1" si="2"/>
        <v>Lê Ân Tình</v>
      </c>
      <c r="D175" s="183">
        <f t="shared" ca="1" si="3"/>
        <v>941202345</v>
      </c>
      <c r="E175" s="63" t="str">
        <f t="shared" ca="1" si="4"/>
        <v>tinhla.lan@vnpt.vn</v>
      </c>
      <c r="F175" s="64" t="str">
        <f t="shared" ca="1" si="5"/>
        <v>Lần 9</v>
      </c>
      <c r="G175" s="139"/>
      <c r="H175" s="122"/>
      <c r="I175" s="122"/>
      <c r="J175" s="98"/>
      <c r="K175" s="60"/>
      <c r="L175" s="91"/>
      <c r="M175" s="184">
        <f t="shared" ca="1" si="13"/>
        <v>0</v>
      </c>
      <c r="N175" s="67">
        <f t="shared" ca="1" si="12"/>
        <v>0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60" t="str">
        <f t="shared" ca="1" si="9"/>
        <v>Tổ Hạ tầng Đức Hòa</v>
      </c>
      <c r="C176" s="61" t="str">
        <f t="shared" ca="1" si="2"/>
        <v>Lê Ân Tình</v>
      </c>
      <c r="D176" s="183">
        <f t="shared" ca="1" si="3"/>
        <v>941202345</v>
      </c>
      <c r="E176" s="63" t="str">
        <f t="shared" ca="1" si="4"/>
        <v>tinhla.lan@vnpt.vn</v>
      </c>
      <c r="F176" s="64" t="str">
        <f t="shared" ca="1" si="5"/>
        <v>Lần 10</v>
      </c>
      <c r="G176" s="139"/>
      <c r="H176" s="122"/>
      <c r="I176" s="122"/>
      <c r="J176" s="98"/>
      <c r="K176" s="60"/>
      <c r="L176" s="91"/>
      <c r="M176" s="184">
        <f t="shared" ca="1" si="13"/>
        <v>0</v>
      </c>
      <c r="N176" s="67">
        <f t="shared" ca="1" si="12"/>
        <v>0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60" t="str">
        <f t="shared" ca="1" si="9"/>
        <v>Tổ Hạ tầng Đức Hòa</v>
      </c>
      <c r="C177" s="61" t="str">
        <f t="shared" ca="1" si="2"/>
        <v>Lê Ân Tình</v>
      </c>
      <c r="D177" s="183">
        <f t="shared" ca="1" si="3"/>
        <v>941202345</v>
      </c>
      <c r="E177" s="63" t="str">
        <f t="shared" ca="1" si="4"/>
        <v>tinhla.lan@vnpt.vn</v>
      </c>
      <c r="F177" s="64" t="str">
        <f t="shared" ca="1" si="5"/>
        <v>Lần 11</v>
      </c>
      <c r="G177" s="139"/>
      <c r="H177" s="122"/>
      <c r="I177" s="122"/>
      <c r="J177" s="98"/>
      <c r="K177" s="98"/>
      <c r="L177" s="91"/>
      <c r="M177" s="184">
        <f t="shared" ca="1" si="13"/>
        <v>0</v>
      </c>
      <c r="N177" s="67">
        <f t="shared" ca="1" si="12"/>
        <v>0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60" t="str">
        <f t="shared" ca="1" si="9"/>
        <v>Tổ Hạ tầng Đức Hòa</v>
      </c>
      <c r="C178" s="61" t="str">
        <f t="shared" ca="1" si="2"/>
        <v>Lê Ân Tình</v>
      </c>
      <c r="D178" s="183">
        <f t="shared" ca="1" si="3"/>
        <v>941202345</v>
      </c>
      <c r="E178" s="63" t="str">
        <f t="shared" ca="1" si="4"/>
        <v>tinhla.lan@vnpt.vn</v>
      </c>
      <c r="F178" s="64" t="str">
        <f t="shared" ca="1" si="5"/>
        <v>Lần 12</v>
      </c>
      <c r="G178" s="139"/>
      <c r="H178" s="122"/>
      <c r="I178" s="122"/>
      <c r="J178" s="98"/>
      <c r="K178" s="98"/>
      <c r="L178" s="91"/>
      <c r="M178" s="184">
        <f t="shared" ca="1" si="13"/>
        <v>0</v>
      </c>
      <c r="N178" s="67">
        <f t="shared" ca="1" si="12"/>
        <v>0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60" t="str">
        <f t="shared" ca="1" si="9"/>
        <v>Tổ Hạ tầng Đức Hòa</v>
      </c>
      <c r="C179" s="61" t="str">
        <f t="shared" ca="1" si="2"/>
        <v>Lê Ân Tình</v>
      </c>
      <c r="D179" s="183">
        <f t="shared" ca="1" si="3"/>
        <v>941202345</v>
      </c>
      <c r="E179" s="63" t="str">
        <f t="shared" ca="1" si="4"/>
        <v>tinhla.lan@vnpt.vn</v>
      </c>
      <c r="F179" s="64" t="str">
        <f t="shared" ca="1" si="5"/>
        <v>Lần 13</v>
      </c>
      <c r="G179" s="139"/>
      <c r="H179" s="122"/>
      <c r="I179" s="122"/>
      <c r="J179" s="98"/>
      <c r="K179" s="98"/>
      <c r="L179" s="91"/>
      <c r="M179" s="184">
        <f t="shared" ca="1" si="13"/>
        <v>0</v>
      </c>
      <c r="N179" s="67">
        <f t="shared" ca="1" si="12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60" t="str">
        <f t="shared" ca="1" si="9"/>
        <v>Tổ Hạ tầng Đức Hòa</v>
      </c>
      <c r="C180" s="61" t="str">
        <f t="shared" ca="1" si="2"/>
        <v>Lê Ân Tình</v>
      </c>
      <c r="D180" s="183">
        <f t="shared" ca="1" si="3"/>
        <v>941202345</v>
      </c>
      <c r="E180" s="63" t="str">
        <f t="shared" ca="1" si="4"/>
        <v>tinhla.lan@vnpt.vn</v>
      </c>
      <c r="F180" s="64" t="str">
        <f t="shared" ca="1" si="5"/>
        <v>Lần 14</v>
      </c>
      <c r="G180" s="139"/>
      <c r="H180" s="122"/>
      <c r="I180" s="122"/>
      <c r="J180" s="98"/>
      <c r="K180" s="60"/>
      <c r="L180" s="91"/>
      <c r="M180" s="184">
        <f t="shared" ca="1" si="13"/>
        <v>0</v>
      </c>
      <c r="N180" s="67">
        <f t="shared" ca="1" si="12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60" t="str">
        <f t="shared" ca="1" si="9"/>
        <v>Tổ Hạ tầng Đức Hòa</v>
      </c>
      <c r="C181" s="61" t="str">
        <f t="shared" ca="1" si="2"/>
        <v>Lê Ân Tình</v>
      </c>
      <c r="D181" s="183">
        <f t="shared" ca="1" si="3"/>
        <v>941202345</v>
      </c>
      <c r="E181" s="63" t="str">
        <f t="shared" ca="1" si="4"/>
        <v>tinhla.lan@vnpt.vn</v>
      </c>
      <c r="F181" s="64" t="str">
        <f t="shared" ca="1" si="5"/>
        <v>Lần 15</v>
      </c>
      <c r="G181" s="139"/>
      <c r="H181" s="122"/>
      <c r="I181" s="122"/>
      <c r="J181" s="60"/>
      <c r="K181" s="98"/>
      <c r="L181" s="91"/>
      <c r="M181" s="184">
        <f t="shared" ca="1" si="13"/>
        <v>0</v>
      </c>
      <c r="N181" s="67">
        <f t="shared" ca="1" si="12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81" t="str">
        <f t="shared" ca="1" si="9"/>
        <v>Tổ Hạ tầng Đức Hòa</v>
      </c>
      <c r="C182" s="82" t="str">
        <f t="shared" ca="1" si="2"/>
        <v>Lê Ân Tình</v>
      </c>
      <c r="D182" s="186">
        <f t="shared" ca="1" si="3"/>
        <v>941202345</v>
      </c>
      <c r="E182" s="84" t="str">
        <f t="shared" ca="1" si="4"/>
        <v>tinhla.lan@vnpt.vn</v>
      </c>
      <c r="F182" s="85" t="str">
        <f t="shared" ca="1" si="5"/>
        <v>Lần 16</v>
      </c>
      <c r="G182" s="139"/>
      <c r="H182" s="122"/>
      <c r="I182" s="122"/>
      <c r="J182" s="98"/>
      <c r="K182" s="98"/>
      <c r="L182" s="152"/>
      <c r="M182" s="189">
        <f t="shared" ca="1" si="13"/>
        <v>0</v>
      </c>
      <c r="N182" s="171">
        <f t="shared" ca="1" si="12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47" t="str">
        <f t="shared" ca="1" si="9"/>
        <v>Tổ Hạ tầng Đức Hòa</v>
      </c>
      <c r="C183" s="48" t="str">
        <f t="shared" ca="1" si="2"/>
        <v>Trần Thanh Chương</v>
      </c>
      <c r="D183" s="191">
        <f t="shared" ca="1" si="3"/>
        <v>819577699</v>
      </c>
      <c r="E183" s="50">
        <f t="shared" ca="1" si="4"/>
        <v>0</v>
      </c>
      <c r="F183" s="51" t="str">
        <f t="shared" ca="1" si="5"/>
        <v>Lần 1</v>
      </c>
      <c r="G183" s="70"/>
      <c r="H183" s="71"/>
      <c r="I183" s="71"/>
      <c r="J183" s="94"/>
      <c r="K183" s="94"/>
      <c r="L183" s="193"/>
      <c r="M183" s="194">
        <f t="shared" ca="1" si="13"/>
        <v>0</v>
      </c>
      <c r="N183" s="195">
        <f t="shared" ca="1" si="12"/>
        <v>0</v>
      </c>
      <c r="O183" s="68">
        <f t="shared" ca="1" si="8"/>
        <v>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60" t="str">
        <f t="shared" ca="1" si="9"/>
        <v>Tổ Hạ tầng Đức Hòa</v>
      </c>
      <c r="C184" s="61" t="str">
        <f t="shared" ca="1" si="2"/>
        <v>Trần Thanh Chương</v>
      </c>
      <c r="D184" s="183">
        <f t="shared" ca="1" si="3"/>
        <v>819577699</v>
      </c>
      <c r="E184" s="63">
        <f t="shared" ca="1" si="4"/>
        <v>0</v>
      </c>
      <c r="F184" s="64" t="str">
        <f t="shared" ca="1" si="5"/>
        <v>Lần 2</v>
      </c>
      <c r="G184" s="76"/>
      <c r="H184" s="71"/>
      <c r="I184" s="71"/>
      <c r="J184" s="94"/>
      <c r="K184" s="94"/>
      <c r="L184" s="95"/>
      <c r="M184" s="184">
        <f t="shared" ca="1" si="13"/>
        <v>0</v>
      </c>
      <c r="N184" s="67">
        <f t="shared" ca="1" si="12"/>
        <v>0</v>
      </c>
      <c r="O184" s="68">
        <f t="shared" ca="1" si="8"/>
        <v>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60" t="str">
        <f t="shared" ca="1" si="9"/>
        <v>Tổ Hạ tầng Đức Hòa</v>
      </c>
      <c r="C185" s="61" t="str">
        <f t="shared" ca="1" si="2"/>
        <v>Trần Thanh Chương</v>
      </c>
      <c r="D185" s="183">
        <f t="shared" ca="1" si="3"/>
        <v>819577699</v>
      </c>
      <c r="E185" s="63">
        <f t="shared" ca="1" si="4"/>
        <v>0</v>
      </c>
      <c r="F185" s="64" t="str">
        <f t="shared" ca="1" si="5"/>
        <v>Lần 3</v>
      </c>
      <c r="G185" s="76"/>
      <c r="H185" s="71"/>
      <c r="I185" s="71"/>
      <c r="J185" s="94"/>
      <c r="K185" s="94"/>
      <c r="L185" s="95"/>
      <c r="M185" s="184">
        <f t="shared" ca="1" si="13"/>
        <v>0</v>
      </c>
      <c r="N185" s="67">
        <f t="shared" ca="1" si="12"/>
        <v>0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60" t="str">
        <f t="shared" ca="1" si="9"/>
        <v>Tổ Hạ tầng Đức Hòa</v>
      </c>
      <c r="C186" s="61" t="str">
        <f t="shared" ca="1" si="2"/>
        <v>Trần Thanh Chương</v>
      </c>
      <c r="D186" s="183">
        <f t="shared" ca="1" si="3"/>
        <v>819577699</v>
      </c>
      <c r="E186" s="63">
        <f t="shared" ca="1" si="4"/>
        <v>0</v>
      </c>
      <c r="F186" s="64" t="str">
        <f t="shared" ca="1" si="5"/>
        <v>Lần 4</v>
      </c>
      <c r="G186" s="76"/>
      <c r="H186" s="71"/>
      <c r="I186" s="71"/>
      <c r="J186" s="94"/>
      <c r="K186" s="94"/>
      <c r="L186" s="95"/>
      <c r="M186" s="184">
        <f t="shared" ca="1" si="13"/>
        <v>0</v>
      </c>
      <c r="N186" s="67">
        <f t="shared" ca="1" si="12"/>
        <v>0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60" t="str">
        <f t="shared" ca="1" si="9"/>
        <v>Tổ Hạ tầng Đức Hòa</v>
      </c>
      <c r="C187" s="61" t="str">
        <f t="shared" ca="1" si="2"/>
        <v>Trần Thanh Chương</v>
      </c>
      <c r="D187" s="183">
        <f t="shared" ca="1" si="3"/>
        <v>819577699</v>
      </c>
      <c r="E187" s="63">
        <f t="shared" ca="1" si="4"/>
        <v>0</v>
      </c>
      <c r="F187" s="64" t="str">
        <f t="shared" ca="1" si="5"/>
        <v>Lần 5</v>
      </c>
      <c r="G187" s="76"/>
      <c r="H187" s="75"/>
      <c r="I187" s="75"/>
      <c r="J187" s="94"/>
      <c r="K187" s="94"/>
      <c r="L187" s="95"/>
      <c r="M187" s="184">
        <f t="shared" ca="1" si="13"/>
        <v>0</v>
      </c>
      <c r="N187" s="67">
        <f t="shared" ca="1" si="12"/>
        <v>0</v>
      </c>
      <c r="O187" s="68">
        <f t="shared" ca="1" si="8"/>
        <v>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60" t="str">
        <f t="shared" ca="1" si="9"/>
        <v>Tổ Hạ tầng Đức Hòa</v>
      </c>
      <c r="C188" s="61" t="str">
        <f t="shared" ca="1" si="2"/>
        <v>Trần Thanh Chương</v>
      </c>
      <c r="D188" s="183">
        <f t="shared" ca="1" si="3"/>
        <v>819577699</v>
      </c>
      <c r="E188" s="63">
        <f t="shared" ca="1" si="4"/>
        <v>0</v>
      </c>
      <c r="F188" s="64" t="str">
        <f t="shared" ca="1" si="5"/>
        <v>Lần 6</v>
      </c>
      <c r="G188" s="76"/>
      <c r="H188" s="75"/>
      <c r="I188" s="75"/>
      <c r="J188" s="94"/>
      <c r="K188" s="94"/>
      <c r="L188" s="95"/>
      <c r="M188" s="184">
        <f t="shared" ca="1" si="13"/>
        <v>0</v>
      </c>
      <c r="N188" s="67">
        <f t="shared" ca="1" si="12"/>
        <v>0</v>
      </c>
      <c r="O188" s="68">
        <f t="shared" ca="1" si="8"/>
        <v>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60" t="str">
        <f t="shared" ca="1" si="9"/>
        <v>Tổ Hạ tầng Đức Hòa</v>
      </c>
      <c r="C189" s="61" t="str">
        <f t="shared" ca="1" si="2"/>
        <v>Trần Thanh Chương</v>
      </c>
      <c r="D189" s="183">
        <f t="shared" ca="1" si="3"/>
        <v>819577699</v>
      </c>
      <c r="E189" s="63">
        <f t="shared" ca="1" si="4"/>
        <v>0</v>
      </c>
      <c r="F189" s="64" t="str">
        <f t="shared" ca="1" si="5"/>
        <v>Lần 7</v>
      </c>
      <c r="G189" s="76"/>
      <c r="H189" s="75"/>
      <c r="I189" s="75"/>
      <c r="J189" s="94"/>
      <c r="K189" s="94"/>
      <c r="L189" s="95"/>
      <c r="M189" s="184">
        <f t="shared" ca="1" si="13"/>
        <v>0</v>
      </c>
      <c r="N189" s="67">
        <f t="shared" ca="1" si="12"/>
        <v>0</v>
      </c>
      <c r="O189" s="68">
        <f t="shared" ca="1" si="8"/>
        <v>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60" t="str">
        <f t="shared" ca="1" si="9"/>
        <v>Tổ Hạ tầng Đức Hòa</v>
      </c>
      <c r="C190" s="61" t="str">
        <f t="shared" ca="1" si="2"/>
        <v>Trần Thanh Chương</v>
      </c>
      <c r="D190" s="183">
        <f t="shared" ca="1" si="3"/>
        <v>819577699</v>
      </c>
      <c r="E190" s="63">
        <f t="shared" ca="1" si="4"/>
        <v>0</v>
      </c>
      <c r="F190" s="64" t="str">
        <f t="shared" ca="1" si="5"/>
        <v>Lần 8</v>
      </c>
      <c r="G190" s="76"/>
      <c r="H190" s="75"/>
      <c r="I190" s="75"/>
      <c r="J190" s="94"/>
      <c r="K190" s="94"/>
      <c r="L190" s="95"/>
      <c r="M190" s="184">
        <f t="shared" ca="1" si="13"/>
        <v>0</v>
      </c>
      <c r="N190" s="67">
        <f t="shared" ca="1" si="12"/>
        <v>0</v>
      </c>
      <c r="O190" s="68">
        <f t="shared" ca="1" si="8"/>
        <v>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60" t="str">
        <f t="shared" ca="1" si="9"/>
        <v>Tổ Hạ tầng Đức Hòa</v>
      </c>
      <c r="C191" s="61" t="str">
        <f t="shared" ca="1" si="2"/>
        <v>Trần Thanh Chương</v>
      </c>
      <c r="D191" s="183">
        <f t="shared" ca="1" si="3"/>
        <v>819577699</v>
      </c>
      <c r="E191" s="63">
        <f t="shared" ca="1" si="4"/>
        <v>0</v>
      </c>
      <c r="F191" s="64" t="str">
        <f t="shared" ca="1" si="5"/>
        <v>Lần 9</v>
      </c>
      <c r="G191" s="243"/>
      <c r="H191" s="75"/>
      <c r="I191" s="75"/>
      <c r="J191" s="94"/>
      <c r="K191" s="94"/>
      <c r="L191" s="95"/>
      <c r="M191" s="184">
        <f t="shared" ca="1" si="13"/>
        <v>0</v>
      </c>
      <c r="N191" s="67">
        <f t="shared" ca="1" si="12"/>
        <v>0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60" t="str">
        <f t="shared" ca="1" si="9"/>
        <v>Tổ Hạ tầng Đức Hòa</v>
      </c>
      <c r="C192" s="61" t="str">
        <f t="shared" ca="1" si="2"/>
        <v>Trần Thanh Chương</v>
      </c>
      <c r="D192" s="183">
        <f t="shared" ca="1" si="3"/>
        <v>819577699</v>
      </c>
      <c r="E192" s="63">
        <f t="shared" ca="1" si="4"/>
        <v>0</v>
      </c>
      <c r="F192" s="64" t="str">
        <f t="shared" ca="1" si="5"/>
        <v>Lần 10</v>
      </c>
      <c r="G192" s="243"/>
      <c r="H192" s="75"/>
      <c r="I192" s="75"/>
      <c r="J192" s="94"/>
      <c r="K192" s="94"/>
      <c r="L192" s="95"/>
      <c r="M192" s="184">
        <f t="shared" ca="1" si="13"/>
        <v>0</v>
      </c>
      <c r="N192" s="67">
        <f t="shared" ca="1" si="12"/>
        <v>0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60" t="str">
        <f t="shared" ca="1" si="9"/>
        <v>Tổ Hạ tầng Đức Hòa</v>
      </c>
      <c r="C193" s="61" t="str">
        <f t="shared" ca="1" si="2"/>
        <v>Trần Thanh Chương</v>
      </c>
      <c r="D193" s="183">
        <f t="shared" ca="1" si="3"/>
        <v>819577699</v>
      </c>
      <c r="E193" s="63">
        <f t="shared" ca="1" si="4"/>
        <v>0</v>
      </c>
      <c r="F193" s="64" t="str">
        <f t="shared" ca="1" si="5"/>
        <v>Lần 11</v>
      </c>
      <c r="G193" s="243"/>
      <c r="H193" s="75"/>
      <c r="I193" s="75"/>
      <c r="J193" s="94"/>
      <c r="K193" s="94"/>
      <c r="L193" s="95"/>
      <c r="M193" s="184">
        <f t="shared" ca="1" si="13"/>
        <v>0</v>
      </c>
      <c r="N193" s="67">
        <f t="shared" ca="1" si="12"/>
        <v>0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60" t="str">
        <f t="shared" ca="1" si="9"/>
        <v>Tổ Hạ tầng Đức Hòa</v>
      </c>
      <c r="C194" s="61" t="str">
        <f t="shared" ca="1" si="2"/>
        <v>Trần Thanh Chương</v>
      </c>
      <c r="D194" s="183">
        <f t="shared" ca="1" si="3"/>
        <v>819577699</v>
      </c>
      <c r="E194" s="63">
        <f t="shared" ca="1" si="4"/>
        <v>0</v>
      </c>
      <c r="F194" s="64" t="str">
        <f t="shared" ca="1" si="5"/>
        <v>Lần 12</v>
      </c>
      <c r="G194" s="243"/>
      <c r="H194" s="75"/>
      <c r="I194" s="75"/>
      <c r="J194" s="94"/>
      <c r="K194" s="94"/>
      <c r="L194" s="95"/>
      <c r="M194" s="184">
        <f t="shared" ca="1" si="13"/>
        <v>0</v>
      </c>
      <c r="N194" s="67">
        <f t="shared" ca="1" si="12"/>
        <v>0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60" t="str">
        <f t="shared" ca="1" si="9"/>
        <v>Tổ Hạ tầng Đức Hòa</v>
      </c>
      <c r="C195" s="61" t="str">
        <f t="shared" ca="1" si="2"/>
        <v>Trần Thanh Chương</v>
      </c>
      <c r="D195" s="183">
        <f t="shared" ca="1" si="3"/>
        <v>819577699</v>
      </c>
      <c r="E195" s="63">
        <f t="shared" ca="1" si="4"/>
        <v>0</v>
      </c>
      <c r="F195" s="64" t="str">
        <f t="shared" ca="1" si="5"/>
        <v>Lần 13</v>
      </c>
      <c r="G195" s="243"/>
      <c r="H195" s="75"/>
      <c r="I195" s="75"/>
      <c r="J195" s="94"/>
      <c r="K195" s="94"/>
      <c r="L195" s="95"/>
      <c r="M195" s="184">
        <f t="shared" ca="1" si="13"/>
        <v>0</v>
      </c>
      <c r="N195" s="67">
        <f t="shared" ca="1" si="12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60" t="str">
        <f t="shared" ca="1" si="9"/>
        <v>Tổ Hạ tầng Đức Hòa</v>
      </c>
      <c r="C196" s="61" t="str">
        <f t="shared" ca="1" si="2"/>
        <v>Trần Thanh Chương</v>
      </c>
      <c r="D196" s="183">
        <f t="shared" ca="1" si="3"/>
        <v>819577699</v>
      </c>
      <c r="E196" s="63">
        <f t="shared" ca="1" si="4"/>
        <v>0</v>
      </c>
      <c r="F196" s="64" t="str">
        <f t="shared" ca="1" si="5"/>
        <v>Lần 14</v>
      </c>
      <c r="G196" s="243"/>
      <c r="H196" s="75"/>
      <c r="I196" s="75"/>
      <c r="J196" s="94"/>
      <c r="K196" s="94"/>
      <c r="L196" s="95"/>
      <c r="M196" s="184">
        <f t="shared" ca="1" si="13"/>
        <v>0</v>
      </c>
      <c r="N196" s="67">
        <f t="shared" ca="1" si="12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60" t="str">
        <f t="shared" ca="1" si="9"/>
        <v>Tổ Hạ tầng Đức Hòa</v>
      </c>
      <c r="C197" s="61" t="str">
        <f t="shared" ca="1" si="2"/>
        <v>Trần Thanh Chương</v>
      </c>
      <c r="D197" s="183">
        <f t="shared" ca="1" si="3"/>
        <v>819577699</v>
      </c>
      <c r="E197" s="63">
        <f t="shared" ca="1" si="4"/>
        <v>0</v>
      </c>
      <c r="F197" s="64" t="str">
        <f t="shared" ca="1" si="5"/>
        <v>Lần 15</v>
      </c>
      <c r="G197" s="243"/>
      <c r="H197" s="75"/>
      <c r="I197" s="75"/>
      <c r="J197" s="94"/>
      <c r="K197" s="94"/>
      <c r="L197" s="95"/>
      <c r="M197" s="184">
        <f t="shared" ca="1" si="13"/>
        <v>0</v>
      </c>
      <c r="N197" s="67">
        <f t="shared" ca="1" si="12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01" t="str">
        <f t="shared" ca="1" si="9"/>
        <v>Tổ Hạ tầng Đức Hòa</v>
      </c>
      <c r="C198" s="102" t="str">
        <f t="shared" ca="1" si="2"/>
        <v>Trần Thanh Chương</v>
      </c>
      <c r="D198" s="197">
        <f t="shared" ca="1" si="3"/>
        <v>819577699</v>
      </c>
      <c r="E198" s="104">
        <f t="shared" ca="1" si="4"/>
        <v>0</v>
      </c>
      <c r="F198" s="105" t="str">
        <f t="shared" ca="1" si="5"/>
        <v>Lần 16</v>
      </c>
      <c r="G198" s="242"/>
      <c r="H198" s="75"/>
      <c r="I198" s="75"/>
      <c r="J198" s="94"/>
      <c r="K198" s="94"/>
      <c r="L198" s="212"/>
      <c r="M198" s="202">
        <f t="shared" ca="1" si="13"/>
        <v>0</v>
      </c>
      <c r="N198" s="203">
        <f t="shared" ca="1" si="12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106">
        <f t="shared" ca="1" si="1"/>
        <v>193</v>
      </c>
      <c r="B199" s="107" t="str">
        <f t="shared" ca="1" si="9"/>
        <v>Tổ Hạ tầng Đức Hòa</v>
      </c>
      <c r="C199" s="108" t="str">
        <f t="shared" ca="1" si="2"/>
        <v>Trần Thanh Giàu</v>
      </c>
      <c r="D199" s="205">
        <f t="shared" ca="1" si="3"/>
        <v>853837837</v>
      </c>
      <c r="E199" s="110" t="str">
        <f t="shared" ca="1" si="4"/>
        <v>giautt.lan@vnpt.vn</v>
      </c>
      <c r="F199" s="111" t="str">
        <f t="shared" ca="1" si="5"/>
        <v>Lần 1</v>
      </c>
      <c r="G199" s="192"/>
      <c r="H199" s="121"/>
      <c r="I199" s="121"/>
      <c r="J199" s="121"/>
      <c r="K199" s="121"/>
      <c r="L199" s="213"/>
      <c r="M199" s="181">
        <f t="shared" ca="1" si="13"/>
        <v>0</v>
      </c>
      <c r="N199" s="57">
        <f t="shared" ca="1" si="12"/>
        <v>0</v>
      </c>
      <c r="O199" s="68">
        <f t="shared" ca="1" si="8"/>
        <v>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60" t="str">
        <f t="shared" ca="1" si="9"/>
        <v>Tổ Hạ tầng Đức Hòa</v>
      </c>
      <c r="C200" s="61" t="str">
        <f t="shared" ca="1" si="2"/>
        <v>Trần Thanh Giàu</v>
      </c>
      <c r="D200" s="183">
        <f t="shared" ca="1" si="3"/>
        <v>853837837</v>
      </c>
      <c r="E200" s="63" t="str">
        <f t="shared" ca="1" si="4"/>
        <v>giautt.lan@vnpt.vn</v>
      </c>
      <c r="F200" s="64" t="str">
        <f t="shared" ca="1" si="5"/>
        <v>Lần 2</v>
      </c>
      <c r="G200" s="97"/>
      <c r="H200" s="121"/>
      <c r="I200" s="121"/>
      <c r="J200" s="99"/>
      <c r="K200" s="99"/>
      <c r="L200" s="88"/>
      <c r="M200" s="184">
        <f t="shared" ca="1" si="13"/>
        <v>0</v>
      </c>
      <c r="N200" s="67">
        <f t="shared" ca="1" si="12"/>
        <v>0</v>
      </c>
      <c r="O200" s="68">
        <f t="shared" ca="1" si="8"/>
        <v>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60" t="str">
        <f t="shared" ca="1" si="9"/>
        <v>Tổ Hạ tầng Đức Hòa</v>
      </c>
      <c r="C201" s="61" t="str">
        <f t="shared" ca="1" si="2"/>
        <v>Trần Thanh Giàu</v>
      </c>
      <c r="D201" s="183">
        <f t="shared" ca="1" si="3"/>
        <v>853837837</v>
      </c>
      <c r="E201" s="63" t="str">
        <f t="shared" ca="1" si="4"/>
        <v>giautt.lan@vnpt.vn</v>
      </c>
      <c r="F201" s="64" t="str">
        <f t="shared" ca="1" si="5"/>
        <v>Lần 3</v>
      </c>
      <c r="G201" s="97"/>
      <c r="H201" s="121"/>
      <c r="I201" s="121"/>
      <c r="J201" s="99"/>
      <c r="K201" s="99"/>
      <c r="L201" s="88"/>
      <c r="M201" s="184">
        <f t="shared" ca="1" si="13"/>
        <v>0</v>
      </c>
      <c r="N201" s="67">
        <f t="shared" ca="1" si="12"/>
        <v>0</v>
      </c>
      <c r="O201" s="68">
        <f t="shared" ca="1" si="8"/>
        <v>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60" t="str">
        <f t="shared" ca="1" si="9"/>
        <v>Tổ Hạ tầng Đức Hòa</v>
      </c>
      <c r="C202" s="61" t="str">
        <f t="shared" ca="1" si="2"/>
        <v>Trần Thanh Giàu</v>
      </c>
      <c r="D202" s="183">
        <f t="shared" ca="1" si="3"/>
        <v>853837837</v>
      </c>
      <c r="E202" s="63" t="str">
        <f t="shared" ca="1" si="4"/>
        <v>giautt.lan@vnpt.vn</v>
      </c>
      <c r="F202" s="64" t="str">
        <f t="shared" ca="1" si="5"/>
        <v>Lần 4</v>
      </c>
      <c r="G202" s="97"/>
      <c r="H202" s="121"/>
      <c r="I202" s="121"/>
      <c r="J202" s="99"/>
      <c r="K202" s="99"/>
      <c r="L202" s="88"/>
      <c r="M202" s="184">
        <f t="shared" ca="1" si="13"/>
        <v>0</v>
      </c>
      <c r="N202" s="67">
        <f t="shared" ca="1" si="12"/>
        <v>0</v>
      </c>
      <c r="O202" s="68">
        <f t="shared" ca="1" si="8"/>
        <v>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60" t="str">
        <f t="shared" ca="1" si="9"/>
        <v>Tổ Hạ tầng Đức Hòa</v>
      </c>
      <c r="C203" s="61" t="str">
        <f t="shared" ca="1" si="2"/>
        <v>Trần Thanh Giàu</v>
      </c>
      <c r="D203" s="183">
        <f t="shared" ca="1" si="3"/>
        <v>853837837</v>
      </c>
      <c r="E203" s="63" t="str">
        <f t="shared" ca="1" si="4"/>
        <v>giautt.lan@vnpt.vn</v>
      </c>
      <c r="F203" s="64" t="str">
        <f t="shared" ca="1" si="5"/>
        <v>Lần 5</v>
      </c>
      <c r="G203" s="97"/>
      <c r="H203" s="122"/>
      <c r="I203" s="122"/>
      <c r="J203" s="98"/>
      <c r="K203" s="98"/>
      <c r="L203" s="88"/>
      <c r="M203" s="184">
        <f t="shared" ca="1" si="13"/>
        <v>0</v>
      </c>
      <c r="N203" s="67">
        <f t="shared" ca="1" si="12"/>
        <v>0</v>
      </c>
      <c r="O203" s="68">
        <f t="shared" ca="1" si="8"/>
        <v>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60" t="str">
        <f t="shared" ca="1" si="9"/>
        <v>Tổ Hạ tầng Đức Hòa</v>
      </c>
      <c r="C204" s="61" t="str">
        <f t="shared" ca="1" si="2"/>
        <v>Trần Thanh Giàu</v>
      </c>
      <c r="D204" s="183">
        <f t="shared" ca="1" si="3"/>
        <v>853837837</v>
      </c>
      <c r="E204" s="63" t="str">
        <f t="shared" ca="1" si="4"/>
        <v>giautt.lan@vnpt.vn</v>
      </c>
      <c r="F204" s="64" t="str">
        <f t="shared" ca="1" si="5"/>
        <v>Lần 6</v>
      </c>
      <c r="G204" s="97"/>
      <c r="H204" s="122"/>
      <c r="I204" s="122"/>
      <c r="J204" s="98"/>
      <c r="K204" s="98"/>
      <c r="L204" s="88"/>
      <c r="M204" s="184">
        <f t="shared" ca="1" si="13"/>
        <v>0</v>
      </c>
      <c r="N204" s="67">
        <f t="shared" ca="1" si="12"/>
        <v>0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60" t="str">
        <f t="shared" ca="1" si="9"/>
        <v>Tổ Hạ tầng Đức Hòa</v>
      </c>
      <c r="C205" s="61" t="str">
        <f t="shared" ca="1" si="2"/>
        <v>Trần Thanh Giàu</v>
      </c>
      <c r="D205" s="183">
        <f t="shared" ca="1" si="3"/>
        <v>853837837</v>
      </c>
      <c r="E205" s="63" t="str">
        <f t="shared" ca="1" si="4"/>
        <v>giautt.lan@vnpt.vn</v>
      </c>
      <c r="F205" s="64" t="str">
        <f t="shared" ca="1" si="5"/>
        <v>Lần 7</v>
      </c>
      <c r="G205" s="97"/>
      <c r="H205" s="122"/>
      <c r="I205" s="122"/>
      <c r="J205" s="98"/>
      <c r="K205" s="98"/>
      <c r="L205" s="88"/>
      <c r="M205" s="184">
        <f t="shared" ca="1" si="13"/>
        <v>0</v>
      </c>
      <c r="N205" s="67">
        <f t="shared" ca="1" si="12"/>
        <v>0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60" t="str">
        <f t="shared" ca="1" si="9"/>
        <v>Tổ Hạ tầng Đức Hòa</v>
      </c>
      <c r="C206" s="61" t="str">
        <f t="shared" ca="1" si="2"/>
        <v>Trần Thanh Giàu</v>
      </c>
      <c r="D206" s="183">
        <f t="shared" ca="1" si="3"/>
        <v>853837837</v>
      </c>
      <c r="E206" s="63" t="str">
        <f t="shared" ca="1" si="4"/>
        <v>giautt.lan@vnpt.vn</v>
      </c>
      <c r="F206" s="64" t="str">
        <f t="shared" ca="1" si="5"/>
        <v>Lần 8</v>
      </c>
      <c r="G206" s="97"/>
      <c r="H206" s="122"/>
      <c r="I206" s="122"/>
      <c r="J206" s="98"/>
      <c r="K206" s="98"/>
      <c r="L206" s="88"/>
      <c r="M206" s="184">
        <f t="shared" ca="1" si="13"/>
        <v>0</v>
      </c>
      <c r="N206" s="67">
        <f t="shared" ca="1" si="12"/>
        <v>0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60" t="str">
        <f t="shared" ca="1" si="9"/>
        <v>Tổ Hạ tầng Đức Hòa</v>
      </c>
      <c r="C207" s="61" t="str">
        <f t="shared" ca="1" si="2"/>
        <v>Trần Thanh Giàu</v>
      </c>
      <c r="D207" s="183">
        <f t="shared" ca="1" si="3"/>
        <v>853837837</v>
      </c>
      <c r="E207" s="63" t="str">
        <f t="shared" ca="1" si="4"/>
        <v>giautt.lan@vnpt.vn</v>
      </c>
      <c r="F207" s="64" t="str">
        <f t="shared" ca="1" si="5"/>
        <v>Lần 9</v>
      </c>
      <c r="G207" s="97"/>
      <c r="H207" s="122"/>
      <c r="I207" s="122"/>
      <c r="J207" s="98"/>
      <c r="K207" s="98"/>
      <c r="L207" s="88"/>
      <c r="M207" s="184">
        <f t="shared" ca="1" si="13"/>
        <v>0</v>
      </c>
      <c r="N207" s="67">
        <f t="shared" ca="1" si="12"/>
        <v>0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60" t="str">
        <f t="shared" ca="1" si="9"/>
        <v>Tổ Hạ tầng Đức Hòa</v>
      </c>
      <c r="C208" s="61" t="str">
        <f t="shared" ca="1" si="2"/>
        <v>Trần Thanh Giàu</v>
      </c>
      <c r="D208" s="183">
        <f t="shared" ca="1" si="3"/>
        <v>853837837</v>
      </c>
      <c r="E208" s="63" t="str">
        <f t="shared" ca="1" si="4"/>
        <v>giautt.lan@vnpt.vn</v>
      </c>
      <c r="F208" s="64" t="str">
        <f t="shared" ca="1" si="5"/>
        <v>Lần 10</v>
      </c>
      <c r="G208" s="97"/>
      <c r="H208" s="122"/>
      <c r="I208" s="122"/>
      <c r="J208" s="98"/>
      <c r="K208" s="98"/>
      <c r="L208" s="88"/>
      <c r="M208" s="184">
        <f t="shared" ca="1" si="13"/>
        <v>0</v>
      </c>
      <c r="N208" s="67">
        <f t="shared" ca="1" si="12"/>
        <v>0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60" t="str">
        <f t="shared" ca="1" si="9"/>
        <v>Tổ Hạ tầng Đức Hòa</v>
      </c>
      <c r="C209" s="61" t="str">
        <f t="shared" ca="1" si="2"/>
        <v>Trần Thanh Giàu</v>
      </c>
      <c r="D209" s="183">
        <f t="shared" ca="1" si="3"/>
        <v>853837837</v>
      </c>
      <c r="E209" s="63" t="str">
        <f t="shared" ca="1" si="4"/>
        <v>giautt.lan@vnpt.vn</v>
      </c>
      <c r="F209" s="64" t="str">
        <f t="shared" ca="1" si="5"/>
        <v>Lần 11</v>
      </c>
      <c r="G209" s="97"/>
      <c r="H209" s="122"/>
      <c r="I209" s="122"/>
      <c r="J209" s="98"/>
      <c r="K209" s="98"/>
      <c r="L209" s="88"/>
      <c r="M209" s="184">
        <f t="shared" ca="1" si="13"/>
        <v>0</v>
      </c>
      <c r="N209" s="67">
        <f t="shared" ca="1" si="12"/>
        <v>0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60" t="str">
        <f t="shared" ca="1" si="9"/>
        <v>Tổ Hạ tầng Đức Hòa</v>
      </c>
      <c r="C210" s="61" t="str">
        <f t="shared" ca="1" si="2"/>
        <v>Trần Thanh Giàu</v>
      </c>
      <c r="D210" s="183">
        <f t="shared" ca="1" si="3"/>
        <v>853837837</v>
      </c>
      <c r="E210" s="63" t="str">
        <f t="shared" ca="1" si="4"/>
        <v>giautt.lan@vnpt.vn</v>
      </c>
      <c r="F210" s="64" t="str">
        <f t="shared" ca="1" si="5"/>
        <v>Lần 12</v>
      </c>
      <c r="G210" s="97"/>
      <c r="H210" s="122"/>
      <c r="I210" s="122"/>
      <c r="J210" s="98"/>
      <c r="K210" s="98"/>
      <c r="L210" s="88"/>
      <c r="M210" s="184">
        <f t="shared" ca="1" si="13"/>
        <v>0</v>
      </c>
      <c r="N210" s="67">
        <f t="shared" ca="1" si="12"/>
        <v>0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60" t="str">
        <f t="shared" ca="1" si="9"/>
        <v>Tổ Hạ tầng Đức Hòa</v>
      </c>
      <c r="C211" s="61" t="str">
        <f t="shared" ca="1" si="2"/>
        <v>Trần Thanh Giàu</v>
      </c>
      <c r="D211" s="183">
        <f t="shared" ca="1" si="3"/>
        <v>853837837</v>
      </c>
      <c r="E211" s="63" t="str">
        <f t="shared" ca="1" si="4"/>
        <v>giautt.lan@vnpt.vn</v>
      </c>
      <c r="F211" s="64" t="str">
        <f t="shared" ca="1" si="5"/>
        <v>Lần 13</v>
      </c>
      <c r="G211" s="97"/>
      <c r="H211" s="122"/>
      <c r="I211" s="122"/>
      <c r="J211" s="98"/>
      <c r="K211" s="98"/>
      <c r="L211" s="88"/>
      <c r="M211" s="184">
        <f t="shared" ca="1" si="13"/>
        <v>0</v>
      </c>
      <c r="N211" s="67">
        <f t="shared" ca="1" si="12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60" t="str">
        <f t="shared" ca="1" si="9"/>
        <v>Tổ Hạ tầng Đức Hòa</v>
      </c>
      <c r="C212" s="61" t="str">
        <f t="shared" ca="1" si="2"/>
        <v>Trần Thanh Giàu</v>
      </c>
      <c r="D212" s="183">
        <f t="shared" ca="1" si="3"/>
        <v>853837837</v>
      </c>
      <c r="E212" s="63" t="str">
        <f t="shared" ca="1" si="4"/>
        <v>giautt.lan@vnpt.vn</v>
      </c>
      <c r="F212" s="64" t="str">
        <f t="shared" ca="1" si="5"/>
        <v>Lần 14</v>
      </c>
      <c r="G212" s="97"/>
      <c r="H212" s="122"/>
      <c r="I212" s="122"/>
      <c r="J212" s="98"/>
      <c r="K212" s="98"/>
      <c r="L212" s="88"/>
      <c r="M212" s="184">
        <f t="shared" ca="1" si="13"/>
        <v>0</v>
      </c>
      <c r="N212" s="67">
        <f t="shared" ca="1" si="12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60" t="str">
        <f t="shared" ca="1" si="9"/>
        <v>Tổ Hạ tầng Đức Hòa</v>
      </c>
      <c r="C213" s="61" t="str">
        <f t="shared" ca="1" si="2"/>
        <v>Trần Thanh Giàu</v>
      </c>
      <c r="D213" s="183">
        <f t="shared" ca="1" si="3"/>
        <v>853837837</v>
      </c>
      <c r="E213" s="63" t="str">
        <f t="shared" ca="1" si="4"/>
        <v>giautt.lan@vnpt.vn</v>
      </c>
      <c r="F213" s="64" t="str">
        <f t="shared" ca="1" si="5"/>
        <v>Lần 15</v>
      </c>
      <c r="G213" s="97"/>
      <c r="H213" s="122"/>
      <c r="I213" s="122"/>
      <c r="J213" s="98"/>
      <c r="K213" s="60"/>
      <c r="L213" s="88"/>
      <c r="M213" s="184">
        <f t="shared" ca="1" si="13"/>
        <v>0</v>
      </c>
      <c r="N213" s="67">
        <f t="shared" ca="1" si="12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80">
        <f t="shared" ca="1" si="1"/>
        <v>208</v>
      </c>
      <c r="B214" s="81" t="str">
        <f t="shared" ca="1" si="9"/>
        <v>Tổ Hạ tầng Đức Hòa</v>
      </c>
      <c r="C214" s="82" t="str">
        <f t="shared" ca="1" si="2"/>
        <v>Trần Thanh Giàu</v>
      </c>
      <c r="D214" s="186">
        <f t="shared" ca="1" si="3"/>
        <v>853837837</v>
      </c>
      <c r="E214" s="84" t="str">
        <f t="shared" ca="1" si="4"/>
        <v>giautt.lan@vnpt.vn</v>
      </c>
      <c r="F214" s="85" t="str">
        <f t="shared" ca="1" si="5"/>
        <v>Lần 16</v>
      </c>
      <c r="G214" s="214"/>
      <c r="H214" s="150"/>
      <c r="I214" s="150"/>
      <c r="J214" s="151"/>
      <c r="K214" s="81"/>
      <c r="L214" s="218"/>
      <c r="M214" s="189">
        <f t="shared" ca="1" si="13"/>
        <v>0</v>
      </c>
      <c r="N214" s="171">
        <f t="shared" ca="1" si="12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46" t="str">
        <f t="shared" ca="1" si="1"/>
        <v/>
      </c>
      <c r="B215" s="47" t="str">
        <f t="shared" ca="1" si="9"/>
        <v/>
      </c>
      <c r="C215" s="48" t="str">
        <f t="shared" ca="1" si="2"/>
        <v/>
      </c>
      <c r="D215" s="191" t="str">
        <f t="shared" ca="1" si="3"/>
        <v/>
      </c>
      <c r="E215" s="50" t="str">
        <f t="shared" ca="1" si="4"/>
        <v/>
      </c>
      <c r="F215" s="51" t="str">
        <f t="shared" ca="1" si="5"/>
        <v/>
      </c>
      <c r="G215" s="70"/>
      <c r="H215" s="142"/>
      <c r="I215" s="142"/>
      <c r="J215" s="244"/>
      <c r="K215" s="244"/>
      <c r="L215" s="193"/>
      <c r="M215" s="194" t="str">
        <f t="shared" ca="1" si="13"/>
        <v/>
      </c>
      <c r="N215" s="195" t="str">
        <f t="shared" ca="1" si="12"/>
        <v/>
      </c>
      <c r="O215" s="68" t="str">
        <f t="shared" ca="1" si="8"/>
        <v/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 t="str">
        <f t="shared" ca="1" si="1"/>
        <v/>
      </c>
      <c r="B216" s="60" t="str">
        <f t="shared" ca="1" si="9"/>
        <v/>
      </c>
      <c r="C216" s="61" t="str">
        <f t="shared" ca="1" si="2"/>
        <v/>
      </c>
      <c r="D216" s="183" t="str">
        <f t="shared" ca="1" si="3"/>
        <v/>
      </c>
      <c r="E216" s="63" t="str">
        <f t="shared" ca="1" si="4"/>
        <v/>
      </c>
      <c r="F216" s="64" t="str">
        <f t="shared" ca="1" si="5"/>
        <v/>
      </c>
      <c r="G216" s="76"/>
      <c r="H216" s="71"/>
      <c r="I216" s="71"/>
      <c r="J216" s="94"/>
      <c r="K216" s="94"/>
      <c r="L216" s="95"/>
      <c r="M216" s="184" t="str">
        <f t="shared" ca="1" si="13"/>
        <v/>
      </c>
      <c r="N216" s="67" t="str">
        <f t="shared" ca="1" si="12"/>
        <v/>
      </c>
      <c r="O216" s="68" t="str">
        <f t="shared" ca="1" si="8"/>
        <v/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 t="str">
        <f t="shared" ca="1" si="1"/>
        <v/>
      </c>
      <c r="B217" s="60" t="str">
        <f t="shared" ca="1" si="9"/>
        <v/>
      </c>
      <c r="C217" s="61" t="str">
        <f t="shared" ca="1" si="2"/>
        <v/>
      </c>
      <c r="D217" s="183" t="str">
        <f t="shared" ca="1" si="3"/>
        <v/>
      </c>
      <c r="E217" s="63" t="str">
        <f t="shared" ca="1" si="4"/>
        <v/>
      </c>
      <c r="F217" s="64" t="str">
        <f t="shared" ca="1" si="5"/>
        <v/>
      </c>
      <c r="G217" s="76"/>
      <c r="H217" s="71"/>
      <c r="I217" s="71"/>
      <c r="J217" s="94"/>
      <c r="K217" s="94"/>
      <c r="L217" s="95"/>
      <c r="M217" s="184" t="str">
        <f t="shared" ca="1" si="13"/>
        <v/>
      </c>
      <c r="N217" s="67" t="str">
        <f t="shared" ca="1" si="12"/>
        <v/>
      </c>
      <c r="O217" s="68" t="str">
        <f t="shared" ca="1" si="8"/>
        <v/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 t="str">
        <f t="shared" ca="1" si="1"/>
        <v/>
      </c>
      <c r="B218" s="60" t="str">
        <f t="shared" ca="1" si="9"/>
        <v/>
      </c>
      <c r="C218" s="61" t="str">
        <f t="shared" ca="1" si="2"/>
        <v/>
      </c>
      <c r="D218" s="183" t="str">
        <f t="shared" ca="1" si="3"/>
        <v/>
      </c>
      <c r="E218" s="63" t="str">
        <f t="shared" ca="1" si="4"/>
        <v/>
      </c>
      <c r="F218" s="64" t="str">
        <f t="shared" ca="1" si="5"/>
        <v/>
      </c>
      <c r="G218" s="76"/>
      <c r="H218" s="71"/>
      <c r="I218" s="71"/>
      <c r="J218" s="94"/>
      <c r="K218" s="94"/>
      <c r="L218" s="95"/>
      <c r="M218" s="184" t="str">
        <f t="shared" ca="1" si="13"/>
        <v/>
      </c>
      <c r="N218" s="67" t="str">
        <f t="shared" ca="1" si="12"/>
        <v/>
      </c>
      <c r="O218" s="68" t="str">
        <f t="shared" ca="1" si="8"/>
        <v/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 t="str">
        <f t="shared" ca="1" si="1"/>
        <v/>
      </c>
      <c r="B219" s="60" t="str">
        <f t="shared" ca="1" si="9"/>
        <v/>
      </c>
      <c r="C219" s="61" t="str">
        <f t="shared" ca="1" si="2"/>
        <v/>
      </c>
      <c r="D219" s="183" t="str">
        <f t="shared" ca="1" si="3"/>
        <v/>
      </c>
      <c r="E219" s="63" t="str">
        <f t="shared" ca="1" si="4"/>
        <v/>
      </c>
      <c r="F219" s="64" t="str">
        <f t="shared" ca="1" si="5"/>
        <v/>
      </c>
      <c r="G219" s="76"/>
      <c r="H219" s="75"/>
      <c r="I219" s="75"/>
      <c r="J219" s="94"/>
      <c r="K219" s="94"/>
      <c r="L219" s="143"/>
      <c r="M219" s="184" t="str">
        <f t="shared" ca="1" si="13"/>
        <v/>
      </c>
      <c r="N219" s="67" t="str">
        <f t="shared" ca="1" si="12"/>
        <v/>
      </c>
      <c r="O219" s="68" t="str">
        <f t="shared" ca="1" si="8"/>
        <v/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 t="str">
        <f t="shared" ca="1" si="1"/>
        <v/>
      </c>
      <c r="B220" s="60" t="str">
        <f t="shared" ca="1" si="9"/>
        <v/>
      </c>
      <c r="C220" s="61" t="str">
        <f t="shared" ca="1" si="2"/>
        <v/>
      </c>
      <c r="D220" s="183" t="str">
        <f t="shared" ca="1" si="3"/>
        <v/>
      </c>
      <c r="E220" s="63" t="str">
        <f t="shared" ca="1" si="4"/>
        <v/>
      </c>
      <c r="F220" s="64" t="str">
        <f t="shared" ca="1" si="5"/>
        <v/>
      </c>
      <c r="G220" s="76"/>
      <c r="H220" s="75"/>
      <c r="I220" s="75"/>
      <c r="J220" s="94"/>
      <c r="K220" s="94"/>
      <c r="L220" s="143"/>
      <c r="M220" s="184" t="str">
        <f t="shared" ca="1" si="13"/>
        <v/>
      </c>
      <c r="N220" s="67" t="str">
        <f t="shared" ca="1" si="12"/>
        <v/>
      </c>
      <c r="O220" s="68" t="str">
        <f t="shared" ca="1" si="8"/>
        <v/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 t="str">
        <f t="shared" ca="1" si="1"/>
        <v/>
      </c>
      <c r="B221" s="60" t="str">
        <f t="shared" ca="1" si="9"/>
        <v/>
      </c>
      <c r="C221" s="61" t="str">
        <f t="shared" ca="1" si="2"/>
        <v/>
      </c>
      <c r="D221" s="183" t="str">
        <f t="shared" ca="1" si="3"/>
        <v/>
      </c>
      <c r="E221" s="63" t="str">
        <f t="shared" ca="1" si="4"/>
        <v/>
      </c>
      <c r="F221" s="64" t="str">
        <f t="shared" ca="1" si="5"/>
        <v/>
      </c>
      <c r="G221" s="76"/>
      <c r="H221" s="75"/>
      <c r="I221" s="75"/>
      <c r="J221" s="94"/>
      <c r="K221" s="94"/>
      <c r="L221" s="143"/>
      <c r="M221" s="184" t="str">
        <f t="shared" ca="1" si="13"/>
        <v/>
      </c>
      <c r="N221" s="67" t="str">
        <f t="shared" ca="1" si="12"/>
        <v/>
      </c>
      <c r="O221" s="68" t="str">
        <f t="shared" ca="1" si="8"/>
        <v/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 t="str">
        <f t="shared" ca="1" si="1"/>
        <v/>
      </c>
      <c r="B222" s="60" t="str">
        <f t="shared" ca="1" si="9"/>
        <v/>
      </c>
      <c r="C222" s="61" t="str">
        <f t="shared" ca="1" si="2"/>
        <v/>
      </c>
      <c r="D222" s="183" t="str">
        <f t="shared" ca="1" si="3"/>
        <v/>
      </c>
      <c r="E222" s="63" t="str">
        <f t="shared" ca="1" si="4"/>
        <v/>
      </c>
      <c r="F222" s="64" t="str">
        <f t="shared" ca="1" si="5"/>
        <v/>
      </c>
      <c r="G222" s="76"/>
      <c r="H222" s="75"/>
      <c r="I222" s="75"/>
      <c r="J222" s="94"/>
      <c r="K222" s="94"/>
      <c r="L222" s="143"/>
      <c r="M222" s="184" t="str">
        <f t="shared" ca="1" si="13"/>
        <v/>
      </c>
      <c r="N222" s="67" t="str">
        <f t="shared" ca="1" si="12"/>
        <v/>
      </c>
      <c r="O222" s="68" t="str">
        <f t="shared" ca="1" si="8"/>
        <v/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 t="str">
        <f t="shared" ca="1" si="1"/>
        <v/>
      </c>
      <c r="B223" s="60" t="str">
        <f t="shared" ca="1" si="9"/>
        <v/>
      </c>
      <c r="C223" s="61" t="str">
        <f t="shared" ca="1" si="2"/>
        <v/>
      </c>
      <c r="D223" s="183" t="str">
        <f t="shared" ca="1" si="3"/>
        <v/>
      </c>
      <c r="E223" s="63" t="str">
        <f t="shared" ca="1" si="4"/>
        <v/>
      </c>
      <c r="F223" s="64" t="str">
        <f t="shared" ca="1" si="5"/>
        <v/>
      </c>
      <c r="G223" s="76"/>
      <c r="H223" s="75"/>
      <c r="I223" s="75"/>
      <c r="J223" s="94"/>
      <c r="K223" s="94"/>
      <c r="L223" s="143"/>
      <c r="M223" s="184" t="str">
        <f t="shared" ca="1" si="13"/>
        <v/>
      </c>
      <c r="N223" s="67" t="str">
        <f t="shared" ca="1" si="12"/>
        <v/>
      </c>
      <c r="O223" s="68" t="str">
        <f t="shared" ca="1" si="8"/>
        <v/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 t="str">
        <f t="shared" ca="1" si="1"/>
        <v/>
      </c>
      <c r="B224" s="60" t="str">
        <f t="shared" ca="1" si="9"/>
        <v/>
      </c>
      <c r="C224" s="61" t="str">
        <f t="shared" ca="1" si="2"/>
        <v/>
      </c>
      <c r="D224" s="183" t="str">
        <f t="shared" ca="1" si="3"/>
        <v/>
      </c>
      <c r="E224" s="63" t="str">
        <f t="shared" ca="1" si="4"/>
        <v/>
      </c>
      <c r="F224" s="64" t="str">
        <f t="shared" ca="1" si="5"/>
        <v/>
      </c>
      <c r="G224" s="76"/>
      <c r="H224" s="75"/>
      <c r="I224" s="75"/>
      <c r="J224" s="94"/>
      <c r="K224" s="94"/>
      <c r="L224" s="143"/>
      <c r="M224" s="184" t="str">
        <f t="shared" ca="1" si="13"/>
        <v/>
      </c>
      <c r="N224" s="67" t="str">
        <f t="shared" ca="1" si="12"/>
        <v/>
      </c>
      <c r="O224" s="68" t="str">
        <f t="shared" ca="1" si="8"/>
        <v/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 t="str">
        <f t="shared" ca="1" si="1"/>
        <v/>
      </c>
      <c r="B225" s="60" t="str">
        <f t="shared" ca="1" si="9"/>
        <v/>
      </c>
      <c r="C225" s="61" t="str">
        <f t="shared" ca="1" si="2"/>
        <v/>
      </c>
      <c r="D225" s="183" t="str">
        <f t="shared" ca="1" si="3"/>
        <v/>
      </c>
      <c r="E225" s="63" t="str">
        <f t="shared" ca="1" si="4"/>
        <v/>
      </c>
      <c r="F225" s="64" t="str">
        <f t="shared" ca="1" si="5"/>
        <v/>
      </c>
      <c r="G225" s="76"/>
      <c r="H225" s="75"/>
      <c r="I225" s="75"/>
      <c r="J225" s="94"/>
      <c r="K225" s="94"/>
      <c r="L225" s="143"/>
      <c r="M225" s="184" t="str">
        <f t="shared" ca="1" si="13"/>
        <v/>
      </c>
      <c r="N225" s="67" t="str">
        <f t="shared" ca="1" si="12"/>
        <v/>
      </c>
      <c r="O225" s="68" t="str">
        <f t="shared" ca="1" si="8"/>
        <v/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 t="str">
        <f t="shared" ca="1" si="1"/>
        <v/>
      </c>
      <c r="B226" s="60" t="str">
        <f t="shared" ca="1" si="9"/>
        <v/>
      </c>
      <c r="C226" s="61" t="str">
        <f t="shared" ca="1" si="2"/>
        <v/>
      </c>
      <c r="D226" s="183" t="str">
        <f t="shared" ca="1" si="3"/>
        <v/>
      </c>
      <c r="E226" s="63" t="str">
        <f t="shared" ca="1" si="4"/>
        <v/>
      </c>
      <c r="F226" s="64" t="str">
        <f t="shared" ca="1" si="5"/>
        <v/>
      </c>
      <c r="G226" s="76"/>
      <c r="H226" s="75"/>
      <c r="I226" s="75"/>
      <c r="J226" s="94"/>
      <c r="K226" s="94"/>
      <c r="L226" s="143"/>
      <c r="M226" s="184" t="str">
        <f t="shared" ca="1" si="13"/>
        <v/>
      </c>
      <c r="N226" s="67" t="str">
        <f t="shared" ca="1" si="12"/>
        <v/>
      </c>
      <c r="O226" s="68" t="str">
        <f t="shared" ca="1" si="8"/>
        <v/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 t="str">
        <f t="shared" ca="1" si="1"/>
        <v/>
      </c>
      <c r="B227" s="60" t="str">
        <f t="shared" ca="1" si="9"/>
        <v/>
      </c>
      <c r="C227" s="61" t="str">
        <f t="shared" ca="1" si="2"/>
        <v/>
      </c>
      <c r="D227" s="183" t="str">
        <f t="shared" ca="1" si="3"/>
        <v/>
      </c>
      <c r="E227" s="63" t="str">
        <f t="shared" ca="1" si="4"/>
        <v/>
      </c>
      <c r="F227" s="64" t="str">
        <f t="shared" ca="1" si="5"/>
        <v/>
      </c>
      <c r="G227" s="76"/>
      <c r="H227" s="75"/>
      <c r="I227" s="75"/>
      <c r="J227" s="94"/>
      <c r="K227" s="94"/>
      <c r="L227" s="143"/>
      <c r="M227" s="184" t="str">
        <f t="shared" ca="1" si="13"/>
        <v/>
      </c>
      <c r="N227" s="67" t="str">
        <f t="shared" ca="1" si="12"/>
        <v/>
      </c>
      <c r="O227" s="68" t="str">
        <f t="shared" ca="1" si="8"/>
        <v/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 t="str">
        <f t="shared" ca="1" si="1"/>
        <v/>
      </c>
      <c r="B228" s="60" t="str">
        <f t="shared" ca="1" si="9"/>
        <v/>
      </c>
      <c r="C228" s="61" t="str">
        <f t="shared" ca="1" si="2"/>
        <v/>
      </c>
      <c r="D228" s="183" t="str">
        <f t="shared" ca="1" si="3"/>
        <v/>
      </c>
      <c r="E228" s="63" t="str">
        <f t="shared" ca="1" si="4"/>
        <v/>
      </c>
      <c r="F228" s="64" t="str">
        <f t="shared" ca="1" si="5"/>
        <v/>
      </c>
      <c r="G228" s="76"/>
      <c r="H228" s="75"/>
      <c r="I228" s="75"/>
      <c r="J228" s="94"/>
      <c r="K228" s="94"/>
      <c r="L228" s="143"/>
      <c r="M228" s="184" t="str">
        <f t="shared" ca="1" si="13"/>
        <v/>
      </c>
      <c r="N228" s="67" t="str">
        <f t="shared" ca="1" si="12"/>
        <v/>
      </c>
      <c r="O228" s="68" t="str">
        <f t="shared" ca="1" si="8"/>
        <v/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 t="str">
        <f t="shared" ca="1" si="1"/>
        <v/>
      </c>
      <c r="B229" s="60" t="str">
        <f t="shared" ca="1" si="9"/>
        <v/>
      </c>
      <c r="C229" s="61" t="str">
        <f t="shared" ca="1" si="2"/>
        <v/>
      </c>
      <c r="D229" s="183" t="str">
        <f t="shared" ca="1" si="3"/>
        <v/>
      </c>
      <c r="E229" s="63" t="str">
        <f t="shared" ca="1" si="4"/>
        <v/>
      </c>
      <c r="F229" s="64" t="str">
        <f t="shared" ca="1" si="5"/>
        <v/>
      </c>
      <c r="G229" s="76"/>
      <c r="H229" s="75"/>
      <c r="I229" s="75"/>
      <c r="J229" s="94"/>
      <c r="K229" s="94"/>
      <c r="L229" s="143"/>
      <c r="M229" s="184" t="str">
        <f t="shared" ca="1" si="13"/>
        <v/>
      </c>
      <c r="N229" s="67" t="str">
        <f t="shared" ca="1" si="12"/>
        <v/>
      </c>
      <c r="O229" s="68" t="str">
        <f t="shared" ca="1" si="8"/>
        <v/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100" t="str">
        <f t="shared" ca="1" si="1"/>
        <v/>
      </c>
      <c r="B230" s="101" t="str">
        <f t="shared" ca="1" si="9"/>
        <v/>
      </c>
      <c r="C230" s="102" t="str">
        <f t="shared" ca="1" si="2"/>
        <v/>
      </c>
      <c r="D230" s="197" t="str">
        <f t="shared" ca="1" si="3"/>
        <v/>
      </c>
      <c r="E230" s="104" t="str">
        <f t="shared" ca="1" si="4"/>
        <v/>
      </c>
      <c r="F230" s="105" t="str">
        <f t="shared" ca="1" si="5"/>
        <v/>
      </c>
      <c r="G230" s="236"/>
      <c r="H230" s="199"/>
      <c r="I230" s="199"/>
      <c r="J230" s="245"/>
      <c r="K230" s="245"/>
      <c r="L230" s="144"/>
      <c r="M230" s="202" t="str">
        <f t="shared" ca="1" si="13"/>
        <v/>
      </c>
      <c r="N230" s="203" t="str">
        <f t="shared" ca="1" si="12"/>
        <v/>
      </c>
      <c r="O230" s="68" t="str">
        <f t="shared" ca="1" si="8"/>
        <v/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106" t="str">
        <f t="shared" ca="1" si="1"/>
        <v/>
      </c>
      <c r="B231" s="107" t="str">
        <f t="shared" ca="1" si="9"/>
        <v/>
      </c>
      <c r="C231" s="108" t="str">
        <f t="shared" ca="1" si="2"/>
        <v/>
      </c>
      <c r="D231" s="205" t="str">
        <f t="shared" ca="1" si="3"/>
        <v/>
      </c>
      <c r="E231" s="110" t="str">
        <f t="shared" ca="1" si="4"/>
        <v/>
      </c>
      <c r="F231" s="111" t="str">
        <f t="shared" ca="1" si="5"/>
        <v/>
      </c>
      <c r="G231" s="145"/>
      <c r="H231" s="146"/>
      <c r="I231" s="146"/>
      <c r="J231" s="147"/>
      <c r="K231" s="147"/>
      <c r="L231" s="148"/>
      <c r="M231" s="181" t="str">
        <f t="shared" ca="1" si="13"/>
        <v/>
      </c>
      <c r="N231" s="57" t="str">
        <f t="shared" ca="1" si="12"/>
        <v/>
      </c>
      <c r="O231" s="68" t="str">
        <f t="shared" ca="1" si="8"/>
        <v/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 t="str">
        <f t="shared" ca="1" si="1"/>
        <v/>
      </c>
      <c r="B232" s="60" t="str">
        <f t="shared" ca="1" si="9"/>
        <v/>
      </c>
      <c r="C232" s="61" t="str">
        <f t="shared" ca="1" si="2"/>
        <v/>
      </c>
      <c r="D232" s="183" t="str">
        <f t="shared" ca="1" si="3"/>
        <v/>
      </c>
      <c r="E232" s="63" t="str">
        <f t="shared" ca="1" si="4"/>
        <v/>
      </c>
      <c r="F232" s="64" t="str">
        <f t="shared" ca="1" si="5"/>
        <v/>
      </c>
      <c r="G232" s="139"/>
      <c r="H232" s="122"/>
      <c r="I232" s="122"/>
      <c r="J232" s="98"/>
      <c r="K232" s="98"/>
      <c r="L232" s="91"/>
      <c r="M232" s="184" t="str">
        <f t="shared" ca="1" si="13"/>
        <v/>
      </c>
      <c r="N232" s="67" t="str">
        <f t="shared" ca="1" si="12"/>
        <v/>
      </c>
      <c r="O232" s="68" t="str">
        <f t="shared" ca="1" si="8"/>
        <v/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 t="str">
        <f t="shared" ca="1" si="1"/>
        <v/>
      </c>
      <c r="B233" s="60" t="str">
        <f t="shared" ca="1" si="9"/>
        <v/>
      </c>
      <c r="C233" s="61" t="str">
        <f t="shared" ca="1" si="2"/>
        <v/>
      </c>
      <c r="D233" s="183" t="str">
        <f t="shared" ca="1" si="3"/>
        <v/>
      </c>
      <c r="E233" s="63" t="str">
        <f t="shared" ca="1" si="4"/>
        <v/>
      </c>
      <c r="F233" s="64" t="str">
        <f t="shared" ca="1" si="5"/>
        <v/>
      </c>
      <c r="G233" s="139"/>
      <c r="H233" s="122"/>
      <c r="I233" s="122"/>
      <c r="J233" s="98"/>
      <c r="K233" s="98"/>
      <c r="L233" s="91"/>
      <c r="M233" s="184" t="str">
        <f t="shared" ca="1" si="13"/>
        <v/>
      </c>
      <c r="N233" s="67" t="str">
        <f t="shared" ca="1" si="12"/>
        <v/>
      </c>
      <c r="O233" s="68" t="str">
        <f t="shared" ca="1" si="8"/>
        <v/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 t="str">
        <f t="shared" ca="1" si="1"/>
        <v/>
      </c>
      <c r="B234" s="60" t="str">
        <f t="shared" ca="1" si="9"/>
        <v/>
      </c>
      <c r="C234" s="61" t="str">
        <f t="shared" ca="1" si="2"/>
        <v/>
      </c>
      <c r="D234" s="183" t="str">
        <f t="shared" ca="1" si="3"/>
        <v/>
      </c>
      <c r="E234" s="63" t="str">
        <f t="shared" ca="1" si="4"/>
        <v/>
      </c>
      <c r="F234" s="64" t="str">
        <f t="shared" ca="1" si="5"/>
        <v/>
      </c>
      <c r="G234" s="139"/>
      <c r="H234" s="122"/>
      <c r="I234" s="122"/>
      <c r="J234" s="98"/>
      <c r="K234" s="98"/>
      <c r="L234" s="91"/>
      <c r="M234" s="184" t="str">
        <f t="shared" ca="1" si="13"/>
        <v/>
      </c>
      <c r="N234" s="67" t="str">
        <f t="shared" ca="1" si="12"/>
        <v/>
      </c>
      <c r="O234" s="68" t="str">
        <f t="shared" ca="1" si="8"/>
        <v/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 t="str">
        <f t="shared" ca="1" si="1"/>
        <v/>
      </c>
      <c r="B235" s="60" t="str">
        <f t="shared" ca="1" si="9"/>
        <v/>
      </c>
      <c r="C235" s="61" t="str">
        <f t="shared" ca="1" si="2"/>
        <v/>
      </c>
      <c r="D235" s="183" t="str">
        <f t="shared" ca="1" si="3"/>
        <v/>
      </c>
      <c r="E235" s="63" t="str">
        <f t="shared" ca="1" si="4"/>
        <v/>
      </c>
      <c r="F235" s="64" t="str">
        <f t="shared" ca="1" si="5"/>
        <v/>
      </c>
      <c r="G235" s="139"/>
      <c r="H235" s="122"/>
      <c r="I235" s="122"/>
      <c r="J235" s="98"/>
      <c r="K235" s="98"/>
      <c r="L235" s="91"/>
      <c r="M235" s="184" t="str">
        <f t="shared" ca="1" si="13"/>
        <v/>
      </c>
      <c r="N235" s="67" t="str">
        <f t="shared" ca="1" si="12"/>
        <v/>
      </c>
      <c r="O235" s="68" t="str">
        <f t="shared" ca="1" si="8"/>
        <v/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 t="str">
        <f t="shared" ca="1" si="1"/>
        <v/>
      </c>
      <c r="B236" s="60" t="str">
        <f t="shared" ca="1" si="9"/>
        <v/>
      </c>
      <c r="C236" s="61" t="str">
        <f t="shared" ca="1" si="2"/>
        <v/>
      </c>
      <c r="D236" s="183" t="str">
        <f t="shared" ca="1" si="3"/>
        <v/>
      </c>
      <c r="E236" s="63" t="str">
        <f t="shared" ca="1" si="4"/>
        <v/>
      </c>
      <c r="F236" s="64" t="str">
        <f t="shared" ca="1" si="5"/>
        <v/>
      </c>
      <c r="G236" s="139"/>
      <c r="H236" s="122"/>
      <c r="I236" s="122"/>
      <c r="J236" s="98"/>
      <c r="K236" s="98"/>
      <c r="L236" s="91"/>
      <c r="M236" s="184" t="str">
        <f t="shared" ca="1" si="13"/>
        <v/>
      </c>
      <c r="N236" s="67" t="str">
        <f t="shared" ca="1" si="12"/>
        <v/>
      </c>
      <c r="O236" s="68" t="str">
        <f t="shared" ca="1" si="8"/>
        <v/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 t="str">
        <f t="shared" ca="1" si="1"/>
        <v/>
      </c>
      <c r="B237" s="60" t="str">
        <f t="shared" ca="1" si="9"/>
        <v/>
      </c>
      <c r="C237" s="61" t="str">
        <f t="shared" ca="1" si="2"/>
        <v/>
      </c>
      <c r="D237" s="183" t="str">
        <f t="shared" ca="1" si="3"/>
        <v/>
      </c>
      <c r="E237" s="63" t="str">
        <f t="shared" ca="1" si="4"/>
        <v/>
      </c>
      <c r="F237" s="64" t="str">
        <f t="shared" ca="1" si="5"/>
        <v/>
      </c>
      <c r="G237" s="139"/>
      <c r="H237" s="122"/>
      <c r="I237" s="122"/>
      <c r="J237" s="98"/>
      <c r="K237" s="98"/>
      <c r="L237" s="91"/>
      <c r="M237" s="184" t="str">
        <f t="shared" ca="1" si="13"/>
        <v/>
      </c>
      <c r="N237" s="67" t="str">
        <f t="shared" ca="1" si="12"/>
        <v/>
      </c>
      <c r="O237" s="68" t="str">
        <f t="shared" ca="1" si="8"/>
        <v/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 t="str">
        <f t="shared" ca="1" si="1"/>
        <v/>
      </c>
      <c r="B238" s="60" t="str">
        <f t="shared" ca="1" si="9"/>
        <v/>
      </c>
      <c r="C238" s="61" t="str">
        <f t="shared" ca="1" si="2"/>
        <v/>
      </c>
      <c r="D238" s="183" t="str">
        <f t="shared" ca="1" si="3"/>
        <v/>
      </c>
      <c r="E238" s="63" t="str">
        <f t="shared" ca="1" si="4"/>
        <v/>
      </c>
      <c r="F238" s="64" t="str">
        <f t="shared" ca="1" si="5"/>
        <v/>
      </c>
      <c r="G238" s="139"/>
      <c r="H238" s="122"/>
      <c r="I238" s="122"/>
      <c r="J238" s="98"/>
      <c r="K238" s="98"/>
      <c r="L238" s="91"/>
      <c r="M238" s="184" t="str">
        <f t="shared" ca="1" si="13"/>
        <v/>
      </c>
      <c r="N238" s="67" t="str">
        <f t="shared" ca="1" si="12"/>
        <v/>
      </c>
      <c r="O238" s="68" t="str">
        <f t="shared" ca="1" si="8"/>
        <v/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 t="str">
        <f t="shared" ca="1" si="1"/>
        <v/>
      </c>
      <c r="B239" s="60" t="str">
        <f t="shared" ca="1" si="9"/>
        <v/>
      </c>
      <c r="C239" s="61" t="str">
        <f t="shared" ca="1" si="2"/>
        <v/>
      </c>
      <c r="D239" s="183" t="str">
        <f t="shared" ca="1" si="3"/>
        <v/>
      </c>
      <c r="E239" s="63" t="str">
        <f t="shared" ca="1" si="4"/>
        <v/>
      </c>
      <c r="F239" s="64" t="str">
        <f t="shared" ca="1" si="5"/>
        <v/>
      </c>
      <c r="G239" s="139"/>
      <c r="H239" s="122"/>
      <c r="I239" s="122"/>
      <c r="J239" s="98"/>
      <c r="K239" s="98"/>
      <c r="L239" s="91"/>
      <c r="M239" s="184" t="str">
        <f t="shared" ca="1" si="13"/>
        <v/>
      </c>
      <c r="N239" s="67" t="str">
        <f t="shared" ca="1" si="12"/>
        <v/>
      </c>
      <c r="O239" s="68" t="str">
        <f t="shared" ca="1" si="8"/>
        <v/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 t="str">
        <f t="shared" ca="1" si="1"/>
        <v/>
      </c>
      <c r="B240" s="60" t="str">
        <f t="shared" ca="1" si="9"/>
        <v/>
      </c>
      <c r="C240" s="61" t="str">
        <f t="shared" ca="1" si="2"/>
        <v/>
      </c>
      <c r="D240" s="183" t="str">
        <f t="shared" ca="1" si="3"/>
        <v/>
      </c>
      <c r="E240" s="63" t="str">
        <f t="shared" ca="1" si="4"/>
        <v/>
      </c>
      <c r="F240" s="64" t="str">
        <f t="shared" ca="1" si="5"/>
        <v/>
      </c>
      <c r="G240" s="139"/>
      <c r="H240" s="122"/>
      <c r="I240" s="122"/>
      <c r="J240" s="98"/>
      <c r="K240" s="98"/>
      <c r="L240" s="91"/>
      <c r="M240" s="184" t="str">
        <f t="shared" ca="1" si="13"/>
        <v/>
      </c>
      <c r="N240" s="67" t="str">
        <f t="shared" ca="1" si="12"/>
        <v/>
      </c>
      <c r="O240" s="68" t="str">
        <f t="shared" ca="1" si="8"/>
        <v/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 t="str">
        <f t="shared" ca="1" si="1"/>
        <v/>
      </c>
      <c r="B241" s="60" t="str">
        <f t="shared" ca="1" si="9"/>
        <v/>
      </c>
      <c r="C241" s="61" t="str">
        <f t="shared" ca="1" si="2"/>
        <v/>
      </c>
      <c r="D241" s="183" t="str">
        <f t="shared" ca="1" si="3"/>
        <v/>
      </c>
      <c r="E241" s="63" t="str">
        <f t="shared" ca="1" si="4"/>
        <v/>
      </c>
      <c r="F241" s="64" t="str">
        <f t="shared" ca="1" si="5"/>
        <v/>
      </c>
      <c r="G241" s="139"/>
      <c r="H241" s="122"/>
      <c r="I241" s="122"/>
      <c r="J241" s="98"/>
      <c r="K241" s="60"/>
      <c r="L241" s="91"/>
      <c r="M241" s="184" t="str">
        <f t="shared" ca="1" si="13"/>
        <v/>
      </c>
      <c r="N241" s="67" t="str">
        <f t="shared" ca="1" si="12"/>
        <v/>
      </c>
      <c r="O241" s="68" t="str">
        <f t="shared" ca="1" si="8"/>
        <v/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 t="str">
        <f t="shared" ca="1" si="1"/>
        <v/>
      </c>
      <c r="B242" s="60" t="str">
        <f t="shared" ca="1" si="9"/>
        <v/>
      </c>
      <c r="C242" s="61" t="str">
        <f t="shared" ca="1" si="2"/>
        <v/>
      </c>
      <c r="D242" s="183" t="str">
        <f t="shared" ca="1" si="3"/>
        <v/>
      </c>
      <c r="E242" s="63" t="str">
        <f t="shared" ca="1" si="4"/>
        <v/>
      </c>
      <c r="F242" s="64" t="str">
        <f t="shared" ca="1" si="5"/>
        <v/>
      </c>
      <c r="G242" s="139"/>
      <c r="H242" s="122"/>
      <c r="I242" s="140"/>
      <c r="J242" s="60"/>
      <c r="K242" s="60"/>
      <c r="L242" s="91"/>
      <c r="M242" s="184" t="str">
        <f t="shared" ca="1" si="13"/>
        <v/>
      </c>
      <c r="N242" s="67" t="str">
        <f t="shared" ca="1" si="12"/>
        <v/>
      </c>
      <c r="O242" s="68" t="str">
        <f t="shared" ca="1" si="8"/>
        <v/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 t="str">
        <f t="shared" ca="1" si="1"/>
        <v/>
      </c>
      <c r="B243" s="60" t="str">
        <f t="shared" ca="1" si="9"/>
        <v/>
      </c>
      <c r="C243" s="61" t="str">
        <f t="shared" ca="1" si="2"/>
        <v/>
      </c>
      <c r="D243" s="183" t="str">
        <f t="shared" ca="1" si="3"/>
        <v/>
      </c>
      <c r="E243" s="63" t="str">
        <f t="shared" ca="1" si="4"/>
        <v/>
      </c>
      <c r="F243" s="64" t="str">
        <f t="shared" ca="1" si="5"/>
        <v/>
      </c>
      <c r="G243" s="139"/>
      <c r="H243" s="122"/>
      <c r="I243" s="122"/>
      <c r="J243" s="98"/>
      <c r="K243" s="60"/>
      <c r="L243" s="91"/>
      <c r="M243" s="184" t="str">
        <f t="shared" ca="1" si="13"/>
        <v/>
      </c>
      <c r="N243" s="67" t="str">
        <f t="shared" ca="1" si="12"/>
        <v/>
      </c>
      <c r="O243" s="68" t="str">
        <f t="shared" ca="1" si="8"/>
        <v/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 t="str">
        <f t="shared" ca="1" si="1"/>
        <v/>
      </c>
      <c r="B244" s="60" t="str">
        <f t="shared" ca="1" si="9"/>
        <v/>
      </c>
      <c r="C244" s="61" t="str">
        <f t="shared" ca="1" si="2"/>
        <v/>
      </c>
      <c r="D244" s="183" t="str">
        <f t="shared" ca="1" si="3"/>
        <v/>
      </c>
      <c r="E244" s="63" t="str">
        <f t="shared" ca="1" si="4"/>
        <v/>
      </c>
      <c r="F244" s="64" t="str">
        <f t="shared" ca="1" si="5"/>
        <v/>
      </c>
      <c r="G244" s="139"/>
      <c r="H244" s="122"/>
      <c r="I244" s="122"/>
      <c r="J244" s="98"/>
      <c r="K244" s="60"/>
      <c r="L244" s="91"/>
      <c r="M244" s="184" t="str">
        <f t="shared" ca="1" si="13"/>
        <v/>
      </c>
      <c r="N244" s="67" t="str">
        <f t="shared" ca="1" si="12"/>
        <v/>
      </c>
      <c r="O244" s="68" t="str">
        <f t="shared" ca="1" si="8"/>
        <v/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 t="str">
        <f t="shared" ca="1" si="1"/>
        <v/>
      </c>
      <c r="B245" s="60" t="str">
        <f t="shared" ca="1" si="9"/>
        <v/>
      </c>
      <c r="C245" s="61" t="str">
        <f t="shared" ca="1" si="2"/>
        <v/>
      </c>
      <c r="D245" s="183" t="str">
        <f t="shared" ca="1" si="3"/>
        <v/>
      </c>
      <c r="E245" s="63" t="str">
        <f t="shared" ca="1" si="4"/>
        <v/>
      </c>
      <c r="F245" s="64" t="str">
        <f t="shared" ca="1" si="5"/>
        <v/>
      </c>
      <c r="G245" s="139"/>
      <c r="H245" s="122"/>
      <c r="I245" s="122"/>
      <c r="J245" s="98"/>
      <c r="K245" s="98"/>
      <c r="L245" s="91"/>
      <c r="M245" s="184" t="str">
        <f t="shared" ca="1" si="13"/>
        <v/>
      </c>
      <c r="N245" s="67" t="str">
        <f t="shared" ca="1" si="12"/>
        <v/>
      </c>
      <c r="O245" s="68" t="str">
        <f t="shared" ca="1" si="8"/>
        <v/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80" t="str">
        <f t="shared" ca="1" si="1"/>
        <v/>
      </c>
      <c r="B246" s="81" t="str">
        <f t="shared" ca="1" si="9"/>
        <v/>
      </c>
      <c r="C246" s="82" t="str">
        <f t="shared" ca="1" si="2"/>
        <v/>
      </c>
      <c r="D246" s="186" t="str">
        <f t="shared" ca="1" si="3"/>
        <v/>
      </c>
      <c r="E246" s="84" t="str">
        <f t="shared" ca="1" si="4"/>
        <v/>
      </c>
      <c r="F246" s="85" t="str">
        <f t="shared" ca="1" si="5"/>
        <v/>
      </c>
      <c r="G246" s="149"/>
      <c r="H246" s="150"/>
      <c r="I246" s="150"/>
      <c r="J246" s="151"/>
      <c r="K246" s="151"/>
      <c r="L246" s="152"/>
      <c r="M246" s="189" t="str">
        <f t="shared" ca="1" si="13"/>
        <v/>
      </c>
      <c r="N246" s="171" t="str">
        <f t="shared" ca="1" si="12"/>
        <v/>
      </c>
      <c r="O246" s="68" t="str">
        <f t="shared" ca="1" si="8"/>
        <v/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46" t="str">
        <f t="shared" ca="1" si="1"/>
        <v/>
      </c>
      <c r="B247" s="47" t="str">
        <f t="shared" ca="1" si="9"/>
        <v/>
      </c>
      <c r="C247" s="48" t="str">
        <f t="shared" ca="1" si="2"/>
        <v/>
      </c>
      <c r="D247" s="191" t="str">
        <f t="shared" ca="1" si="3"/>
        <v/>
      </c>
      <c r="E247" s="246" t="str">
        <f t="shared" ca="1" si="4"/>
        <v/>
      </c>
      <c r="F247" s="51" t="str">
        <f t="shared" ca="1" si="5"/>
        <v/>
      </c>
      <c r="G247" s="153"/>
      <c r="H247" s="154"/>
      <c r="I247" s="154"/>
      <c r="J247" s="154"/>
      <c r="K247" s="154"/>
      <c r="L247" s="155"/>
      <c r="M247" s="194" t="str">
        <f t="shared" ca="1" si="13"/>
        <v/>
      </c>
      <c r="N247" s="195" t="str">
        <f t="shared" ca="1" si="12"/>
        <v/>
      </c>
      <c r="O247" s="68" t="str">
        <f t="shared" ca="1" si="8"/>
        <v/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 t="str">
        <f t="shared" ca="1" si="1"/>
        <v/>
      </c>
      <c r="B248" s="60" t="str">
        <f t="shared" ca="1" si="9"/>
        <v/>
      </c>
      <c r="C248" s="61" t="str">
        <f t="shared" ca="1" si="2"/>
        <v/>
      </c>
      <c r="D248" s="183" t="str">
        <f t="shared" ca="1" si="3"/>
        <v/>
      </c>
      <c r="E248" s="84" t="str">
        <f t="shared" ca="1" si="4"/>
        <v/>
      </c>
      <c r="F248" s="64" t="str">
        <f t="shared" ca="1" si="5"/>
        <v/>
      </c>
      <c r="G248" s="156"/>
      <c r="H248" s="157"/>
      <c r="I248" s="157"/>
      <c r="J248" s="157"/>
      <c r="K248" s="157"/>
      <c r="L248" s="158"/>
      <c r="M248" s="184" t="str">
        <f t="shared" ca="1" si="13"/>
        <v/>
      </c>
      <c r="N248" s="67" t="str">
        <f t="shared" ca="1" si="12"/>
        <v/>
      </c>
      <c r="O248" s="68" t="str">
        <f t="shared" ca="1" si="8"/>
        <v/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 t="str">
        <f t="shared" ca="1" si="1"/>
        <v/>
      </c>
      <c r="B249" s="60" t="str">
        <f t="shared" ca="1" si="9"/>
        <v/>
      </c>
      <c r="C249" s="61" t="str">
        <f t="shared" ca="1" si="2"/>
        <v/>
      </c>
      <c r="D249" s="183" t="str">
        <f t="shared" ca="1" si="3"/>
        <v/>
      </c>
      <c r="E249" s="84" t="str">
        <f t="shared" ca="1" si="4"/>
        <v/>
      </c>
      <c r="F249" s="64" t="str">
        <f t="shared" ca="1" si="5"/>
        <v/>
      </c>
      <c r="G249" s="156"/>
      <c r="H249" s="157"/>
      <c r="I249" s="157"/>
      <c r="J249" s="157"/>
      <c r="K249" s="157"/>
      <c r="L249" s="158"/>
      <c r="M249" s="184" t="str">
        <f t="shared" ca="1" si="13"/>
        <v/>
      </c>
      <c r="N249" s="67" t="str">
        <f t="shared" ca="1" si="12"/>
        <v/>
      </c>
      <c r="O249" s="68" t="str">
        <f t="shared" ca="1" si="8"/>
        <v/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 t="str">
        <f t="shared" ca="1" si="1"/>
        <v/>
      </c>
      <c r="B250" s="60" t="str">
        <f t="shared" ca="1" si="9"/>
        <v/>
      </c>
      <c r="C250" s="61" t="str">
        <f t="shared" ca="1" si="2"/>
        <v/>
      </c>
      <c r="D250" s="183" t="str">
        <f t="shared" ca="1" si="3"/>
        <v/>
      </c>
      <c r="E250" s="84" t="str">
        <f t="shared" ca="1" si="4"/>
        <v/>
      </c>
      <c r="F250" s="64" t="str">
        <f t="shared" ca="1" si="5"/>
        <v/>
      </c>
      <c r="G250" s="156"/>
      <c r="H250" s="157"/>
      <c r="I250" s="157"/>
      <c r="J250" s="157"/>
      <c r="K250" s="157"/>
      <c r="L250" s="158"/>
      <c r="M250" s="184" t="str">
        <f t="shared" ca="1" si="13"/>
        <v/>
      </c>
      <c r="N250" s="67" t="str">
        <f t="shared" ca="1" si="12"/>
        <v/>
      </c>
      <c r="O250" s="68" t="str">
        <f t="shared" ca="1" si="8"/>
        <v/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 t="str">
        <f t="shared" ca="1" si="1"/>
        <v/>
      </c>
      <c r="B251" s="60" t="str">
        <f t="shared" ca="1" si="9"/>
        <v/>
      </c>
      <c r="C251" s="61" t="str">
        <f t="shared" ca="1" si="2"/>
        <v/>
      </c>
      <c r="D251" s="183" t="str">
        <f t="shared" ca="1" si="3"/>
        <v/>
      </c>
      <c r="E251" s="84" t="str">
        <f t="shared" ca="1" si="4"/>
        <v/>
      </c>
      <c r="F251" s="64" t="str">
        <f t="shared" ca="1" si="5"/>
        <v/>
      </c>
      <c r="G251" s="156"/>
      <c r="H251" s="157"/>
      <c r="I251" s="157"/>
      <c r="J251" s="157"/>
      <c r="K251" s="157"/>
      <c r="L251" s="158"/>
      <c r="M251" s="184" t="str">
        <f t="shared" ca="1" si="13"/>
        <v/>
      </c>
      <c r="N251" s="67" t="str">
        <f t="shared" ca="1" si="12"/>
        <v/>
      </c>
      <c r="O251" s="68" t="str">
        <f t="shared" ca="1" si="8"/>
        <v/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 t="str">
        <f t="shared" ca="1" si="1"/>
        <v/>
      </c>
      <c r="B252" s="60" t="str">
        <f t="shared" ca="1" si="9"/>
        <v/>
      </c>
      <c r="C252" s="61" t="str">
        <f t="shared" ca="1" si="2"/>
        <v/>
      </c>
      <c r="D252" s="183" t="str">
        <f t="shared" ca="1" si="3"/>
        <v/>
      </c>
      <c r="E252" s="84" t="str">
        <f t="shared" ca="1" si="4"/>
        <v/>
      </c>
      <c r="F252" s="64" t="str">
        <f t="shared" ca="1" si="5"/>
        <v/>
      </c>
      <c r="G252" s="156"/>
      <c r="H252" s="157"/>
      <c r="I252" s="157"/>
      <c r="J252" s="122"/>
      <c r="K252" s="122"/>
      <c r="L252" s="158"/>
      <c r="M252" s="184" t="str">
        <f t="shared" ca="1" si="13"/>
        <v/>
      </c>
      <c r="N252" s="67" t="str">
        <f t="shared" ca="1" si="12"/>
        <v/>
      </c>
      <c r="O252" s="68" t="str">
        <f t="shared" ca="1" si="8"/>
        <v/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 t="str">
        <f t="shared" ca="1" si="1"/>
        <v/>
      </c>
      <c r="B253" s="60" t="str">
        <f t="shared" ca="1" si="9"/>
        <v/>
      </c>
      <c r="C253" s="61" t="str">
        <f t="shared" ca="1" si="2"/>
        <v/>
      </c>
      <c r="D253" s="183" t="str">
        <f t="shared" ca="1" si="3"/>
        <v/>
      </c>
      <c r="E253" s="84" t="str">
        <f t="shared" ca="1" si="4"/>
        <v/>
      </c>
      <c r="F253" s="64" t="str">
        <f t="shared" ca="1" si="5"/>
        <v/>
      </c>
      <c r="G253" s="156"/>
      <c r="H253" s="157"/>
      <c r="I253" s="157"/>
      <c r="J253" s="122"/>
      <c r="K253" s="122"/>
      <c r="L253" s="158"/>
      <c r="M253" s="184" t="str">
        <f t="shared" ca="1" si="13"/>
        <v/>
      </c>
      <c r="N253" s="67" t="str">
        <f t="shared" ca="1" si="12"/>
        <v/>
      </c>
      <c r="O253" s="68" t="str">
        <f t="shared" ca="1" si="8"/>
        <v/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 t="str">
        <f t="shared" ca="1" si="1"/>
        <v/>
      </c>
      <c r="B254" s="60" t="str">
        <f t="shared" ca="1" si="9"/>
        <v/>
      </c>
      <c r="C254" s="61" t="str">
        <f t="shared" ca="1" si="2"/>
        <v/>
      </c>
      <c r="D254" s="183" t="str">
        <f t="shared" ca="1" si="3"/>
        <v/>
      </c>
      <c r="E254" s="84" t="str">
        <f t="shared" ca="1" si="4"/>
        <v/>
      </c>
      <c r="F254" s="64" t="str">
        <f t="shared" ca="1" si="5"/>
        <v/>
      </c>
      <c r="G254" s="156"/>
      <c r="H254" s="157"/>
      <c r="I254" s="157"/>
      <c r="J254" s="122"/>
      <c r="K254" s="122"/>
      <c r="L254" s="158"/>
      <c r="M254" s="184" t="str">
        <f t="shared" ca="1" si="13"/>
        <v/>
      </c>
      <c r="N254" s="67" t="str">
        <f t="shared" ca="1" si="12"/>
        <v/>
      </c>
      <c r="O254" s="68" t="str">
        <f t="shared" ca="1" si="8"/>
        <v/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 t="str">
        <f t="shared" ca="1" si="1"/>
        <v/>
      </c>
      <c r="B255" s="60" t="str">
        <f t="shared" ca="1" si="9"/>
        <v/>
      </c>
      <c r="C255" s="61" t="str">
        <f t="shared" ca="1" si="2"/>
        <v/>
      </c>
      <c r="D255" s="183" t="str">
        <f t="shared" ca="1" si="3"/>
        <v/>
      </c>
      <c r="E255" s="84" t="str">
        <f t="shared" ca="1" si="4"/>
        <v/>
      </c>
      <c r="F255" s="64" t="str">
        <f t="shared" ca="1" si="5"/>
        <v/>
      </c>
      <c r="G255" s="156"/>
      <c r="H255" s="157"/>
      <c r="I255" s="157"/>
      <c r="J255" s="122"/>
      <c r="K255" s="122"/>
      <c r="L255" s="158"/>
      <c r="M255" s="184" t="str">
        <f t="shared" ca="1" si="13"/>
        <v/>
      </c>
      <c r="N255" s="67" t="str">
        <f t="shared" ca="1" si="12"/>
        <v/>
      </c>
      <c r="O255" s="68" t="str">
        <f t="shared" ca="1" si="8"/>
        <v/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 t="str">
        <f t="shared" ca="1" si="1"/>
        <v/>
      </c>
      <c r="B256" s="60" t="str">
        <f t="shared" ca="1" si="9"/>
        <v/>
      </c>
      <c r="C256" s="61" t="str">
        <f t="shared" ca="1" si="2"/>
        <v/>
      </c>
      <c r="D256" s="183" t="str">
        <f t="shared" ca="1" si="3"/>
        <v/>
      </c>
      <c r="E256" s="84" t="str">
        <f t="shared" ca="1" si="4"/>
        <v/>
      </c>
      <c r="F256" s="64" t="str">
        <f t="shared" ca="1" si="5"/>
        <v/>
      </c>
      <c r="G256" s="156"/>
      <c r="H256" s="157"/>
      <c r="I256" s="157"/>
      <c r="J256" s="122"/>
      <c r="K256" s="122"/>
      <c r="L256" s="158"/>
      <c r="M256" s="184" t="str">
        <f t="shared" ca="1" si="13"/>
        <v/>
      </c>
      <c r="N256" s="67" t="str">
        <f t="shared" ca="1" si="12"/>
        <v/>
      </c>
      <c r="O256" s="68" t="str">
        <f t="shared" ca="1" si="8"/>
        <v/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 t="str">
        <f t="shared" ca="1" si="1"/>
        <v/>
      </c>
      <c r="B257" s="60" t="str">
        <f t="shared" ca="1" si="9"/>
        <v/>
      </c>
      <c r="C257" s="61" t="str">
        <f t="shared" ca="1" si="2"/>
        <v/>
      </c>
      <c r="D257" s="183" t="str">
        <f t="shared" ca="1" si="3"/>
        <v/>
      </c>
      <c r="E257" s="84" t="str">
        <f t="shared" ca="1" si="4"/>
        <v/>
      </c>
      <c r="F257" s="64" t="str">
        <f t="shared" ca="1" si="5"/>
        <v/>
      </c>
      <c r="G257" s="156"/>
      <c r="H257" s="157"/>
      <c r="I257" s="157"/>
      <c r="J257" s="122"/>
      <c r="K257" s="122"/>
      <c r="L257" s="158"/>
      <c r="M257" s="184" t="str">
        <f t="shared" ca="1" si="13"/>
        <v/>
      </c>
      <c r="N257" s="67" t="str">
        <f t="shared" ca="1" si="12"/>
        <v/>
      </c>
      <c r="O257" s="68" t="str">
        <f t="shared" ca="1" si="8"/>
        <v/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 t="str">
        <f t="shared" ca="1" si="1"/>
        <v/>
      </c>
      <c r="B258" s="60" t="str">
        <f t="shared" ca="1" si="9"/>
        <v/>
      </c>
      <c r="C258" s="61" t="str">
        <f t="shared" ca="1" si="2"/>
        <v/>
      </c>
      <c r="D258" s="183" t="str">
        <f t="shared" ca="1" si="3"/>
        <v/>
      </c>
      <c r="E258" s="84" t="str">
        <f t="shared" ca="1" si="4"/>
        <v/>
      </c>
      <c r="F258" s="64" t="str">
        <f t="shared" ca="1" si="5"/>
        <v/>
      </c>
      <c r="G258" s="156"/>
      <c r="H258" s="157"/>
      <c r="I258" s="157"/>
      <c r="J258" s="122"/>
      <c r="K258" s="122"/>
      <c r="L258" s="158"/>
      <c r="M258" s="184" t="str">
        <f t="shared" ca="1" si="13"/>
        <v/>
      </c>
      <c r="N258" s="67" t="str">
        <f t="shared" ca="1" si="12"/>
        <v/>
      </c>
      <c r="O258" s="68" t="str">
        <f t="shared" ca="1" si="8"/>
        <v/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 t="str">
        <f t="shared" ca="1" si="1"/>
        <v/>
      </c>
      <c r="B259" s="60" t="str">
        <f t="shared" ca="1" si="9"/>
        <v/>
      </c>
      <c r="C259" s="61" t="str">
        <f t="shared" ca="1" si="2"/>
        <v/>
      </c>
      <c r="D259" s="183" t="str">
        <f t="shared" ca="1" si="3"/>
        <v/>
      </c>
      <c r="E259" s="84" t="str">
        <f t="shared" ca="1" si="4"/>
        <v/>
      </c>
      <c r="F259" s="64" t="str">
        <f t="shared" ca="1" si="5"/>
        <v/>
      </c>
      <c r="G259" s="156"/>
      <c r="H259" s="157"/>
      <c r="I259" s="157"/>
      <c r="J259" s="122"/>
      <c r="K259" s="122"/>
      <c r="L259" s="158"/>
      <c r="M259" s="184" t="str">
        <f t="shared" ca="1" si="13"/>
        <v/>
      </c>
      <c r="N259" s="67" t="str">
        <f t="shared" ca="1" si="12"/>
        <v/>
      </c>
      <c r="O259" s="68" t="str">
        <f t="shared" ca="1" si="8"/>
        <v/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 t="str">
        <f t="shared" ca="1" si="1"/>
        <v/>
      </c>
      <c r="B260" s="60" t="str">
        <f t="shared" ca="1" si="9"/>
        <v/>
      </c>
      <c r="C260" s="61" t="str">
        <f t="shared" ca="1" si="2"/>
        <v/>
      </c>
      <c r="D260" s="183" t="str">
        <f t="shared" ca="1" si="3"/>
        <v/>
      </c>
      <c r="E260" s="84" t="str">
        <f t="shared" ca="1" si="4"/>
        <v/>
      </c>
      <c r="F260" s="64" t="str">
        <f t="shared" ca="1" si="5"/>
        <v/>
      </c>
      <c r="G260" s="156"/>
      <c r="H260" s="157"/>
      <c r="I260" s="157"/>
      <c r="J260" s="122"/>
      <c r="K260" s="122"/>
      <c r="L260" s="158"/>
      <c r="M260" s="184" t="str">
        <f t="shared" ca="1" si="13"/>
        <v/>
      </c>
      <c r="N260" s="67" t="str">
        <f t="shared" ca="1" si="12"/>
        <v/>
      </c>
      <c r="O260" s="68" t="str">
        <f t="shared" ca="1" si="8"/>
        <v/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 t="str">
        <f t="shared" ca="1" si="1"/>
        <v/>
      </c>
      <c r="B261" s="60" t="str">
        <f t="shared" ca="1" si="9"/>
        <v/>
      </c>
      <c r="C261" s="61" t="str">
        <f t="shared" ca="1" si="2"/>
        <v/>
      </c>
      <c r="D261" s="183" t="str">
        <f t="shared" ca="1" si="3"/>
        <v/>
      </c>
      <c r="E261" s="84" t="str">
        <f t="shared" ca="1" si="4"/>
        <v/>
      </c>
      <c r="F261" s="64" t="str">
        <f t="shared" ca="1" si="5"/>
        <v/>
      </c>
      <c r="G261" s="156"/>
      <c r="H261" s="157"/>
      <c r="I261" s="157"/>
      <c r="J261" s="122"/>
      <c r="K261" s="122"/>
      <c r="L261" s="158"/>
      <c r="M261" s="184" t="str">
        <f t="shared" ca="1" si="13"/>
        <v/>
      </c>
      <c r="N261" s="67" t="str">
        <f t="shared" ca="1" si="12"/>
        <v/>
      </c>
      <c r="O261" s="68" t="str">
        <f t="shared" ca="1" si="8"/>
        <v/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100" t="str">
        <f t="shared" ref="A262:A294" ca="1" si="14">IF(INDIRECT("'DS nhân viên Speedtest'!B"&amp; (20+QUOTIENT(ROW()-ROW($A$7),16)))="","",ROW()-ROW($A$7)+1)</f>
        <v/>
      </c>
      <c r="B262" s="101" t="str">
        <f t="shared" ca="1" si="9"/>
        <v/>
      </c>
      <c r="C262" s="102" t="str">
        <f t="shared" ref="C262:C294" ca="1" si="15">IF(A262="","",INDIRECT("'DS nhân viên Speedtest'!B"&amp; (20+QUOTIENT(A262-1,16))))</f>
        <v/>
      </c>
      <c r="D262" s="197" t="str">
        <f t="shared" ref="D262:D294" ca="1" si="16">IF(A262="","",INDIRECT("'DS nhân viên Speedtest'!C"&amp; (20+QUOTIENT(A262-1,16))))</f>
        <v/>
      </c>
      <c r="E262" s="104" t="str">
        <f t="shared" ref="E262:E294" ca="1" si="17">IF(A262="","",INDIRECT("'DS nhân viên Speedtest'!D"&amp; (20+QUOTIENT(A262-1,16))))</f>
        <v/>
      </c>
      <c r="F262" s="105" t="str">
        <f t="shared" ref="F262:F294" ca="1" si="18">IF(A262="","","Lần "&amp;(MOD(ROW()-ROW($A$7),16)+1))</f>
        <v/>
      </c>
      <c r="G262" s="159"/>
      <c r="H262" s="160"/>
      <c r="I262" s="160"/>
      <c r="J262" s="161"/>
      <c r="K262" s="161"/>
      <c r="L262" s="162"/>
      <c r="M262" s="202" t="str">
        <f t="shared" ca="1" si="13"/>
        <v/>
      </c>
      <c r="N262" s="203" t="str">
        <f t="shared" ca="1" si="12"/>
        <v/>
      </c>
      <c r="O262" s="68" t="str">
        <f t="shared" ref="O262:O294" ca="1" si="19">IF(B262="","",IF((J262-0)&gt;200,1,0))</f>
        <v/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106" t="str">
        <f t="shared" ca="1" si="14"/>
        <v/>
      </c>
      <c r="B263" s="107" t="str">
        <f t="shared" ref="B263:B294" ca="1" si="20">IF(A263="","",B262)</f>
        <v/>
      </c>
      <c r="C263" s="108" t="str">
        <f t="shared" ca="1" si="15"/>
        <v/>
      </c>
      <c r="D263" s="205" t="str">
        <f t="shared" ca="1" si="16"/>
        <v/>
      </c>
      <c r="E263" s="110" t="str">
        <f t="shared" ca="1" si="17"/>
        <v/>
      </c>
      <c r="F263" s="111" t="str">
        <f t="shared" ca="1" si="18"/>
        <v/>
      </c>
      <c r="G263" s="163"/>
      <c r="H263" s="164"/>
      <c r="I263" s="164"/>
      <c r="J263" s="146"/>
      <c r="K263" s="146"/>
      <c r="L263" s="165"/>
      <c r="M263" s="181" t="str">
        <f t="shared" ca="1" si="13"/>
        <v/>
      </c>
      <c r="N263" s="57" t="str">
        <f t="shared" ca="1" si="12"/>
        <v/>
      </c>
      <c r="O263" s="68" t="str">
        <f t="shared" ca="1" si="19"/>
        <v/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59" t="str">
        <f t="shared" ca="1" si="14"/>
        <v/>
      </c>
      <c r="B264" s="60" t="str">
        <f t="shared" ca="1" si="20"/>
        <v/>
      </c>
      <c r="C264" s="61" t="str">
        <f t="shared" ca="1" si="15"/>
        <v/>
      </c>
      <c r="D264" s="183" t="str">
        <f t="shared" ca="1" si="16"/>
        <v/>
      </c>
      <c r="E264" s="63" t="str">
        <f t="shared" ca="1" si="17"/>
        <v/>
      </c>
      <c r="F264" s="64" t="str">
        <f t="shared" ca="1" si="18"/>
        <v/>
      </c>
      <c r="G264" s="156"/>
      <c r="H264" s="157"/>
      <c r="I264" s="157"/>
      <c r="J264" s="122"/>
      <c r="K264" s="122"/>
      <c r="L264" s="158"/>
      <c r="M264" s="184" t="str">
        <f t="shared" ca="1" si="13"/>
        <v/>
      </c>
      <c r="N264" s="67" t="str">
        <f t="shared" ca="1" si="12"/>
        <v/>
      </c>
      <c r="O264" s="68" t="str">
        <f t="shared" ca="1" si="19"/>
        <v/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59" t="str">
        <f t="shared" ca="1" si="14"/>
        <v/>
      </c>
      <c r="B265" s="60" t="str">
        <f t="shared" ca="1" si="20"/>
        <v/>
      </c>
      <c r="C265" s="61" t="str">
        <f t="shared" ca="1" si="15"/>
        <v/>
      </c>
      <c r="D265" s="183" t="str">
        <f t="shared" ca="1" si="16"/>
        <v/>
      </c>
      <c r="E265" s="63" t="str">
        <f t="shared" ca="1" si="17"/>
        <v/>
      </c>
      <c r="F265" s="64" t="str">
        <f t="shared" ca="1" si="18"/>
        <v/>
      </c>
      <c r="G265" s="156"/>
      <c r="H265" s="157"/>
      <c r="I265" s="157"/>
      <c r="J265" s="122"/>
      <c r="K265" s="122"/>
      <c r="L265" s="158"/>
      <c r="M265" s="184" t="str">
        <f t="shared" ca="1" si="13"/>
        <v/>
      </c>
      <c r="N265" s="67" t="str">
        <f t="shared" ca="1" si="12"/>
        <v/>
      </c>
      <c r="O265" s="68" t="str">
        <f t="shared" ca="1" si="19"/>
        <v/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59" t="str">
        <f t="shared" ca="1" si="14"/>
        <v/>
      </c>
      <c r="B266" s="60" t="str">
        <f t="shared" ca="1" si="20"/>
        <v/>
      </c>
      <c r="C266" s="61" t="str">
        <f t="shared" ca="1" si="15"/>
        <v/>
      </c>
      <c r="D266" s="183" t="str">
        <f t="shared" ca="1" si="16"/>
        <v/>
      </c>
      <c r="E266" s="63" t="str">
        <f t="shared" ca="1" si="17"/>
        <v/>
      </c>
      <c r="F266" s="64" t="str">
        <f t="shared" ca="1" si="18"/>
        <v/>
      </c>
      <c r="G266" s="156"/>
      <c r="H266" s="157"/>
      <c r="I266" s="157"/>
      <c r="J266" s="122"/>
      <c r="K266" s="122"/>
      <c r="L266" s="158"/>
      <c r="M266" s="184" t="str">
        <f t="shared" ca="1" si="13"/>
        <v/>
      </c>
      <c r="N266" s="67" t="str">
        <f t="shared" ca="1" si="12"/>
        <v/>
      </c>
      <c r="O266" s="68" t="str">
        <f t="shared" ca="1" si="19"/>
        <v/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59" t="str">
        <f t="shared" ca="1" si="14"/>
        <v/>
      </c>
      <c r="B267" s="60" t="str">
        <f t="shared" ca="1" si="20"/>
        <v/>
      </c>
      <c r="C267" s="61" t="str">
        <f t="shared" ca="1" si="15"/>
        <v/>
      </c>
      <c r="D267" s="183" t="str">
        <f t="shared" ca="1" si="16"/>
        <v/>
      </c>
      <c r="E267" s="63" t="str">
        <f t="shared" ca="1" si="17"/>
        <v/>
      </c>
      <c r="F267" s="64" t="str">
        <f t="shared" ca="1" si="18"/>
        <v/>
      </c>
      <c r="G267" s="156"/>
      <c r="H267" s="157"/>
      <c r="I267" s="157"/>
      <c r="J267" s="122"/>
      <c r="K267" s="122"/>
      <c r="L267" s="158"/>
      <c r="M267" s="184" t="str">
        <f t="shared" ca="1" si="13"/>
        <v/>
      </c>
      <c r="N267" s="67" t="str">
        <f t="shared" ca="1" si="12"/>
        <v/>
      </c>
      <c r="O267" s="68" t="str">
        <f t="shared" ca="1" si="19"/>
        <v/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59" t="str">
        <f t="shared" ca="1" si="14"/>
        <v/>
      </c>
      <c r="B268" s="60" t="str">
        <f t="shared" ca="1" si="20"/>
        <v/>
      </c>
      <c r="C268" s="61" t="str">
        <f t="shared" ca="1" si="15"/>
        <v/>
      </c>
      <c r="D268" s="183" t="str">
        <f t="shared" ca="1" si="16"/>
        <v/>
      </c>
      <c r="E268" s="63" t="str">
        <f t="shared" ca="1" si="17"/>
        <v/>
      </c>
      <c r="F268" s="64" t="str">
        <f t="shared" ca="1" si="18"/>
        <v/>
      </c>
      <c r="G268" s="156"/>
      <c r="H268" s="157"/>
      <c r="I268" s="157"/>
      <c r="J268" s="122"/>
      <c r="K268" s="122"/>
      <c r="L268" s="158"/>
      <c r="M268" s="184" t="str">
        <f t="shared" ca="1" si="13"/>
        <v/>
      </c>
      <c r="N268" s="67" t="str">
        <f t="shared" ca="1" si="12"/>
        <v/>
      </c>
      <c r="O268" s="68" t="str">
        <f t="shared" ca="1" si="19"/>
        <v/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59" t="str">
        <f t="shared" ca="1" si="14"/>
        <v/>
      </c>
      <c r="B269" s="60" t="str">
        <f t="shared" ca="1" si="20"/>
        <v/>
      </c>
      <c r="C269" s="61" t="str">
        <f t="shared" ca="1" si="15"/>
        <v/>
      </c>
      <c r="D269" s="183" t="str">
        <f t="shared" ca="1" si="16"/>
        <v/>
      </c>
      <c r="E269" s="63" t="str">
        <f t="shared" ca="1" si="17"/>
        <v/>
      </c>
      <c r="F269" s="64" t="str">
        <f t="shared" ca="1" si="18"/>
        <v/>
      </c>
      <c r="G269" s="156"/>
      <c r="H269" s="157"/>
      <c r="I269" s="157"/>
      <c r="J269" s="122"/>
      <c r="K269" s="122"/>
      <c r="L269" s="158"/>
      <c r="M269" s="184" t="str">
        <f t="shared" ca="1" si="13"/>
        <v/>
      </c>
      <c r="N269" s="67" t="str">
        <f t="shared" ca="1" si="12"/>
        <v/>
      </c>
      <c r="O269" s="68" t="str">
        <f t="shared" ca="1" si="19"/>
        <v/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59" t="str">
        <f t="shared" ca="1" si="14"/>
        <v/>
      </c>
      <c r="B270" s="60" t="str">
        <f t="shared" ca="1" si="20"/>
        <v/>
      </c>
      <c r="C270" s="61" t="str">
        <f t="shared" ca="1" si="15"/>
        <v/>
      </c>
      <c r="D270" s="183" t="str">
        <f t="shared" ca="1" si="16"/>
        <v/>
      </c>
      <c r="E270" s="63" t="str">
        <f t="shared" ca="1" si="17"/>
        <v/>
      </c>
      <c r="F270" s="64" t="str">
        <f t="shared" ca="1" si="18"/>
        <v/>
      </c>
      <c r="G270" s="156"/>
      <c r="H270" s="157"/>
      <c r="I270" s="157"/>
      <c r="J270" s="122"/>
      <c r="K270" s="122"/>
      <c r="L270" s="158"/>
      <c r="M270" s="184" t="str">
        <f t="shared" ca="1" si="13"/>
        <v/>
      </c>
      <c r="N270" s="67" t="str">
        <f t="shared" ca="1" si="12"/>
        <v/>
      </c>
      <c r="O270" s="68" t="str">
        <f t="shared" ca="1" si="19"/>
        <v/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59" t="str">
        <f t="shared" ca="1" si="14"/>
        <v/>
      </c>
      <c r="B271" s="60" t="str">
        <f t="shared" ca="1" si="20"/>
        <v/>
      </c>
      <c r="C271" s="61" t="str">
        <f t="shared" ca="1" si="15"/>
        <v/>
      </c>
      <c r="D271" s="183" t="str">
        <f t="shared" ca="1" si="16"/>
        <v/>
      </c>
      <c r="E271" s="63" t="str">
        <f t="shared" ca="1" si="17"/>
        <v/>
      </c>
      <c r="F271" s="64" t="str">
        <f t="shared" ca="1" si="18"/>
        <v/>
      </c>
      <c r="G271" s="156"/>
      <c r="H271" s="157"/>
      <c r="I271" s="157"/>
      <c r="J271" s="122"/>
      <c r="K271" s="122"/>
      <c r="L271" s="158"/>
      <c r="M271" s="184" t="str">
        <f t="shared" ca="1" si="13"/>
        <v/>
      </c>
      <c r="N271" s="67" t="str">
        <f t="shared" ca="1" si="12"/>
        <v/>
      </c>
      <c r="O271" s="68" t="str">
        <f t="shared" ca="1" si="19"/>
        <v/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59" t="str">
        <f t="shared" ca="1" si="14"/>
        <v/>
      </c>
      <c r="B272" s="60" t="str">
        <f t="shared" ca="1" si="20"/>
        <v/>
      </c>
      <c r="C272" s="61" t="str">
        <f t="shared" ca="1" si="15"/>
        <v/>
      </c>
      <c r="D272" s="183" t="str">
        <f t="shared" ca="1" si="16"/>
        <v/>
      </c>
      <c r="E272" s="63" t="str">
        <f t="shared" ca="1" si="17"/>
        <v/>
      </c>
      <c r="F272" s="64" t="str">
        <f t="shared" ca="1" si="18"/>
        <v/>
      </c>
      <c r="G272" s="156"/>
      <c r="H272" s="157"/>
      <c r="I272" s="157"/>
      <c r="J272" s="122"/>
      <c r="K272" s="122"/>
      <c r="L272" s="158"/>
      <c r="M272" s="184" t="str">
        <f t="shared" ca="1" si="13"/>
        <v/>
      </c>
      <c r="N272" s="67" t="str">
        <f t="shared" ca="1" si="12"/>
        <v/>
      </c>
      <c r="O272" s="68" t="str">
        <f t="shared" ca="1" si="19"/>
        <v/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59" t="str">
        <f t="shared" ca="1" si="14"/>
        <v/>
      </c>
      <c r="B273" s="60" t="str">
        <f t="shared" ca="1" si="20"/>
        <v/>
      </c>
      <c r="C273" s="61" t="str">
        <f t="shared" ca="1" si="15"/>
        <v/>
      </c>
      <c r="D273" s="183" t="str">
        <f t="shared" ca="1" si="16"/>
        <v/>
      </c>
      <c r="E273" s="63" t="str">
        <f t="shared" ca="1" si="17"/>
        <v/>
      </c>
      <c r="F273" s="64" t="str">
        <f t="shared" ca="1" si="18"/>
        <v/>
      </c>
      <c r="G273" s="156"/>
      <c r="H273" s="157"/>
      <c r="I273" s="157"/>
      <c r="J273" s="122"/>
      <c r="K273" s="122"/>
      <c r="L273" s="158"/>
      <c r="M273" s="184" t="str">
        <f t="shared" ca="1" si="13"/>
        <v/>
      </c>
      <c r="N273" s="67" t="str">
        <f t="shared" ca="1" si="12"/>
        <v/>
      </c>
      <c r="O273" s="68" t="str">
        <f t="shared" ca="1" si="19"/>
        <v/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59" t="str">
        <f t="shared" ca="1" si="14"/>
        <v/>
      </c>
      <c r="B274" s="60" t="str">
        <f t="shared" ca="1" si="20"/>
        <v/>
      </c>
      <c r="C274" s="61" t="str">
        <f t="shared" ca="1" si="15"/>
        <v/>
      </c>
      <c r="D274" s="183" t="str">
        <f t="shared" ca="1" si="16"/>
        <v/>
      </c>
      <c r="E274" s="63" t="str">
        <f t="shared" ca="1" si="17"/>
        <v/>
      </c>
      <c r="F274" s="64" t="str">
        <f t="shared" ca="1" si="18"/>
        <v/>
      </c>
      <c r="G274" s="156"/>
      <c r="H274" s="157"/>
      <c r="I274" s="157"/>
      <c r="J274" s="122"/>
      <c r="K274" s="122"/>
      <c r="L274" s="158"/>
      <c r="M274" s="184" t="str">
        <f t="shared" ca="1" si="13"/>
        <v/>
      </c>
      <c r="N274" s="67" t="str">
        <f t="shared" ca="1" si="12"/>
        <v/>
      </c>
      <c r="O274" s="68" t="str">
        <f t="shared" ca="1" si="19"/>
        <v/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59" t="str">
        <f t="shared" ca="1" si="14"/>
        <v/>
      </c>
      <c r="B275" s="60" t="str">
        <f t="shared" ca="1" si="20"/>
        <v/>
      </c>
      <c r="C275" s="61" t="str">
        <f t="shared" ca="1" si="15"/>
        <v/>
      </c>
      <c r="D275" s="183" t="str">
        <f t="shared" ca="1" si="16"/>
        <v/>
      </c>
      <c r="E275" s="63" t="str">
        <f t="shared" ca="1" si="17"/>
        <v/>
      </c>
      <c r="F275" s="64" t="str">
        <f t="shared" ca="1" si="18"/>
        <v/>
      </c>
      <c r="G275" s="156"/>
      <c r="H275" s="157"/>
      <c r="I275" s="157"/>
      <c r="J275" s="122"/>
      <c r="K275" s="122"/>
      <c r="L275" s="158"/>
      <c r="M275" s="184" t="str">
        <f t="shared" ca="1" si="13"/>
        <v/>
      </c>
      <c r="N275" s="67" t="str">
        <f t="shared" ca="1" si="12"/>
        <v/>
      </c>
      <c r="O275" s="68" t="str">
        <f t="shared" ca="1" si="19"/>
        <v/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59" t="str">
        <f t="shared" ca="1" si="14"/>
        <v/>
      </c>
      <c r="B276" s="60" t="str">
        <f t="shared" ca="1" si="20"/>
        <v/>
      </c>
      <c r="C276" s="61" t="str">
        <f t="shared" ca="1" si="15"/>
        <v/>
      </c>
      <c r="D276" s="183" t="str">
        <f t="shared" ca="1" si="16"/>
        <v/>
      </c>
      <c r="E276" s="63" t="str">
        <f t="shared" ca="1" si="17"/>
        <v/>
      </c>
      <c r="F276" s="64" t="str">
        <f t="shared" ca="1" si="18"/>
        <v/>
      </c>
      <c r="G276" s="156"/>
      <c r="H276" s="157"/>
      <c r="I276" s="157"/>
      <c r="J276" s="122"/>
      <c r="K276" s="122"/>
      <c r="L276" s="158"/>
      <c r="M276" s="184" t="str">
        <f t="shared" ca="1" si="13"/>
        <v/>
      </c>
      <c r="N276" s="67" t="str">
        <f t="shared" ca="1" si="12"/>
        <v/>
      </c>
      <c r="O276" s="68" t="str">
        <f t="shared" ca="1" si="19"/>
        <v/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59" t="str">
        <f t="shared" ca="1" si="14"/>
        <v/>
      </c>
      <c r="B277" s="60" t="str">
        <f t="shared" ca="1" si="20"/>
        <v/>
      </c>
      <c r="C277" s="61" t="str">
        <f t="shared" ca="1" si="15"/>
        <v/>
      </c>
      <c r="D277" s="183" t="str">
        <f t="shared" ca="1" si="16"/>
        <v/>
      </c>
      <c r="E277" s="63" t="str">
        <f t="shared" ca="1" si="17"/>
        <v/>
      </c>
      <c r="F277" s="64" t="str">
        <f t="shared" ca="1" si="18"/>
        <v/>
      </c>
      <c r="G277" s="156"/>
      <c r="H277" s="157"/>
      <c r="I277" s="157"/>
      <c r="J277" s="122"/>
      <c r="K277" s="122"/>
      <c r="L277" s="158"/>
      <c r="M277" s="184" t="str">
        <f t="shared" ca="1" si="13"/>
        <v/>
      </c>
      <c r="N277" s="67" t="str">
        <f t="shared" ca="1" si="12"/>
        <v/>
      </c>
      <c r="O277" s="68" t="str">
        <f t="shared" ca="1" si="19"/>
        <v/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80" t="str">
        <f t="shared" ca="1" si="14"/>
        <v/>
      </c>
      <c r="B278" s="81" t="str">
        <f t="shared" ca="1" si="20"/>
        <v/>
      </c>
      <c r="C278" s="82" t="str">
        <f t="shared" ca="1" si="15"/>
        <v/>
      </c>
      <c r="D278" s="186" t="str">
        <f t="shared" ca="1" si="16"/>
        <v/>
      </c>
      <c r="E278" s="84" t="str">
        <f t="shared" ca="1" si="17"/>
        <v/>
      </c>
      <c r="F278" s="85" t="str">
        <f t="shared" ca="1" si="18"/>
        <v/>
      </c>
      <c r="G278" s="166"/>
      <c r="H278" s="167"/>
      <c r="I278" s="167"/>
      <c r="J278" s="150"/>
      <c r="K278" s="150"/>
      <c r="L278" s="168"/>
      <c r="M278" s="202" t="str">
        <f t="shared" ca="1" si="13"/>
        <v/>
      </c>
      <c r="N278" s="203" t="str">
        <f t="shared" ca="1" si="12"/>
        <v/>
      </c>
      <c r="O278" s="68" t="str">
        <f t="shared" ca="1" si="19"/>
        <v/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46" t="str">
        <f t="shared" ca="1" si="14"/>
        <v/>
      </c>
      <c r="B279" s="47" t="str">
        <f t="shared" ca="1" si="20"/>
        <v/>
      </c>
      <c r="C279" s="48" t="str">
        <f t="shared" ca="1" si="15"/>
        <v/>
      </c>
      <c r="D279" s="191" t="str">
        <f t="shared" ca="1" si="16"/>
        <v/>
      </c>
      <c r="E279" s="50" t="str">
        <f t="shared" ca="1" si="17"/>
        <v/>
      </c>
      <c r="F279" s="51" t="str">
        <f t="shared" ca="1" si="18"/>
        <v/>
      </c>
      <c r="G279" s="153"/>
      <c r="H279" s="154"/>
      <c r="I279" s="154"/>
      <c r="J279" s="169"/>
      <c r="K279" s="169"/>
      <c r="L279" s="155"/>
      <c r="M279" s="181" t="str">
        <f t="shared" ca="1" si="13"/>
        <v/>
      </c>
      <c r="N279" s="57" t="str">
        <f t="shared" ca="1" si="12"/>
        <v/>
      </c>
      <c r="O279" s="68" t="str">
        <f t="shared" ca="1" si="19"/>
        <v/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59" t="str">
        <f t="shared" ca="1" si="14"/>
        <v/>
      </c>
      <c r="B280" s="60" t="str">
        <f t="shared" ca="1" si="20"/>
        <v/>
      </c>
      <c r="C280" s="61" t="str">
        <f t="shared" ca="1" si="15"/>
        <v/>
      </c>
      <c r="D280" s="183" t="str">
        <f t="shared" ca="1" si="16"/>
        <v/>
      </c>
      <c r="E280" s="63" t="str">
        <f t="shared" ca="1" si="17"/>
        <v/>
      </c>
      <c r="F280" s="64" t="str">
        <f t="shared" ca="1" si="18"/>
        <v/>
      </c>
      <c r="G280" s="156"/>
      <c r="H280" s="157"/>
      <c r="I280" s="157"/>
      <c r="J280" s="122"/>
      <c r="K280" s="122"/>
      <c r="L280" s="158"/>
      <c r="M280" s="184" t="str">
        <f t="shared" ca="1" si="13"/>
        <v/>
      </c>
      <c r="N280" s="67" t="str">
        <f t="shared" ca="1" si="12"/>
        <v/>
      </c>
      <c r="O280" s="68" t="str">
        <f t="shared" ca="1" si="19"/>
        <v/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59" t="str">
        <f t="shared" ca="1" si="14"/>
        <v/>
      </c>
      <c r="B281" s="60" t="str">
        <f t="shared" ca="1" si="20"/>
        <v/>
      </c>
      <c r="C281" s="61" t="str">
        <f t="shared" ca="1" si="15"/>
        <v/>
      </c>
      <c r="D281" s="183" t="str">
        <f t="shared" ca="1" si="16"/>
        <v/>
      </c>
      <c r="E281" s="63" t="str">
        <f t="shared" ca="1" si="17"/>
        <v/>
      </c>
      <c r="F281" s="64" t="str">
        <f t="shared" ca="1" si="18"/>
        <v/>
      </c>
      <c r="G281" s="156"/>
      <c r="H281" s="157"/>
      <c r="I281" s="157"/>
      <c r="J281" s="122"/>
      <c r="K281" s="122"/>
      <c r="L281" s="158"/>
      <c r="M281" s="184" t="str">
        <f t="shared" ca="1" si="13"/>
        <v/>
      </c>
      <c r="N281" s="67" t="str">
        <f t="shared" ca="1" si="12"/>
        <v/>
      </c>
      <c r="O281" s="68" t="str">
        <f t="shared" ca="1" si="19"/>
        <v/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59" t="str">
        <f t="shared" ca="1" si="14"/>
        <v/>
      </c>
      <c r="B282" s="60" t="str">
        <f t="shared" ca="1" si="20"/>
        <v/>
      </c>
      <c r="C282" s="61" t="str">
        <f t="shared" ca="1" si="15"/>
        <v/>
      </c>
      <c r="D282" s="183" t="str">
        <f t="shared" ca="1" si="16"/>
        <v/>
      </c>
      <c r="E282" s="63" t="str">
        <f t="shared" ca="1" si="17"/>
        <v/>
      </c>
      <c r="F282" s="64" t="str">
        <f t="shared" ca="1" si="18"/>
        <v/>
      </c>
      <c r="G282" s="156"/>
      <c r="H282" s="157"/>
      <c r="I282" s="157"/>
      <c r="J282" s="122"/>
      <c r="K282" s="122"/>
      <c r="L282" s="158"/>
      <c r="M282" s="184" t="str">
        <f t="shared" ca="1" si="13"/>
        <v/>
      </c>
      <c r="N282" s="67" t="str">
        <f t="shared" ca="1" si="12"/>
        <v/>
      </c>
      <c r="O282" s="68" t="str">
        <f t="shared" ca="1" si="19"/>
        <v/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59" t="str">
        <f t="shared" ca="1" si="14"/>
        <v/>
      </c>
      <c r="B283" s="60" t="str">
        <f t="shared" ca="1" si="20"/>
        <v/>
      </c>
      <c r="C283" s="61" t="str">
        <f t="shared" ca="1" si="15"/>
        <v/>
      </c>
      <c r="D283" s="183" t="str">
        <f t="shared" ca="1" si="16"/>
        <v/>
      </c>
      <c r="E283" s="63" t="str">
        <f t="shared" ca="1" si="17"/>
        <v/>
      </c>
      <c r="F283" s="64" t="str">
        <f t="shared" ca="1" si="18"/>
        <v/>
      </c>
      <c r="G283" s="156"/>
      <c r="H283" s="157"/>
      <c r="I283" s="157"/>
      <c r="J283" s="122"/>
      <c r="K283" s="122"/>
      <c r="L283" s="158"/>
      <c r="M283" s="184" t="str">
        <f t="shared" ca="1" si="13"/>
        <v/>
      </c>
      <c r="N283" s="67" t="str">
        <f t="shared" ca="1" si="12"/>
        <v/>
      </c>
      <c r="O283" s="68" t="str">
        <f t="shared" ca="1" si="19"/>
        <v/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59" t="str">
        <f t="shared" ca="1" si="14"/>
        <v/>
      </c>
      <c r="B284" s="60" t="str">
        <f t="shared" ca="1" si="20"/>
        <v/>
      </c>
      <c r="C284" s="61" t="str">
        <f t="shared" ca="1" si="15"/>
        <v/>
      </c>
      <c r="D284" s="183" t="str">
        <f t="shared" ca="1" si="16"/>
        <v/>
      </c>
      <c r="E284" s="63" t="str">
        <f t="shared" ca="1" si="17"/>
        <v/>
      </c>
      <c r="F284" s="64" t="str">
        <f t="shared" ca="1" si="18"/>
        <v/>
      </c>
      <c r="G284" s="156"/>
      <c r="H284" s="157"/>
      <c r="I284" s="157"/>
      <c r="J284" s="122"/>
      <c r="K284" s="122"/>
      <c r="L284" s="158"/>
      <c r="M284" s="184" t="str">
        <f t="shared" ca="1" si="13"/>
        <v/>
      </c>
      <c r="N284" s="67" t="str">
        <f t="shared" ca="1" si="12"/>
        <v/>
      </c>
      <c r="O284" s="68" t="str">
        <f t="shared" ca="1" si="19"/>
        <v/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59" t="str">
        <f t="shared" ca="1" si="14"/>
        <v/>
      </c>
      <c r="B285" s="60" t="str">
        <f t="shared" ca="1" si="20"/>
        <v/>
      </c>
      <c r="C285" s="61" t="str">
        <f t="shared" ca="1" si="15"/>
        <v/>
      </c>
      <c r="D285" s="183" t="str">
        <f t="shared" ca="1" si="16"/>
        <v/>
      </c>
      <c r="E285" s="63" t="str">
        <f t="shared" ca="1" si="17"/>
        <v/>
      </c>
      <c r="F285" s="64" t="str">
        <f t="shared" ca="1" si="18"/>
        <v/>
      </c>
      <c r="G285" s="156"/>
      <c r="H285" s="157"/>
      <c r="I285" s="157"/>
      <c r="J285" s="122"/>
      <c r="K285" s="122"/>
      <c r="L285" s="158"/>
      <c r="M285" s="184" t="str">
        <f t="shared" ca="1" si="13"/>
        <v/>
      </c>
      <c r="N285" s="67" t="str">
        <f t="shared" ca="1" si="12"/>
        <v/>
      </c>
      <c r="O285" s="68" t="str">
        <f t="shared" ca="1" si="19"/>
        <v/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59" t="str">
        <f t="shared" ca="1" si="14"/>
        <v/>
      </c>
      <c r="B286" s="60" t="str">
        <f t="shared" ca="1" si="20"/>
        <v/>
      </c>
      <c r="C286" s="61" t="str">
        <f t="shared" ca="1" si="15"/>
        <v/>
      </c>
      <c r="D286" s="183" t="str">
        <f t="shared" ca="1" si="16"/>
        <v/>
      </c>
      <c r="E286" s="63" t="str">
        <f t="shared" ca="1" si="17"/>
        <v/>
      </c>
      <c r="F286" s="64" t="str">
        <f t="shared" ca="1" si="18"/>
        <v/>
      </c>
      <c r="G286" s="156"/>
      <c r="H286" s="157"/>
      <c r="I286" s="157"/>
      <c r="J286" s="122"/>
      <c r="K286" s="122"/>
      <c r="L286" s="158"/>
      <c r="M286" s="184" t="str">
        <f t="shared" ca="1" si="13"/>
        <v/>
      </c>
      <c r="N286" s="67" t="str">
        <f t="shared" ca="1" si="12"/>
        <v/>
      </c>
      <c r="O286" s="68" t="str">
        <f t="shared" ca="1" si="19"/>
        <v/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59" t="str">
        <f t="shared" ca="1" si="14"/>
        <v/>
      </c>
      <c r="B287" s="60" t="str">
        <f t="shared" ca="1" si="20"/>
        <v/>
      </c>
      <c r="C287" s="61" t="str">
        <f t="shared" ca="1" si="15"/>
        <v/>
      </c>
      <c r="D287" s="183" t="str">
        <f t="shared" ca="1" si="16"/>
        <v/>
      </c>
      <c r="E287" s="63" t="str">
        <f t="shared" ca="1" si="17"/>
        <v/>
      </c>
      <c r="F287" s="64" t="str">
        <f t="shared" ca="1" si="18"/>
        <v/>
      </c>
      <c r="G287" s="156"/>
      <c r="H287" s="157"/>
      <c r="I287" s="157"/>
      <c r="J287" s="122"/>
      <c r="K287" s="122"/>
      <c r="L287" s="158"/>
      <c r="M287" s="184" t="str">
        <f t="shared" ca="1" si="13"/>
        <v/>
      </c>
      <c r="N287" s="67" t="str">
        <f t="shared" ca="1" si="12"/>
        <v/>
      </c>
      <c r="O287" s="68" t="str">
        <f t="shared" ca="1" si="19"/>
        <v/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59" t="str">
        <f t="shared" ca="1" si="14"/>
        <v/>
      </c>
      <c r="B288" s="60" t="str">
        <f t="shared" ca="1" si="20"/>
        <v/>
      </c>
      <c r="C288" s="61" t="str">
        <f t="shared" ca="1" si="15"/>
        <v/>
      </c>
      <c r="D288" s="183" t="str">
        <f t="shared" ca="1" si="16"/>
        <v/>
      </c>
      <c r="E288" s="63" t="str">
        <f t="shared" ca="1" si="17"/>
        <v/>
      </c>
      <c r="F288" s="64" t="str">
        <f t="shared" ca="1" si="18"/>
        <v/>
      </c>
      <c r="G288" s="156"/>
      <c r="H288" s="157"/>
      <c r="I288" s="157"/>
      <c r="J288" s="122"/>
      <c r="K288" s="122"/>
      <c r="L288" s="158"/>
      <c r="M288" s="184" t="str">
        <f t="shared" ca="1" si="13"/>
        <v/>
      </c>
      <c r="N288" s="67" t="str">
        <f t="shared" ca="1" si="12"/>
        <v/>
      </c>
      <c r="O288" s="68" t="str">
        <f t="shared" ca="1" si="19"/>
        <v/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59" t="str">
        <f t="shared" ca="1" si="14"/>
        <v/>
      </c>
      <c r="B289" s="60" t="str">
        <f t="shared" ca="1" si="20"/>
        <v/>
      </c>
      <c r="C289" s="61" t="str">
        <f t="shared" ca="1" si="15"/>
        <v/>
      </c>
      <c r="D289" s="183" t="str">
        <f t="shared" ca="1" si="16"/>
        <v/>
      </c>
      <c r="E289" s="63" t="str">
        <f t="shared" ca="1" si="17"/>
        <v/>
      </c>
      <c r="F289" s="64" t="str">
        <f t="shared" ca="1" si="18"/>
        <v/>
      </c>
      <c r="G289" s="156"/>
      <c r="H289" s="157"/>
      <c r="I289" s="157"/>
      <c r="J289" s="122"/>
      <c r="K289" s="122"/>
      <c r="L289" s="158"/>
      <c r="M289" s="184" t="str">
        <f t="shared" ca="1" si="13"/>
        <v/>
      </c>
      <c r="N289" s="67" t="str">
        <f t="shared" ca="1" si="12"/>
        <v/>
      </c>
      <c r="O289" s="68" t="str">
        <f t="shared" ca="1" si="19"/>
        <v/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59" t="str">
        <f t="shared" ca="1" si="14"/>
        <v/>
      </c>
      <c r="B290" s="60" t="str">
        <f t="shared" ca="1" si="20"/>
        <v/>
      </c>
      <c r="C290" s="61" t="str">
        <f t="shared" ca="1" si="15"/>
        <v/>
      </c>
      <c r="D290" s="183" t="str">
        <f t="shared" ca="1" si="16"/>
        <v/>
      </c>
      <c r="E290" s="63" t="str">
        <f t="shared" ca="1" si="17"/>
        <v/>
      </c>
      <c r="F290" s="64" t="str">
        <f t="shared" ca="1" si="18"/>
        <v/>
      </c>
      <c r="G290" s="156"/>
      <c r="H290" s="157"/>
      <c r="I290" s="157"/>
      <c r="J290" s="122"/>
      <c r="K290" s="122"/>
      <c r="L290" s="158"/>
      <c r="M290" s="184" t="str">
        <f t="shared" ca="1" si="13"/>
        <v/>
      </c>
      <c r="N290" s="67" t="str">
        <f t="shared" ca="1" si="12"/>
        <v/>
      </c>
      <c r="O290" s="68" t="str">
        <f t="shared" ca="1" si="19"/>
        <v/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59" t="str">
        <f t="shared" ca="1" si="14"/>
        <v/>
      </c>
      <c r="B291" s="60" t="str">
        <f t="shared" ca="1" si="20"/>
        <v/>
      </c>
      <c r="C291" s="61" t="str">
        <f t="shared" ca="1" si="15"/>
        <v/>
      </c>
      <c r="D291" s="183" t="str">
        <f t="shared" ca="1" si="16"/>
        <v/>
      </c>
      <c r="E291" s="63" t="str">
        <f t="shared" ca="1" si="17"/>
        <v/>
      </c>
      <c r="F291" s="64" t="str">
        <f t="shared" ca="1" si="18"/>
        <v/>
      </c>
      <c r="G291" s="156"/>
      <c r="H291" s="157"/>
      <c r="I291" s="157"/>
      <c r="J291" s="122"/>
      <c r="K291" s="122"/>
      <c r="L291" s="158"/>
      <c r="M291" s="184" t="str">
        <f t="shared" ca="1" si="13"/>
        <v/>
      </c>
      <c r="N291" s="67" t="str">
        <f t="shared" ca="1" si="12"/>
        <v/>
      </c>
      <c r="O291" s="68" t="str">
        <f t="shared" ca="1" si="19"/>
        <v/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59" t="str">
        <f t="shared" ca="1" si="14"/>
        <v/>
      </c>
      <c r="B292" s="60" t="str">
        <f t="shared" ca="1" si="20"/>
        <v/>
      </c>
      <c r="C292" s="61" t="str">
        <f t="shared" ca="1" si="15"/>
        <v/>
      </c>
      <c r="D292" s="183" t="str">
        <f t="shared" ca="1" si="16"/>
        <v/>
      </c>
      <c r="E292" s="63" t="str">
        <f t="shared" ca="1" si="17"/>
        <v/>
      </c>
      <c r="F292" s="64" t="str">
        <f t="shared" ca="1" si="18"/>
        <v/>
      </c>
      <c r="G292" s="156"/>
      <c r="H292" s="157"/>
      <c r="I292" s="157"/>
      <c r="J292" s="122"/>
      <c r="K292" s="122"/>
      <c r="L292" s="158"/>
      <c r="M292" s="184" t="str">
        <f t="shared" ca="1" si="13"/>
        <v/>
      </c>
      <c r="N292" s="67" t="str">
        <f t="shared" ca="1" si="12"/>
        <v/>
      </c>
      <c r="O292" s="68" t="str">
        <f t="shared" ca="1" si="19"/>
        <v/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59" t="str">
        <f t="shared" ca="1" si="14"/>
        <v/>
      </c>
      <c r="B293" s="60" t="str">
        <f t="shared" ca="1" si="20"/>
        <v/>
      </c>
      <c r="C293" s="61" t="str">
        <f t="shared" ca="1" si="15"/>
        <v/>
      </c>
      <c r="D293" s="183" t="str">
        <f t="shared" ca="1" si="16"/>
        <v/>
      </c>
      <c r="E293" s="63" t="str">
        <f t="shared" ca="1" si="17"/>
        <v/>
      </c>
      <c r="F293" s="64" t="str">
        <f t="shared" ca="1" si="18"/>
        <v/>
      </c>
      <c r="G293" s="156"/>
      <c r="H293" s="157"/>
      <c r="I293" s="157"/>
      <c r="J293" s="122"/>
      <c r="K293" s="122"/>
      <c r="L293" s="158"/>
      <c r="M293" s="184" t="str">
        <f t="shared" ca="1" si="13"/>
        <v/>
      </c>
      <c r="N293" s="67" t="str">
        <f t="shared" ca="1" si="12"/>
        <v/>
      </c>
      <c r="O293" s="68" t="str">
        <f t="shared" ca="1" si="19"/>
        <v/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100" t="str">
        <f t="shared" ca="1" si="14"/>
        <v/>
      </c>
      <c r="B294" s="101" t="str">
        <f t="shared" ca="1" si="20"/>
        <v/>
      </c>
      <c r="C294" s="102" t="str">
        <f t="shared" ca="1" si="15"/>
        <v/>
      </c>
      <c r="D294" s="197" t="str">
        <f t="shared" ca="1" si="16"/>
        <v/>
      </c>
      <c r="E294" s="104" t="str">
        <f t="shared" ca="1" si="17"/>
        <v/>
      </c>
      <c r="F294" s="105" t="str">
        <f t="shared" ca="1" si="18"/>
        <v/>
      </c>
      <c r="G294" s="159"/>
      <c r="H294" s="160"/>
      <c r="I294" s="160"/>
      <c r="J294" s="161"/>
      <c r="K294" s="161"/>
      <c r="L294" s="162"/>
      <c r="M294" s="189" t="str">
        <f t="shared" ca="1" si="13"/>
        <v/>
      </c>
      <c r="N294" s="171" t="str">
        <f t="shared" ca="1" si="12"/>
        <v/>
      </c>
      <c r="O294" s="172" t="str">
        <f t="shared" ca="1" si="19"/>
        <v/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175"/>
      <c r="K400" s="175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175"/>
      <c r="K401" s="175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175"/>
      <c r="K402" s="175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175"/>
      <c r="K403" s="175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175"/>
      <c r="K404" s="175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175"/>
      <c r="K405" s="175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175"/>
      <c r="K406" s="175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175"/>
      <c r="K407" s="175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175"/>
      <c r="K408" s="175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175"/>
      <c r="K409" s="175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175"/>
      <c r="K410" s="175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175"/>
      <c r="K411" s="175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175"/>
      <c r="K412" s="175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175"/>
      <c r="K413" s="175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175"/>
      <c r="K414" s="175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175"/>
      <c r="K415" s="175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175"/>
      <c r="K416" s="175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175"/>
      <c r="K417" s="175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175"/>
      <c r="K418" s="175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175"/>
      <c r="K419" s="175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175"/>
      <c r="K420" s="175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175"/>
      <c r="K421" s="175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174"/>
      <c r="H422" s="174"/>
      <c r="I422" s="174"/>
      <c r="J422" s="175"/>
      <c r="K422" s="175"/>
      <c r="L422" s="174"/>
      <c r="M422" s="174"/>
      <c r="N422" s="174"/>
      <c r="O422" s="174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174"/>
      <c r="H423" s="174"/>
      <c r="I423" s="174"/>
      <c r="J423" s="175"/>
      <c r="K423" s="175"/>
      <c r="L423" s="174"/>
      <c r="M423" s="174"/>
      <c r="N423" s="174"/>
      <c r="O423" s="174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174"/>
      <c r="H424" s="174"/>
      <c r="I424" s="174"/>
      <c r="J424" s="175"/>
      <c r="K424" s="175"/>
      <c r="L424" s="174"/>
      <c r="M424" s="174"/>
      <c r="N424" s="174"/>
      <c r="O424" s="174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174"/>
      <c r="H425" s="174"/>
      <c r="I425" s="174"/>
      <c r="J425" s="175"/>
      <c r="K425" s="175"/>
      <c r="L425" s="174"/>
      <c r="M425" s="174"/>
      <c r="N425" s="174"/>
      <c r="O425" s="174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174"/>
      <c r="H426" s="174"/>
      <c r="I426" s="174"/>
      <c r="J426" s="175"/>
      <c r="K426" s="175"/>
      <c r="L426" s="174"/>
      <c r="M426" s="174"/>
      <c r="N426" s="174"/>
      <c r="O426" s="174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174"/>
      <c r="H427" s="174"/>
      <c r="I427" s="174"/>
      <c r="J427" s="175"/>
      <c r="K427" s="175"/>
      <c r="L427" s="174"/>
      <c r="M427" s="174"/>
      <c r="N427" s="174"/>
      <c r="O427" s="174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174"/>
      <c r="H428" s="174"/>
      <c r="I428" s="174"/>
      <c r="J428" s="175"/>
      <c r="K428" s="175"/>
      <c r="L428" s="174"/>
      <c r="M428" s="174"/>
      <c r="N428" s="174"/>
      <c r="O428" s="174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174"/>
      <c r="H429" s="174"/>
      <c r="I429" s="174"/>
      <c r="J429" s="175"/>
      <c r="K429" s="175"/>
      <c r="L429" s="174"/>
      <c r="M429" s="174"/>
      <c r="N429" s="174"/>
      <c r="O429" s="174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174"/>
      <c r="H430" s="174"/>
      <c r="I430" s="174"/>
      <c r="J430" s="175"/>
      <c r="K430" s="175"/>
      <c r="L430" s="174"/>
      <c r="M430" s="174"/>
      <c r="N430" s="174"/>
      <c r="O430" s="174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174"/>
      <c r="H431" s="174"/>
      <c r="I431" s="174"/>
      <c r="J431" s="175"/>
      <c r="K431" s="175"/>
      <c r="L431" s="174"/>
      <c r="M431" s="174"/>
      <c r="N431" s="174"/>
      <c r="O431" s="174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174"/>
      <c r="H432" s="174"/>
      <c r="I432" s="174"/>
      <c r="J432" s="37"/>
      <c r="K432" s="37"/>
      <c r="L432" s="174"/>
      <c r="M432" s="174"/>
      <c r="N432" s="174"/>
      <c r="O432" s="174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174"/>
      <c r="H433" s="174"/>
      <c r="I433" s="174"/>
      <c r="J433" s="37"/>
      <c r="K433" s="37"/>
      <c r="L433" s="174"/>
      <c r="M433" s="174"/>
      <c r="N433" s="174"/>
      <c r="O433" s="174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174"/>
      <c r="H434" s="174"/>
      <c r="I434" s="174"/>
      <c r="J434" s="37"/>
      <c r="K434" s="37"/>
      <c r="L434" s="174"/>
      <c r="M434" s="174"/>
      <c r="N434" s="174"/>
      <c r="O434" s="174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174"/>
      <c r="H435" s="174"/>
      <c r="I435" s="174"/>
      <c r="J435" s="37"/>
      <c r="K435" s="37"/>
      <c r="L435" s="174"/>
      <c r="M435" s="174"/>
      <c r="N435" s="174"/>
      <c r="O435" s="174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174"/>
      <c r="H436" s="174"/>
      <c r="I436" s="174"/>
      <c r="J436" s="37"/>
      <c r="K436" s="37"/>
      <c r="L436" s="174"/>
      <c r="M436" s="174"/>
      <c r="N436" s="174"/>
      <c r="O436" s="174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174"/>
      <c r="H437" s="174"/>
      <c r="I437" s="174"/>
      <c r="J437" s="37"/>
      <c r="K437" s="37"/>
      <c r="L437" s="174"/>
      <c r="M437" s="174"/>
      <c r="N437" s="174"/>
      <c r="O437" s="174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 ht="15.75" customHeight="1">
      <c r="A955" s="37"/>
      <c r="B955" s="37"/>
      <c r="C955" s="37"/>
      <c r="D955" s="37"/>
      <c r="E955" s="173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 ht="15.75" customHeight="1">
      <c r="A956" s="37"/>
      <c r="B956" s="37"/>
      <c r="C956" s="37"/>
      <c r="D956" s="37"/>
      <c r="E956" s="173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 ht="15.75" customHeight="1">
      <c r="A957" s="37"/>
      <c r="B957" s="37"/>
      <c r="C957" s="37"/>
      <c r="D957" s="37"/>
      <c r="E957" s="173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 ht="15.75" customHeight="1">
      <c r="A958" s="37"/>
      <c r="B958" s="37"/>
      <c r="C958" s="37"/>
      <c r="D958" s="37"/>
      <c r="E958" s="173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 ht="15.75" customHeight="1">
      <c r="A959" s="37"/>
      <c r="B959" s="37"/>
      <c r="C959" s="37"/>
      <c r="D959" s="37"/>
      <c r="E959" s="173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 ht="15.75" customHeight="1">
      <c r="A960" s="37"/>
      <c r="B960" s="37"/>
      <c r="C960" s="37"/>
      <c r="D960" s="37"/>
      <c r="E960" s="173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 ht="15.75" customHeight="1">
      <c r="A961" s="37"/>
      <c r="B961" s="37"/>
      <c r="C961" s="37"/>
      <c r="D961" s="37"/>
      <c r="E961" s="173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 ht="15.75" customHeight="1">
      <c r="A962" s="37"/>
      <c r="B962" s="37"/>
      <c r="C962" s="37"/>
      <c r="D962" s="37"/>
      <c r="E962" s="173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 ht="15.75" customHeight="1">
      <c r="A963" s="37"/>
      <c r="B963" s="37"/>
      <c r="C963" s="37"/>
      <c r="D963" s="37"/>
      <c r="E963" s="173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 ht="15.75" customHeight="1">
      <c r="A964" s="37"/>
      <c r="B964" s="37"/>
      <c r="C964" s="37"/>
      <c r="D964" s="37"/>
      <c r="E964" s="173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 ht="15.75" customHeight="1">
      <c r="A965" s="37"/>
      <c r="B965" s="37"/>
      <c r="C965" s="37"/>
      <c r="D965" s="37"/>
      <c r="E965" s="173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 ht="15.75" customHeight="1">
      <c r="A966" s="37"/>
      <c r="B966" s="37"/>
      <c r="C966" s="37"/>
      <c r="D966" s="37"/>
      <c r="E966" s="173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 ht="15.75" customHeight="1">
      <c r="A967" s="37"/>
      <c r="B967" s="37"/>
      <c r="C967" s="37"/>
      <c r="D967" s="37"/>
      <c r="E967" s="173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 ht="15.75" customHeight="1">
      <c r="A968" s="37"/>
      <c r="B968" s="37"/>
      <c r="C968" s="37"/>
      <c r="D968" s="37"/>
      <c r="E968" s="173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 ht="15.75" customHeight="1">
      <c r="A969" s="37"/>
      <c r="B969" s="37"/>
      <c r="C969" s="37"/>
      <c r="D969" s="37"/>
      <c r="E969" s="173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 ht="15.75" customHeight="1">
      <c r="A970" s="37"/>
      <c r="B970" s="37"/>
      <c r="C970" s="37"/>
      <c r="D970" s="37"/>
      <c r="E970" s="173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94">
    <cfRule type="expression" dxfId="25" priority="1">
      <formula>ISEVEN(QUOTIENT(ROW()-ROW($A$7),16))</formula>
    </cfRule>
  </conditionalFormatting>
  <conditionalFormatting sqref="A7:O294">
    <cfRule type="expression" dxfId="24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970"/>
  <sheetViews>
    <sheetView workbookViewId="0">
      <selection sqref="A1:L4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4.14062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15.7109375" customWidth="1"/>
    <col min="13" max="13" width="7.42578125" customWidth="1"/>
    <col min="14" max="14" width="9.7109375" customWidth="1"/>
    <col min="15" max="15" width="21.2851562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70" t="s">
        <v>371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85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43" t="s">
        <v>280</v>
      </c>
      <c r="K6" s="44" t="s">
        <v>281</v>
      </c>
      <c r="L6" s="559"/>
      <c r="M6" s="45">
        <f t="shared" ref="M6:N6" ca="1" si="0">SUM(M7:M470)</f>
        <v>85</v>
      </c>
      <c r="N6" s="45">
        <f t="shared" ca="1" si="0"/>
        <v>84</v>
      </c>
      <c r="O6" s="45">
        <f ca="1">SUM(O7:O999)</f>
        <v>0</v>
      </c>
      <c r="P6" s="37"/>
      <c r="Q6" s="37"/>
      <c r="R6" s="37"/>
      <c r="S6" s="37"/>
      <c r="T6" s="37"/>
      <c r="U6" s="37"/>
      <c r="V6" s="37"/>
      <c r="W6" s="37">
        <f>G19916</f>
        <v>0</v>
      </c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(56+QUOTIENT(ROW()-ROW($A$7),16)))="","",ROW()-ROW($A$7)+1)</f>
        <v>1</v>
      </c>
      <c r="B7" s="47" t="str">
        <f ca="1">IF(A7="","","Tổ Hạ tầng " &amp; 'Báo cáo'!B5)</f>
        <v>Tổ Hạ tầng Kiến Tường</v>
      </c>
      <c r="C7" s="178" t="str">
        <f t="shared" ref="C7:C261" ca="1" si="2">IF(A7="","",INDIRECT("'DS nhân viên Speedtest'!B"&amp; (56+QUOTIENT(A7-1,16))))</f>
        <v>Đặng Ngọc Sơn</v>
      </c>
      <c r="D7" s="49">
        <f t="shared" ref="D7:D261" ca="1" si="3">IF(A7="","",INDIRECT("'DS nhân viên Speedtest'!C"&amp; (56+QUOTIENT(A7-1,16))))</f>
        <v>949786476</v>
      </c>
      <c r="E7" s="50" t="str">
        <f t="shared" ref="E7:E261" ca="1" si="4">IF(A7="","",INDIRECT("'DS nhân viên Speedtest'!D"&amp; (56+QUOTIENT(A7-1,16))))</f>
        <v>sondn.lan@vnpt.vn</v>
      </c>
      <c r="F7" s="51" t="str">
        <f t="shared" ref="F7:F261" ca="1" si="5">IF(A7="","","Lần "&amp;(MOD(ROW()-ROW($A$7),16)+1))</f>
        <v>Lần 1</v>
      </c>
      <c r="G7" s="247">
        <v>46210</v>
      </c>
      <c r="H7" s="142">
        <v>93.4</v>
      </c>
      <c r="I7" s="142">
        <v>40.6</v>
      </c>
      <c r="J7" s="142">
        <v>80.099999999999994</v>
      </c>
      <c r="K7" s="142">
        <v>55.3</v>
      </c>
      <c r="L7" s="180"/>
      <c r="M7" s="181">
        <f t="shared" ref="M7:M55" ca="1" si="6">IF(B7="","",IF(OR(G7="",H7="",I7=""),0,1))</f>
        <v>1</v>
      </c>
      <c r="N7" s="57">
        <f t="shared" ref="N7:N55" ca="1" si="7">IF(B7="","",IF(OR(G7="",J7="",K7=""),0,1))</f>
        <v>1</v>
      </c>
      <c r="O7" s="58">
        <f t="shared" ref="O7:O261" ca="1" si="8">IF(B7="","",IF((J7-0)&gt;200,1,0))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Kiến Tường</v>
      </c>
      <c r="C8" s="61" t="str">
        <f t="shared" ca="1" si="2"/>
        <v>Đặng Ngọc Sơn</v>
      </c>
      <c r="D8" s="183">
        <f t="shared" ca="1" si="3"/>
        <v>949786476</v>
      </c>
      <c r="E8" s="63" t="str">
        <f t="shared" ca="1" si="4"/>
        <v>sondn.lan@vnpt.vn</v>
      </c>
      <c r="F8" s="64" t="str">
        <f t="shared" ca="1" si="5"/>
        <v>Lần 2</v>
      </c>
      <c r="G8" s="76">
        <v>46210</v>
      </c>
      <c r="H8" s="71">
        <v>119</v>
      </c>
      <c r="I8" s="71">
        <v>21.9</v>
      </c>
      <c r="J8" s="71">
        <v>81.2</v>
      </c>
      <c r="K8" s="71">
        <v>56</v>
      </c>
      <c r="L8" s="91"/>
      <c r="M8" s="184">
        <f t="shared" ca="1" si="6"/>
        <v>1</v>
      </c>
      <c r="N8" s="67">
        <f t="shared" ca="1" si="7"/>
        <v>1</v>
      </c>
      <c r="O8" s="68">
        <f t="shared" ca="1" si="8"/>
        <v>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182" t="str">
        <f t="shared" ca="1" si="9"/>
        <v>Tổ Hạ tầng Kiến Tường</v>
      </c>
      <c r="C9" s="61" t="str">
        <f t="shared" ca="1" si="2"/>
        <v>Đặng Ngọc Sơn</v>
      </c>
      <c r="D9" s="183">
        <f t="shared" ca="1" si="3"/>
        <v>949786476</v>
      </c>
      <c r="E9" s="63" t="str">
        <f t="shared" ca="1" si="4"/>
        <v>sondn.lan@vnpt.vn</v>
      </c>
      <c r="F9" s="64" t="str">
        <f t="shared" ca="1" si="5"/>
        <v>Lần 3</v>
      </c>
      <c r="G9" s="248">
        <v>46212</v>
      </c>
      <c r="H9" s="71">
        <v>106</v>
      </c>
      <c r="I9" s="71">
        <v>24.8</v>
      </c>
      <c r="J9" s="71">
        <v>105</v>
      </c>
      <c r="K9" s="71">
        <v>57.5</v>
      </c>
      <c r="L9" s="91"/>
      <c r="M9" s="184">
        <f t="shared" ca="1" si="6"/>
        <v>1</v>
      </c>
      <c r="N9" s="67">
        <f t="shared" ca="1" si="7"/>
        <v>1</v>
      </c>
      <c r="O9" s="68">
        <f t="shared" ca="1" si="8"/>
        <v>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182" t="str">
        <f t="shared" ca="1" si="9"/>
        <v>Tổ Hạ tầng Kiến Tường</v>
      </c>
      <c r="C10" s="61" t="str">
        <f t="shared" ca="1" si="2"/>
        <v>Đặng Ngọc Sơn</v>
      </c>
      <c r="D10" s="183">
        <f t="shared" ca="1" si="3"/>
        <v>949786476</v>
      </c>
      <c r="E10" s="63" t="str">
        <f t="shared" ca="1" si="4"/>
        <v>sondn.lan@vnpt.vn</v>
      </c>
      <c r="F10" s="64" t="str">
        <f t="shared" ca="1" si="5"/>
        <v>Lần 4</v>
      </c>
      <c r="G10" s="248">
        <v>46212</v>
      </c>
      <c r="H10" s="71">
        <v>95.4</v>
      </c>
      <c r="I10" s="71">
        <v>41.7</v>
      </c>
      <c r="J10" s="71">
        <v>126</v>
      </c>
      <c r="K10" s="71">
        <v>56.5</v>
      </c>
      <c r="L10" s="91"/>
      <c r="M10" s="184">
        <f t="shared" ca="1" si="6"/>
        <v>1</v>
      </c>
      <c r="N10" s="67">
        <f t="shared" ca="1" si="7"/>
        <v>1</v>
      </c>
      <c r="O10" s="68">
        <f t="shared" ca="1" si="8"/>
        <v>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182" t="str">
        <f t="shared" ca="1" si="9"/>
        <v>Tổ Hạ tầng Kiến Tường</v>
      </c>
      <c r="C11" s="61" t="str">
        <f t="shared" ca="1" si="2"/>
        <v>Đặng Ngọc Sơn</v>
      </c>
      <c r="D11" s="183">
        <f t="shared" ca="1" si="3"/>
        <v>949786476</v>
      </c>
      <c r="E11" s="63" t="str">
        <f t="shared" ca="1" si="4"/>
        <v>sondn.lan@vnpt.vn</v>
      </c>
      <c r="F11" s="64" t="str">
        <f t="shared" ca="1" si="5"/>
        <v>Lần 5</v>
      </c>
      <c r="G11" s="248">
        <v>46212</v>
      </c>
      <c r="H11" s="71">
        <v>95.3</v>
      </c>
      <c r="I11" s="71">
        <v>41.8</v>
      </c>
      <c r="J11" s="71">
        <v>119</v>
      </c>
      <c r="K11" s="71">
        <v>55.2</v>
      </c>
      <c r="L11" s="91"/>
      <c r="M11" s="184">
        <f t="shared" ca="1" si="6"/>
        <v>1</v>
      </c>
      <c r="N11" s="67">
        <f t="shared" ca="1" si="7"/>
        <v>1</v>
      </c>
      <c r="O11" s="68">
        <f t="shared" ca="1" si="8"/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182" t="str">
        <f t="shared" ca="1" si="9"/>
        <v>Tổ Hạ tầng Kiến Tường</v>
      </c>
      <c r="C12" s="61" t="str">
        <f t="shared" ca="1" si="2"/>
        <v>Đặng Ngọc Sơn</v>
      </c>
      <c r="D12" s="183">
        <f t="shared" ca="1" si="3"/>
        <v>949786476</v>
      </c>
      <c r="E12" s="63" t="str">
        <f t="shared" ca="1" si="4"/>
        <v>sondn.lan@vnpt.vn</v>
      </c>
      <c r="F12" s="64" t="str">
        <f t="shared" ca="1" si="5"/>
        <v>Lần 6</v>
      </c>
      <c r="G12" s="248">
        <v>46212</v>
      </c>
      <c r="H12" s="71">
        <v>111</v>
      </c>
      <c r="I12" s="71">
        <v>51.7</v>
      </c>
      <c r="J12" s="71">
        <v>111</v>
      </c>
      <c r="K12" s="71">
        <v>55</v>
      </c>
      <c r="L12" s="91"/>
      <c r="M12" s="184">
        <f t="shared" ca="1" si="6"/>
        <v>1</v>
      </c>
      <c r="N12" s="67">
        <f t="shared" ca="1" si="7"/>
        <v>1</v>
      </c>
      <c r="O12" s="68">
        <f t="shared" ca="1" si="8"/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182" t="str">
        <f t="shared" ca="1" si="9"/>
        <v>Tổ Hạ tầng Kiến Tường</v>
      </c>
      <c r="C13" s="61" t="str">
        <f t="shared" ca="1" si="2"/>
        <v>Đặng Ngọc Sơn</v>
      </c>
      <c r="D13" s="183">
        <f t="shared" ca="1" si="3"/>
        <v>949786476</v>
      </c>
      <c r="E13" s="63" t="str">
        <f t="shared" ca="1" si="4"/>
        <v>sondn.lan@vnpt.vn</v>
      </c>
      <c r="F13" s="64" t="str">
        <f t="shared" ca="1" si="5"/>
        <v>Lần 7</v>
      </c>
      <c r="G13" s="248">
        <v>46212</v>
      </c>
      <c r="H13" s="71">
        <v>107</v>
      </c>
      <c r="I13" s="71">
        <v>24.5</v>
      </c>
      <c r="J13" s="71">
        <v>104</v>
      </c>
      <c r="K13" s="71">
        <v>55.4</v>
      </c>
      <c r="L13" s="91"/>
      <c r="M13" s="184">
        <f t="shared" ca="1" si="6"/>
        <v>1</v>
      </c>
      <c r="N13" s="67">
        <f t="shared" ca="1" si="7"/>
        <v>1</v>
      </c>
      <c r="O13" s="68">
        <f t="shared" ca="1" si="8"/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182" t="str">
        <f t="shared" ca="1" si="9"/>
        <v>Tổ Hạ tầng Kiến Tường</v>
      </c>
      <c r="C14" s="61" t="str">
        <f t="shared" ca="1" si="2"/>
        <v>Đặng Ngọc Sơn</v>
      </c>
      <c r="D14" s="183">
        <f t="shared" ca="1" si="3"/>
        <v>949786476</v>
      </c>
      <c r="E14" s="63" t="str">
        <f t="shared" ca="1" si="4"/>
        <v>sondn.lan@vnpt.vn</v>
      </c>
      <c r="F14" s="64" t="str">
        <f t="shared" ca="1" si="5"/>
        <v>Lần 8</v>
      </c>
      <c r="G14" s="248">
        <v>46212</v>
      </c>
      <c r="H14" s="71">
        <v>129</v>
      </c>
      <c r="I14" s="71">
        <v>17.399999999999999</v>
      </c>
      <c r="J14" s="71">
        <v>112</v>
      </c>
      <c r="K14" s="71">
        <v>52.9</v>
      </c>
      <c r="L14" s="91"/>
      <c r="M14" s="184">
        <f t="shared" ca="1" si="6"/>
        <v>1</v>
      </c>
      <c r="N14" s="67">
        <f t="shared" ca="1" si="7"/>
        <v>1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182" t="str">
        <f t="shared" ca="1" si="9"/>
        <v>Tổ Hạ tầng Kiến Tường</v>
      </c>
      <c r="C15" s="61" t="str">
        <f t="shared" ca="1" si="2"/>
        <v>Đặng Ngọc Sơn</v>
      </c>
      <c r="D15" s="183">
        <f t="shared" ca="1" si="3"/>
        <v>949786476</v>
      </c>
      <c r="E15" s="63" t="str">
        <f t="shared" ca="1" si="4"/>
        <v>sondn.lan@vnpt.vn</v>
      </c>
      <c r="F15" s="64" t="str">
        <f t="shared" ca="1" si="5"/>
        <v>Lần 9</v>
      </c>
      <c r="G15" s="248">
        <v>46213</v>
      </c>
      <c r="H15" s="71">
        <v>153</v>
      </c>
      <c r="I15" s="71">
        <v>42.6</v>
      </c>
      <c r="J15" s="71">
        <v>122</v>
      </c>
      <c r="K15" s="71">
        <v>54.3</v>
      </c>
      <c r="L15" s="91"/>
      <c r="M15" s="184">
        <f t="shared" ca="1" si="6"/>
        <v>1</v>
      </c>
      <c r="N15" s="67">
        <f t="shared" ca="1" si="7"/>
        <v>1</v>
      </c>
      <c r="O15" s="68">
        <f t="shared" ca="1" si="8"/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182" t="str">
        <f t="shared" ca="1" si="9"/>
        <v>Tổ Hạ tầng Kiến Tường</v>
      </c>
      <c r="C16" s="61" t="str">
        <f t="shared" ca="1" si="2"/>
        <v>Đặng Ngọc Sơn</v>
      </c>
      <c r="D16" s="183">
        <f t="shared" ca="1" si="3"/>
        <v>949786476</v>
      </c>
      <c r="E16" s="63" t="str">
        <f t="shared" ca="1" si="4"/>
        <v>sondn.lan@vnpt.vn</v>
      </c>
      <c r="F16" s="64" t="str">
        <f t="shared" ca="1" si="5"/>
        <v>Lần 10</v>
      </c>
      <c r="G16" s="248">
        <v>46213</v>
      </c>
      <c r="H16" s="71">
        <v>143</v>
      </c>
      <c r="I16" s="71">
        <v>26.2</v>
      </c>
      <c r="J16" s="71">
        <v>144</v>
      </c>
      <c r="K16" s="71">
        <v>55.1</v>
      </c>
      <c r="L16" s="91"/>
      <c r="M16" s="184">
        <f t="shared" ca="1" si="6"/>
        <v>1</v>
      </c>
      <c r="N16" s="67">
        <f t="shared" ca="1" si="7"/>
        <v>1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182" t="str">
        <f t="shared" ca="1" si="9"/>
        <v>Tổ Hạ tầng Kiến Tường</v>
      </c>
      <c r="C17" s="61" t="str">
        <f t="shared" ca="1" si="2"/>
        <v>Đặng Ngọc Sơn</v>
      </c>
      <c r="D17" s="183">
        <f t="shared" ca="1" si="3"/>
        <v>949786476</v>
      </c>
      <c r="E17" s="63" t="str">
        <f t="shared" ca="1" si="4"/>
        <v>sondn.lan@vnpt.vn</v>
      </c>
      <c r="F17" s="64" t="str">
        <f t="shared" ca="1" si="5"/>
        <v>Lần 11</v>
      </c>
      <c r="G17" s="248">
        <v>46213</v>
      </c>
      <c r="H17" s="71">
        <v>115</v>
      </c>
      <c r="I17" s="71">
        <v>45.4</v>
      </c>
      <c r="J17" s="71">
        <v>137</v>
      </c>
      <c r="K17" s="71"/>
      <c r="L17" s="91"/>
      <c r="M17" s="184">
        <f t="shared" ca="1" si="6"/>
        <v>1</v>
      </c>
      <c r="N17" s="67">
        <f t="shared" ca="1" si="7"/>
        <v>0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182" t="str">
        <f t="shared" ca="1" si="9"/>
        <v>Tổ Hạ tầng Kiến Tường</v>
      </c>
      <c r="C18" s="61" t="str">
        <f t="shared" ca="1" si="2"/>
        <v>Đặng Ngọc Sơn</v>
      </c>
      <c r="D18" s="183">
        <f t="shared" ca="1" si="3"/>
        <v>949786476</v>
      </c>
      <c r="E18" s="63" t="str">
        <f t="shared" ca="1" si="4"/>
        <v>sondn.lan@vnpt.vn</v>
      </c>
      <c r="F18" s="64" t="str">
        <f t="shared" ca="1" si="5"/>
        <v>Lần 12</v>
      </c>
      <c r="G18" s="248"/>
      <c r="H18" s="71"/>
      <c r="I18" s="71"/>
      <c r="J18" s="71"/>
      <c r="K18" s="71"/>
      <c r="L18" s="91"/>
      <c r="M18" s="184">
        <f t="shared" ca="1" si="6"/>
        <v>0</v>
      </c>
      <c r="N18" s="67">
        <f t="shared" ca="1" si="7"/>
        <v>0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182" t="str">
        <f t="shared" ca="1" si="9"/>
        <v>Tổ Hạ tầng Kiến Tường</v>
      </c>
      <c r="C19" s="61" t="str">
        <f t="shared" ca="1" si="2"/>
        <v>Đặng Ngọc Sơn</v>
      </c>
      <c r="D19" s="183">
        <f t="shared" ca="1" si="3"/>
        <v>949786476</v>
      </c>
      <c r="E19" s="63" t="str">
        <f t="shared" ca="1" si="4"/>
        <v>sondn.lan@vnpt.vn</v>
      </c>
      <c r="F19" s="64" t="str">
        <f t="shared" ca="1" si="5"/>
        <v>Lần 13</v>
      </c>
      <c r="G19" s="248"/>
      <c r="H19" s="71"/>
      <c r="I19" s="71"/>
      <c r="J19" s="71"/>
      <c r="K19" s="71"/>
      <c r="L19" s="91"/>
      <c r="M19" s="184">
        <f t="shared" ca="1" si="6"/>
        <v>0</v>
      </c>
      <c r="N19" s="67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182" t="str">
        <f t="shared" ca="1" si="9"/>
        <v>Tổ Hạ tầng Kiến Tường</v>
      </c>
      <c r="C20" s="61" t="str">
        <f t="shared" ca="1" si="2"/>
        <v>Đặng Ngọc Sơn</v>
      </c>
      <c r="D20" s="183">
        <f t="shared" ca="1" si="3"/>
        <v>949786476</v>
      </c>
      <c r="E20" s="63" t="str">
        <f t="shared" ca="1" si="4"/>
        <v>sondn.lan@vnpt.vn</v>
      </c>
      <c r="F20" s="64" t="str">
        <f t="shared" ca="1" si="5"/>
        <v>Lần 14</v>
      </c>
      <c r="G20" s="248"/>
      <c r="H20" s="71"/>
      <c r="I20" s="71"/>
      <c r="J20" s="71"/>
      <c r="K20" s="71"/>
      <c r="L20" s="91"/>
      <c r="M20" s="184">
        <f t="shared" ca="1" si="6"/>
        <v>0</v>
      </c>
      <c r="N20" s="67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182" t="str">
        <f t="shared" ca="1" si="9"/>
        <v>Tổ Hạ tầng Kiến Tường</v>
      </c>
      <c r="C21" s="61" t="str">
        <f t="shared" ca="1" si="2"/>
        <v>Đặng Ngọc Sơn</v>
      </c>
      <c r="D21" s="183">
        <f t="shared" ca="1" si="3"/>
        <v>949786476</v>
      </c>
      <c r="E21" s="63" t="str">
        <f t="shared" ca="1" si="4"/>
        <v>sondn.lan@vnpt.vn</v>
      </c>
      <c r="F21" s="64" t="str">
        <f t="shared" ca="1" si="5"/>
        <v>Lần 15</v>
      </c>
      <c r="G21" s="248"/>
      <c r="H21" s="71"/>
      <c r="I21" s="71"/>
      <c r="J21" s="71"/>
      <c r="K21" s="71"/>
      <c r="L21" s="91"/>
      <c r="M21" s="184">
        <f t="shared" ca="1" si="6"/>
        <v>0</v>
      </c>
      <c r="N21" s="67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185" t="str">
        <f t="shared" ca="1" si="9"/>
        <v>Tổ Hạ tầng Kiến Tường</v>
      </c>
      <c r="C22" s="82" t="str">
        <f t="shared" ca="1" si="2"/>
        <v>Đặng Ngọc Sơn</v>
      </c>
      <c r="D22" s="186">
        <f t="shared" ca="1" si="3"/>
        <v>949786476</v>
      </c>
      <c r="E22" s="84" t="str">
        <f t="shared" ca="1" si="4"/>
        <v>sondn.lan@vnpt.vn</v>
      </c>
      <c r="F22" s="85" t="str">
        <f t="shared" ca="1" si="5"/>
        <v>Lần 16</v>
      </c>
      <c r="G22" s="249"/>
      <c r="H22" s="250"/>
      <c r="I22" s="250"/>
      <c r="J22" s="250"/>
      <c r="K22" s="250"/>
      <c r="L22" s="152"/>
      <c r="M22" s="189">
        <f t="shared" ca="1" si="6"/>
        <v>0</v>
      </c>
      <c r="N22" s="171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190" t="str">
        <f t="shared" ca="1" si="9"/>
        <v>Tổ Hạ tầng Kiến Tường</v>
      </c>
      <c r="C23" s="48" t="str">
        <f t="shared" ca="1" si="2"/>
        <v>Huỳnh Quốc Hiếu</v>
      </c>
      <c r="D23" s="191">
        <f t="shared" ca="1" si="3"/>
        <v>857850260</v>
      </c>
      <c r="E23" s="50" t="str">
        <f t="shared" ca="1" si="4"/>
        <v>hieuhq.lan@vnpt.vn</v>
      </c>
      <c r="F23" s="51" t="str">
        <f t="shared" ca="1" si="5"/>
        <v>Lần 1</v>
      </c>
      <c r="G23" s="70"/>
      <c r="H23" s="142"/>
      <c r="I23" s="142"/>
      <c r="J23" s="251"/>
      <c r="K23" s="251"/>
      <c r="L23" s="193"/>
      <c r="M23" s="194">
        <f t="shared" ca="1" si="6"/>
        <v>0</v>
      </c>
      <c r="N23" s="195">
        <f t="shared" ca="1" si="7"/>
        <v>0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182" t="str">
        <f t="shared" ca="1" si="9"/>
        <v>Tổ Hạ tầng Kiến Tường</v>
      </c>
      <c r="C24" s="61" t="str">
        <f t="shared" ca="1" si="2"/>
        <v>Huỳnh Quốc Hiếu</v>
      </c>
      <c r="D24" s="183">
        <f t="shared" ca="1" si="3"/>
        <v>857850260</v>
      </c>
      <c r="E24" s="63" t="str">
        <f t="shared" ca="1" si="4"/>
        <v>hieuhq.lan@vnpt.vn</v>
      </c>
      <c r="F24" s="64" t="str">
        <f t="shared" ca="1" si="5"/>
        <v>Lần 2</v>
      </c>
      <c r="G24" s="70"/>
      <c r="H24" s="71"/>
      <c r="I24" s="71"/>
      <c r="J24" s="138"/>
      <c r="K24" s="138"/>
      <c r="L24" s="95"/>
      <c r="M24" s="184">
        <f t="shared" ca="1" si="6"/>
        <v>0</v>
      </c>
      <c r="N24" s="67">
        <f t="shared" ca="1" si="7"/>
        <v>0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182" t="str">
        <f t="shared" ca="1" si="9"/>
        <v>Tổ Hạ tầng Kiến Tường</v>
      </c>
      <c r="C25" s="61" t="str">
        <f t="shared" ca="1" si="2"/>
        <v>Huỳnh Quốc Hiếu</v>
      </c>
      <c r="D25" s="183">
        <f t="shared" ca="1" si="3"/>
        <v>857850260</v>
      </c>
      <c r="E25" s="63" t="str">
        <f t="shared" ca="1" si="4"/>
        <v>hieuhq.lan@vnpt.vn</v>
      </c>
      <c r="F25" s="64" t="str">
        <f t="shared" ca="1" si="5"/>
        <v>Lần 3</v>
      </c>
      <c r="G25" s="70"/>
      <c r="H25" s="71"/>
      <c r="I25" s="71"/>
      <c r="J25" s="138"/>
      <c r="K25" s="138"/>
      <c r="L25" s="95"/>
      <c r="M25" s="184">
        <f t="shared" ca="1" si="6"/>
        <v>0</v>
      </c>
      <c r="N25" s="67">
        <f t="shared" ca="1" si="7"/>
        <v>0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182" t="str">
        <f t="shared" ca="1" si="9"/>
        <v>Tổ Hạ tầng Kiến Tường</v>
      </c>
      <c r="C26" s="61" t="str">
        <f t="shared" ca="1" si="2"/>
        <v>Huỳnh Quốc Hiếu</v>
      </c>
      <c r="D26" s="183">
        <f t="shared" ca="1" si="3"/>
        <v>857850260</v>
      </c>
      <c r="E26" s="63" t="str">
        <f t="shared" ca="1" si="4"/>
        <v>hieuhq.lan@vnpt.vn</v>
      </c>
      <c r="F26" s="64" t="str">
        <f t="shared" ca="1" si="5"/>
        <v>Lần 4</v>
      </c>
      <c r="G26" s="70"/>
      <c r="H26" s="71"/>
      <c r="I26" s="71"/>
      <c r="J26" s="138"/>
      <c r="K26" s="138"/>
      <c r="L26" s="95"/>
      <c r="M26" s="184">
        <f t="shared" ca="1" si="6"/>
        <v>0</v>
      </c>
      <c r="N26" s="67">
        <f t="shared" ca="1" si="7"/>
        <v>0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182" t="str">
        <f t="shared" ca="1" si="9"/>
        <v>Tổ Hạ tầng Kiến Tường</v>
      </c>
      <c r="C27" s="61" t="str">
        <f t="shared" ca="1" si="2"/>
        <v>Huỳnh Quốc Hiếu</v>
      </c>
      <c r="D27" s="183">
        <f t="shared" ca="1" si="3"/>
        <v>857850260</v>
      </c>
      <c r="E27" s="63" t="str">
        <f t="shared" ca="1" si="4"/>
        <v>hieuhq.lan@vnpt.vn</v>
      </c>
      <c r="F27" s="64" t="str">
        <f t="shared" ca="1" si="5"/>
        <v>Lần 5</v>
      </c>
      <c r="G27" s="70"/>
      <c r="H27" s="75"/>
      <c r="I27" s="75"/>
      <c r="J27" s="137"/>
      <c r="K27" s="138"/>
      <c r="L27" s="95"/>
      <c r="M27" s="184">
        <f t="shared" ca="1" si="6"/>
        <v>0</v>
      </c>
      <c r="N27" s="67">
        <f t="shared" ca="1" si="7"/>
        <v>0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182" t="str">
        <f t="shared" ca="1" si="9"/>
        <v>Tổ Hạ tầng Kiến Tường</v>
      </c>
      <c r="C28" s="61" t="str">
        <f t="shared" ca="1" si="2"/>
        <v>Huỳnh Quốc Hiếu</v>
      </c>
      <c r="D28" s="183">
        <f t="shared" ca="1" si="3"/>
        <v>857850260</v>
      </c>
      <c r="E28" s="63" t="str">
        <f t="shared" ca="1" si="4"/>
        <v>hieuhq.lan@vnpt.vn</v>
      </c>
      <c r="F28" s="64" t="str">
        <f t="shared" ca="1" si="5"/>
        <v>Lần 6</v>
      </c>
      <c r="G28" s="70"/>
      <c r="H28" s="75"/>
      <c r="I28" s="75"/>
      <c r="J28" s="137"/>
      <c r="K28" s="138"/>
      <c r="L28" s="95"/>
      <c r="M28" s="184">
        <f t="shared" ca="1" si="6"/>
        <v>0</v>
      </c>
      <c r="N28" s="67">
        <f t="shared" ca="1" si="7"/>
        <v>0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182" t="str">
        <f t="shared" ca="1" si="9"/>
        <v>Tổ Hạ tầng Kiến Tường</v>
      </c>
      <c r="C29" s="61" t="str">
        <f t="shared" ca="1" si="2"/>
        <v>Huỳnh Quốc Hiếu</v>
      </c>
      <c r="D29" s="183">
        <f t="shared" ca="1" si="3"/>
        <v>857850260</v>
      </c>
      <c r="E29" s="63" t="str">
        <f t="shared" ca="1" si="4"/>
        <v>hieuhq.lan@vnpt.vn</v>
      </c>
      <c r="F29" s="64" t="str">
        <f t="shared" ca="1" si="5"/>
        <v>Lần 7</v>
      </c>
      <c r="G29" s="70"/>
      <c r="H29" s="75"/>
      <c r="I29" s="75"/>
      <c r="J29" s="138"/>
      <c r="K29" s="138"/>
      <c r="L29" s="96"/>
      <c r="M29" s="184">
        <f t="shared" ca="1" si="6"/>
        <v>0</v>
      </c>
      <c r="N29" s="67">
        <f t="shared" ca="1" si="7"/>
        <v>0</v>
      </c>
      <c r="O29" s="68">
        <f t="shared" ca="1" si="8"/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182" t="str">
        <f t="shared" ca="1" si="9"/>
        <v>Tổ Hạ tầng Kiến Tường</v>
      </c>
      <c r="C30" s="61" t="str">
        <f t="shared" ca="1" si="2"/>
        <v>Huỳnh Quốc Hiếu</v>
      </c>
      <c r="D30" s="183">
        <f t="shared" ca="1" si="3"/>
        <v>857850260</v>
      </c>
      <c r="E30" s="63" t="str">
        <f t="shared" ca="1" si="4"/>
        <v>hieuhq.lan@vnpt.vn</v>
      </c>
      <c r="F30" s="64" t="str">
        <f t="shared" ca="1" si="5"/>
        <v>Lần 8</v>
      </c>
      <c r="G30" s="70"/>
      <c r="H30" s="75"/>
      <c r="I30" s="75"/>
      <c r="J30" s="137"/>
      <c r="K30" s="138"/>
      <c r="L30" s="96"/>
      <c r="M30" s="184">
        <f t="shared" ca="1" si="6"/>
        <v>0</v>
      </c>
      <c r="N30" s="67">
        <f t="shared" ca="1" si="7"/>
        <v>0</v>
      </c>
      <c r="O30" s="68">
        <f t="shared" ca="1" si="8"/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182" t="str">
        <f t="shared" ca="1" si="9"/>
        <v>Tổ Hạ tầng Kiến Tường</v>
      </c>
      <c r="C31" s="61" t="str">
        <f t="shared" ca="1" si="2"/>
        <v>Huỳnh Quốc Hiếu</v>
      </c>
      <c r="D31" s="183">
        <f t="shared" ca="1" si="3"/>
        <v>857850260</v>
      </c>
      <c r="E31" s="63" t="str">
        <f t="shared" ca="1" si="4"/>
        <v>hieuhq.lan@vnpt.vn</v>
      </c>
      <c r="F31" s="64" t="str">
        <f t="shared" ca="1" si="5"/>
        <v>Lần 9</v>
      </c>
      <c r="G31" s="70"/>
      <c r="H31" s="75"/>
      <c r="I31" s="75"/>
      <c r="J31" s="138"/>
      <c r="K31" s="138"/>
      <c r="L31" s="96"/>
      <c r="M31" s="184">
        <f t="shared" ca="1" si="6"/>
        <v>0</v>
      </c>
      <c r="N31" s="67">
        <f t="shared" ca="1" si="7"/>
        <v>0</v>
      </c>
      <c r="O31" s="68">
        <f t="shared" ca="1" si="8"/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182" t="str">
        <f t="shared" ca="1" si="9"/>
        <v>Tổ Hạ tầng Kiến Tường</v>
      </c>
      <c r="C32" s="61" t="str">
        <f t="shared" ca="1" si="2"/>
        <v>Huỳnh Quốc Hiếu</v>
      </c>
      <c r="D32" s="183">
        <f t="shared" ca="1" si="3"/>
        <v>857850260</v>
      </c>
      <c r="E32" s="63" t="str">
        <f t="shared" ca="1" si="4"/>
        <v>hieuhq.lan@vnpt.vn</v>
      </c>
      <c r="F32" s="64" t="str">
        <f t="shared" ca="1" si="5"/>
        <v>Lần 10</v>
      </c>
      <c r="G32" s="70"/>
      <c r="H32" s="75"/>
      <c r="I32" s="75"/>
      <c r="J32" s="138"/>
      <c r="K32" s="138"/>
      <c r="L32" s="95"/>
      <c r="M32" s="184">
        <f t="shared" ca="1" si="6"/>
        <v>0</v>
      </c>
      <c r="N32" s="67">
        <f t="shared" ca="1" si="7"/>
        <v>0</v>
      </c>
      <c r="O32" s="68">
        <f t="shared" ca="1" si="8"/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182" t="str">
        <f t="shared" ca="1" si="9"/>
        <v>Tổ Hạ tầng Kiến Tường</v>
      </c>
      <c r="C33" s="61" t="str">
        <f t="shared" ca="1" si="2"/>
        <v>Huỳnh Quốc Hiếu</v>
      </c>
      <c r="D33" s="183">
        <f t="shared" ca="1" si="3"/>
        <v>857850260</v>
      </c>
      <c r="E33" s="63" t="str">
        <f t="shared" ca="1" si="4"/>
        <v>hieuhq.lan@vnpt.vn</v>
      </c>
      <c r="F33" s="64" t="str">
        <f t="shared" ca="1" si="5"/>
        <v>Lần 11</v>
      </c>
      <c r="G33" s="70"/>
      <c r="H33" s="75"/>
      <c r="I33" s="75"/>
      <c r="J33" s="138"/>
      <c r="K33" s="138"/>
      <c r="L33" s="95"/>
      <c r="M33" s="184">
        <f t="shared" ca="1" si="6"/>
        <v>0</v>
      </c>
      <c r="N33" s="67">
        <f t="shared" ca="1" si="7"/>
        <v>0</v>
      </c>
      <c r="O33" s="68">
        <f t="shared" ca="1" si="8"/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182" t="str">
        <f t="shared" ca="1" si="9"/>
        <v>Tổ Hạ tầng Kiến Tường</v>
      </c>
      <c r="C34" s="61" t="str">
        <f t="shared" ca="1" si="2"/>
        <v>Huỳnh Quốc Hiếu</v>
      </c>
      <c r="D34" s="183">
        <f t="shared" ca="1" si="3"/>
        <v>857850260</v>
      </c>
      <c r="E34" s="63" t="str">
        <f t="shared" ca="1" si="4"/>
        <v>hieuhq.lan@vnpt.vn</v>
      </c>
      <c r="F34" s="64" t="str">
        <f t="shared" ca="1" si="5"/>
        <v>Lần 12</v>
      </c>
      <c r="G34" s="248"/>
      <c r="H34" s="75"/>
      <c r="I34" s="75"/>
      <c r="J34" s="138"/>
      <c r="K34" s="138"/>
      <c r="L34" s="96"/>
      <c r="M34" s="184">
        <f t="shared" ca="1" si="6"/>
        <v>0</v>
      </c>
      <c r="N34" s="67">
        <f t="shared" ca="1" si="7"/>
        <v>0</v>
      </c>
      <c r="O34" s="68">
        <f t="shared" ca="1" si="8"/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182" t="str">
        <f t="shared" ca="1" si="9"/>
        <v>Tổ Hạ tầng Kiến Tường</v>
      </c>
      <c r="C35" s="61" t="str">
        <f t="shared" ca="1" si="2"/>
        <v>Huỳnh Quốc Hiếu</v>
      </c>
      <c r="D35" s="183">
        <f t="shared" ca="1" si="3"/>
        <v>857850260</v>
      </c>
      <c r="E35" s="63" t="str">
        <f t="shared" ca="1" si="4"/>
        <v>hieuhq.lan@vnpt.vn</v>
      </c>
      <c r="F35" s="64" t="str">
        <f t="shared" ca="1" si="5"/>
        <v>Lần 13</v>
      </c>
      <c r="G35" s="248"/>
      <c r="H35" s="75"/>
      <c r="I35" s="75"/>
      <c r="J35" s="138"/>
      <c r="K35" s="138"/>
      <c r="L35" s="96"/>
      <c r="M35" s="184">
        <f t="shared" ca="1" si="6"/>
        <v>0</v>
      </c>
      <c r="N35" s="67">
        <f t="shared" ca="1" si="7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182" t="str">
        <f t="shared" ca="1" si="9"/>
        <v>Tổ Hạ tầng Kiến Tường</v>
      </c>
      <c r="C36" s="61" t="str">
        <f t="shared" ca="1" si="2"/>
        <v>Huỳnh Quốc Hiếu</v>
      </c>
      <c r="D36" s="183">
        <f t="shared" ca="1" si="3"/>
        <v>857850260</v>
      </c>
      <c r="E36" s="63" t="str">
        <f t="shared" ca="1" si="4"/>
        <v>hieuhq.lan@vnpt.vn</v>
      </c>
      <c r="F36" s="64" t="str">
        <f t="shared" ca="1" si="5"/>
        <v>Lần 14</v>
      </c>
      <c r="G36" s="248"/>
      <c r="H36" s="75"/>
      <c r="I36" s="75"/>
      <c r="J36" s="138"/>
      <c r="K36" s="138"/>
      <c r="L36" s="96"/>
      <c r="M36" s="184">
        <f t="shared" ca="1" si="6"/>
        <v>0</v>
      </c>
      <c r="N36" s="67">
        <f t="shared" ca="1" si="7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182" t="str">
        <f t="shared" ca="1" si="9"/>
        <v>Tổ Hạ tầng Kiến Tường</v>
      </c>
      <c r="C37" s="61" t="str">
        <f t="shared" ca="1" si="2"/>
        <v>Huỳnh Quốc Hiếu</v>
      </c>
      <c r="D37" s="183">
        <f t="shared" ca="1" si="3"/>
        <v>857850260</v>
      </c>
      <c r="E37" s="63" t="str">
        <f t="shared" ca="1" si="4"/>
        <v>hieuhq.lan@vnpt.vn</v>
      </c>
      <c r="F37" s="64" t="str">
        <f t="shared" ca="1" si="5"/>
        <v>Lần 15</v>
      </c>
      <c r="G37" s="248"/>
      <c r="H37" s="75"/>
      <c r="I37" s="75"/>
      <c r="J37" s="138"/>
      <c r="K37" s="138"/>
      <c r="L37" s="96"/>
      <c r="M37" s="184">
        <f t="shared" ca="1" si="6"/>
        <v>0</v>
      </c>
      <c r="N37" s="67">
        <f t="shared" ca="1" si="7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96" t="str">
        <f t="shared" ca="1" si="9"/>
        <v>Tổ Hạ tầng Kiến Tường</v>
      </c>
      <c r="C38" s="102" t="str">
        <f t="shared" ca="1" si="2"/>
        <v>Huỳnh Quốc Hiếu</v>
      </c>
      <c r="D38" s="197">
        <f t="shared" ca="1" si="3"/>
        <v>857850260</v>
      </c>
      <c r="E38" s="104" t="str">
        <f t="shared" ca="1" si="4"/>
        <v>hieuhq.lan@vnpt.vn</v>
      </c>
      <c r="F38" s="105" t="str">
        <f t="shared" ca="1" si="5"/>
        <v>Lần 16</v>
      </c>
      <c r="G38" s="248"/>
      <c r="H38" s="199"/>
      <c r="I38" s="199"/>
      <c r="J38" s="252"/>
      <c r="K38" s="252"/>
      <c r="L38" s="201"/>
      <c r="M38" s="202">
        <f t="shared" ca="1" si="6"/>
        <v>0</v>
      </c>
      <c r="N38" s="203">
        <f t="shared" ca="1" si="7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204" t="str">
        <f t="shared" ca="1" si="9"/>
        <v>Tổ Hạ tầng Kiến Tường</v>
      </c>
      <c r="C39" s="108" t="str">
        <f t="shared" ca="1" si="2"/>
        <v>Trần Xuân Toại</v>
      </c>
      <c r="D39" s="205">
        <f t="shared" ca="1" si="3"/>
        <v>914403881</v>
      </c>
      <c r="E39" s="110" t="str">
        <f t="shared" ca="1" si="4"/>
        <v>toaitx.lan@vnpt.vn</v>
      </c>
      <c r="F39" s="111" t="str">
        <f t="shared" ca="1" si="5"/>
        <v>Lần 1</v>
      </c>
      <c r="G39" s="130">
        <v>46209</v>
      </c>
      <c r="H39" s="206" t="s">
        <v>372</v>
      </c>
      <c r="I39" s="206" t="s">
        <v>373</v>
      </c>
      <c r="J39" s="253">
        <v>88</v>
      </c>
      <c r="K39" s="253" t="s">
        <v>374</v>
      </c>
      <c r="L39" s="132" t="s">
        <v>357</v>
      </c>
      <c r="M39" s="181">
        <f t="shared" ca="1" si="6"/>
        <v>1</v>
      </c>
      <c r="N39" s="57">
        <f t="shared" ca="1" si="7"/>
        <v>1</v>
      </c>
      <c r="O39" s="68">
        <f t="shared" ca="1" si="8"/>
        <v>0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182" t="str">
        <f t="shared" ca="1" si="9"/>
        <v>Tổ Hạ tầng Kiến Tường</v>
      </c>
      <c r="C40" s="61" t="str">
        <f t="shared" ca="1" si="2"/>
        <v>Trần Xuân Toại</v>
      </c>
      <c r="D40" s="183">
        <f t="shared" ca="1" si="3"/>
        <v>914403881</v>
      </c>
      <c r="E40" s="63" t="str">
        <f t="shared" ca="1" si="4"/>
        <v>toaitx.lan@vnpt.vn</v>
      </c>
      <c r="F40" s="64" t="str">
        <f t="shared" ca="1" si="5"/>
        <v>Lần 2</v>
      </c>
      <c r="G40" s="130">
        <v>46209</v>
      </c>
      <c r="H40" s="73" t="s">
        <v>375</v>
      </c>
      <c r="I40" s="131">
        <v>46064</v>
      </c>
      <c r="J40" s="72">
        <v>102</v>
      </c>
      <c r="K40" s="72" t="s">
        <v>299</v>
      </c>
      <c r="L40" s="116" t="s">
        <v>357</v>
      </c>
      <c r="M40" s="184">
        <f t="shared" ca="1" si="6"/>
        <v>1</v>
      </c>
      <c r="N40" s="67">
        <f t="shared" ca="1" si="7"/>
        <v>1</v>
      </c>
      <c r="O40" s="68">
        <f t="shared" ca="1" si="8"/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182" t="str">
        <f t="shared" ca="1" si="9"/>
        <v>Tổ Hạ tầng Kiến Tường</v>
      </c>
      <c r="C41" s="61" t="str">
        <f t="shared" ca="1" si="2"/>
        <v>Trần Xuân Toại</v>
      </c>
      <c r="D41" s="183">
        <f t="shared" ca="1" si="3"/>
        <v>914403881</v>
      </c>
      <c r="E41" s="63" t="str">
        <f t="shared" ca="1" si="4"/>
        <v>toaitx.lan@vnpt.vn</v>
      </c>
      <c r="F41" s="64" t="str">
        <f t="shared" ca="1" si="5"/>
        <v>Lần 3</v>
      </c>
      <c r="G41" s="130">
        <v>46209</v>
      </c>
      <c r="H41" s="73" t="s">
        <v>355</v>
      </c>
      <c r="I41" s="131">
        <v>46214</v>
      </c>
      <c r="J41" s="72">
        <v>82.7</v>
      </c>
      <c r="K41" s="72" t="s">
        <v>356</v>
      </c>
      <c r="L41" s="116" t="s">
        <v>357</v>
      </c>
      <c r="M41" s="184">
        <f t="shared" ca="1" si="6"/>
        <v>1</v>
      </c>
      <c r="N41" s="67">
        <f t="shared" ca="1" si="7"/>
        <v>1</v>
      </c>
      <c r="O41" s="68">
        <f t="shared" ca="1" si="8"/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182" t="str">
        <f t="shared" ca="1" si="9"/>
        <v>Tổ Hạ tầng Kiến Tường</v>
      </c>
      <c r="C42" s="61" t="str">
        <f t="shared" ca="1" si="2"/>
        <v>Trần Xuân Toại</v>
      </c>
      <c r="D42" s="183">
        <f t="shared" ca="1" si="3"/>
        <v>914403881</v>
      </c>
      <c r="E42" s="63" t="str">
        <f t="shared" ca="1" si="4"/>
        <v>toaitx.lan@vnpt.vn</v>
      </c>
      <c r="F42" s="64" t="str">
        <f t="shared" ca="1" si="5"/>
        <v>Lần 4</v>
      </c>
      <c r="G42" s="130">
        <v>46209</v>
      </c>
      <c r="H42" s="73" t="s">
        <v>358</v>
      </c>
      <c r="I42" s="131">
        <v>46093</v>
      </c>
      <c r="J42" s="72">
        <v>109</v>
      </c>
      <c r="K42" s="72" t="s">
        <v>359</v>
      </c>
      <c r="L42" s="132" t="s">
        <v>357</v>
      </c>
      <c r="M42" s="184">
        <f t="shared" ca="1" si="6"/>
        <v>1</v>
      </c>
      <c r="N42" s="67">
        <f t="shared" ca="1" si="7"/>
        <v>1</v>
      </c>
      <c r="O42" s="68">
        <f t="shared" ca="1" si="8"/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182" t="str">
        <f t="shared" ca="1" si="9"/>
        <v>Tổ Hạ tầng Kiến Tường</v>
      </c>
      <c r="C43" s="61" t="str">
        <f t="shared" ca="1" si="2"/>
        <v>Trần Xuân Toại</v>
      </c>
      <c r="D43" s="183">
        <f t="shared" ca="1" si="3"/>
        <v>914403881</v>
      </c>
      <c r="E43" s="63" t="str">
        <f t="shared" ca="1" si="4"/>
        <v>toaitx.lan@vnpt.vn</v>
      </c>
      <c r="F43" s="64" t="str">
        <f t="shared" ca="1" si="5"/>
        <v>Lần 5</v>
      </c>
      <c r="G43" s="130">
        <v>46213</v>
      </c>
      <c r="H43" s="133">
        <v>102</v>
      </c>
      <c r="I43" s="133" t="s">
        <v>360</v>
      </c>
      <c r="J43" s="72">
        <v>113</v>
      </c>
      <c r="K43" s="72" t="s">
        <v>361</v>
      </c>
      <c r="L43" s="132" t="s">
        <v>357</v>
      </c>
      <c r="M43" s="184">
        <f t="shared" ca="1" si="6"/>
        <v>1</v>
      </c>
      <c r="N43" s="67">
        <f t="shared" ca="1" si="7"/>
        <v>1</v>
      </c>
      <c r="O43" s="68">
        <f t="shared" ca="1" si="8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182" t="str">
        <f t="shared" ca="1" si="9"/>
        <v>Tổ Hạ tầng Kiến Tường</v>
      </c>
      <c r="C44" s="61" t="str">
        <f t="shared" ca="1" si="2"/>
        <v>Trần Xuân Toại</v>
      </c>
      <c r="D44" s="183">
        <f t="shared" ca="1" si="3"/>
        <v>914403881</v>
      </c>
      <c r="E44" s="63" t="str">
        <f t="shared" ca="1" si="4"/>
        <v>toaitx.lan@vnpt.vn</v>
      </c>
      <c r="F44" s="64" t="str">
        <f t="shared" ca="1" si="5"/>
        <v>Lần 6</v>
      </c>
      <c r="G44" s="130">
        <v>46213</v>
      </c>
      <c r="H44" s="133" t="s">
        <v>362</v>
      </c>
      <c r="I44" s="133">
        <v>11</v>
      </c>
      <c r="J44" s="72">
        <v>73.8</v>
      </c>
      <c r="K44" s="72" t="s">
        <v>363</v>
      </c>
      <c r="L44" s="132" t="s">
        <v>357</v>
      </c>
      <c r="M44" s="184">
        <f t="shared" ca="1" si="6"/>
        <v>1</v>
      </c>
      <c r="N44" s="67">
        <f t="shared" ca="1" si="7"/>
        <v>1</v>
      </c>
      <c r="O44" s="68">
        <f t="shared" ca="1" si="8"/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182" t="str">
        <f t="shared" ca="1" si="9"/>
        <v>Tổ Hạ tầng Kiến Tường</v>
      </c>
      <c r="C45" s="61" t="str">
        <f t="shared" ca="1" si="2"/>
        <v>Trần Xuân Toại</v>
      </c>
      <c r="D45" s="183">
        <f t="shared" ca="1" si="3"/>
        <v>914403881</v>
      </c>
      <c r="E45" s="63" t="str">
        <f t="shared" ca="1" si="4"/>
        <v>toaitx.lan@vnpt.vn</v>
      </c>
      <c r="F45" s="64" t="str">
        <f t="shared" ca="1" si="5"/>
        <v>Lần 7</v>
      </c>
      <c r="G45" s="130">
        <v>46213</v>
      </c>
      <c r="H45" s="133">
        <v>108</v>
      </c>
      <c r="I45" s="134">
        <v>46275</v>
      </c>
      <c r="J45" s="72">
        <v>90.6</v>
      </c>
      <c r="K45" s="72" t="s">
        <v>364</v>
      </c>
      <c r="L45" s="132" t="s">
        <v>357</v>
      </c>
      <c r="M45" s="184">
        <f t="shared" ca="1" si="6"/>
        <v>1</v>
      </c>
      <c r="N45" s="67">
        <f t="shared" ca="1" si="7"/>
        <v>1</v>
      </c>
      <c r="O45" s="68">
        <f t="shared" ca="1" si="8"/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182" t="str">
        <f t="shared" ca="1" si="9"/>
        <v>Tổ Hạ tầng Kiến Tường</v>
      </c>
      <c r="C46" s="61" t="str">
        <f t="shared" ca="1" si="2"/>
        <v>Trần Xuân Toại</v>
      </c>
      <c r="D46" s="183">
        <f t="shared" ca="1" si="3"/>
        <v>914403881</v>
      </c>
      <c r="E46" s="63" t="str">
        <f t="shared" ca="1" si="4"/>
        <v>toaitx.lan@vnpt.vn</v>
      </c>
      <c r="F46" s="64" t="str">
        <f t="shared" ca="1" si="5"/>
        <v>Lần 8</v>
      </c>
      <c r="G46" s="74">
        <v>46213</v>
      </c>
      <c r="H46" s="133" t="s">
        <v>353</v>
      </c>
      <c r="I46" s="134">
        <v>46123</v>
      </c>
      <c r="J46" s="72">
        <v>89.6</v>
      </c>
      <c r="K46" s="72" t="s">
        <v>376</v>
      </c>
      <c r="L46" s="132" t="s">
        <v>357</v>
      </c>
      <c r="M46" s="184">
        <f t="shared" ca="1" si="6"/>
        <v>1</v>
      </c>
      <c r="N46" s="67">
        <f t="shared" ca="1" si="7"/>
        <v>1</v>
      </c>
      <c r="O46" s="68">
        <f t="shared" ca="1" si="8"/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182" t="str">
        <f t="shared" ca="1" si="9"/>
        <v>Tổ Hạ tầng Kiến Tường</v>
      </c>
      <c r="C47" s="61" t="str">
        <f t="shared" ca="1" si="2"/>
        <v>Trần Xuân Toại</v>
      </c>
      <c r="D47" s="183">
        <f t="shared" ca="1" si="3"/>
        <v>914403881</v>
      </c>
      <c r="E47" s="63" t="str">
        <f t="shared" ca="1" si="4"/>
        <v>toaitx.lan@vnpt.vn</v>
      </c>
      <c r="F47" s="64" t="str">
        <f t="shared" ca="1" si="5"/>
        <v>Lần 9</v>
      </c>
      <c r="G47" s="74">
        <v>46213</v>
      </c>
      <c r="H47" s="133" t="s">
        <v>377</v>
      </c>
      <c r="I47" s="133" t="s">
        <v>378</v>
      </c>
      <c r="J47" s="72">
        <v>77.3</v>
      </c>
      <c r="K47" s="72" t="s">
        <v>379</v>
      </c>
      <c r="L47" s="132" t="s">
        <v>357</v>
      </c>
      <c r="M47" s="184">
        <f t="shared" ca="1" si="6"/>
        <v>1</v>
      </c>
      <c r="N47" s="67">
        <f t="shared" ca="1" si="7"/>
        <v>1</v>
      </c>
      <c r="O47" s="68">
        <f t="shared" ca="1" si="8"/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182" t="str">
        <f t="shared" ca="1" si="9"/>
        <v>Tổ Hạ tầng Kiến Tường</v>
      </c>
      <c r="C48" s="61" t="str">
        <f t="shared" ca="1" si="2"/>
        <v>Trần Xuân Toại</v>
      </c>
      <c r="D48" s="183">
        <f t="shared" ca="1" si="3"/>
        <v>914403881</v>
      </c>
      <c r="E48" s="63" t="str">
        <f t="shared" ca="1" si="4"/>
        <v>toaitx.lan@vnpt.vn</v>
      </c>
      <c r="F48" s="64" t="str">
        <f t="shared" ca="1" si="5"/>
        <v>Lần 10</v>
      </c>
      <c r="G48" s="74">
        <v>46213</v>
      </c>
      <c r="H48" s="133" t="s">
        <v>380</v>
      </c>
      <c r="I48" s="134">
        <v>46276</v>
      </c>
      <c r="J48" s="72">
        <v>104</v>
      </c>
      <c r="K48" s="72" t="s">
        <v>381</v>
      </c>
      <c r="L48" s="132" t="s">
        <v>357</v>
      </c>
      <c r="M48" s="184">
        <f t="shared" ca="1" si="6"/>
        <v>1</v>
      </c>
      <c r="N48" s="67">
        <f t="shared" ca="1" si="7"/>
        <v>1</v>
      </c>
      <c r="O48" s="68">
        <f t="shared" ca="1" si="8"/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182" t="str">
        <f t="shared" ca="1" si="9"/>
        <v>Tổ Hạ tầng Kiến Tường</v>
      </c>
      <c r="C49" s="61" t="str">
        <f t="shared" ca="1" si="2"/>
        <v>Trần Xuân Toại</v>
      </c>
      <c r="D49" s="183">
        <f t="shared" ca="1" si="3"/>
        <v>914403881</v>
      </c>
      <c r="E49" s="63" t="str">
        <f t="shared" ca="1" si="4"/>
        <v>toaitx.lan@vnpt.vn</v>
      </c>
      <c r="F49" s="64" t="str">
        <f t="shared" ca="1" si="5"/>
        <v>Lần 11</v>
      </c>
      <c r="G49" s="74"/>
      <c r="H49" s="133"/>
      <c r="I49" s="134"/>
      <c r="J49" s="72"/>
      <c r="K49" s="72"/>
      <c r="L49" s="116"/>
      <c r="M49" s="184">
        <f t="shared" ca="1" si="6"/>
        <v>0</v>
      </c>
      <c r="N49" s="67">
        <f t="shared" ca="1" si="7"/>
        <v>0</v>
      </c>
      <c r="O49" s="68">
        <f t="shared" ca="1" si="8"/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182" t="str">
        <f t="shared" ca="1" si="9"/>
        <v>Tổ Hạ tầng Kiến Tường</v>
      </c>
      <c r="C50" s="61" t="str">
        <f t="shared" ca="1" si="2"/>
        <v>Trần Xuân Toại</v>
      </c>
      <c r="D50" s="183">
        <f t="shared" ca="1" si="3"/>
        <v>914403881</v>
      </c>
      <c r="E50" s="63" t="str">
        <f t="shared" ca="1" si="4"/>
        <v>toaitx.lan@vnpt.vn</v>
      </c>
      <c r="F50" s="64" t="str">
        <f t="shared" ca="1" si="5"/>
        <v>Lần 12</v>
      </c>
      <c r="G50" s="74"/>
      <c r="H50" s="133"/>
      <c r="I50" s="134"/>
      <c r="J50" s="72"/>
      <c r="K50" s="72"/>
      <c r="L50" s="116"/>
      <c r="M50" s="184">
        <f t="shared" ca="1" si="6"/>
        <v>0</v>
      </c>
      <c r="N50" s="67">
        <f t="shared" ca="1" si="7"/>
        <v>0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182" t="str">
        <f t="shared" ca="1" si="9"/>
        <v>Tổ Hạ tầng Kiến Tường</v>
      </c>
      <c r="C51" s="61" t="str">
        <f t="shared" ca="1" si="2"/>
        <v>Trần Xuân Toại</v>
      </c>
      <c r="D51" s="183">
        <f t="shared" ca="1" si="3"/>
        <v>914403881</v>
      </c>
      <c r="E51" s="63" t="str">
        <f t="shared" ca="1" si="4"/>
        <v>toaitx.lan@vnpt.vn</v>
      </c>
      <c r="F51" s="64" t="str">
        <f t="shared" ca="1" si="5"/>
        <v>Lần 13</v>
      </c>
      <c r="G51" s="74"/>
      <c r="H51" s="133"/>
      <c r="I51" s="134"/>
      <c r="J51" s="72"/>
      <c r="K51" s="72"/>
      <c r="L51" s="116"/>
      <c r="M51" s="184">
        <f t="shared" ca="1" si="6"/>
        <v>0</v>
      </c>
      <c r="N51" s="67">
        <f t="shared" ca="1" si="7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182" t="str">
        <f t="shared" ca="1" si="9"/>
        <v>Tổ Hạ tầng Kiến Tường</v>
      </c>
      <c r="C52" s="61" t="str">
        <f t="shared" ca="1" si="2"/>
        <v>Trần Xuân Toại</v>
      </c>
      <c r="D52" s="183">
        <f t="shared" ca="1" si="3"/>
        <v>914403881</v>
      </c>
      <c r="E52" s="63" t="str">
        <f t="shared" ca="1" si="4"/>
        <v>toaitx.lan@vnpt.vn</v>
      </c>
      <c r="F52" s="64" t="str">
        <f t="shared" ca="1" si="5"/>
        <v>Lần 14</v>
      </c>
      <c r="G52" s="74"/>
      <c r="H52" s="133"/>
      <c r="I52" s="133"/>
      <c r="J52" s="72"/>
      <c r="K52" s="72"/>
      <c r="L52" s="116"/>
      <c r="M52" s="184">
        <f t="shared" ca="1" si="6"/>
        <v>0</v>
      </c>
      <c r="N52" s="67">
        <f t="shared" ca="1" si="7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182" t="str">
        <f t="shared" ca="1" si="9"/>
        <v>Tổ Hạ tầng Kiến Tường</v>
      </c>
      <c r="C53" s="61" t="str">
        <f t="shared" ca="1" si="2"/>
        <v>Trần Xuân Toại</v>
      </c>
      <c r="D53" s="183">
        <f t="shared" ca="1" si="3"/>
        <v>914403881</v>
      </c>
      <c r="E53" s="63" t="str">
        <f t="shared" ca="1" si="4"/>
        <v>toaitx.lan@vnpt.vn</v>
      </c>
      <c r="F53" s="64" t="str">
        <f t="shared" ca="1" si="5"/>
        <v>Lần 15</v>
      </c>
      <c r="G53" s="74"/>
      <c r="H53" s="133"/>
      <c r="I53" s="133"/>
      <c r="J53" s="72"/>
      <c r="K53" s="72"/>
      <c r="L53" s="116"/>
      <c r="M53" s="184">
        <f t="shared" ca="1" si="6"/>
        <v>0</v>
      </c>
      <c r="N53" s="67">
        <f t="shared" ca="1" si="7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185" t="str">
        <f t="shared" ca="1" si="9"/>
        <v>Tổ Hạ tầng Kiến Tường</v>
      </c>
      <c r="C54" s="82" t="str">
        <f t="shared" ca="1" si="2"/>
        <v>Trần Xuân Toại</v>
      </c>
      <c r="D54" s="186">
        <f t="shared" ca="1" si="3"/>
        <v>914403881</v>
      </c>
      <c r="E54" s="84" t="str">
        <f t="shared" ca="1" si="4"/>
        <v>toaitx.lan@vnpt.vn</v>
      </c>
      <c r="F54" s="85" t="str">
        <f t="shared" ca="1" si="5"/>
        <v>Lần 16</v>
      </c>
      <c r="G54" s="235"/>
      <c r="H54" s="210"/>
      <c r="I54" s="254"/>
      <c r="J54" s="255"/>
      <c r="K54" s="255"/>
      <c r="L54" s="211"/>
      <c r="M54" s="189">
        <f t="shared" ca="1" si="6"/>
        <v>0</v>
      </c>
      <c r="N54" s="171">
        <f t="shared" ca="1" si="7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190" t="str">
        <f t="shared" ca="1" si="9"/>
        <v>Tổ Hạ tầng Kiến Tường</v>
      </c>
      <c r="C55" s="48" t="str">
        <f t="shared" ca="1" si="2"/>
        <v>Nguyễn Hoàng Sang</v>
      </c>
      <c r="D55" s="191">
        <f t="shared" ca="1" si="3"/>
        <v>852038869</v>
      </c>
      <c r="E55" s="50" t="str">
        <f t="shared" ca="1" si="4"/>
        <v>sangnh.lan@vnpt.vn</v>
      </c>
      <c r="F55" s="51" t="str">
        <f t="shared" ca="1" si="5"/>
        <v>Lần 1</v>
      </c>
      <c r="G55" s="70">
        <v>46211</v>
      </c>
      <c r="H55" s="142">
        <v>100</v>
      </c>
      <c r="I55" s="142">
        <v>47.2</v>
      </c>
      <c r="J55" s="142">
        <v>127</v>
      </c>
      <c r="K55" s="142">
        <v>54.6</v>
      </c>
      <c r="L55" s="132" t="s">
        <v>357</v>
      </c>
      <c r="M55" s="194">
        <f t="shared" ca="1" si="6"/>
        <v>1</v>
      </c>
      <c r="N55" s="195">
        <f t="shared" ca="1" si="7"/>
        <v>1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182" t="str">
        <f t="shared" ca="1" si="9"/>
        <v>Tổ Hạ tầng Kiến Tường</v>
      </c>
      <c r="C56" s="61" t="str">
        <f t="shared" ca="1" si="2"/>
        <v>Nguyễn Hoàng Sang</v>
      </c>
      <c r="D56" s="183">
        <f t="shared" ca="1" si="3"/>
        <v>852038869</v>
      </c>
      <c r="E56" s="63" t="str">
        <f t="shared" ca="1" si="4"/>
        <v>sangnh.lan@vnpt.vn</v>
      </c>
      <c r="F56" s="64" t="str">
        <f t="shared" ca="1" si="5"/>
        <v>Lần 2</v>
      </c>
      <c r="G56" s="70">
        <v>46211</v>
      </c>
      <c r="H56" s="71">
        <v>92.3</v>
      </c>
      <c r="I56" s="71">
        <v>41.4</v>
      </c>
      <c r="J56" s="71">
        <v>96.8</v>
      </c>
      <c r="K56" s="71">
        <v>56</v>
      </c>
      <c r="L56" s="132" t="s">
        <v>357</v>
      </c>
      <c r="M56" s="184">
        <f ca="1">IF(B56="","",IF(OR(G59="",H56="",I56=""),0,1))</f>
        <v>1</v>
      </c>
      <c r="N56" s="67">
        <f ca="1">IF(B56="","",IF(OR(G59="",J56="",K56=""),0,1))</f>
        <v>1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182" t="str">
        <f t="shared" ca="1" si="9"/>
        <v>Tổ Hạ tầng Kiến Tường</v>
      </c>
      <c r="C57" s="61" t="str">
        <f t="shared" ca="1" si="2"/>
        <v>Nguyễn Hoàng Sang</v>
      </c>
      <c r="D57" s="183">
        <f t="shared" ca="1" si="3"/>
        <v>852038869</v>
      </c>
      <c r="E57" s="63" t="str">
        <f t="shared" ca="1" si="4"/>
        <v>sangnh.lan@vnpt.vn</v>
      </c>
      <c r="F57" s="64" t="str">
        <f t="shared" ca="1" si="5"/>
        <v>Lần 3</v>
      </c>
      <c r="G57" s="70">
        <v>46211</v>
      </c>
      <c r="H57" s="71">
        <v>116</v>
      </c>
      <c r="I57" s="71">
        <v>40.1</v>
      </c>
      <c r="J57" s="71">
        <v>118</v>
      </c>
      <c r="K57" s="71">
        <v>55.1</v>
      </c>
      <c r="L57" s="132" t="s">
        <v>357</v>
      </c>
      <c r="M57" s="184">
        <f t="shared" ref="M57:M84" ca="1" si="10">IF(B57="","",IF(OR(G57="",H57="",I57=""),0,1))</f>
        <v>1</v>
      </c>
      <c r="N57" s="67">
        <f t="shared" ref="N57:N83" ca="1" si="11">IF(B57="","",IF(OR(G57="",J57="",K57=""),0,1))</f>
        <v>1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182" t="str">
        <f t="shared" ca="1" si="9"/>
        <v>Tổ Hạ tầng Kiến Tường</v>
      </c>
      <c r="C58" s="61" t="str">
        <f t="shared" ca="1" si="2"/>
        <v>Nguyễn Hoàng Sang</v>
      </c>
      <c r="D58" s="183">
        <f t="shared" ca="1" si="3"/>
        <v>852038869</v>
      </c>
      <c r="E58" s="63" t="str">
        <f t="shared" ca="1" si="4"/>
        <v>sangnh.lan@vnpt.vn</v>
      </c>
      <c r="F58" s="64" t="str">
        <f t="shared" ca="1" si="5"/>
        <v>Lần 4</v>
      </c>
      <c r="G58" s="70">
        <v>46211</v>
      </c>
      <c r="H58" s="75">
        <v>113</v>
      </c>
      <c r="I58" s="75">
        <v>38.5</v>
      </c>
      <c r="J58" s="75">
        <v>107</v>
      </c>
      <c r="K58" s="75">
        <v>57.7</v>
      </c>
      <c r="L58" s="132" t="s">
        <v>357</v>
      </c>
      <c r="M58" s="184">
        <f t="shared" ca="1" si="10"/>
        <v>1</v>
      </c>
      <c r="N58" s="67">
        <f t="shared" ca="1" si="11"/>
        <v>1</v>
      </c>
      <c r="O58" s="68">
        <f t="shared" ca="1" si="8"/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182" t="str">
        <f t="shared" ca="1" si="9"/>
        <v>Tổ Hạ tầng Kiến Tường</v>
      </c>
      <c r="C59" s="61" t="str">
        <f t="shared" ca="1" si="2"/>
        <v>Nguyễn Hoàng Sang</v>
      </c>
      <c r="D59" s="183">
        <f t="shared" ca="1" si="3"/>
        <v>852038869</v>
      </c>
      <c r="E59" s="63" t="str">
        <f t="shared" ca="1" si="4"/>
        <v>sangnh.lan@vnpt.vn</v>
      </c>
      <c r="F59" s="64" t="str">
        <f t="shared" ca="1" si="5"/>
        <v>Lần 5</v>
      </c>
      <c r="G59" s="70">
        <v>46211</v>
      </c>
      <c r="H59" s="75">
        <v>124</v>
      </c>
      <c r="I59" s="75">
        <v>42.4</v>
      </c>
      <c r="J59" s="75">
        <v>104</v>
      </c>
      <c r="K59" s="75">
        <v>54.6</v>
      </c>
      <c r="L59" s="132" t="s">
        <v>357</v>
      </c>
      <c r="M59" s="184">
        <f t="shared" ca="1" si="10"/>
        <v>1</v>
      </c>
      <c r="N59" s="67">
        <f t="shared" ca="1" si="11"/>
        <v>1</v>
      </c>
      <c r="O59" s="68">
        <f t="shared" ca="1" si="8"/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182" t="str">
        <f t="shared" ca="1" si="9"/>
        <v>Tổ Hạ tầng Kiến Tường</v>
      </c>
      <c r="C60" s="61" t="str">
        <f t="shared" ca="1" si="2"/>
        <v>Nguyễn Hoàng Sang</v>
      </c>
      <c r="D60" s="183">
        <f t="shared" ca="1" si="3"/>
        <v>852038869</v>
      </c>
      <c r="E60" s="63" t="str">
        <f t="shared" ca="1" si="4"/>
        <v>sangnh.lan@vnpt.vn</v>
      </c>
      <c r="F60" s="64" t="str">
        <f t="shared" ca="1" si="5"/>
        <v>Lần 6</v>
      </c>
      <c r="G60" s="70">
        <v>46211</v>
      </c>
      <c r="H60" s="75">
        <v>113</v>
      </c>
      <c r="I60" s="75">
        <v>38.5</v>
      </c>
      <c r="J60" s="75">
        <v>133</v>
      </c>
      <c r="K60" s="75">
        <v>57.3</v>
      </c>
      <c r="L60" s="132" t="s">
        <v>357</v>
      </c>
      <c r="M60" s="184">
        <f t="shared" ca="1" si="10"/>
        <v>1</v>
      </c>
      <c r="N60" s="67">
        <f t="shared" ca="1" si="11"/>
        <v>1</v>
      </c>
      <c r="O60" s="68">
        <f t="shared" ca="1" si="8"/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182" t="str">
        <f t="shared" ca="1" si="9"/>
        <v>Tổ Hạ tầng Kiến Tường</v>
      </c>
      <c r="C61" s="61" t="str">
        <f t="shared" ca="1" si="2"/>
        <v>Nguyễn Hoàng Sang</v>
      </c>
      <c r="D61" s="183">
        <f t="shared" ca="1" si="3"/>
        <v>852038869</v>
      </c>
      <c r="E61" s="63" t="str">
        <f t="shared" ca="1" si="4"/>
        <v>sangnh.lan@vnpt.vn</v>
      </c>
      <c r="F61" s="64" t="str">
        <f t="shared" ca="1" si="5"/>
        <v>Lần 7</v>
      </c>
      <c r="G61" s="70">
        <v>46211</v>
      </c>
      <c r="H61" s="75">
        <v>116</v>
      </c>
      <c r="I61" s="75">
        <v>37.700000000000003</v>
      </c>
      <c r="J61" s="75">
        <v>120</v>
      </c>
      <c r="K61" s="75">
        <v>55.7</v>
      </c>
      <c r="L61" s="132" t="s">
        <v>357</v>
      </c>
      <c r="M61" s="184">
        <f t="shared" ca="1" si="10"/>
        <v>1</v>
      </c>
      <c r="N61" s="67">
        <f t="shared" ca="1" si="11"/>
        <v>1</v>
      </c>
      <c r="O61" s="68">
        <f t="shared" ca="1" si="8"/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182" t="str">
        <f t="shared" ca="1" si="9"/>
        <v>Tổ Hạ tầng Kiến Tường</v>
      </c>
      <c r="C62" s="61" t="str">
        <f t="shared" ca="1" si="2"/>
        <v>Nguyễn Hoàng Sang</v>
      </c>
      <c r="D62" s="183">
        <f t="shared" ca="1" si="3"/>
        <v>852038869</v>
      </c>
      <c r="E62" s="63" t="str">
        <f t="shared" ca="1" si="4"/>
        <v>sangnh.lan@vnpt.vn</v>
      </c>
      <c r="F62" s="64" t="str">
        <f t="shared" ca="1" si="5"/>
        <v>Lần 8</v>
      </c>
      <c r="G62" s="70">
        <v>46211</v>
      </c>
      <c r="H62" s="75">
        <v>84.3</v>
      </c>
      <c r="I62" s="75">
        <v>52.1</v>
      </c>
      <c r="J62" s="75">
        <v>85.1</v>
      </c>
      <c r="K62" s="75">
        <v>57.4</v>
      </c>
      <c r="L62" s="132" t="s">
        <v>357</v>
      </c>
      <c r="M62" s="184">
        <f t="shared" ca="1" si="10"/>
        <v>1</v>
      </c>
      <c r="N62" s="67">
        <f t="shared" ca="1" si="11"/>
        <v>1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182" t="str">
        <f t="shared" ca="1" si="9"/>
        <v>Tổ Hạ tầng Kiến Tường</v>
      </c>
      <c r="C63" s="61" t="str">
        <f t="shared" ca="1" si="2"/>
        <v>Nguyễn Hoàng Sang</v>
      </c>
      <c r="D63" s="183">
        <f t="shared" ca="1" si="3"/>
        <v>852038869</v>
      </c>
      <c r="E63" s="63" t="str">
        <f t="shared" ca="1" si="4"/>
        <v>sangnh.lan@vnpt.vn</v>
      </c>
      <c r="F63" s="64" t="str">
        <f t="shared" ca="1" si="5"/>
        <v>Lần 9</v>
      </c>
      <c r="G63" s="70">
        <v>46212</v>
      </c>
      <c r="H63" s="75">
        <v>108</v>
      </c>
      <c r="I63" s="75">
        <v>56.3</v>
      </c>
      <c r="J63" s="75">
        <v>120</v>
      </c>
      <c r="K63" s="75">
        <v>54.6</v>
      </c>
      <c r="L63" s="132" t="s">
        <v>357</v>
      </c>
      <c r="M63" s="184">
        <f t="shared" ca="1" si="10"/>
        <v>1</v>
      </c>
      <c r="N63" s="67">
        <f t="shared" ca="1" si="11"/>
        <v>1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182" t="str">
        <f t="shared" ca="1" si="9"/>
        <v>Tổ Hạ tầng Kiến Tường</v>
      </c>
      <c r="C64" s="61" t="str">
        <f t="shared" ca="1" si="2"/>
        <v>Nguyễn Hoàng Sang</v>
      </c>
      <c r="D64" s="183">
        <f t="shared" ca="1" si="3"/>
        <v>852038869</v>
      </c>
      <c r="E64" s="63" t="str">
        <f t="shared" ca="1" si="4"/>
        <v>sangnh.lan@vnpt.vn</v>
      </c>
      <c r="F64" s="64" t="str">
        <f t="shared" ca="1" si="5"/>
        <v>Lần 10</v>
      </c>
      <c r="G64" s="70">
        <v>46212</v>
      </c>
      <c r="H64" s="75">
        <v>101</v>
      </c>
      <c r="I64" s="75">
        <v>53.3</v>
      </c>
      <c r="J64" s="75">
        <v>70.8</v>
      </c>
      <c r="K64" s="75">
        <v>37.799999999999997</v>
      </c>
      <c r="L64" s="132" t="s">
        <v>357</v>
      </c>
      <c r="M64" s="184">
        <f t="shared" ca="1" si="10"/>
        <v>1</v>
      </c>
      <c r="N64" s="67">
        <f t="shared" ca="1" si="11"/>
        <v>1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182" t="str">
        <f t="shared" ca="1" si="9"/>
        <v>Tổ Hạ tầng Kiến Tường</v>
      </c>
      <c r="C65" s="61" t="str">
        <f t="shared" ca="1" si="2"/>
        <v>Nguyễn Hoàng Sang</v>
      </c>
      <c r="D65" s="183">
        <f t="shared" ca="1" si="3"/>
        <v>852038869</v>
      </c>
      <c r="E65" s="63" t="str">
        <f t="shared" ca="1" si="4"/>
        <v>sangnh.lan@vnpt.vn</v>
      </c>
      <c r="F65" s="64" t="str">
        <f t="shared" ca="1" si="5"/>
        <v>Lần 11</v>
      </c>
      <c r="G65" s="70">
        <v>46212</v>
      </c>
      <c r="H65" s="75">
        <v>106</v>
      </c>
      <c r="I65" s="75">
        <v>51.6</v>
      </c>
      <c r="J65" s="75">
        <v>102</v>
      </c>
      <c r="K65" s="75">
        <v>57.7</v>
      </c>
      <c r="L65" s="132" t="s">
        <v>357</v>
      </c>
      <c r="M65" s="184">
        <f t="shared" ca="1" si="10"/>
        <v>1</v>
      </c>
      <c r="N65" s="67">
        <f t="shared" ca="1" si="11"/>
        <v>1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182" t="str">
        <f t="shared" ca="1" si="9"/>
        <v>Tổ Hạ tầng Kiến Tường</v>
      </c>
      <c r="C66" s="61" t="str">
        <f t="shared" ca="1" si="2"/>
        <v>Nguyễn Hoàng Sang</v>
      </c>
      <c r="D66" s="183">
        <f t="shared" ca="1" si="3"/>
        <v>852038869</v>
      </c>
      <c r="E66" s="63" t="str">
        <f t="shared" ca="1" si="4"/>
        <v>sangnh.lan@vnpt.vn</v>
      </c>
      <c r="F66" s="64" t="str">
        <f t="shared" ca="1" si="5"/>
        <v>Lần 12</v>
      </c>
      <c r="G66" s="70">
        <v>46212</v>
      </c>
      <c r="H66" s="75">
        <v>107</v>
      </c>
      <c r="I66" s="75">
        <v>54.2</v>
      </c>
      <c r="J66" s="75">
        <v>107</v>
      </c>
      <c r="K66" s="75">
        <v>52.8</v>
      </c>
      <c r="L66" s="132" t="s">
        <v>357</v>
      </c>
      <c r="M66" s="184">
        <f t="shared" ca="1" si="10"/>
        <v>1</v>
      </c>
      <c r="N66" s="67">
        <f t="shared" ca="1" si="11"/>
        <v>1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182" t="str">
        <f t="shared" ca="1" si="9"/>
        <v>Tổ Hạ tầng Kiến Tường</v>
      </c>
      <c r="C67" s="61" t="str">
        <f t="shared" ca="1" si="2"/>
        <v>Nguyễn Hoàng Sang</v>
      </c>
      <c r="D67" s="183">
        <f t="shared" ca="1" si="3"/>
        <v>852038869</v>
      </c>
      <c r="E67" s="63" t="str">
        <f t="shared" ca="1" si="4"/>
        <v>sangnh.lan@vnpt.vn</v>
      </c>
      <c r="F67" s="64" t="str">
        <f t="shared" ca="1" si="5"/>
        <v>Lần 13</v>
      </c>
      <c r="G67" s="70">
        <v>46212</v>
      </c>
      <c r="H67" s="75">
        <v>94.8</v>
      </c>
      <c r="I67" s="75">
        <v>53.2</v>
      </c>
      <c r="J67" s="75">
        <v>119</v>
      </c>
      <c r="K67" s="75">
        <v>58.4</v>
      </c>
      <c r="L67" s="132" t="s">
        <v>357</v>
      </c>
      <c r="M67" s="184">
        <f t="shared" ca="1" si="10"/>
        <v>1</v>
      </c>
      <c r="N67" s="67">
        <f t="shared" ca="1" si="11"/>
        <v>1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182" t="str">
        <f t="shared" ca="1" si="9"/>
        <v>Tổ Hạ tầng Kiến Tường</v>
      </c>
      <c r="C68" s="61" t="str">
        <f t="shared" ca="1" si="2"/>
        <v>Nguyễn Hoàng Sang</v>
      </c>
      <c r="D68" s="183">
        <f t="shared" ca="1" si="3"/>
        <v>852038869</v>
      </c>
      <c r="E68" s="63" t="str">
        <f t="shared" ca="1" si="4"/>
        <v>sangnh.lan@vnpt.vn</v>
      </c>
      <c r="F68" s="64" t="str">
        <f t="shared" ca="1" si="5"/>
        <v>Lần 14</v>
      </c>
      <c r="G68" s="70">
        <v>46212</v>
      </c>
      <c r="H68" s="75">
        <v>89.4</v>
      </c>
      <c r="I68" s="75">
        <v>52.8</v>
      </c>
      <c r="J68" s="75">
        <v>117</v>
      </c>
      <c r="K68" s="75">
        <v>58.6</v>
      </c>
      <c r="L68" s="132" t="s">
        <v>357</v>
      </c>
      <c r="M68" s="184">
        <f t="shared" ca="1" si="10"/>
        <v>1</v>
      </c>
      <c r="N68" s="67">
        <f t="shared" ca="1" si="11"/>
        <v>1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182" t="str">
        <f t="shared" ca="1" si="9"/>
        <v>Tổ Hạ tầng Kiến Tường</v>
      </c>
      <c r="C69" s="61" t="str">
        <f t="shared" ca="1" si="2"/>
        <v>Nguyễn Hoàng Sang</v>
      </c>
      <c r="D69" s="183">
        <f t="shared" ca="1" si="3"/>
        <v>852038869</v>
      </c>
      <c r="E69" s="63" t="str">
        <f t="shared" ca="1" si="4"/>
        <v>sangnh.lan@vnpt.vn</v>
      </c>
      <c r="F69" s="64" t="str">
        <f t="shared" ca="1" si="5"/>
        <v>Lần 15</v>
      </c>
      <c r="G69" s="70">
        <v>46212</v>
      </c>
      <c r="H69" s="75">
        <v>84.3</v>
      </c>
      <c r="I69" s="75">
        <v>60.1</v>
      </c>
      <c r="J69" s="75">
        <v>78.8</v>
      </c>
      <c r="K69" s="75">
        <v>57.6</v>
      </c>
      <c r="L69" s="132" t="s">
        <v>357</v>
      </c>
      <c r="M69" s="184">
        <f t="shared" ca="1" si="10"/>
        <v>1</v>
      </c>
      <c r="N69" s="67">
        <f t="shared" ca="1" si="11"/>
        <v>1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96" t="str">
        <f t="shared" ca="1" si="9"/>
        <v>Tổ Hạ tầng Kiến Tường</v>
      </c>
      <c r="C70" s="102" t="str">
        <f t="shared" ca="1" si="2"/>
        <v>Nguyễn Hoàng Sang</v>
      </c>
      <c r="D70" s="197">
        <f t="shared" ca="1" si="3"/>
        <v>852038869</v>
      </c>
      <c r="E70" s="104" t="str">
        <f t="shared" ca="1" si="4"/>
        <v>sangnh.lan@vnpt.vn</v>
      </c>
      <c r="F70" s="105" t="str">
        <f t="shared" ca="1" si="5"/>
        <v>Lần 16</v>
      </c>
      <c r="G70" s="70">
        <v>46212</v>
      </c>
      <c r="H70" s="199">
        <v>123</v>
      </c>
      <c r="I70" s="199">
        <v>53.6</v>
      </c>
      <c r="J70" s="199">
        <v>77.8</v>
      </c>
      <c r="K70" s="199">
        <v>57.6</v>
      </c>
      <c r="L70" s="132" t="s">
        <v>357</v>
      </c>
      <c r="M70" s="202">
        <f t="shared" ca="1" si="10"/>
        <v>1</v>
      </c>
      <c r="N70" s="203">
        <f t="shared" ca="1" si="11"/>
        <v>1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204" t="str">
        <f t="shared" ca="1" si="9"/>
        <v>Tổ Hạ tầng Kiến Tường</v>
      </c>
      <c r="C71" s="108" t="str">
        <f t="shared" ca="1" si="2"/>
        <v>Lê Xuân Trình</v>
      </c>
      <c r="D71" s="205">
        <f t="shared" ca="1" si="3"/>
        <v>917773898</v>
      </c>
      <c r="E71" s="110" t="str">
        <f t="shared" ca="1" si="4"/>
        <v>trinhlx.lan@vnpt.vn</v>
      </c>
      <c r="F71" s="111" t="str">
        <f t="shared" ca="1" si="5"/>
        <v>Lần 1</v>
      </c>
      <c r="G71" s="70"/>
      <c r="H71" s="142"/>
      <c r="I71" s="142"/>
      <c r="J71" s="256"/>
      <c r="K71" s="256"/>
      <c r="L71" s="213"/>
      <c r="M71" s="181">
        <f t="shared" ca="1" si="10"/>
        <v>0</v>
      </c>
      <c r="N71" s="57">
        <f t="shared" ca="1" si="11"/>
        <v>0</v>
      </c>
      <c r="O71" s="68">
        <f t="shared" ca="1" si="8"/>
        <v>0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182" t="str">
        <f t="shared" ca="1" si="9"/>
        <v>Tổ Hạ tầng Kiến Tường</v>
      </c>
      <c r="C72" s="61" t="str">
        <f t="shared" ca="1" si="2"/>
        <v>Lê Xuân Trình</v>
      </c>
      <c r="D72" s="183">
        <f t="shared" ca="1" si="3"/>
        <v>917773898</v>
      </c>
      <c r="E72" s="63" t="str">
        <f t="shared" ca="1" si="4"/>
        <v>trinhlx.lan@vnpt.vn</v>
      </c>
      <c r="F72" s="64" t="str">
        <f t="shared" ca="1" si="5"/>
        <v>Lần 2</v>
      </c>
      <c r="G72" s="70"/>
      <c r="H72" s="71"/>
      <c r="I72" s="71"/>
      <c r="J72" s="71"/>
      <c r="K72" s="71"/>
      <c r="L72" s="88"/>
      <c r="M72" s="184">
        <f t="shared" ca="1" si="10"/>
        <v>0</v>
      </c>
      <c r="N72" s="67">
        <f t="shared" ca="1" si="11"/>
        <v>0</v>
      </c>
      <c r="O72" s="68">
        <f t="shared" ca="1" si="8"/>
        <v>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182" t="str">
        <f t="shared" ca="1" si="9"/>
        <v>Tổ Hạ tầng Kiến Tường</v>
      </c>
      <c r="C73" s="61" t="str">
        <f t="shared" ca="1" si="2"/>
        <v>Lê Xuân Trình</v>
      </c>
      <c r="D73" s="183">
        <f t="shared" ca="1" si="3"/>
        <v>917773898</v>
      </c>
      <c r="E73" s="63" t="str">
        <f t="shared" ca="1" si="4"/>
        <v>trinhlx.lan@vnpt.vn</v>
      </c>
      <c r="F73" s="64" t="str">
        <f t="shared" ca="1" si="5"/>
        <v>Lần 3</v>
      </c>
      <c r="G73" s="70"/>
      <c r="H73" s="71"/>
      <c r="I73" s="71"/>
      <c r="J73" s="71"/>
      <c r="K73" s="71"/>
      <c r="L73" s="88"/>
      <c r="M73" s="184">
        <f t="shared" ca="1" si="10"/>
        <v>0</v>
      </c>
      <c r="N73" s="67">
        <f t="shared" ca="1" si="11"/>
        <v>0</v>
      </c>
      <c r="O73" s="68">
        <f t="shared" ca="1" si="8"/>
        <v>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182" t="str">
        <f t="shared" ca="1" si="9"/>
        <v>Tổ Hạ tầng Kiến Tường</v>
      </c>
      <c r="C74" s="61" t="str">
        <f t="shared" ca="1" si="2"/>
        <v>Lê Xuân Trình</v>
      </c>
      <c r="D74" s="183">
        <f t="shared" ca="1" si="3"/>
        <v>917773898</v>
      </c>
      <c r="E74" s="63" t="str">
        <f t="shared" ca="1" si="4"/>
        <v>trinhlx.lan@vnpt.vn</v>
      </c>
      <c r="F74" s="64" t="str">
        <f t="shared" ca="1" si="5"/>
        <v>Lần 4</v>
      </c>
      <c r="G74" s="70"/>
      <c r="H74" s="75"/>
      <c r="I74" s="75"/>
      <c r="J74" s="75"/>
      <c r="K74" s="75"/>
      <c r="L74" s="88"/>
      <c r="M74" s="184">
        <f t="shared" ca="1" si="10"/>
        <v>0</v>
      </c>
      <c r="N74" s="67">
        <f t="shared" ca="1" si="11"/>
        <v>0</v>
      </c>
      <c r="O74" s="68">
        <f t="shared" ca="1" si="8"/>
        <v>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182" t="str">
        <f t="shared" ca="1" si="9"/>
        <v>Tổ Hạ tầng Kiến Tường</v>
      </c>
      <c r="C75" s="61" t="str">
        <f t="shared" ca="1" si="2"/>
        <v>Lê Xuân Trình</v>
      </c>
      <c r="D75" s="183">
        <f t="shared" ca="1" si="3"/>
        <v>917773898</v>
      </c>
      <c r="E75" s="63" t="str">
        <f t="shared" ca="1" si="4"/>
        <v>trinhlx.lan@vnpt.vn</v>
      </c>
      <c r="F75" s="64" t="str">
        <f t="shared" ca="1" si="5"/>
        <v>Lần 5</v>
      </c>
      <c r="G75" s="70"/>
      <c r="H75" s="75"/>
      <c r="I75" s="75"/>
      <c r="J75" s="75"/>
      <c r="K75" s="75"/>
      <c r="L75" s="91"/>
      <c r="M75" s="184">
        <f t="shared" ca="1" si="10"/>
        <v>0</v>
      </c>
      <c r="N75" s="67">
        <f t="shared" ca="1" si="11"/>
        <v>0</v>
      </c>
      <c r="O75" s="68">
        <f t="shared" ca="1" si="8"/>
        <v>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182" t="str">
        <f t="shared" ca="1" si="9"/>
        <v>Tổ Hạ tầng Kiến Tường</v>
      </c>
      <c r="C76" s="61" t="str">
        <f t="shared" ca="1" si="2"/>
        <v>Lê Xuân Trình</v>
      </c>
      <c r="D76" s="183">
        <f t="shared" ca="1" si="3"/>
        <v>917773898</v>
      </c>
      <c r="E76" s="63" t="str">
        <f t="shared" ca="1" si="4"/>
        <v>trinhlx.lan@vnpt.vn</v>
      </c>
      <c r="F76" s="64" t="str">
        <f t="shared" ca="1" si="5"/>
        <v>Lần 6</v>
      </c>
      <c r="G76" s="70"/>
      <c r="H76" s="75"/>
      <c r="I76" s="75"/>
      <c r="J76" s="75"/>
      <c r="K76" s="75"/>
      <c r="L76" s="91"/>
      <c r="M76" s="184">
        <f t="shared" ca="1" si="10"/>
        <v>0</v>
      </c>
      <c r="N76" s="67">
        <f t="shared" ca="1" si="11"/>
        <v>0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182" t="str">
        <f t="shared" ca="1" si="9"/>
        <v>Tổ Hạ tầng Kiến Tường</v>
      </c>
      <c r="C77" s="61" t="str">
        <f t="shared" ca="1" si="2"/>
        <v>Lê Xuân Trình</v>
      </c>
      <c r="D77" s="183">
        <f t="shared" ca="1" si="3"/>
        <v>917773898</v>
      </c>
      <c r="E77" s="63" t="str">
        <f t="shared" ca="1" si="4"/>
        <v>trinhlx.lan@vnpt.vn</v>
      </c>
      <c r="F77" s="64" t="str">
        <f t="shared" ca="1" si="5"/>
        <v>Lần 7</v>
      </c>
      <c r="G77" s="70"/>
      <c r="H77" s="75"/>
      <c r="I77" s="75"/>
      <c r="J77" s="75"/>
      <c r="K77" s="75"/>
      <c r="L77" s="91"/>
      <c r="M77" s="184">
        <f t="shared" ca="1" si="10"/>
        <v>0</v>
      </c>
      <c r="N77" s="67">
        <f t="shared" ca="1" si="11"/>
        <v>0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182" t="str">
        <f t="shared" ca="1" si="9"/>
        <v>Tổ Hạ tầng Kiến Tường</v>
      </c>
      <c r="C78" s="61" t="str">
        <f t="shared" ca="1" si="2"/>
        <v>Lê Xuân Trình</v>
      </c>
      <c r="D78" s="183">
        <f t="shared" ca="1" si="3"/>
        <v>917773898</v>
      </c>
      <c r="E78" s="63" t="str">
        <f t="shared" ca="1" si="4"/>
        <v>trinhlx.lan@vnpt.vn</v>
      </c>
      <c r="F78" s="64" t="str">
        <f t="shared" ca="1" si="5"/>
        <v>Lần 8</v>
      </c>
      <c r="G78" s="70"/>
      <c r="H78" s="75"/>
      <c r="I78" s="75"/>
      <c r="J78" s="75"/>
      <c r="K78" s="75"/>
      <c r="L78" s="91"/>
      <c r="M78" s="184">
        <f t="shared" ca="1" si="10"/>
        <v>0</v>
      </c>
      <c r="N78" s="67">
        <f t="shared" ca="1" si="11"/>
        <v>0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182" t="str">
        <f t="shared" ca="1" si="9"/>
        <v>Tổ Hạ tầng Kiến Tường</v>
      </c>
      <c r="C79" s="61" t="str">
        <f t="shared" ca="1" si="2"/>
        <v>Lê Xuân Trình</v>
      </c>
      <c r="D79" s="183">
        <f t="shared" ca="1" si="3"/>
        <v>917773898</v>
      </c>
      <c r="E79" s="63" t="str">
        <f t="shared" ca="1" si="4"/>
        <v>trinhlx.lan@vnpt.vn</v>
      </c>
      <c r="F79" s="64" t="str">
        <f t="shared" ca="1" si="5"/>
        <v>Lần 9</v>
      </c>
      <c r="G79" s="70"/>
      <c r="H79" s="75"/>
      <c r="I79" s="75"/>
      <c r="J79" s="75"/>
      <c r="K79" s="75"/>
      <c r="L79" s="91"/>
      <c r="M79" s="184">
        <f t="shared" ca="1" si="10"/>
        <v>0</v>
      </c>
      <c r="N79" s="67">
        <f t="shared" ca="1" si="11"/>
        <v>0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182" t="str">
        <f t="shared" ca="1" si="9"/>
        <v>Tổ Hạ tầng Kiến Tường</v>
      </c>
      <c r="C80" s="61" t="str">
        <f t="shared" ca="1" si="2"/>
        <v>Lê Xuân Trình</v>
      </c>
      <c r="D80" s="183">
        <f t="shared" ca="1" si="3"/>
        <v>917773898</v>
      </c>
      <c r="E80" s="63" t="str">
        <f t="shared" ca="1" si="4"/>
        <v>trinhlx.lan@vnpt.vn</v>
      </c>
      <c r="F80" s="64" t="str">
        <f t="shared" ca="1" si="5"/>
        <v>Lần 10</v>
      </c>
      <c r="G80" s="70"/>
      <c r="H80" s="75"/>
      <c r="I80" s="75"/>
      <c r="J80" s="75"/>
      <c r="K80" s="75"/>
      <c r="L80" s="91"/>
      <c r="M80" s="184">
        <f t="shared" ca="1" si="10"/>
        <v>0</v>
      </c>
      <c r="N80" s="67">
        <f t="shared" ca="1" si="11"/>
        <v>0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182" t="str">
        <f t="shared" ca="1" si="9"/>
        <v>Tổ Hạ tầng Kiến Tường</v>
      </c>
      <c r="C81" s="61" t="str">
        <f t="shared" ca="1" si="2"/>
        <v>Lê Xuân Trình</v>
      </c>
      <c r="D81" s="183">
        <f t="shared" ca="1" si="3"/>
        <v>917773898</v>
      </c>
      <c r="E81" s="63" t="str">
        <f t="shared" ca="1" si="4"/>
        <v>trinhlx.lan@vnpt.vn</v>
      </c>
      <c r="F81" s="64" t="str">
        <f t="shared" ca="1" si="5"/>
        <v>Lần 11</v>
      </c>
      <c r="G81" s="70"/>
      <c r="H81" s="75"/>
      <c r="I81" s="75"/>
      <c r="J81" s="75"/>
      <c r="K81" s="75"/>
      <c r="L81" s="91"/>
      <c r="M81" s="184">
        <f t="shared" ca="1" si="10"/>
        <v>0</v>
      </c>
      <c r="N81" s="67">
        <f t="shared" ca="1" si="11"/>
        <v>0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182" t="str">
        <f t="shared" ca="1" si="9"/>
        <v>Tổ Hạ tầng Kiến Tường</v>
      </c>
      <c r="C82" s="61" t="str">
        <f t="shared" ca="1" si="2"/>
        <v>Lê Xuân Trình</v>
      </c>
      <c r="D82" s="183">
        <f t="shared" ca="1" si="3"/>
        <v>917773898</v>
      </c>
      <c r="E82" s="63" t="str">
        <f t="shared" ca="1" si="4"/>
        <v>trinhlx.lan@vnpt.vn</v>
      </c>
      <c r="F82" s="64" t="str">
        <f t="shared" ca="1" si="5"/>
        <v>Lần 12</v>
      </c>
      <c r="G82" s="70"/>
      <c r="H82" s="75"/>
      <c r="I82" s="75"/>
      <c r="J82" s="75"/>
      <c r="K82" s="75"/>
      <c r="L82" s="91"/>
      <c r="M82" s="184">
        <f t="shared" ca="1" si="10"/>
        <v>0</v>
      </c>
      <c r="N82" s="67">
        <f t="shared" ca="1" si="11"/>
        <v>0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182" t="str">
        <f t="shared" ca="1" si="9"/>
        <v>Tổ Hạ tầng Kiến Tường</v>
      </c>
      <c r="C83" s="61" t="str">
        <f t="shared" ca="1" si="2"/>
        <v>Lê Xuân Trình</v>
      </c>
      <c r="D83" s="183">
        <f t="shared" ca="1" si="3"/>
        <v>917773898</v>
      </c>
      <c r="E83" s="63" t="str">
        <f t="shared" ca="1" si="4"/>
        <v>trinhlx.lan@vnpt.vn</v>
      </c>
      <c r="F83" s="64" t="str">
        <f t="shared" ca="1" si="5"/>
        <v>Lần 13</v>
      </c>
      <c r="G83" s="70"/>
      <c r="H83" s="75"/>
      <c r="I83" s="75"/>
      <c r="J83" s="75"/>
      <c r="K83" s="75"/>
      <c r="L83" s="91"/>
      <c r="M83" s="184">
        <f t="shared" ca="1" si="10"/>
        <v>0</v>
      </c>
      <c r="N83" s="67">
        <f t="shared" ca="1" si="11"/>
        <v>0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182" t="str">
        <f t="shared" ca="1" si="9"/>
        <v>Tổ Hạ tầng Kiến Tường</v>
      </c>
      <c r="C84" s="61" t="str">
        <f t="shared" ca="1" si="2"/>
        <v>Lê Xuân Trình</v>
      </c>
      <c r="D84" s="183">
        <f t="shared" ca="1" si="3"/>
        <v>917773898</v>
      </c>
      <c r="E84" s="63" t="str">
        <f t="shared" ca="1" si="4"/>
        <v>trinhlx.lan@vnpt.vn</v>
      </c>
      <c r="F84" s="64" t="str">
        <f t="shared" ca="1" si="5"/>
        <v>Lần 14</v>
      </c>
      <c r="G84" s="70"/>
      <c r="H84" s="75"/>
      <c r="I84" s="75"/>
      <c r="J84" s="75"/>
      <c r="K84" s="75"/>
      <c r="L84" s="91"/>
      <c r="M84" s="184">
        <f t="shared" ca="1" si="10"/>
        <v>0</v>
      </c>
      <c r="N84" s="67">
        <f t="shared" ref="N84:N86" ca="1" si="12">IF(B84="","",IF(OR(G83="",J83="",K83=""),0,1))</f>
        <v>0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182" t="str">
        <f t="shared" ca="1" si="9"/>
        <v>Tổ Hạ tầng Kiến Tường</v>
      </c>
      <c r="C85" s="61" t="str">
        <f t="shared" ca="1" si="2"/>
        <v>Lê Xuân Trình</v>
      </c>
      <c r="D85" s="183">
        <f t="shared" ca="1" si="3"/>
        <v>917773898</v>
      </c>
      <c r="E85" s="63" t="str">
        <f t="shared" ca="1" si="4"/>
        <v>trinhlx.lan@vnpt.vn</v>
      </c>
      <c r="F85" s="64" t="str">
        <f t="shared" ca="1" si="5"/>
        <v>Lần 15</v>
      </c>
      <c r="G85" s="70"/>
      <c r="H85" s="75"/>
      <c r="I85" s="75"/>
      <c r="J85" s="75"/>
      <c r="K85" s="75"/>
      <c r="L85" s="91"/>
      <c r="M85" s="184">
        <f t="shared" ref="M85:M86" ca="1" si="13">IF(B85="","",IF(OR(G84="",H84="",I84=""),0,1))</f>
        <v>0</v>
      </c>
      <c r="N85" s="67">
        <f t="shared" ca="1" si="12"/>
        <v>0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185" t="str">
        <f t="shared" ca="1" si="9"/>
        <v>Tổ Hạ tầng Kiến Tường</v>
      </c>
      <c r="C86" s="82" t="str">
        <f t="shared" ca="1" si="2"/>
        <v>Lê Xuân Trình</v>
      </c>
      <c r="D86" s="186">
        <f t="shared" ca="1" si="3"/>
        <v>917773898</v>
      </c>
      <c r="E86" s="84" t="str">
        <f t="shared" ca="1" si="4"/>
        <v>trinhlx.lan@vnpt.vn</v>
      </c>
      <c r="F86" s="85" t="str">
        <f t="shared" ca="1" si="5"/>
        <v>Lần 16</v>
      </c>
      <c r="G86" s="70"/>
      <c r="H86" s="199"/>
      <c r="I86" s="199"/>
      <c r="J86" s="257"/>
      <c r="K86" s="257"/>
      <c r="L86" s="152"/>
      <c r="M86" s="189">
        <f t="shared" ca="1" si="13"/>
        <v>0</v>
      </c>
      <c r="N86" s="171">
        <f t="shared" ca="1" si="12"/>
        <v>0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190" t="str">
        <f t="shared" ca="1" si="9"/>
        <v>Tổ Hạ tầng Kiến Tường</v>
      </c>
      <c r="C87" s="48" t="str">
        <f t="shared" ca="1" si="2"/>
        <v>Phan Hồng Quang</v>
      </c>
      <c r="D87" s="191">
        <f t="shared" ca="1" si="3"/>
        <v>849215967</v>
      </c>
      <c r="E87" s="50" t="str">
        <f t="shared" ca="1" si="4"/>
        <v>quangph.lan@vnpt.vn</v>
      </c>
      <c r="F87" s="51" t="str">
        <f t="shared" ca="1" si="5"/>
        <v>Lần 1</v>
      </c>
      <c r="G87" s="70">
        <v>46209</v>
      </c>
      <c r="H87" s="142">
        <v>71.400000000000006</v>
      </c>
      <c r="I87" s="142">
        <v>22.6</v>
      </c>
      <c r="J87" s="244">
        <v>85.7</v>
      </c>
      <c r="K87" s="244">
        <v>45.9</v>
      </c>
      <c r="L87" s="193"/>
      <c r="M87" s="194">
        <f t="shared" ref="M87:M130" ca="1" si="14">IF(B87="","",IF(OR(G87="",H87="",I87=""),0,1))</f>
        <v>1</v>
      </c>
      <c r="N87" s="195">
        <f t="shared" ref="N87:N108" ca="1" si="15">IF(B87="","",IF(OR(G87="",J87="",K87=""),0,1))</f>
        <v>1</v>
      </c>
      <c r="O87" s="68">
        <f t="shared" ca="1" si="8"/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182" t="str">
        <f t="shared" ca="1" si="9"/>
        <v>Tổ Hạ tầng Kiến Tường</v>
      </c>
      <c r="C88" s="61" t="str">
        <f t="shared" ca="1" si="2"/>
        <v>Phan Hồng Quang</v>
      </c>
      <c r="D88" s="183">
        <f t="shared" ca="1" si="3"/>
        <v>849215967</v>
      </c>
      <c r="E88" s="63" t="str">
        <f t="shared" ca="1" si="4"/>
        <v>quangph.lan@vnpt.vn</v>
      </c>
      <c r="F88" s="64" t="str">
        <f t="shared" ca="1" si="5"/>
        <v>Lần 2</v>
      </c>
      <c r="G88" s="70">
        <v>46209</v>
      </c>
      <c r="H88" s="71">
        <v>88.9</v>
      </c>
      <c r="I88" s="71">
        <v>36.9</v>
      </c>
      <c r="J88" s="94">
        <v>81.599999999999994</v>
      </c>
      <c r="K88" s="94">
        <v>54.4</v>
      </c>
      <c r="L88" s="95"/>
      <c r="M88" s="184">
        <f t="shared" ca="1" si="14"/>
        <v>1</v>
      </c>
      <c r="N88" s="67">
        <f t="shared" ca="1" si="15"/>
        <v>1</v>
      </c>
      <c r="O88" s="68">
        <f t="shared" ca="1" si="8"/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182" t="str">
        <f t="shared" ca="1" si="9"/>
        <v>Tổ Hạ tầng Kiến Tường</v>
      </c>
      <c r="C89" s="61" t="str">
        <f t="shared" ca="1" si="2"/>
        <v>Phan Hồng Quang</v>
      </c>
      <c r="D89" s="183">
        <f t="shared" ca="1" si="3"/>
        <v>849215967</v>
      </c>
      <c r="E89" s="63" t="str">
        <f t="shared" ca="1" si="4"/>
        <v>quangph.lan@vnpt.vn</v>
      </c>
      <c r="F89" s="64" t="str">
        <f t="shared" ca="1" si="5"/>
        <v>Lần 3</v>
      </c>
      <c r="G89" s="70">
        <v>46209</v>
      </c>
      <c r="H89" s="71">
        <v>102</v>
      </c>
      <c r="I89" s="71">
        <v>49.4</v>
      </c>
      <c r="J89" s="94">
        <v>93.2</v>
      </c>
      <c r="K89" s="94">
        <v>42.4</v>
      </c>
      <c r="L89" s="95"/>
      <c r="M89" s="184">
        <f t="shared" ca="1" si="14"/>
        <v>1</v>
      </c>
      <c r="N89" s="67">
        <f t="shared" ca="1" si="15"/>
        <v>1</v>
      </c>
      <c r="O89" s="68">
        <f t="shared" ca="1" si="8"/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182" t="str">
        <f t="shared" ca="1" si="9"/>
        <v>Tổ Hạ tầng Kiến Tường</v>
      </c>
      <c r="C90" s="61" t="str">
        <f t="shared" ca="1" si="2"/>
        <v>Phan Hồng Quang</v>
      </c>
      <c r="D90" s="183">
        <f t="shared" ca="1" si="3"/>
        <v>849215967</v>
      </c>
      <c r="E90" s="63" t="str">
        <f t="shared" ca="1" si="4"/>
        <v>quangph.lan@vnpt.vn</v>
      </c>
      <c r="F90" s="64" t="str">
        <f t="shared" ca="1" si="5"/>
        <v>Lần 4</v>
      </c>
      <c r="G90" s="70">
        <v>46209</v>
      </c>
      <c r="H90" s="71">
        <v>90.4</v>
      </c>
      <c r="I90" s="71">
        <v>15.3</v>
      </c>
      <c r="J90" s="94">
        <v>88.5</v>
      </c>
      <c r="K90" s="94">
        <v>57.5</v>
      </c>
      <c r="L90" s="95"/>
      <c r="M90" s="184">
        <f t="shared" ca="1" si="14"/>
        <v>1</v>
      </c>
      <c r="N90" s="67">
        <f t="shared" ca="1" si="15"/>
        <v>1</v>
      </c>
      <c r="O90" s="68">
        <f t="shared" ca="1" si="8"/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182" t="str">
        <f t="shared" ca="1" si="9"/>
        <v>Tổ Hạ tầng Kiến Tường</v>
      </c>
      <c r="C91" s="61" t="str">
        <f t="shared" ca="1" si="2"/>
        <v>Phan Hồng Quang</v>
      </c>
      <c r="D91" s="183">
        <f t="shared" ca="1" si="3"/>
        <v>849215967</v>
      </c>
      <c r="E91" s="63" t="str">
        <f t="shared" ca="1" si="4"/>
        <v>quangph.lan@vnpt.vn</v>
      </c>
      <c r="F91" s="64" t="str">
        <f t="shared" ca="1" si="5"/>
        <v>Lần 5</v>
      </c>
      <c r="G91" s="70"/>
      <c r="H91" s="75"/>
      <c r="I91" s="75"/>
      <c r="J91" s="94"/>
      <c r="K91" s="94"/>
      <c r="L91" s="95"/>
      <c r="M91" s="184">
        <f t="shared" ca="1" si="14"/>
        <v>0</v>
      </c>
      <c r="N91" s="67">
        <f t="shared" ca="1" si="15"/>
        <v>0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182" t="str">
        <f t="shared" ca="1" si="9"/>
        <v>Tổ Hạ tầng Kiến Tường</v>
      </c>
      <c r="C92" s="61" t="str">
        <f t="shared" ca="1" si="2"/>
        <v>Phan Hồng Quang</v>
      </c>
      <c r="D92" s="183">
        <f t="shared" ca="1" si="3"/>
        <v>849215967</v>
      </c>
      <c r="E92" s="63" t="str">
        <f t="shared" ca="1" si="4"/>
        <v>quangph.lan@vnpt.vn</v>
      </c>
      <c r="F92" s="64" t="str">
        <f t="shared" ca="1" si="5"/>
        <v>Lần 6</v>
      </c>
      <c r="G92" s="70"/>
      <c r="H92" s="75"/>
      <c r="I92" s="75"/>
      <c r="J92" s="94"/>
      <c r="K92" s="94"/>
      <c r="L92" s="95"/>
      <c r="M92" s="184">
        <f t="shared" ca="1" si="14"/>
        <v>0</v>
      </c>
      <c r="N92" s="67">
        <f t="shared" ca="1" si="15"/>
        <v>0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182" t="str">
        <f t="shared" ca="1" si="9"/>
        <v>Tổ Hạ tầng Kiến Tường</v>
      </c>
      <c r="C93" s="61" t="str">
        <f t="shared" ca="1" si="2"/>
        <v>Phan Hồng Quang</v>
      </c>
      <c r="D93" s="183">
        <f t="shared" ca="1" si="3"/>
        <v>849215967</v>
      </c>
      <c r="E93" s="63" t="str">
        <f t="shared" ca="1" si="4"/>
        <v>quangph.lan@vnpt.vn</v>
      </c>
      <c r="F93" s="64" t="str">
        <f t="shared" ca="1" si="5"/>
        <v>Lần 7</v>
      </c>
      <c r="G93" s="70"/>
      <c r="H93" s="75"/>
      <c r="I93" s="75"/>
      <c r="J93" s="94"/>
      <c r="K93" s="94"/>
      <c r="L93" s="95"/>
      <c r="M93" s="184">
        <f t="shared" ca="1" si="14"/>
        <v>0</v>
      </c>
      <c r="N93" s="67">
        <f t="shared" ca="1" si="15"/>
        <v>0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182" t="str">
        <f t="shared" ca="1" si="9"/>
        <v>Tổ Hạ tầng Kiến Tường</v>
      </c>
      <c r="C94" s="61" t="str">
        <f t="shared" ca="1" si="2"/>
        <v>Phan Hồng Quang</v>
      </c>
      <c r="D94" s="183">
        <f t="shared" ca="1" si="3"/>
        <v>849215967</v>
      </c>
      <c r="E94" s="63" t="str">
        <f t="shared" ca="1" si="4"/>
        <v>quangph.lan@vnpt.vn</v>
      </c>
      <c r="F94" s="64" t="str">
        <f t="shared" ca="1" si="5"/>
        <v>Lần 8</v>
      </c>
      <c r="G94" s="70"/>
      <c r="H94" s="75"/>
      <c r="I94" s="75"/>
      <c r="J94" s="94"/>
      <c r="K94" s="94"/>
      <c r="L94" s="95"/>
      <c r="M94" s="184">
        <f t="shared" ca="1" si="14"/>
        <v>0</v>
      </c>
      <c r="N94" s="67">
        <f t="shared" ca="1" si="15"/>
        <v>0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182" t="str">
        <f t="shared" ca="1" si="9"/>
        <v>Tổ Hạ tầng Kiến Tường</v>
      </c>
      <c r="C95" s="61" t="str">
        <f t="shared" ca="1" si="2"/>
        <v>Phan Hồng Quang</v>
      </c>
      <c r="D95" s="183">
        <f t="shared" ca="1" si="3"/>
        <v>849215967</v>
      </c>
      <c r="E95" s="63" t="str">
        <f t="shared" ca="1" si="4"/>
        <v>quangph.lan@vnpt.vn</v>
      </c>
      <c r="F95" s="64" t="str">
        <f t="shared" ca="1" si="5"/>
        <v>Lần 9</v>
      </c>
      <c r="G95" s="76"/>
      <c r="H95" s="75"/>
      <c r="I95" s="75"/>
      <c r="J95" s="94"/>
      <c r="K95" s="94"/>
      <c r="L95" s="95"/>
      <c r="M95" s="184">
        <f t="shared" ca="1" si="14"/>
        <v>0</v>
      </c>
      <c r="N95" s="67">
        <f t="shared" ca="1" si="15"/>
        <v>0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182" t="str">
        <f t="shared" ca="1" si="9"/>
        <v>Tổ Hạ tầng Kiến Tường</v>
      </c>
      <c r="C96" s="61" t="str">
        <f t="shared" ca="1" si="2"/>
        <v>Phan Hồng Quang</v>
      </c>
      <c r="D96" s="183">
        <f t="shared" ca="1" si="3"/>
        <v>849215967</v>
      </c>
      <c r="E96" s="63" t="str">
        <f t="shared" ca="1" si="4"/>
        <v>quangph.lan@vnpt.vn</v>
      </c>
      <c r="F96" s="64" t="str">
        <f t="shared" ca="1" si="5"/>
        <v>Lần 10</v>
      </c>
      <c r="G96" s="76"/>
      <c r="H96" s="75"/>
      <c r="I96" s="75"/>
      <c r="J96" s="94"/>
      <c r="K96" s="94"/>
      <c r="L96" s="95"/>
      <c r="M96" s="184">
        <f t="shared" ca="1" si="14"/>
        <v>0</v>
      </c>
      <c r="N96" s="67">
        <f t="shared" ca="1" si="15"/>
        <v>0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182" t="str">
        <f t="shared" ca="1" si="9"/>
        <v>Tổ Hạ tầng Kiến Tường</v>
      </c>
      <c r="C97" s="61" t="str">
        <f t="shared" ca="1" si="2"/>
        <v>Phan Hồng Quang</v>
      </c>
      <c r="D97" s="183">
        <f t="shared" ca="1" si="3"/>
        <v>849215967</v>
      </c>
      <c r="E97" s="63" t="str">
        <f t="shared" ca="1" si="4"/>
        <v>quangph.lan@vnpt.vn</v>
      </c>
      <c r="F97" s="64" t="str">
        <f t="shared" ca="1" si="5"/>
        <v>Lần 11</v>
      </c>
      <c r="G97" s="76"/>
      <c r="H97" s="75"/>
      <c r="I97" s="75"/>
      <c r="J97" s="94"/>
      <c r="K97" s="94"/>
      <c r="L97" s="95"/>
      <c r="M97" s="184">
        <f t="shared" ca="1" si="14"/>
        <v>0</v>
      </c>
      <c r="N97" s="67">
        <f t="shared" ca="1" si="15"/>
        <v>0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182" t="str">
        <f t="shared" ca="1" si="9"/>
        <v>Tổ Hạ tầng Kiến Tường</v>
      </c>
      <c r="C98" s="61" t="str">
        <f t="shared" ca="1" si="2"/>
        <v>Phan Hồng Quang</v>
      </c>
      <c r="D98" s="183">
        <f t="shared" ca="1" si="3"/>
        <v>849215967</v>
      </c>
      <c r="E98" s="63" t="str">
        <f t="shared" ca="1" si="4"/>
        <v>quangph.lan@vnpt.vn</v>
      </c>
      <c r="F98" s="64" t="str">
        <f t="shared" ca="1" si="5"/>
        <v>Lần 12</v>
      </c>
      <c r="G98" s="76"/>
      <c r="H98" s="75"/>
      <c r="I98" s="75"/>
      <c r="J98" s="94"/>
      <c r="K98" s="94"/>
      <c r="L98" s="95"/>
      <c r="M98" s="184">
        <f t="shared" ca="1" si="14"/>
        <v>0</v>
      </c>
      <c r="N98" s="67">
        <f t="shared" ca="1" si="15"/>
        <v>0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182" t="str">
        <f t="shared" ca="1" si="9"/>
        <v>Tổ Hạ tầng Kiến Tường</v>
      </c>
      <c r="C99" s="61" t="str">
        <f t="shared" ca="1" si="2"/>
        <v>Phan Hồng Quang</v>
      </c>
      <c r="D99" s="183">
        <f t="shared" ca="1" si="3"/>
        <v>849215967</v>
      </c>
      <c r="E99" s="63" t="str">
        <f t="shared" ca="1" si="4"/>
        <v>quangph.lan@vnpt.vn</v>
      </c>
      <c r="F99" s="64" t="str">
        <f t="shared" ca="1" si="5"/>
        <v>Lần 13</v>
      </c>
      <c r="G99" s="76"/>
      <c r="H99" s="75"/>
      <c r="I99" s="75"/>
      <c r="J99" s="94"/>
      <c r="K99" s="94"/>
      <c r="L99" s="95"/>
      <c r="M99" s="184">
        <f t="shared" ca="1" si="14"/>
        <v>0</v>
      </c>
      <c r="N99" s="67">
        <f t="shared" ca="1" si="15"/>
        <v>0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182" t="str">
        <f t="shared" ca="1" si="9"/>
        <v>Tổ Hạ tầng Kiến Tường</v>
      </c>
      <c r="C100" s="61" t="str">
        <f t="shared" ca="1" si="2"/>
        <v>Phan Hồng Quang</v>
      </c>
      <c r="D100" s="183">
        <f t="shared" ca="1" si="3"/>
        <v>849215967</v>
      </c>
      <c r="E100" s="63" t="str">
        <f t="shared" ca="1" si="4"/>
        <v>quangph.lan@vnpt.vn</v>
      </c>
      <c r="F100" s="64" t="str">
        <f t="shared" ca="1" si="5"/>
        <v>Lần 14</v>
      </c>
      <c r="G100" s="76"/>
      <c r="H100" s="75"/>
      <c r="I100" s="75"/>
      <c r="J100" s="94"/>
      <c r="K100" s="94"/>
      <c r="L100" s="95"/>
      <c r="M100" s="184">
        <f t="shared" ca="1" si="14"/>
        <v>0</v>
      </c>
      <c r="N100" s="67">
        <f t="shared" ca="1" si="15"/>
        <v>0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182" t="str">
        <f t="shared" ca="1" si="9"/>
        <v>Tổ Hạ tầng Kiến Tường</v>
      </c>
      <c r="C101" s="61" t="str">
        <f t="shared" ca="1" si="2"/>
        <v>Phan Hồng Quang</v>
      </c>
      <c r="D101" s="183">
        <f t="shared" ca="1" si="3"/>
        <v>849215967</v>
      </c>
      <c r="E101" s="63" t="str">
        <f t="shared" ca="1" si="4"/>
        <v>quangph.lan@vnpt.vn</v>
      </c>
      <c r="F101" s="64" t="str">
        <f t="shared" ca="1" si="5"/>
        <v>Lần 15</v>
      </c>
      <c r="G101" s="76"/>
      <c r="H101" s="75"/>
      <c r="I101" s="75"/>
      <c r="J101" s="94"/>
      <c r="K101" s="94"/>
      <c r="L101" s="95"/>
      <c r="M101" s="184">
        <f t="shared" ca="1" si="14"/>
        <v>0</v>
      </c>
      <c r="N101" s="67">
        <f t="shared" ca="1" si="15"/>
        <v>0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96" t="str">
        <f t="shared" ca="1" si="9"/>
        <v>Tổ Hạ tầng Kiến Tường</v>
      </c>
      <c r="C102" s="102" t="str">
        <f t="shared" ca="1" si="2"/>
        <v>Phan Hồng Quang</v>
      </c>
      <c r="D102" s="197">
        <f t="shared" ca="1" si="3"/>
        <v>849215967</v>
      </c>
      <c r="E102" s="104" t="str">
        <f t="shared" ca="1" si="4"/>
        <v>quangph.lan@vnpt.vn</v>
      </c>
      <c r="F102" s="105" t="str">
        <f t="shared" ca="1" si="5"/>
        <v>Lần 16</v>
      </c>
      <c r="G102" s="76"/>
      <c r="H102" s="199"/>
      <c r="I102" s="199"/>
      <c r="J102" s="245"/>
      <c r="K102" s="245"/>
      <c r="L102" s="212"/>
      <c r="M102" s="202">
        <f t="shared" ca="1" si="14"/>
        <v>0</v>
      </c>
      <c r="N102" s="203">
        <f t="shared" ca="1" si="15"/>
        <v>0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204" t="str">
        <f t="shared" ca="1" si="9"/>
        <v>Tổ Hạ tầng Kiến Tường</v>
      </c>
      <c r="C103" s="108" t="str">
        <f t="shared" ca="1" si="2"/>
        <v>Huỳnh Đức Huy</v>
      </c>
      <c r="D103" s="205">
        <f t="shared" ca="1" si="3"/>
        <v>949552355</v>
      </c>
      <c r="E103" s="110" t="str">
        <f t="shared" ca="1" si="4"/>
        <v>huyhd.lan@vnpt.vn</v>
      </c>
      <c r="F103" s="111" t="str">
        <f t="shared" ca="1" si="5"/>
        <v>Lần 1</v>
      </c>
      <c r="G103" s="258"/>
      <c r="H103" s="207"/>
      <c r="I103" s="259"/>
      <c r="J103" s="260"/>
      <c r="K103" s="260"/>
      <c r="L103" s="213"/>
      <c r="M103" s="181">
        <f t="shared" ca="1" si="14"/>
        <v>0</v>
      </c>
      <c r="N103" s="57">
        <f t="shared" ca="1" si="15"/>
        <v>0</v>
      </c>
      <c r="O103" s="68">
        <f t="shared" ca="1" si="8"/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182" t="str">
        <f t="shared" ca="1" si="9"/>
        <v>Tổ Hạ tầng Kiến Tường</v>
      </c>
      <c r="C104" s="61" t="str">
        <f t="shared" ca="1" si="2"/>
        <v>Huỳnh Đức Huy</v>
      </c>
      <c r="D104" s="183">
        <f t="shared" ca="1" si="3"/>
        <v>949552355</v>
      </c>
      <c r="E104" s="63" t="str">
        <f t="shared" ca="1" si="4"/>
        <v>huyhd.lan@vnpt.vn</v>
      </c>
      <c r="F104" s="64" t="str">
        <f t="shared" ca="1" si="5"/>
        <v>Lần 2</v>
      </c>
      <c r="G104" s="258"/>
      <c r="H104" s="121"/>
      <c r="I104" s="261"/>
      <c r="J104" s="98"/>
      <c r="K104" s="141"/>
      <c r="L104" s="88"/>
      <c r="M104" s="184">
        <f t="shared" ca="1" si="14"/>
        <v>0</v>
      </c>
      <c r="N104" s="67">
        <f t="shared" ca="1" si="15"/>
        <v>0</v>
      </c>
      <c r="O104" s="68">
        <f t="shared" ca="1" si="8"/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182" t="str">
        <f t="shared" ca="1" si="9"/>
        <v>Tổ Hạ tầng Kiến Tường</v>
      </c>
      <c r="C105" s="61" t="str">
        <f t="shared" ca="1" si="2"/>
        <v>Huỳnh Đức Huy</v>
      </c>
      <c r="D105" s="183">
        <f t="shared" ca="1" si="3"/>
        <v>949552355</v>
      </c>
      <c r="E105" s="63" t="str">
        <f t="shared" ca="1" si="4"/>
        <v>huyhd.lan@vnpt.vn</v>
      </c>
      <c r="F105" s="64" t="str">
        <f t="shared" ca="1" si="5"/>
        <v>Lần 3</v>
      </c>
      <c r="G105" s="262"/>
      <c r="H105" s="121"/>
      <c r="I105" s="261"/>
      <c r="J105" s="99"/>
      <c r="K105" s="99"/>
      <c r="L105" s="88"/>
      <c r="M105" s="184">
        <f t="shared" ca="1" si="14"/>
        <v>0</v>
      </c>
      <c r="N105" s="67">
        <f t="shared" ca="1" si="15"/>
        <v>0</v>
      </c>
      <c r="O105" s="68">
        <f t="shared" ca="1" si="8"/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182" t="str">
        <f t="shared" ca="1" si="9"/>
        <v>Tổ Hạ tầng Kiến Tường</v>
      </c>
      <c r="C106" s="61" t="str">
        <f t="shared" ca="1" si="2"/>
        <v>Huỳnh Đức Huy</v>
      </c>
      <c r="D106" s="183">
        <f t="shared" ca="1" si="3"/>
        <v>949552355</v>
      </c>
      <c r="E106" s="63" t="str">
        <f t="shared" ca="1" si="4"/>
        <v>huyhd.lan@vnpt.vn</v>
      </c>
      <c r="F106" s="64" t="str">
        <f t="shared" ca="1" si="5"/>
        <v>Lần 4</v>
      </c>
      <c r="G106" s="262"/>
      <c r="H106" s="121"/>
      <c r="I106" s="121"/>
      <c r="J106" s="99"/>
      <c r="K106" s="261"/>
      <c r="L106" s="88"/>
      <c r="M106" s="184">
        <f t="shared" ca="1" si="14"/>
        <v>0</v>
      </c>
      <c r="N106" s="67">
        <f t="shared" ca="1" si="15"/>
        <v>0</v>
      </c>
      <c r="O106" s="68">
        <f t="shared" ca="1" si="8"/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182" t="str">
        <f t="shared" ca="1" si="9"/>
        <v>Tổ Hạ tầng Kiến Tường</v>
      </c>
      <c r="C107" s="61" t="str">
        <f t="shared" ca="1" si="2"/>
        <v>Huỳnh Đức Huy</v>
      </c>
      <c r="D107" s="183">
        <f t="shared" ca="1" si="3"/>
        <v>949552355</v>
      </c>
      <c r="E107" s="63" t="str">
        <f t="shared" ca="1" si="4"/>
        <v>huyhd.lan@vnpt.vn</v>
      </c>
      <c r="F107" s="64" t="str">
        <f t="shared" ca="1" si="5"/>
        <v>Lần 5</v>
      </c>
      <c r="G107" s="262"/>
      <c r="H107" s="122"/>
      <c r="I107" s="140"/>
      <c r="J107" s="98"/>
      <c r="K107" s="98"/>
      <c r="L107" s="88"/>
      <c r="M107" s="184">
        <f t="shared" ca="1" si="14"/>
        <v>0</v>
      </c>
      <c r="N107" s="67">
        <f t="shared" ca="1" si="15"/>
        <v>0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182" t="str">
        <f t="shared" ca="1" si="9"/>
        <v>Tổ Hạ tầng Kiến Tường</v>
      </c>
      <c r="C108" s="61" t="str">
        <f t="shared" ca="1" si="2"/>
        <v>Huỳnh Đức Huy</v>
      </c>
      <c r="D108" s="183">
        <f t="shared" ca="1" si="3"/>
        <v>949552355</v>
      </c>
      <c r="E108" s="63" t="str">
        <f t="shared" ca="1" si="4"/>
        <v>huyhd.lan@vnpt.vn</v>
      </c>
      <c r="F108" s="64" t="str">
        <f t="shared" ca="1" si="5"/>
        <v>Lần 6</v>
      </c>
      <c r="G108" s="262"/>
      <c r="H108" s="122"/>
      <c r="I108" s="140"/>
      <c r="J108" s="98"/>
      <c r="K108" s="141"/>
      <c r="L108" s="88"/>
      <c r="M108" s="184">
        <f t="shared" ca="1" si="14"/>
        <v>0</v>
      </c>
      <c r="N108" s="67">
        <f t="shared" ca="1" si="15"/>
        <v>0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182" t="str">
        <f t="shared" ca="1" si="9"/>
        <v>Tổ Hạ tầng Kiến Tường</v>
      </c>
      <c r="C109" s="61" t="str">
        <f t="shared" ca="1" si="2"/>
        <v>Huỳnh Đức Huy</v>
      </c>
      <c r="D109" s="183">
        <f t="shared" ca="1" si="3"/>
        <v>949552355</v>
      </c>
      <c r="E109" s="63" t="str">
        <f t="shared" ca="1" si="4"/>
        <v>huyhd.lan@vnpt.vn</v>
      </c>
      <c r="F109" s="64" t="str">
        <f t="shared" ca="1" si="5"/>
        <v>Lần 7</v>
      </c>
      <c r="G109" s="262"/>
      <c r="H109" s="122"/>
      <c r="I109" s="140"/>
      <c r="J109" s="35"/>
      <c r="K109" s="141"/>
      <c r="L109" s="88"/>
      <c r="M109" s="184">
        <f t="shared" ca="1" si="14"/>
        <v>0</v>
      </c>
      <c r="N109" s="67">
        <f ca="1">IF(B109="","",IF(OR(G109="",K107="",K109=""),0,1))</f>
        <v>0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182" t="str">
        <f t="shared" ca="1" si="9"/>
        <v>Tổ Hạ tầng Kiến Tường</v>
      </c>
      <c r="C110" s="61" t="str">
        <f t="shared" ca="1" si="2"/>
        <v>Huỳnh Đức Huy</v>
      </c>
      <c r="D110" s="183">
        <f t="shared" ca="1" si="3"/>
        <v>949552355</v>
      </c>
      <c r="E110" s="63" t="str">
        <f t="shared" ca="1" si="4"/>
        <v>huyhd.lan@vnpt.vn</v>
      </c>
      <c r="F110" s="64" t="str">
        <f t="shared" ca="1" si="5"/>
        <v>Lần 8</v>
      </c>
      <c r="G110" s="262"/>
      <c r="H110" s="122"/>
      <c r="I110" s="140"/>
      <c r="J110" s="98"/>
      <c r="K110" s="141"/>
      <c r="L110" s="88"/>
      <c r="M110" s="184">
        <f t="shared" ca="1" si="14"/>
        <v>0</v>
      </c>
      <c r="N110" s="67">
        <f t="shared" ref="N110:N130" ca="1" si="16">IF(B110="","",IF(OR(G110="",J110="",K110=""),0,1))</f>
        <v>0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182" t="str">
        <f t="shared" ca="1" si="9"/>
        <v>Tổ Hạ tầng Kiến Tường</v>
      </c>
      <c r="C111" s="61" t="str">
        <f t="shared" ca="1" si="2"/>
        <v>Huỳnh Đức Huy</v>
      </c>
      <c r="D111" s="183">
        <f t="shared" ca="1" si="3"/>
        <v>949552355</v>
      </c>
      <c r="E111" s="63" t="str">
        <f t="shared" ca="1" si="4"/>
        <v>huyhd.lan@vnpt.vn</v>
      </c>
      <c r="F111" s="64" t="str">
        <f t="shared" ca="1" si="5"/>
        <v>Lần 9</v>
      </c>
      <c r="G111" s="262"/>
      <c r="H111" s="122"/>
      <c r="I111" s="140"/>
      <c r="J111" s="98"/>
      <c r="K111" s="141"/>
      <c r="L111" s="88"/>
      <c r="M111" s="184">
        <f t="shared" ca="1" si="14"/>
        <v>0</v>
      </c>
      <c r="N111" s="67">
        <f t="shared" ca="1" si="16"/>
        <v>0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182" t="str">
        <f t="shared" ca="1" si="9"/>
        <v>Tổ Hạ tầng Kiến Tường</v>
      </c>
      <c r="C112" s="61" t="str">
        <f t="shared" ca="1" si="2"/>
        <v>Huỳnh Đức Huy</v>
      </c>
      <c r="D112" s="183">
        <f t="shared" ca="1" si="3"/>
        <v>949552355</v>
      </c>
      <c r="E112" s="63" t="str">
        <f t="shared" ca="1" si="4"/>
        <v>huyhd.lan@vnpt.vn</v>
      </c>
      <c r="F112" s="64" t="str">
        <f t="shared" ca="1" si="5"/>
        <v>Lần 10</v>
      </c>
      <c r="G112" s="262"/>
      <c r="H112" s="122"/>
      <c r="I112" s="122"/>
      <c r="J112" s="98"/>
      <c r="K112" s="141"/>
      <c r="L112" s="88"/>
      <c r="M112" s="184">
        <f t="shared" ca="1" si="14"/>
        <v>0</v>
      </c>
      <c r="N112" s="67">
        <f t="shared" ca="1" si="16"/>
        <v>0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182" t="str">
        <f t="shared" ca="1" si="9"/>
        <v>Tổ Hạ tầng Kiến Tường</v>
      </c>
      <c r="C113" s="61" t="str">
        <f t="shared" ca="1" si="2"/>
        <v>Huỳnh Đức Huy</v>
      </c>
      <c r="D113" s="183">
        <f t="shared" ca="1" si="3"/>
        <v>949552355</v>
      </c>
      <c r="E113" s="63" t="str">
        <f t="shared" ca="1" si="4"/>
        <v>huyhd.lan@vnpt.vn</v>
      </c>
      <c r="F113" s="64" t="str">
        <f t="shared" ca="1" si="5"/>
        <v>Lần 11</v>
      </c>
      <c r="G113" s="262"/>
      <c r="H113" s="122"/>
      <c r="I113" s="140"/>
      <c r="J113" s="98"/>
      <c r="K113" s="98"/>
      <c r="L113" s="88"/>
      <c r="M113" s="184">
        <f t="shared" ca="1" si="14"/>
        <v>0</v>
      </c>
      <c r="N113" s="67">
        <f t="shared" ca="1" si="16"/>
        <v>0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182" t="str">
        <f t="shared" ca="1" si="9"/>
        <v>Tổ Hạ tầng Kiến Tường</v>
      </c>
      <c r="C114" s="61" t="str">
        <f t="shared" ca="1" si="2"/>
        <v>Huỳnh Đức Huy</v>
      </c>
      <c r="D114" s="183">
        <f t="shared" ca="1" si="3"/>
        <v>949552355</v>
      </c>
      <c r="E114" s="63" t="str">
        <f t="shared" ca="1" si="4"/>
        <v>huyhd.lan@vnpt.vn</v>
      </c>
      <c r="F114" s="64" t="str">
        <f t="shared" ca="1" si="5"/>
        <v>Lần 12</v>
      </c>
      <c r="G114" s="262"/>
      <c r="H114" s="122"/>
      <c r="I114" s="140"/>
      <c r="J114" s="98"/>
      <c r="K114" s="141"/>
      <c r="L114" s="88"/>
      <c r="M114" s="184">
        <f t="shared" ca="1" si="14"/>
        <v>0</v>
      </c>
      <c r="N114" s="67">
        <f t="shared" ca="1" si="16"/>
        <v>0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182" t="str">
        <f t="shared" ca="1" si="9"/>
        <v>Tổ Hạ tầng Kiến Tường</v>
      </c>
      <c r="C115" s="61" t="str">
        <f t="shared" ca="1" si="2"/>
        <v>Huỳnh Đức Huy</v>
      </c>
      <c r="D115" s="183">
        <f t="shared" ca="1" si="3"/>
        <v>949552355</v>
      </c>
      <c r="E115" s="63" t="str">
        <f t="shared" ca="1" si="4"/>
        <v>huyhd.lan@vnpt.vn</v>
      </c>
      <c r="F115" s="64" t="str">
        <f t="shared" ca="1" si="5"/>
        <v>Lần 13</v>
      </c>
      <c r="G115" s="262"/>
      <c r="H115" s="122"/>
      <c r="I115" s="140"/>
      <c r="J115" s="98"/>
      <c r="K115" s="141"/>
      <c r="L115" s="88"/>
      <c r="M115" s="184">
        <f t="shared" ca="1" si="14"/>
        <v>0</v>
      </c>
      <c r="N115" s="67">
        <f t="shared" ca="1" si="16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182" t="str">
        <f t="shared" ca="1" si="9"/>
        <v>Tổ Hạ tầng Kiến Tường</v>
      </c>
      <c r="C116" s="61" t="str">
        <f t="shared" ca="1" si="2"/>
        <v>Huỳnh Đức Huy</v>
      </c>
      <c r="D116" s="183">
        <f t="shared" ca="1" si="3"/>
        <v>949552355</v>
      </c>
      <c r="E116" s="63" t="str">
        <f t="shared" ca="1" si="4"/>
        <v>huyhd.lan@vnpt.vn</v>
      </c>
      <c r="F116" s="64" t="str">
        <f t="shared" ca="1" si="5"/>
        <v>Lần 14</v>
      </c>
      <c r="G116" s="262"/>
      <c r="H116" s="122"/>
      <c r="I116" s="140"/>
      <c r="J116" s="98"/>
      <c r="K116" s="141"/>
      <c r="L116" s="88"/>
      <c r="M116" s="184">
        <f t="shared" ca="1" si="14"/>
        <v>0</v>
      </c>
      <c r="N116" s="67">
        <f t="shared" ca="1" si="16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182" t="str">
        <f t="shared" ca="1" si="9"/>
        <v>Tổ Hạ tầng Kiến Tường</v>
      </c>
      <c r="C117" s="61" t="str">
        <f t="shared" ca="1" si="2"/>
        <v>Huỳnh Đức Huy</v>
      </c>
      <c r="D117" s="183">
        <f t="shared" ca="1" si="3"/>
        <v>949552355</v>
      </c>
      <c r="E117" s="63" t="str">
        <f t="shared" ca="1" si="4"/>
        <v>huyhd.lan@vnpt.vn</v>
      </c>
      <c r="F117" s="64" t="str">
        <f t="shared" ca="1" si="5"/>
        <v>Lần 15</v>
      </c>
      <c r="G117" s="262"/>
      <c r="H117" s="122"/>
      <c r="I117" s="140"/>
      <c r="J117" s="98"/>
      <c r="K117" s="141"/>
      <c r="L117" s="88"/>
      <c r="M117" s="184">
        <f t="shared" ca="1" si="14"/>
        <v>0</v>
      </c>
      <c r="N117" s="67">
        <f t="shared" ca="1" si="16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185" t="str">
        <f t="shared" ca="1" si="9"/>
        <v>Tổ Hạ tầng Kiến Tường</v>
      </c>
      <c r="C118" s="82" t="str">
        <f t="shared" ca="1" si="2"/>
        <v>Huỳnh Đức Huy</v>
      </c>
      <c r="D118" s="186">
        <f t="shared" ca="1" si="3"/>
        <v>949552355</v>
      </c>
      <c r="E118" s="84" t="str">
        <f t="shared" ca="1" si="4"/>
        <v>huyhd.lan@vnpt.vn</v>
      </c>
      <c r="F118" s="85" t="str">
        <f t="shared" ca="1" si="5"/>
        <v>Lần 16</v>
      </c>
      <c r="G118" s="262"/>
      <c r="H118" s="150"/>
      <c r="I118" s="263"/>
      <c r="J118" s="151"/>
      <c r="K118" s="264"/>
      <c r="L118" s="218"/>
      <c r="M118" s="189">
        <f t="shared" ca="1" si="14"/>
        <v>0</v>
      </c>
      <c r="N118" s="171">
        <f t="shared" ca="1" si="16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190" t="str">
        <f t="shared" ca="1" si="9"/>
        <v>Tổ Hạ tầng Kiến Tường</v>
      </c>
      <c r="C119" s="48" t="str">
        <f t="shared" ca="1" si="2"/>
        <v>Đinh Bộ Lĩnh</v>
      </c>
      <c r="D119" s="191">
        <f t="shared" ca="1" si="3"/>
        <v>846528979</v>
      </c>
      <c r="E119" s="50" t="str">
        <f t="shared" ca="1" si="4"/>
        <v>linhdb.lan@vnpt.vn</v>
      </c>
      <c r="F119" s="51" t="str">
        <f t="shared" ca="1" si="5"/>
        <v>Lần 1</v>
      </c>
      <c r="G119" s="70">
        <v>46206</v>
      </c>
      <c r="H119" s="142" t="s">
        <v>382</v>
      </c>
      <c r="I119" s="142" t="s">
        <v>383</v>
      </c>
      <c r="J119" s="244">
        <v>90.9</v>
      </c>
      <c r="K119" s="244" t="s">
        <v>384</v>
      </c>
      <c r="L119" s="265" t="s">
        <v>357</v>
      </c>
      <c r="M119" s="56">
        <f t="shared" ca="1" si="14"/>
        <v>1</v>
      </c>
      <c r="N119" s="266">
        <f t="shared" ca="1" si="16"/>
        <v>1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182" t="str">
        <f t="shared" ca="1" si="9"/>
        <v>Tổ Hạ tầng Kiến Tường</v>
      </c>
      <c r="C120" s="61" t="str">
        <f t="shared" ca="1" si="2"/>
        <v>Đinh Bộ Lĩnh</v>
      </c>
      <c r="D120" s="183">
        <f t="shared" ca="1" si="3"/>
        <v>846528979</v>
      </c>
      <c r="E120" s="63" t="str">
        <f t="shared" ca="1" si="4"/>
        <v>linhdb.lan@vnpt.vn</v>
      </c>
      <c r="F120" s="64" t="str">
        <f t="shared" ca="1" si="5"/>
        <v>Lần 2</v>
      </c>
      <c r="G120" s="70">
        <v>46206</v>
      </c>
      <c r="H120" s="71">
        <v>101</v>
      </c>
      <c r="I120" s="267">
        <v>46046</v>
      </c>
      <c r="J120" s="94">
        <v>116</v>
      </c>
      <c r="K120" s="267">
        <v>46053</v>
      </c>
      <c r="L120" s="265" t="s">
        <v>357</v>
      </c>
      <c r="M120" s="66">
        <f t="shared" ca="1" si="14"/>
        <v>1</v>
      </c>
      <c r="N120" s="268">
        <f t="shared" ca="1" si="16"/>
        <v>1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182" t="str">
        <f t="shared" ca="1" si="9"/>
        <v>Tổ Hạ tầng Kiến Tường</v>
      </c>
      <c r="C121" s="61" t="str">
        <f t="shared" ca="1" si="2"/>
        <v>Đinh Bộ Lĩnh</v>
      </c>
      <c r="D121" s="183">
        <f t="shared" ca="1" si="3"/>
        <v>846528979</v>
      </c>
      <c r="E121" s="63" t="str">
        <f t="shared" ca="1" si="4"/>
        <v>linhdb.lan@vnpt.vn</v>
      </c>
      <c r="F121" s="64" t="str">
        <f t="shared" ca="1" si="5"/>
        <v>Lần 3</v>
      </c>
      <c r="G121" s="70">
        <v>46206</v>
      </c>
      <c r="H121" s="71" t="s">
        <v>385</v>
      </c>
      <c r="I121" s="71" t="s">
        <v>386</v>
      </c>
      <c r="J121" s="94">
        <v>90.8</v>
      </c>
      <c r="K121" s="94" t="s">
        <v>387</v>
      </c>
      <c r="L121" s="265" t="s">
        <v>357</v>
      </c>
      <c r="M121" s="66">
        <f t="shared" ca="1" si="14"/>
        <v>1</v>
      </c>
      <c r="N121" s="268">
        <f t="shared" ca="1" si="16"/>
        <v>1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182" t="str">
        <f t="shared" ca="1" si="9"/>
        <v>Tổ Hạ tầng Kiến Tường</v>
      </c>
      <c r="C122" s="61" t="str">
        <f t="shared" ca="1" si="2"/>
        <v>Đinh Bộ Lĩnh</v>
      </c>
      <c r="D122" s="183">
        <f t="shared" ca="1" si="3"/>
        <v>846528979</v>
      </c>
      <c r="E122" s="63" t="str">
        <f t="shared" ca="1" si="4"/>
        <v>linhdb.lan@vnpt.vn</v>
      </c>
      <c r="F122" s="64" t="str">
        <f t="shared" ca="1" si="5"/>
        <v>Lần 4</v>
      </c>
      <c r="G122" s="70">
        <v>46206</v>
      </c>
      <c r="H122" s="71" t="s">
        <v>388</v>
      </c>
      <c r="I122" s="71" t="s">
        <v>389</v>
      </c>
      <c r="J122" s="94">
        <v>104</v>
      </c>
      <c r="K122" s="94" t="s">
        <v>390</v>
      </c>
      <c r="L122" s="265" t="s">
        <v>357</v>
      </c>
      <c r="M122" s="66">
        <f t="shared" ca="1" si="14"/>
        <v>1</v>
      </c>
      <c r="N122" s="268">
        <f t="shared" ca="1" si="16"/>
        <v>1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182" t="str">
        <f t="shared" ca="1" si="9"/>
        <v>Tổ Hạ tầng Kiến Tường</v>
      </c>
      <c r="C123" s="61" t="str">
        <f t="shared" ca="1" si="2"/>
        <v>Đinh Bộ Lĩnh</v>
      </c>
      <c r="D123" s="183">
        <f t="shared" ca="1" si="3"/>
        <v>846528979</v>
      </c>
      <c r="E123" s="63" t="str">
        <f t="shared" ca="1" si="4"/>
        <v>linhdb.lan@vnpt.vn</v>
      </c>
      <c r="F123" s="64" t="str">
        <f t="shared" ca="1" si="5"/>
        <v>Lần 5</v>
      </c>
      <c r="G123" s="76">
        <v>46211</v>
      </c>
      <c r="H123" s="75" t="s">
        <v>391</v>
      </c>
      <c r="I123" s="75" t="s">
        <v>392</v>
      </c>
      <c r="J123" s="94">
        <v>89.4</v>
      </c>
      <c r="K123" s="94" t="s">
        <v>393</v>
      </c>
      <c r="L123" s="265" t="s">
        <v>357</v>
      </c>
      <c r="M123" s="66">
        <f t="shared" ca="1" si="14"/>
        <v>1</v>
      </c>
      <c r="N123" s="268">
        <f t="shared" ca="1" si="16"/>
        <v>1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182" t="str">
        <f t="shared" ca="1" si="9"/>
        <v>Tổ Hạ tầng Kiến Tường</v>
      </c>
      <c r="C124" s="61" t="str">
        <f t="shared" ca="1" si="2"/>
        <v>Đinh Bộ Lĩnh</v>
      </c>
      <c r="D124" s="183">
        <f t="shared" ca="1" si="3"/>
        <v>846528979</v>
      </c>
      <c r="E124" s="63" t="str">
        <f t="shared" ca="1" si="4"/>
        <v>linhdb.lan@vnpt.vn</v>
      </c>
      <c r="F124" s="64" t="str">
        <f t="shared" ca="1" si="5"/>
        <v>Lần 6</v>
      </c>
      <c r="G124" s="76">
        <v>46211</v>
      </c>
      <c r="H124" s="75" t="s">
        <v>394</v>
      </c>
      <c r="I124" s="75" t="s">
        <v>345</v>
      </c>
      <c r="J124" s="94">
        <v>81.400000000000006</v>
      </c>
      <c r="K124" s="94" t="s">
        <v>395</v>
      </c>
      <c r="L124" s="265" t="s">
        <v>357</v>
      </c>
      <c r="M124" s="66">
        <f t="shared" ca="1" si="14"/>
        <v>1</v>
      </c>
      <c r="N124" s="268">
        <f t="shared" ca="1" si="16"/>
        <v>1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182" t="str">
        <f t="shared" ca="1" si="9"/>
        <v>Tổ Hạ tầng Kiến Tường</v>
      </c>
      <c r="C125" s="61" t="str">
        <f t="shared" ca="1" si="2"/>
        <v>Đinh Bộ Lĩnh</v>
      </c>
      <c r="D125" s="183">
        <f t="shared" ca="1" si="3"/>
        <v>846528979</v>
      </c>
      <c r="E125" s="63" t="str">
        <f t="shared" ca="1" si="4"/>
        <v>linhdb.lan@vnpt.vn</v>
      </c>
      <c r="F125" s="64" t="str">
        <f t="shared" ca="1" si="5"/>
        <v>Lần 7</v>
      </c>
      <c r="G125" s="76">
        <v>46211</v>
      </c>
      <c r="H125" s="75" t="s">
        <v>396</v>
      </c>
      <c r="I125" s="75" t="s">
        <v>397</v>
      </c>
      <c r="J125" s="94">
        <v>72.900000000000006</v>
      </c>
      <c r="K125" s="94" t="s">
        <v>284</v>
      </c>
      <c r="L125" s="265" t="s">
        <v>357</v>
      </c>
      <c r="M125" s="66">
        <f t="shared" ca="1" si="14"/>
        <v>1</v>
      </c>
      <c r="N125" s="268">
        <f t="shared" ca="1" si="16"/>
        <v>1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182" t="str">
        <f t="shared" ca="1" si="9"/>
        <v>Tổ Hạ tầng Kiến Tường</v>
      </c>
      <c r="C126" s="61" t="str">
        <f t="shared" ca="1" si="2"/>
        <v>Đinh Bộ Lĩnh</v>
      </c>
      <c r="D126" s="183">
        <f t="shared" ca="1" si="3"/>
        <v>846528979</v>
      </c>
      <c r="E126" s="63" t="str">
        <f t="shared" ca="1" si="4"/>
        <v>linhdb.lan@vnpt.vn</v>
      </c>
      <c r="F126" s="64" t="str">
        <f t="shared" ca="1" si="5"/>
        <v>Lần 8</v>
      </c>
      <c r="G126" s="76">
        <v>46211</v>
      </c>
      <c r="H126" s="75" t="s">
        <v>398</v>
      </c>
      <c r="I126" s="75" t="s">
        <v>399</v>
      </c>
      <c r="J126" s="94">
        <v>98</v>
      </c>
      <c r="K126" s="94" t="s">
        <v>400</v>
      </c>
      <c r="L126" s="265" t="s">
        <v>357</v>
      </c>
      <c r="M126" s="66">
        <f t="shared" ca="1" si="14"/>
        <v>1</v>
      </c>
      <c r="N126" s="268">
        <f t="shared" ca="1" si="16"/>
        <v>1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182" t="str">
        <f t="shared" ca="1" si="9"/>
        <v>Tổ Hạ tầng Kiến Tường</v>
      </c>
      <c r="C127" s="61" t="str">
        <f t="shared" ca="1" si="2"/>
        <v>Đinh Bộ Lĩnh</v>
      </c>
      <c r="D127" s="183">
        <f t="shared" ca="1" si="3"/>
        <v>846528979</v>
      </c>
      <c r="E127" s="63" t="str">
        <f t="shared" ca="1" si="4"/>
        <v>linhdb.lan@vnpt.vn</v>
      </c>
      <c r="F127" s="64" t="str">
        <f t="shared" ca="1" si="5"/>
        <v>Lần 9</v>
      </c>
      <c r="G127" s="76">
        <v>46216</v>
      </c>
      <c r="H127" s="75" t="s">
        <v>401</v>
      </c>
      <c r="I127" s="240">
        <v>46109</v>
      </c>
      <c r="J127" s="94">
        <v>87.7</v>
      </c>
      <c r="K127" s="94" t="s">
        <v>402</v>
      </c>
      <c r="L127" s="265" t="s">
        <v>357</v>
      </c>
      <c r="M127" s="66">
        <f t="shared" ca="1" si="14"/>
        <v>1</v>
      </c>
      <c r="N127" s="268">
        <f t="shared" ca="1" si="16"/>
        <v>1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182" t="str">
        <f t="shared" ca="1" si="9"/>
        <v>Tổ Hạ tầng Kiến Tường</v>
      </c>
      <c r="C128" s="61" t="str">
        <f t="shared" ca="1" si="2"/>
        <v>Đinh Bộ Lĩnh</v>
      </c>
      <c r="D128" s="183">
        <f t="shared" ca="1" si="3"/>
        <v>846528979</v>
      </c>
      <c r="E128" s="63" t="str">
        <f t="shared" ca="1" si="4"/>
        <v>linhdb.lan@vnpt.vn</v>
      </c>
      <c r="F128" s="64" t="str">
        <f t="shared" ca="1" si="5"/>
        <v>Lần 10</v>
      </c>
      <c r="G128" s="76">
        <v>46217</v>
      </c>
      <c r="H128" s="75">
        <v>135</v>
      </c>
      <c r="I128" s="75" t="s">
        <v>403</v>
      </c>
      <c r="J128" s="94">
        <v>164</v>
      </c>
      <c r="K128" s="94" t="s">
        <v>404</v>
      </c>
      <c r="L128" s="265" t="s">
        <v>357</v>
      </c>
      <c r="M128" s="66">
        <f t="shared" ca="1" si="14"/>
        <v>1</v>
      </c>
      <c r="N128" s="268">
        <f t="shared" ca="1" si="16"/>
        <v>1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182" t="str">
        <f t="shared" ca="1" si="9"/>
        <v>Tổ Hạ tầng Kiến Tường</v>
      </c>
      <c r="C129" s="61" t="str">
        <f t="shared" ca="1" si="2"/>
        <v>Đinh Bộ Lĩnh</v>
      </c>
      <c r="D129" s="183">
        <f t="shared" ca="1" si="3"/>
        <v>846528979</v>
      </c>
      <c r="E129" s="63" t="str">
        <f t="shared" ca="1" si="4"/>
        <v>linhdb.lan@vnpt.vn</v>
      </c>
      <c r="F129" s="64" t="str">
        <f t="shared" ca="1" si="5"/>
        <v>Lần 11</v>
      </c>
      <c r="G129" s="76">
        <v>46217</v>
      </c>
      <c r="H129" s="75" t="s">
        <v>405</v>
      </c>
      <c r="I129" s="75" t="s">
        <v>406</v>
      </c>
      <c r="J129" s="94">
        <v>106</v>
      </c>
      <c r="K129" s="94">
        <v>54</v>
      </c>
      <c r="L129" s="265" t="s">
        <v>357</v>
      </c>
      <c r="M129" s="66">
        <f t="shared" ca="1" si="14"/>
        <v>1</v>
      </c>
      <c r="N129" s="268">
        <f t="shared" ca="1" si="16"/>
        <v>1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182" t="str">
        <f t="shared" ca="1" si="9"/>
        <v>Tổ Hạ tầng Kiến Tường</v>
      </c>
      <c r="C130" s="61" t="str">
        <f t="shared" ca="1" si="2"/>
        <v>Đinh Bộ Lĩnh</v>
      </c>
      <c r="D130" s="183">
        <f t="shared" ca="1" si="3"/>
        <v>846528979</v>
      </c>
      <c r="E130" s="63" t="str">
        <f t="shared" ca="1" si="4"/>
        <v>linhdb.lan@vnpt.vn</v>
      </c>
      <c r="F130" s="64" t="str">
        <f t="shared" ca="1" si="5"/>
        <v>Lần 12</v>
      </c>
      <c r="G130" s="76">
        <v>46217</v>
      </c>
      <c r="H130" s="75" t="s">
        <v>407</v>
      </c>
      <c r="I130" s="240">
        <v>46053</v>
      </c>
      <c r="J130" s="94">
        <v>161</v>
      </c>
      <c r="K130" s="94" t="s">
        <v>296</v>
      </c>
      <c r="L130" s="265" t="s">
        <v>357</v>
      </c>
      <c r="M130" s="66">
        <f t="shared" ca="1" si="14"/>
        <v>1</v>
      </c>
      <c r="N130" s="268">
        <f t="shared" ca="1" si="16"/>
        <v>1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182" t="str">
        <f t="shared" ca="1" si="9"/>
        <v>Tổ Hạ tầng Kiến Tường</v>
      </c>
      <c r="C131" s="61" t="str">
        <f t="shared" ca="1" si="2"/>
        <v>Đinh Bộ Lĩnh</v>
      </c>
      <c r="D131" s="183">
        <f t="shared" ca="1" si="3"/>
        <v>846528979</v>
      </c>
      <c r="E131" s="63" t="str">
        <f t="shared" ca="1" si="4"/>
        <v>linhdb.lan@vnpt.vn</v>
      </c>
      <c r="F131" s="64" t="str">
        <f t="shared" ca="1" si="5"/>
        <v>Lần 13</v>
      </c>
      <c r="G131" s="76"/>
      <c r="H131" s="75"/>
      <c r="I131" s="240"/>
      <c r="J131" s="94"/>
      <c r="K131" s="94"/>
      <c r="L131" s="265" t="s">
        <v>357</v>
      </c>
      <c r="M131" s="66">
        <f ca="1">IF(B131="","",IF(OR(G130="",H131="",I131=""),0,1))</f>
        <v>0</v>
      </c>
      <c r="N131" s="268">
        <f ca="1">IF(B131="","",IF(OR(G130="",J131="",K131=""),0,1))</f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182" t="str">
        <f t="shared" ca="1" si="9"/>
        <v>Tổ Hạ tầng Kiến Tường</v>
      </c>
      <c r="C132" s="61" t="str">
        <f t="shared" ca="1" si="2"/>
        <v>Đinh Bộ Lĩnh</v>
      </c>
      <c r="D132" s="183">
        <f t="shared" ca="1" si="3"/>
        <v>846528979</v>
      </c>
      <c r="E132" s="63" t="str">
        <f t="shared" ca="1" si="4"/>
        <v>linhdb.lan@vnpt.vn</v>
      </c>
      <c r="F132" s="64" t="str">
        <f t="shared" ca="1" si="5"/>
        <v>Lần 14</v>
      </c>
      <c r="G132" s="76"/>
      <c r="H132" s="75"/>
      <c r="I132" s="75"/>
      <c r="J132" s="94"/>
      <c r="K132" s="94"/>
      <c r="L132" s="265" t="s">
        <v>357</v>
      </c>
      <c r="M132" s="66">
        <f t="shared" ref="M132:M144" ca="1" si="17">IF(B132="","",IF(OR(G132="",H132="",I132=""),0,1))</f>
        <v>0</v>
      </c>
      <c r="N132" s="268">
        <f t="shared" ref="N132:N144" ca="1" si="18">IF(B132="","",IF(OR(G132="",J132="",K132=""),0,1))</f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182" t="str">
        <f t="shared" ca="1" si="9"/>
        <v>Tổ Hạ tầng Kiến Tường</v>
      </c>
      <c r="C133" s="61" t="str">
        <f t="shared" ca="1" si="2"/>
        <v>Đinh Bộ Lĩnh</v>
      </c>
      <c r="D133" s="183">
        <f t="shared" ca="1" si="3"/>
        <v>846528979</v>
      </c>
      <c r="E133" s="63" t="str">
        <f t="shared" ca="1" si="4"/>
        <v>linhdb.lan@vnpt.vn</v>
      </c>
      <c r="F133" s="64" t="str">
        <f t="shared" ca="1" si="5"/>
        <v>Lần 15</v>
      </c>
      <c r="G133" s="76"/>
      <c r="H133" s="75"/>
      <c r="I133" s="75"/>
      <c r="J133" s="94"/>
      <c r="K133" s="94"/>
      <c r="L133" s="265" t="s">
        <v>357</v>
      </c>
      <c r="M133" s="66">
        <f t="shared" ca="1" si="17"/>
        <v>0</v>
      </c>
      <c r="N133" s="268">
        <f t="shared" ca="1" si="18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96" t="str">
        <f t="shared" ca="1" si="9"/>
        <v>Tổ Hạ tầng Kiến Tường</v>
      </c>
      <c r="C134" s="102" t="str">
        <f t="shared" ca="1" si="2"/>
        <v>Đinh Bộ Lĩnh</v>
      </c>
      <c r="D134" s="197">
        <f t="shared" ca="1" si="3"/>
        <v>846528979</v>
      </c>
      <c r="E134" s="104" t="str">
        <f t="shared" ca="1" si="4"/>
        <v>linhdb.lan@vnpt.vn</v>
      </c>
      <c r="F134" s="105" t="str">
        <f t="shared" ca="1" si="5"/>
        <v>Lần 16</v>
      </c>
      <c r="G134" s="76"/>
      <c r="H134" s="199"/>
      <c r="I134" s="199"/>
      <c r="J134" s="245"/>
      <c r="K134" s="245"/>
      <c r="L134" s="265" t="s">
        <v>357</v>
      </c>
      <c r="M134" s="170">
        <f t="shared" ca="1" si="17"/>
        <v>0</v>
      </c>
      <c r="N134" s="269">
        <f t="shared" ca="1" si="18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204" t="str">
        <f t="shared" ca="1" si="9"/>
        <v>Tổ Hạ tầng Kiến Tường</v>
      </c>
      <c r="C135" s="108" t="str">
        <f t="shared" ca="1" si="2"/>
        <v>Võ Quang Thìn</v>
      </c>
      <c r="D135" s="205">
        <f t="shared" ca="1" si="3"/>
        <v>913632800</v>
      </c>
      <c r="E135" s="110" t="str">
        <f t="shared" ca="1" si="4"/>
        <v>thinvq.lan@vnpt.vn</v>
      </c>
      <c r="F135" s="111" t="str">
        <f t="shared" ca="1" si="5"/>
        <v>Lần 1</v>
      </c>
      <c r="G135" s="258"/>
      <c r="H135" s="207"/>
      <c r="I135" s="207"/>
      <c r="J135" s="147"/>
      <c r="K135" s="147"/>
      <c r="L135" s="270" t="s">
        <v>279</v>
      </c>
      <c r="M135" s="181">
        <f t="shared" ca="1" si="17"/>
        <v>0</v>
      </c>
      <c r="N135" s="57">
        <f t="shared" ca="1" si="18"/>
        <v>0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182" t="str">
        <f t="shared" ca="1" si="9"/>
        <v>Tổ Hạ tầng Kiến Tường</v>
      </c>
      <c r="C136" s="61" t="str">
        <f t="shared" ca="1" si="2"/>
        <v>Võ Quang Thìn</v>
      </c>
      <c r="D136" s="183">
        <f t="shared" ca="1" si="3"/>
        <v>913632800</v>
      </c>
      <c r="E136" s="63" t="str">
        <f t="shared" ca="1" si="4"/>
        <v>thinvq.lan@vnpt.vn</v>
      </c>
      <c r="F136" s="64" t="str">
        <f t="shared" ca="1" si="5"/>
        <v>Lần 2</v>
      </c>
      <c r="G136" s="258"/>
      <c r="H136" s="121"/>
      <c r="I136" s="121"/>
      <c r="J136" s="98"/>
      <c r="K136" s="98"/>
      <c r="L136" s="270" t="s">
        <v>279</v>
      </c>
      <c r="M136" s="184">
        <f t="shared" ca="1" si="17"/>
        <v>0</v>
      </c>
      <c r="N136" s="67">
        <f t="shared" ca="1" si="18"/>
        <v>0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182" t="str">
        <f t="shared" ca="1" si="9"/>
        <v>Tổ Hạ tầng Kiến Tường</v>
      </c>
      <c r="C137" s="61" t="str">
        <f t="shared" ca="1" si="2"/>
        <v>Võ Quang Thìn</v>
      </c>
      <c r="D137" s="183">
        <f t="shared" ca="1" si="3"/>
        <v>913632800</v>
      </c>
      <c r="E137" s="63" t="str">
        <f t="shared" ca="1" si="4"/>
        <v>thinvq.lan@vnpt.vn</v>
      </c>
      <c r="F137" s="64" t="str">
        <f t="shared" ca="1" si="5"/>
        <v>Lần 3</v>
      </c>
      <c r="G137" s="97"/>
      <c r="H137" s="121"/>
      <c r="I137" s="121"/>
      <c r="J137" s="99"/>
      <c r="K137" s="99"/>
      <c r="L137" s="270" t="s">
        <v>279</v>
      </c>
      <c r="M137" s="184">
        <f t="shared" ca="1" si="17"/>
        <v>0</v>
      </c>
      <c r="N137" s="67">
        <f t="shared" ca="1" si="18"/>
        <v>0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182" t="str">
        <f t="shared" ca="1" si="9"/>
        <v>Tổ Hạ tầng Kiến Tường</v>
      </c>
      <c r="C138" s="61" t="str">
        <f t="shared" ca="1" si="2"/>
        <v>Võ Quang Thìn</v>
      </c>
      <c r="D138" s="183">
        <f t="shared" ca="1" si="3"/>
        <v>913632800</v>
      </c>
      <c r="E138" s="63" t="str">
        <f t="shared" ca="1" si="4"/>
        <v>thinvq.lan@vnpt.vn</v>
      </c>
      <c r="F138" s="64" t="str">
        <f t="shared" ca="1" si="5"/>
        <v>Lần 4</v>
      </c>
      <c r="G138" s="97"/>
      <c r="H138" s="121"/>
      <c r="I138" s="121"/>
      <c r="J138" s="99"/>
      <c r="K138" s="99"/>
      <c r="L138" s="270" t="s">
        <v>279</v>
      </c>
      <c r="M138" s="184">
        <f t="shared" ca="1" si="17"/>
        <v>0</v>
      </c>
      <c r="N138" s="67">
        <f t="shared" ca="1" si="18"/>
        <v>0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182" t="str">
        <f t="shared" ca="1" si="9"/>
        <v>Tổ Hạ tầng Kiến Tường</v>
      </c>
      <c r="C139" s="61" t="str">
        <f t="shared" ca="1" si="2"/>
        <v>Võ Quang Thìn</v>
      </c>
      <c r="D139" s="183">
        <f t="shared" ca="1" si="3"/>
        <v>913632800</v>
      </c>
      <c r="E139" s="63" t="str">
        <f t="shared" ca="1" si="4"/>
        <v>thinvq.lan@vnpt.vn</v>
      </c>
      <c r="F139" s="64" t="str">
        <f t="shared" ca="1" si="5"/>
        <v>Lần 5</v>
      </c>
      <c r="G139" s="97"/>
      <c r="H139" s="122"/>
      <c r="I139" s="122"/>
      <c r="J139" s="98"/>
      <c r="K139" s="98"/>
      <c r="L139" s="270" t="s">
        <v>279</v>
      </c>
      <c r="M139" s="184">
        <f t="shared" ca="1" si="17"/>
        <v>0</v>
      </c>
      <c r="N139" s="67">
        <f t="shared" ca="1" si="18"/>
        <v>0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182" t="str">
        <f t="shared" ca="1" si="9"/>
        <v>Tổ Hạ tầng Kiến Tường</v>
      </c>
      <c r="C140" s="61" t="str">
        <f t="shared" ca="1" si="2"/>
        <v>Võ Quang Thìn</v>
      </c>
      <c r="D140" s="183">
        <f t="shared" ca="1" si="3"/>
        <v>913632800</v>
      </c>
      <c r="E140" s="63" t="str">
        <f t="shared" ca="1" si="4"/>
        <v>thinvq.lan@vnpt.vn</v>
      </c>
      <c r="F140" s="64" t="str">
        <f t="shared" ca="1" si="5"/>
        <v>Lần 6</v>
      </c>
      <c r="G140" s="97"/>
      <c r="H140" s="122"/>
      <c r="I140" s="122"/>
      <c r="J140" s="98"/>
      <c r="K140" s="98"/>
      <c r="L140" s="270" t="s">
        <v>279</v>
      </c>
      <c r="M140" s="184">
        <f t="shared" ca="1" si="17"/>
        <v>0</v>
      </c>
      <c r="N140" s="67">
        <f t="shared" ca="1" si="18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182" t="str">
        <f t="shared" ca="1" si="9"/>
        <v>Tổ Hạ tầng Kiến Tường</v>
      </c>
      <c r="C141" s="61" t="str">
        <f t="shared" ca="1" si="2"/>
        <v>Võ Quang Thìn</v>
      </c>
      <c r="D141" s="183">
        <f t="shared" ca="1" si="3"/>
        <v>913632800</v>
      </c>
      <c r="E141" s="63" t="str">
        <f t="shared" ca="1" si="4"/>
        <v>thinvq.lan@vnpt.vn</v>
      </c>
      <c r="F141" s="64" t="str">
        <f t="shared" ca="1" si="5"/>
        <v>Lần 7</v>
      </c>
      <c r="G141" s="97"/>
      <c r="H141" s="122"/>
      <c r="I141" s="122"/>
      <c r="J141" s="98"/>
      <c r="K141" s="98"/>
      <c r="L141" s="270" t="s">
        <v>279</v>
      </c>
      <c r="M141" s="184">
        <f t="shared" ca="1" si="17"/>
        <v>0</v>
      </c>
      <c r="N141" s="67">
        <f t="shared" ca="1" si="18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182" t="str">
        <f t="shared" ca="1" si="9"/>
        <v>Tổ Hạ tầng Kiến Tường</v>
      </c>
      <c r="C142" s="61" t="str">
        <f t="shared" ca="1" si="2"/>
        <v>Võ Quang Thìn</v>
      </c>
      <c r="D142" s="183">
        <f t="shared" ca="1" si="3"/>
        <v>913632800</v>
      </c>
      <c r="E142" s="63" t="str">
        <f t="shared" ca="1" si="4"/>
        <v>thinvq.lan@vnpt.vn</v>
      </c>
      <c r="F142" s="64" t="str">
        <f t="shared" ca="1" si="5"/>
        <v>Lần 8</v>
      </c>
      <c r="G142" s="97"/>
      <c r="H142" s="122"/>
      <c r="I142" s="122"/>
      <c r="J142" s="98"/>
      <c r="K142" s="98"/>
      <c r="L142" s="270" t="s">
        <v>279</v>
      </c>
      <c r="M142" s="184">
        <f t="shared" ca="1" si="17"/>
        <v>0</v>
      </c>
      <c r="N142" s="67">
        <f t="shared" ca="1" si="18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182" t="str">
        <f t="shared" ca="1" si="9"/>
        <v>Tổ Hạ tầng Kiến Tường</v>
      </c>
      <c r="C143" s="61" t="str">
        <f t="shared" ca="1" si="2"/>
        <v>Võ Quang Thìn</v>
      </c>
      <c r="D143" s="183">
        <f t="shared" ca="1" si="3"/>
        <v>913632800</v>
      </c>
      <c r="E143" s="63" t="str">
        <f t="shared" ca="1" si="4"/>
        <v>thinvq.lan@vnpt.vn</v>
      </c>
      <c r="F143" s="64" t="str">
        <f t="shared" ca="1" si="5"/>
        <v>Lần 9</v>
      </c>
      <c r="G143" s="97"/>
      <c r="H143" s="122"/>
      <c r="I143" s="122"/>
      <c r="J143" s="98"/>
      <c r="K143" s="98"/>
      <c r="L143" s="270" t="s">
        <v>279</v>
      </c>
      <c r="M143" s="184">
        <f t="shared" ca="1" si="17"/>
        <v>0</v>
      </c>
      <c r="N143" s="67">
        <f t="shared" ca="1" si="18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182" t="str">
        <f t="shared" ca="1" si="9"/>
        <v>Tổ Hạ tầng Kiến Tường</v>
      </c>
      <c r="C144" s="61" t="str">
        <f t="shared" ca="1" si="2"/>
        <v>Võ Quang Thìn</v>
      </c>
      <c r="D144" s="183">
        <f t="shared" ca="1" si="3"/>
        <v>913632800</v>
      </c>
      <c r="E144" s="63" t="str">
        <f t="shared" ca="1" si="4"/>
        <v>thinvq.lan@vnpt.vn</v>
      </c>
      <c r="F144" s="64" t="str">
        <f t="shared" ca="1" si="5"/>
        <v>Lần 10</v>
      </c>
      <c r="G144" s="97"/>
      <c r="H144" s="122"/>
      <c r="I144" s="122"/>
      <c r="J144" s="98"/>
      <c r="K144" s="98"/>
      <c r="L144" s="270" t="s">
        <v>279</v>
      </c>
      <c r="M144" s="184">
        <f t="shared" ca="1" si="17"/>
        <v>0</v>
      </c>
      <c r="N144" s="67">
        <f t="shared" ca="1" si="18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182" t="str">
        <f t="shared" ca="1" si="9"/>
        <v>Tổ Hạ tầng Kiến Tường</v>
      </c>
      <c r="C145" s="61" t="str">
        <f t="shared" ca="1" si="2"/>
        <v>Võ Quang Thìn</v>
      </c>
      <c r="D145" s="183">
        <f t="shared" ca="1" si="3"/>
        <v>913632800</v>
      </c>
      <c r="E145" s="63" t="str">
        <f t="shared" ca="1" si="4"/>
        <v>thinvq.lan@vnpt.vn</v>
      </c>
      <c r="F145" s="64" t="str">
        <f t="shared" ca="1" si="5"/>
        <v>Lần 11</v>
      </c>
      <c r="G145" s="97"/>
      <c r="H145" s="122"/>
      <c r="I145" s="122"/>
      <c r="J145" s="98"/>
      <c r="K145" s="98"/>
      <c r="L145" s="270" t="s">
        <v>279</v>
      </c>
      <c r="M145" s="184">
        <f t="shared" ref="M145:M146" ca="1" si="19">IF(B145="","",IF(OR(G146="",H145="",I145=""),0,1))</f>
        <v>0</v>
      </c>
      <c r="N145" s="67">
        <f t="shared" ref="N145:N146" ca="1" si="20">IF(B145="","",IF(OR(G146="",J145="",K145=""),0,1))</f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182" t="str">
        <f t="shared" ca="1" si="9"/>
        <v>Tổ Hạ tầng Kiến Tường</v>
      </c>
      <c r="C146" s="61" t="str">
        <f t="shared" ca="1" si="2"/>
        <v>Võ Quang Thìn</v>
      </c>
      <c r="D146" s="183">
        <f t="shared" ca="1" si="3"/>
        <v>913632800</v>
      </c>
      <c r="E146" s="63" t="str">
        <f t="shared" ca="1" si="4"/>
        <v>thinvq.lan@vnpt.vn</v>
      </c>
      <c r="F146" s="64" t="str">
        <f t="shared" ca="1" si="5"/>
        <v>Lần 12</v>
      </c>
      <c r="G146" s="97"/>
      <c r="H146" s="122"/>
      <c r="I146" s="122"/>
      <c r="J146" s="98"/>
      <c r="K146" s="98"/>
      <c r="L146" s="270" t="s">
        <v>279</v>
      </c>
      <c r="M146" s="184">
        <f t="shared" ca="1" si="19"/>
        <v>0</v>
      </c>
      <c r="N146" s="67">
        <f t="shared" ca="1" si="20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182" t="str">
        <f t="shared" ca="1" si="9"/>
        <v>Tổ Hạ tầng Kiến Tường</v>
      </c>
      <c r="C147" s="61" t="str">
        <f t="shared" ca="1" si="2"/>
        <v>Võ Quang Thìn</v>
      </c>
      <c r="D147" s="183">
        <f t="shared" ca="1" si="3"/>
        <v>913632800</v>
      </c>
      <c r="E147" s="63" t="str">
        <f t="shared" ca="1" si="4"/>
        <v>thinvq.lan@vnpt.vn</v>
      </c>
      <c r="F147" s="64" t="str">
        <f t="shared" ca="1" si="5"/>
        <v>Lần 13</v>
      </c>
      <c r="G147" s="97"/>
      <c r="H147" s="122"/>
      <c r="I147" s="122"/>
      <c r="J147" s="98"/>
      <c r="K147" s="98"/>
      <c r="L147" s="270" t="s">
        <v>279</v>
      </c>
      <c r="M147" s="184">
        <f t="shared" ref="M147:M294" ca="1" si="21">IF(B147="","",IF(OR(G147="",H147="",I147=""),0,1))</f>
        <v>0</v>
      </c>
      <c r="N147" s="67">
        <f t="shared" ref="N147:N294" ca="1" si="22">IF(B147="","",IF(OR(G147="",J147="",K147=""),0,1))</f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182" t="str">
        <f t="shared" ca="1" si="9"/>
        <v>Tổ Hạ tầng Kiến Tường</v>
      </c>
      <c r="C148" s="61" t="str">
        <f t="shared" ca="1" si="2"/>
        <v>Võ Quang Thìn</v>
      </c>
      <c r="D148" s="183">
        <f t="shared" ca="1" si="3"/>
        <v>913632800</v>
      </c>
      <c r="E148" s="63" t="str">
        <f t="shared" ca="1" si="4"/>
        <v>thinvq.lan@vnpt.vn</v>
      </c>
      <c r="F148" s="64" t="str">
        <f t="shared" ca="1" si="5"/>
        <v>Lần 14</v>
      </c>
      <c r="G148" s="97"/>
      <c r="H148" s="122"/>
      <c r="I148" s="122"/>
      <c r="J148" s="98"/>
      <c r="K148" s="98"/>
      <c r="L148" s="270" t="s">
        <v>279</v>
      </c>
      <c r="M148" s="184">
        <f t="shared" ca="1" si="21"/>
        <v>0</v>
      </c>
      <c r="N148" s="67">
        <f t="shared" ca="1" si="22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182" t="str">
        <f t="shared" ca="1" si="9"/>
        <v>Tổ Hạ tầng Kiến Tường</v>
      </c>
      <c r="C149" s="61" t="str">
        <f t="shared" ca="1" si="2"/>
        <v>Võ Quang Thìn</v>
      </c>
      <c r="D149" s="183">
        <f t="shared" ca="1" si="3"/>
        <v>913632800</v>
      </c>
      <c r="E149" s="63" t="str">
        <f t="shared" ca="1" si="4"/>
        <v>thinvq.lan@vnpt.vn</v>
      </c>
      <c r="F149" s="64" t="str">
        <f t="shared" ca="1" si="5"/>
        <v>Lần 15</v>
      </c>
      <c r="G149" s="97"/>
      <c r="H149" s="122"/>
      <c r="I149" s="122"/>
      <c r="J149" s="98"/>
      <c r="K149" s="98"/>
      <c r="L149" s="270" t="s">
        <v>279</v>
      </c>
      <c r="M149" s="184">
        <f t="shared" ca="1" si="21"/>
        <v>0</v>
      </c>
      <c r="N149" s="67">
        <f t="shared" ca="1" si="22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185" t="str">
        <f t="shared" ca="1" si="9"/>
        <v>Tổ Hạ tầng Kiến Tường</v>
      </c>
      <c r="C150" s="82" t="str">
        <f t="shared" ca="1" si="2"/>
        <v>Võ Quang Thìn</v>
      </c>
      <c r="D150" s="186">
        <f t="shared" ca="1" si="3"/>
        <v>913632800</v>
      </c>
      <c r="E150" s="84" t="str">
        <f t="shared" ca="1" si="4"/>
        <v>thinvq.lan@vnpt.vn</v>
      </c>
      <c r="F150" s="85" t="str">
        <f t="shared" ca="1" si="5"/>
        <v>Lần 16</v>
      </c>
      <c r="G150" s="219"/>
      <c r="H150" s="150"/>
      <c r="I150" s="150"/>
      <c r="J150" s="151"/>
      <c r="K150" s="151"/>
      <c r="L150" s="270" t="s">
        <v>279</v>
      </c>
      <c r="M150" s="189">
        <f t="shared" ca="1" si="21"/>
        <v>0</v>
      </c>
      <c r="N150" s="171">
        <f t="shared" ca="1" si="22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190" t="str">
        <f t="shared" ca="1" si="9"/>
        <v>Tổ Hạ tầng Kiến Tường</v>
      </c>
      <c r="C151" s="48" t="str">
        <f t="shared" ca="1" si="2"/>
        <v>Nguyễn Hoàng Phi</v>
      </c>
      <c r="D151" s="191">
        <f t="shared" ca="1" si="3"/>
        <v>945645759</v>
      </c>
      <c r="E151" s="50" t="str">
        <f t="shared" ca="1" si="4"/>
        <v>phinh.lan@vnpt.vn</v>
      </c>
      <c r="F151" s="51" t="str">
        <f t="shared" ca="1" si="5"/>
        <v>Lần 1</v>
      </c>
      <c r="G151" s="271"/>
      <c r="H151" s="142"/>
      <c r="I151" s="142"/>
      <c r="J151" s="272"/>
      <c r="K151" s="251"/>
      <c r="L151" s="270" t="s">
        <v>279</v>
      </c>
      <c r="M151" s="194">
        <f t="shared" ca="1" si="21"/>
        <v>0</v>
      </c>
      <c r="N151" s="195">
        <f t="shared" ca="1" si="22"/>
        <v>0</v>
      </c>
      <c r="O151" s="68">
        <f t="shared" ca="1" si="8"/>
        <v>0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182" t="str">
        <f t="shared" ca="1" si="9"/>
        <v>Tổ Hạ tầng Kiến Tường</v>
      </c>
      <c r="C152" s="61" t="str">
        <f t="shared" ca="1" si="2"/>
        <v>Nguyễn Hoàng Phi</v>
      </c>
      <c r="D152" s="183">
        <f t="shared" ca="1" si="3"/>
        <v>945645759</v>
      </c>
      <c r="E152" s="63" t="str">
        <f t="shared" ca="1" si="4"/>
        <v>phinh.lan@vnpt.vn</v>
      </c>
      <c r="F152" s="64" t="str">
        <f t="shared" ca="1" si="5"/>
        <v>Lần 2</v>
      </c>
      <c r="G152" s="271"/>
      <c r="H152" s="71"/>
      <c r="I152" s="71"/>
      <c r="J152" s="137"/>
      <c r="K152" s="138"/>
      <c r="L152" s="270" t="s">
        <v>279</v>
      </c>
      <c r="M152" s="184">
        <f t="shared" ca="1" si="21"/>
        <v>0</v>
      </c>
      <c r="N152" s="67">
        <f t="shared" ca="1" si="22"/>
        <v>0</v>
      </c>
      <c r="O152" s="68">
        <f t="shared" ca="1" si="8"/>
        <v>0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182" t="str">
        <f t="shared" ca="1" si="9"/>
        <v>Tổ Hạ tầng Kiến Tường</v>
      </c>
      <c r="C153" s="61" t="str">
        <f t="shared" ca="1" si="2"/>
        <v>Nguyễn Hoàng Phi</v>
      </c>
      <c r="D153" s="183">
        <f t="shared" ca="1" si="3"/>
        <v>945645759</v>
      </c>
      <c r="E153" s="63" t="str">
        <f t="shared" ca="1" si="4"/>
        <v>phinh.lan@vnpt.vn</v>
      </c>
      <c r="F153" s="64" t="str">
        <f t="shared" ca="1" si="5"/>
        <v>Lần 3</v>
      </c>
      <c r="G153" s="271"/>
      <c r="H153" s="71"/>
      <c r="I153" s="71"/>
      <c r="J153" s="137"/>
      <c r="K153" s="138"/>
      <c r="L153" s="270" t="s">
        <v>279</v>
      </c>
      <c r="M153" s="184">
        <f t="shared" ca="1" si="21"/>
        <v>0</v>
      </c>
      <c r="N153" s="67">
        <f t="shared" ca="1" si="22"/>
        <v>0</v>
      </c>
      <c r="O153" s="68">
        <f t="shared" ca="1" si="8"/>
        <v>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182" t="str">
        <f t="shared" ca="1" si="9"/>
        <v>Tổ Hạ tầng Kiến Tường</v>
      </c>
      <c r="C154" s="61" t="str">
        <f t="shared" ca="1" si="2"/>
        <v>Nguyễn Hoàng Phi</v>
      </c>
      <c r="D154" s="183">
        <f t="shared" ca="1" si="3"/>
        <v>945645759</v>
      </c>
      <c r="E154" s="63" t="str">
        <f t="shared" ca="1" si="4"/>
        <v>phinh.lan@vnpt.vn</v>
      </c>
      <c r="F154" s="64" t="str">
        <f t="shared" ca="1" si="5"/>
        <v>Lần 4</v>
      </c>
      <c r="G154" s="271"/>
      <c r="H154" s="71"/>
      <c r="I154" s="71"/>
      <c r="J154" s="137"/>
      <c r="K154" s="138"/>
      <c r="L154" s="270" t="s">
        <v>279</v>
      </c>
      <c r="M154" s="184">
        <f t="shared" ca="1" si="21"/>
        <v>0</v>
      </c>
      <c r="N154" s="67">
        <f t="shared" ca="1" si="22"/>
        <v>0</v>
      </c>
      <c r="O154" s="68">
        <f t="shared" ca="1" si="8"/>
        <v>0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182" t="str">
        <f t="shared" ca="1" si="9"/>
        <v>Tổ Hạ tầng Kiến Tường</v>
      </c>
      <c r="C155" s="61" t="str">
        <f t="shared" ca="1" si="2"/>
        <v>Nguyễn Hoàng Phi</v>
      </c>
      <c r="D155" s="183">
        <f t="shared" ca="1" si="3"/>
        <v>945645759</v>
      </c>
      <c r="E155" s="63" t="str">
        <f t="shared" ca="1" si="4"/>
        <v>phinh.lan@vnpt.vn</v>
      </c>
      <c r="F155" s="64" t="str">
        <f t="shared" ca="1" si="5"/>
        <v>Lần 5</v>
      </c>
      <c r="G155" s="136"/>
      <c r="H155" s="75"/>
      <c r="I155" s="75"/>
      <c r="J155" s="137"/>
      <c r="K155" s="138"/>
      <c r="L155" s="270" t="s">
        <v>279</v>
      </c>
      <c r="M155" s="184">
        <f t="shared" ca="1" si="21"/>
        <v>0</v>
      </c>
      <c r="N155" s="67">
        <f t="shared" ca="1" si="22"/>
        <v>0</v>
      </c>
      <c r="O155" s="68">
        <f t="shared" ca="1" si="8"/>
        <v>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182" t="str">
        <f t="shared" ca="1" si="9"/>
        <v>Tổ Hạ tầng Kiến Tường</v>
      </c>
      <c r="C156" s="61" t="str">
        <f t="shared" ca="1" si="2"/>
        <v>Nguyễn Hoàng Phi</v>
      </c>
      <c r="D156" s="183">
        <f t="shared" ca="1" si="3"/>
        <v>945645759</v>
      </c>
      <c r="E156" s="63" t="str">
        <f t="shared" ca="1" si="4"/>
        <v>phinh.lan@vnpt.vn</v>
      </c>
      <c r="F156" s="64" t="str">
        <f t="shared" ca="1" si="5"/>
        <v>Lần 6</v>
      </c>
      <c r="G156" s="136"/>
      <c r="H156" s="75"/>
      <c r="I156" s="75"/>
      <c r="J156" s="137"/>
      <c r="K156" s="138"/>
      <c r="L156" s="270" t="s">
        <v>279</v>
      </c>
      <c r="M156" s="184">
        <f t="shared" ca="1" si="21"/>
        <v>0</v>
      </c>
      <c r="N156" s="67">
        <f t="shared" ca="1" si="22"/>
        <v>0</v>
      </c>
      <c r="O156" s="68">
        <f t="shared" ca="1" si="8"/>
        <v>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182" t="str">
        <f t="shared" ca="1" si="9"/>
        <v>Tổ Hạ tầng Kiến Tường</v>
      </c>
      <c r="C157" s="61" t="str">
        <f t="shared" ca="1" si="2"/>
        <v>Nguyễn Hoàng Phi</v>
      </c>
      <c r="D157" s="183">
        <f t="shared" ca="1" si="3"/>
        <v>945645759</v>
      </c>
      <c r="E157" s="63" t="str">
        <f t="shared" ca="1" si="4"/>
        <v>phinh.lan@vnpt.vn</v>
      </c>
      <c r="F157" s="64" t="str">
        <f t="shared" ca="1" si="5"/>
        <v>Lần 7</v>
      </c>
      <c r="G157" s="136"/>
      <c r="H157" s="75"/>
      <c r="I157" s="75"/>
      <c r="J157" s="137"/>
      <c r="K157" s="138"/>
      <c r="L157" s="270" t="s">
        <v>279</v>
      </c>
      <c r="M157" s="184">
        <f t="shared" ca="1" si="21"/>
        <v>0</v>
      </c>
      <c r="N157" s="67">
        <f t="shared" ca="1" si="22"/>
        <v>0</v>
      </c>
      <c r="O157" s="68">
        <f t="shared" ca="1" si="8"/>
        <v>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182" t="str">
        <f t="shared" ca="1" si="9"/>
        <v>Tổ Hạ tầng Kiến Tường</v>
      </c>
      <c r="C158" s="61" t="str">
        <f t="shared" ca="1" si="2"/>
        <v>Nguyễn Hoàng Phi</v>
      </c>
      <c r="D158" s="183">
        <f t="shared" ca="1" si="3"/>
        <v>945645759</v>
      </c>
      <c r="E158" s="63" t="str">
        <f t="shared" ca="1" si="4"/>
        <v>phinh.lan@vnpt.vn</v>
      </c>
      <c r="F158" s="64" t="str">
        <f t="shared" ca="1" si="5"/>
        <v>Lần 8</v>
      </c>
      <c r="G158" s="136"/>
      <c r="H158" s="75"/>
      <c r="I158" s="75"/>
      <c r="J158" s="137"/>
      <c r="K158" s="138"/>
      <c r="L158" s="270" t="s">
        <v>279</v>
      </c>
      <c r="M158" s="184">
        <f t="shared" ca="1" si="21"/>
        <v>0</v>
      </c>
      <c r="N158" s="67">
        <f t="shared" ca="1" si="22"/>
        <v>0</v>
      </c>
      <c r="O158" s="68">
        <f t="shared" ca="1" si="8"/>
        <v>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182" t="str">
        <f t="shared" ca="1" si="9"/>
        <v>Tổ Hạ tầng Kiến Tường</v>
      </c>
      <c r="C159" s="61" t="str">
        <f t="shared" ca="1" si="2"/>
        <v>Nguyễn Hoàng Phi</v>
      </c>
      <c r="D159" s="183">
        <f t="shared" ca="1" si="3"/>
        <v>945645759</v>
      </c>
      <c r="E159" s="63" t="str">
        <f t="shared" ca="1" si="4"/>
        <v>phinh.lan@vnpt.vn</v>
      </c>
      <c r="F159" s="64" t="str">
        <f t="shared" ca="1" si="5"/>
        <v>Lần 9</v>
      </c>
      <c r="G159" s="136"/>
      <c r="H159" s="75"/>
      <c r="I159" s="75"/>
      <c r="J159" s="137"/>
      <c r="K159" s="137"/>
      <c r="L159" s="91" t="s">
        <v>357</v>
      </c>
      <c r="M159" s="184">
        <f t="shared" ca="1" si="21"/>
        <v>0</v>
      </c>
      <c r="N159" s="67">
        <f t="shared" ca="1" si="22"/>
        <v>0</v>
      </c>
      <c r="O159" s="68">
        <f t="shared" ca="1" si="8"/>
        <v>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182" t="str">
        <f t="shared" ca="1" si="9"/>
        <v>Tổ Hạ tầng Kiến Tường</v>
      </c>
      <c r="C160" s="61" t="str">
        <f t="shared" ca="1" si="2"/>
        <v>Nguyễn Hoàng Phi</v>
      </c>
      <c r="D160" s="183">
        <f t="shared" ca="1" si="3"/>
        <v>945645759</v>
      </c>
      <c r="E160" s="63" t="str">
        <f t="shared" ca="1" si="4"/>
        <v>phinh.lan@vnpt.vn</v>
      </c>
      <c r="F160" s="64" t="str">
        <f t="shared" ca="1" si="5"/>
        <v>Lần 10</v>
      </c>
      <c r="G160" s="273"/>
      <c r="H160" s="75"/>
      <c r="I160" s="75"/>
      <c r="J160" s="137"/>
      <c r="K160" s="137"/>
      <c r="L160" s="91" t="s">
        <v>357</v>
      </c>
      <c r="M160" s="184">
        <f t="shared" ca="1" si="21"/>
        <v>0</v>
      </c>
      <c r="N160" s="67">
        <f t="shared" ca="1" si="22"/>
        <v>0</v>
      </c>
      <c r="O160" s="68">
        <f t="shared" ca="1" si="8"/>
        <v>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182" t="str">
        <f t="shared" ca="1" si="9"/>
        <v>Tổ Hạ tầng Kiến Tường</v>
      </c>
      <c r="C161" s="61" t="str">
        <f t="shared" ca="1" si="2"/>
        <v>Nguyễn Hoàng Phi</v>
      </c>
      <c r="D161" s="183">
        <f t="shared" ca="1" si="3"/>
        <v>945645759</v>
      </c>
      <c r="E161" s="63" t="str">
        <f t="shared" ca="1" si="4"/>
        <v>phinh.lan@vnpt.vn</v>
      </c>
      <c r="F161" s="64" t="str">
        <f t="shared" ca="1" si="5"/>
        <v>Lần 11</v>
      </c>
      <c r="G161" s="273"/>
      <c r="H161" s="75"/>
      <c r="I161" s="75"/>
      <c r="J161" s="137"/>
      <c r="K161" s="137"/>
      <c r="L161" s="91" t="s">
        <v>357</v>
      </c>
      <c r="M161" s="184">
        <f t="shared" ca="1" si="21"/>
        <v>0</v>
      </c>
      <c r="N161" s="67">
        <f t="shared" ca="1" si="22"/>
        <v>0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182" t="str">
        <f t="shared" ca="1" si="9"/>
        <v>Tổ Hạ tầng Kiến Tường</v>
      </c>
      <c r="C162" s="61" t="str">
        <f t="shared" ca="1" si="2"/>
        <v>Nguyễn Hoàng Phi</v>
      </c>
      <c r="D162" s="183">
        <f t="shared" ca="1" si="3"/>
        <v>945645759</v>
      </c>
      <c r="E162" s="63" t="str">
        <f t="shared" ca="1" si="4"/>
        <v>phinh.lan@vnpt.vn</v>
      </c>
      <c r="F162" s="64" t="str">
        <f t="shared" ca="1" si="5"/>
        <v>Lần 12</v>
      </c>
      <c r="G162" s="273"/>
      <c r="H162" s="75"/>
      <c r="I162" s="75"/>
      <c r="J162" s="137"/>
      <c r="K162" s="137"/>
      <c r="L162" s="91" t="s">
        <v>357</v>
      </c>
      <c r="M162" s="184">
        <f t="shared" ca="1" si="21"/>
        <v>0</v>
      </c>
      <c r="N162" s="67">
        <f t="shared" ca="1" si="22"/>
        <v>0</v>
      </c>
      <c r="O162" s="68">
        <f t="shared" ca="1" si="8"/>
        <v>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182" t="str">
        <f t="shared" ca="1" si="9"/>
        <v>Tổ Hạ tầng Kiến Tường</v>
      </c>
      <c r="C163" s="61" t="str">
        <f t="shared" ca="1" si="2"/>
        <v>Nguyễn Hoàng Phi</v>
      </c>
      <c r="D163" s="183">
        <f t="shared" ca="1" si="3"/>
        <v>945645759</v>
      </c>
      <c r="E163" s="63" t="str">
        <f t="shared" ca="1" si="4"/>
        <v>phinh.lan@vnpt.vn</v>
      </c>
      <c r="F163" s="64" t="str">
        <f t="shared" ca="1" si="5"/>
        <v>Lần 13</v>
      </c>
      <c r="G163" s="273"/>
      <c r="H163" s="75"/>
      <c r="I163" s="75"/>
      <c r="J163" s="137"/>
      <c r="K163" s="137"/>
      <c r="L163" s="91" t="s">
        <v>357</v>
      </c>
      <c r="M163" s="184">
        <f t="shared" ca="1" si="21"/>
        <v>0</v>
      </c>
      <c r="N163" s="67">
        <f t="shared" ca="1" si="22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182" t="str">
        <f t="shared" ca="1" si="9"/>
        <v>Tổ Hạ tầng Kiến Tường</v>
      </c>
      <c r="C164" s="61" t="str">
        <f t="shared" ca="1" si="2"/>
        <v>Nguyễn Hoàng Phi</v>
      </c>
      <c r="D164" s="183">
        <f t="shared" ca="1" si="3"/>
        <v>945645759</v>
      </c>
      <c r="E164" s="63" t="str">
        <f t="shared" ca="1" si="4"/>
        <v>phinh.lan@vnpt.vn</v>
      </c>
      <c r="F164" s="64" t="str">
        <f t="shared" ca="1" si="5"/>
        <v>Lần 14</v>
      </c>
      <c r="G164" s="273"/>
      <c r="H164" s="75"/>
      <c r="I164" s="75"/>
      <c r="J164" s="137"/>
      <c r="K164" s="137"/>
      <c r="L164" s="91" t="s">
        <v>357</v>
      </c>
      <c r="M164" s="184">
        <f t="shared" ca="1" si="21"/>
        <v>0</v>
      </c>
      <c r="N164" s="67">
        <f t="shared" ca="1" si="22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182" t="str">
        <f t="shared" ca="1" si="9"/>
        <v>Tổ Hạ tầng Kiến Tường</v>
      </c>
      <c r="C165" s="61" t="str">
        <f t="shared" ca="1" si="2"/>
        <v>Nguyễn Hoàng Phi</v>
      </c>
      <c r="D165" s="183">
        <f t="shared" ca="1" si="3"/>
        <v>945645759</v>
      </c>
      <c r="E165" s="63" t="str">
        <f t="shared" ca="1" si="4"/>
        <v>phinh.lan@vnpt.vn</v>
      </c>
      <c r="F165" s="64" t="str">
        <f t="shared" ca="1" si="5"/>
        <v>Lần 15</v>
      </c>
      <c r="G165" s="273"/>
      <c r="H165" s="75"/>
      <c r="I165" s="75"/>
      <c r="J165" s="137"/>
      <c r="K165" s="137"/>
      <c r="L165" s="91" t="s">
        <v>357</v>
      </c>
      <c r="M165" s="184">
        <f t="shared" ca="1" si="21"/>
        <v>0</v>
      </c>
      <c r="N165" s="67">
        <f t="shared" ca="1" si="22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96" t="str">
        <f t="shared" ca="1" si="9"/>
        <v>Tổ Hạ tầng Kiến Tường</v>
      </c>
      <c r="C166" s="102" t="str">
        <f t="shared" ca="1" si="2"/>
        <v>Nguyễn Hoàng Phi</v>
      </c>
      <c r="D166" s="197">
        <f t="shared" ca="1" si="3"/>
        <v>945645759</v>
      </c>
      <c r="E166" s="104" t="str">
        <f t="shared" ca="1" si="4"/>
        <v>phinh.lan@vnpt.vn</v>
      </c>
      <c r="F166" s="105" t="str">
        <f t="shared" ca="1" si="5"/>
        <v>Lần 16</v>
      </c>
      <c r="G166" s="274"/>
      <c r="H166" s="199"/>
      <c r="I166" s="199"/>
      <c r="J166" s="275"/>
      <c r="K166" s="275"/>
      <c r="L166" s="91" t="s">
        <v>357</v>
      </c>
      <c r="M166" s="202">
        <f t="shared" ca="1" si="21"/>
        <v>0</v>
      </c>
      <c r="N166" s="203">
        <f t="shared" ca="1" si="22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204" t="str">
        <f t="shared" ca="1" si="9"/>
        <v>Tổ Hạ tầng Kiến Tường</v>
      </c>
      <c r="C167" s="108" t="str">
        <f t="shared" ca="1" si="2"/>
        <v>Lê Duy Bình</v>
      </c>
      <c r="D167" s="205">
        <f t="shared" ca="1" si="3"/>
        <v>826549949</v>
      </c>
      <c r="E167" s="110" t="str">
        <f t="shared" ca="1" si="4"/>
        <v>binhld.tnh@vnpt.vn</v>
      </c>
      <c r="F167" s="111" t="str">
        <f t="shared" ca="1" si="5"/>
        <v>Lần 1</v>
      </c>
      <c r="G167" s="192">
        <v>46205</v>
      </c>
      <c r="H167" s="207">
        <v>103</v>
      </c>
      <c r="I167" s="207">
        <v>11</v>
      </c>
      <c r="J167" s="147">
        <v>98.6</v>
      </c>
      <c r="K167" s="147" t="s">
        <v>408</v>
      </c>
      <c r="L167" s="148" t="s">
        <v>357</v>
      </c>
      <c r="M167" s="181">
        <f t="shared" ca="1" si="21"/>
        <v>1</v>
      </c>
      <c r="N167" s="57">
        <f t="shared" ca="1" si="22"/>
        <v>1</v>
      </c>
      <c r="O167" s="68">
        <f t="shared" ca="1" si="8"/>
        <v>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182" t="str">
        <f t="shared" ca="1" si="9"/>
        <v>Tổ Hạ tầng Kiến Tường</v>
      </c>
      <c r="C168" s="61" t="str">
        <f t="shared" ca="1" si="2"/>
        <v>Lê Duy Bình</v>
      </c>
      <c r="D168" s="183">
        <f t="shared" ca="1" si="3"/>
        <v>826549949</v>
      </c>
      <c r="E168" s="63" t="str">
        <f t="shared" ca="1" si="4"/>
        <v>binhld.tnh@vnpt.vn</v>
      </c>
      <c r="F168" s="64" t="str">
        <f t="shared" ca="1" si="5"/>
        <v>Lần 2</v>
      </c>
      <c r="G168" s="97">
        <v>46205</v>
      </c>
      <c r="H168" s="121">
        <v>119</v>
      </c>
      <c r="I168" s="261">
        <v>46064</v>
      </c>
      <c r="J168" s="98">
        <v>79.599999999999994</v>
      </c>
      <c r="K168" s="98">
        <v>79</v>
      </c>
      <c r="L168" s="91" t="s">
        <v>357</v>
      </c>
      <c r="M168" s="184">
        <f t="shared" ca="1" si="21"/>
        <v>1</v>
      </c>
      <c r="N168" s="67">
        <f t="shared" ca="1" si="22"/>
        <v>1</v>
      </c>
      <c r="O168" s="68">
        <f t="shared" ca="1" si="8"/>
        <v>0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182" t="str">
        <f t="shared" ca="1" si="9"/>
        <v>Tổ Hạ tầng Kiến Tường</v>
      </c>
      <c r="C169" s="61" t="str">
        <f t="shared" ca="1" si="2"/>
        <v>Lê Duy Bình</v>
      </c>
      <c r="D169" s="183">
        <f t="shared" ca="1" si="3"/>
        <v>826549949</v>
      </c>
      <c r="E169" s="63" t="str">
        <f t="shared" ca="1" si="4"/>
        <v>binhld.tnh@vnpt.vn</v>
      </c>
      <c r="F169" s="64" t="str">
        <f t="shared" ca="1" si="5"/>
        <v>Lần 3</v>
      </c>
      <c r="G169" s="97">
        <v>46206</v>
      </c>
      <c r="H169" s="121">
        <v>102</v>
      </c>
      <c r="I169" s="261">
        <v>46064</v>
      </c>
      <c r="J169" s="99">
        <v>91.2</v>
      </c>
      <c r="K169" s="99" t="s">
        <v>409</v>
      </c>
      <c r="L169" s="91" t="s">
        <v>357</v>
      </c>
      <c r="M169" s="184">
        <f t="shared" ca="1" si="21"/>
        <v>1</v>
      </c>
      <c r="N169" s="67">
        <f t="shared" ca="1" si="22"/>
        <v>1</v>
      </c>
      <c r="O169" s="68">
        <f t="shared" ca="1" si="8"/>
        <v>0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182" t="str">
        <f t="shared" ca="1" si="9"/>
        <v>Tổ Hạ tầng Kiến Tường</v>
      </c>
      <c r="C170" s="61" t="str">
        <f t="shared" ca="1" si="2"/>
        <v>Lê Duy Bình</v>
      </c>
      <c r="D170" s="183">
        <f t="shared" ca="1" si="3"/>
        <v>826549949</v>
      </c>
      <c r="E170" s="63" t="str">
        <f t="shared" ca="1" si="4"/>
        <v>binhld.tnh@vnpt.vn</v>
      </c>
      <c r="F170" s="64" t="str">
        <f t="shared" ca="1" si="5"/>
        <v>Lần 4</v>
      </c>
      <c r="G170" s="97">
        <v>46206</v>
      </c>
      <c r="H170" s="121">
        <v>86</v>
      </c>
      <c r="I170" s="261">
        <v>46183</v>
      </c>
      <c r="J170" s="99">
        <v>80.7</v>
      </c>
      <c r="K170" s="121" t="s">
        <v>400</v>
      </c>
      <c r="L170" s="91" t="s">
        <v>357</v>
      </c>
      <c r="M170" s="184">
        <f t="shared" ca="1" si="21"/>
        <v>1</v>
      </c>
      <c r="N170" s="67">
        <f t="shared" ca="1" si="22"/>
        <v>1</v>
      </c>
      <c r="O170" s="68">
        <f t="shared" ca="1" si="8"/>
        <v>0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182" t="str">
        <f t="shared" ca="1" si="9"/>
        <v>Tổ Hạ tầng Kiến Tường</v>
      </c>
      <c r="C171" s="61" t="str">
        <f t="shared" ca="1" si="2"/>
        <v>Lê Duy Bình</v>
      </c>
      <c r="D171" s="183">
        <f t="shared" ca="1" si="3"/>
        <v>826549949</v>
      </c>
      <c r="E171" s="63" t="str">
        <f t="shared" ca="1" si="4"/>
        <v>binhld.tnh@vnpt.vn</v>
      </c>
      <c r="F171" s="64" t="str">
        <f t="shared" ca="1" si="5"/>
        <v>Lần 5</v>
      </c>
      <c r="G171" s="97">
        <v>46206</v>
      </c>
      <c r="H171" s="122" t="s">
        <v>365</v>
      </c>
      <c r="I171" s="140">
        <v>46034</v>
      </c>
      <c r="J171" s="98">
        <v>96</v>
      </c>
      <c r="K171" s="98" t="s">
        <v>366</v>
      </c>
      <c r="L171" s="91" t="s">
        <v>357</v>
      </c>
      <c r="M171" s="184">
        <f t="shared" ca="1" si="21"/>
        <v>1</v>
      </c>
      <c r="N171" s="67">
        <f t="shared" ca="1" si="22"/>
        <v>1</v>
      </c>
      <c r="O171" s="68">
        <f t="shared" ca="1" si="8"/>
        <v>0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182" t="str">
        <f t="shared" ca="1" si="9"/>
        <v>Tổ Hạ tầng Kiến Tường</v>
      </c>
      <c r="C172" s="61" t="str">
        <f t="shared" ca="1" si="2"/>
        <v>Lê Duy Bình</v>
      </c>
      <c r="D172" s="183">
        <f t="shared" ca="1" si="3"/>
        <v>826549949</v>
      </c>
      <c r="E172" s="63" t="str">
        <f t="shared" ca="1" si="4"/>
        <v>binhld.tnh@vnpt.vn</v>
      </c>
      <c r="F172" s="64" t="str">
        <f t="shared" ca="1" si="5"/>
        <v>Lần 6</v>
      </c>
      <c r="G172" s="97">
        <v>46209</v>
      </c>
      <c r="H172" s="122">
        <v>150</v>
      </c>
      <c r="I172" s="140">
        <v>46034</v>
      </c>
      <c r="J172" s="98">
        <v>147</v>
      </c>
      <c r="K172" s="98" t="s">
        <v>367</v>
      </c>
      <c r="L172" s="91" t="s">
        <v>357</v>
      </c>
      <c r="M172" s="184">
        <f t="shared" ca="1" si="21"/>
        <v>1</v>
      </c>
      <c r="N172" s="67">
        <f t="shared" ca="1" si="22"/>
        <v>1</v>
      </c>
      <c r="O172" s="68">
        <f t="shared" ca="1" si="8"/>
        <v>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182" t="str">
        <f t="shared" ca="1" si="9"/>
        <v>Tổ Hạ tầng Kiến Tường</v>
      </c>
      <c r="C173" s="61" t="str">
        <f t="shared" ca="1" si="2"/>
        <v>Lê Duy Bình</v>
      </c>
      <c r="D173" s="183">
        <f t="shared" ca="1" si="3"/>
        <v>826549949</v>
      </c>
      <c r="E173" s="63" t="str">
        <f t="shared" ca="1" si="4"/>
        <v>binhld.tnh@vnpt.vn</v>
      </c>
      <c r="F173" s="64" t="str">
        <f t="shared" ca="1" si="5"/>
        <v>Lần 7</v>
      </c>
      <c r="G173" s="139">
        <v>46209</v>
      </c>
      <c r="H173" s="122">
        <v>147</v>
      </c>
      <c r="I173" s="140">
        <v>46245</v>
      </c>
      <c r="J173" s="98">
        <v>141</v>
      </c>
      <c r="K173" s="98" t="s">
        <v>253</v>
      </c>
      <c r="L173" s="91" t="s">
        <v>357</v>
      </c>
      <c r="M173" s="184">
        <f t="shared" ca="1" si="21"/>
        <v>1</v>
      </c>
      <c r="N173" s="67">
        <f t="shared" ca="1" si="22"/>
        <v>1</v>
      </c>
      <c r="O173" s="68">
        <f t="shared" ca="1" si="8"/>
        <v>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182" t="str">
        <f t="shared" ca="1" si="9"/>
        <v>Tổ Hạ tầng Kiến Tường</v>
      </c>
      <c r="C174" s="61" t="str">
        <f t="shared" ca="1" si="2"/>
        <v>Lê Duy Bình</v>
      </c>
      <c r="D174" s="183">
        <f t="shared" ca="1" si="3"/>
        <v>826549949</v>
      </c>
      <c r="E174" s="63" t="str">
        <f t="shared" ca="1" si="4"/>
        <v>binhld.tnh@vnpt.vn</v>
      </c>
      <c r="F174" s="64" t="str">
        <f t="shared" ca="1" si="5"/>
        <v>Lần 8</v>
      </c>
      <c r="G174" s="139">
        <v>46209</v>
      </c>
      <c r="H174" s="122">
        <v>150</v>
      </c>
      <c r="I174" s="140">
        <v>46094</v>
      </c>
      <c r="J174" s="98">
        <v>166</v>
      </c>
      <c r="K174" s="98" t="s">
        <v>368</v>
      </c>
      <c r="L174" s="91" t="s">
        <v>357</v>
      </c>
      <c r="M174" s="184">
        <f t="shared" ca="1" si="21"/>
        <v>1</v>
      </c>
      <c r="N174" s="67">
        <f t="shared" ca="1" si="22"/>
        <v>1</v>
      </c>
      <c r="O174" s="68">
        <f t="shared" ca="1" si="8"/>
        <v>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182" t="str">
        <f t="shared" ca="1" si="9"/>
        <v>Tổ Hạ tầng Kiến Tường</v>
      </c>
      <c r="C175" s="61" t="str">
        <f t="shared" ca="1" si="2"/>
        <v>Lê Duy Bình</v>
      </c>
      <c r="D175" s="183">
        <f t="shared" ca="1" si="3"/>
        <v>826549949</v>
      </c>
      <c r="E175" s="63" t="str">
        <f t="shared" ca="1" si="4"/>
        <v>binhld.tnh@vnpt.vn</v>
      </c>
      <c r="F175" s="64" t="str">
        <f t="shared" ca="1" si="5"/>
        <v>Lần 9</v>
      </c>
      <c r="G175" s="139">
        <v>46209</v>
      </c>
      <c r="H175" s="122">
        <v>167</v>
      </c>
      <c r="I175" s="140">
        <v>46155</v>
      </c>
      <c r="J175" s="98">
        <v>172</v>
      </c>
      <c r="K175" s="98" t="s">
        <v>410</v>
      </c>
      <c r="L175" s="91" t="s">
        <v>357</v>
      </c>
      <c r="M175" s="184">
        <f t="shared" ca="1" si="21"/>
        <v>1</v>
      </c>
      <c r="N175" s="67">
        <f t="shared" ca="1" si="22"/>
        <v>1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182" t="str">
        <f t="shared" ca="1" si="9"/>
        <v>Tổ Hạ tầng Kiến Tường</v>
      </c>
      <c r="C176" s="61" t="str">
        <f t="shared" ca="1" si="2"/>
        <v>Lê Duy Bình</v>
      </c>
      <c r="D176" s="183">
        <f t="shared" ca="1" si="3"/>
        <v>826549949</v>
      </c>
      <c r="E176" s="63" t="str">
        <f t="shared" ca="1" si="4"/>
        <v>binhld.tnh@vnpt.vn</v>
      </c>
      <c r="F176" s="64" t="str">
        <f t="shared" ca="1" si="5"/>
        <v>Lần 10</v>
      </c>
      <c r="G176" s="139">
        <v>46209</v>
      </c>
      <c r="H176" s="122">
        <v>160</v>
      </c>
      <c r="I176" s="140">
        <v>46154</v>
      </c>
      <c r="J176" s="98">
        <v>154</v>
      </c>
      <c r="K176" s="60" t="s">
        <v>382</v>
      </c>
      <c r="L176" s="91" t="s">
        <v>357</v>
      </c>
      <c r="M176" s="184">
        <f t="shared" ca="1" si="21"/>
        <v>1</v>
      </c>
      <c r="N176" s="67">
        <f t="shared" ca="1" si="22"/>
        <v>1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182" t="str">
        <f t="shared" ca="1" si="9"/>
        <v>Tổ Hạ tầng Kiến Tường</v>
      </c>
      <c r="C177" s="61" t="str">
        <f t="shared" ca="1" si="2"/>
        <v>Lê Duy Bình</v>
      </c>
      <c r="D177" s="183">
        <f t="shared" ca="1" si="3"/>
        <v>826549949</v>
      </c>
      <c r="E177" s="63" t="str">
        <f t="shared" ca="1" si="4"/>
        <v>binhld.tnh@vnpt.vn</v>
      </c>
      <c r="F177" s="64" t="str">
        <f t="shared" ca="1" si="5"/>
        <v>Lần 11</v>
      </c>
      <c r="G177" s="139">
        <v>46214</v>
      </c>
      <c r="H177" s="122">
        <v>100</v>
      </c>
      <c r="I177" s="122" t="s">
        <v>411</v>
      </c>
      <c r="J177" s="98">
        <v>84.8</v>
      </c>
      <c r="K177" s="98" t="s">
        <v>412</v>
      </c>
      <c r="L177" s="91" t="s">
        <v>357</v>
      </c>
      <c r="M177" s="184">
        <f t="shared" ca="1" si="21"/>
        <v>1</v>
      </c>
      <c r="N177" s="67">
        <f t="shared" ca="1" si="22"/>
        <v>1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182" t="str">
        <f t="shared" ca="1" si="9"/>
        <v>Tổ Hạ tầng Kiến Tường</v>
      </c>
      <c r="C178" s="61" t="str">
        <f t="shared" ca="1" si="2"/>
        <v>Lê Duy Bình</v>
      </c>
      <c r="D178" s="183">
        <f t="shared" ca="1" si="3"/>
        <v>826549949</v>
      </c>
      <c r="E178" s="63" t="str">
        <f t="shared" ca="1" si="4"/>
        <v>binhld.tnh@vnpt.vn</v>
      </c>
      <c r="F178" s="64" t="str">
        <f t="shared" ca="1" si="5"/>
        <v>Lần 12</v>
      </c>
      <c r="G178" s="139">
        <v>46214</v>
      </c>
      <c r="H178" s="122">
        <v>73</v>
      </c>
      <c r="I178" s="140">
        <v>46183</v>
      </c>
      <c r="J178" s="98">
        <v>75.5</v>
      </c>
      <c r="K178" s="98" t="s">
        <v>413</v>
      </c>
      <c r="L178" s="91" t="s">
        <v>357</v>
      </c>
      <c r="M178" s="184">
        <f t="shared" ca="1" si="21"/>
        <v>1</v>
      </c>
      <c r="N178" s="67">
        <f t="shared" ca="1" si="22"/>
        <v>1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182" t="str">
        <f t="shared" ca="1" si="9"/>
        <v>Tổ Hạ tầng Kiến Tường</v>
      </c>
      <c r="C179" s="61" t="str">
        <f t="shared" ca="1" si="2"/>
        <v>Lê Duy Bình</v>
      </c>
      <c r="D179" s="183">
        <f t="shared" ca="1" si="3"/>
        <v>826549949</v>
      </c>
      <c r="E179" s="63" t="str">
        <f t="shared" ca="1" si="4"/>
        <v>binhld.tnh@vnpt.vn</v>
      </c>
      <c r="F179" s="64" t="str">
        <f t="shared" ca="1" si="5"/>
        <v>Lần 13</v>
      </c>
      <c r="G179" s="139">
        <v>46184</v>
      </c>
      <c r="H179" s="122" t="s">
        <v>414</v>
      </c>
      <c r="I179" s="122" t="s">
        <v>415</v>
      </c>
      <c r="J179" s="98">
        <v>78.8</v>
      </c>
      <c r="K179" s="98" t="s">
        <v>416</v>
      </c>
      <c r="L179" s="91" t="s">
        <v>357</v>
      </c>
      <c r="M179" s="184">
        <f t="shared" ca="1" si="21"/>
        <v>1</v>
      </c>
      <c r="N179" s="67">
        <f t="shared" ca="1" si="22"/>
        <v>1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182" t="str">
        <f t="shared" ca="1" si="9"/>
        <v>Tổ Hạ tầng Kiến Tường</v>
      </c>
      <c r="C180" s="61" t="str">
        <f t="shared" ca="1" si="2"/>
        <v>Lê Duy Bình</v>
      </c>
      <c r="D180" s="183">
        <f t="shared" ca="1" si="3"/>
        <v>826549949</v>
      </c>
      <c r="E180" s="63" t="str">
        <f t="shared" ca="1" si="4"/>
        <v>binhld.tnh@vnpt.vn</v>
      </c>
      <c r="F180" s="64" t="str">
        <f t="shared" ca="1" si="5"/>
        <v>Lần 14</v>
      </c>
      <c r="G180" s="139">
        <v>46214</v>
      </c>
      <c r="H180" s="122">
        <v>98</v>
      </c>
      <c r="I180" s="140">
        <v>46214</v>
      </c>
      <c r="J180" s="98">
        <v>89.8</v>
      </c>
      <c r="K180" s="98" t="s">
        <v>417</v>
      </c>
      <c r="L180" s="91" t="s">
        <v>357</v>
      </c>
      <c r="M180" s="184">
        <f t="shared" ca="1" si="21"/>
        <v>1</v>
      </c>
      <c r="N180" s="67">
        <f t="shared" ca="1" si="22"/>
        <v>1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182" t="str">
        <f t="shared" ca="1" si="9"/>
        <v>Tổ Hạ tầng Kiến Tường</v>
      </c>
      <c r="C181" s="61" t="str">
        <f t="shared" ca="1" si="2"/>
        <v>Lê Duy Bình</v>
      </c>
      <c r="D181" s="183">
        <f t="shared" ca="1" si="3"/>
        <v>826549949</v>
      </c>
      <c r="E181" s="63" t="str">
        <f t="shared" ca="1" si="4"/>
        <v>binhld.tnh@vnpt.vn</v>
      </c>
      <c r="F181" s="64" t="str">
        <f t="shared" ca="1" si="5"/>
        <v>Lần 15</v>
      </c>
      <c r="G181" s="139">
        <v>46214</v>
      </c>
      <c r="H181" s="122" t="s">
        <v>418</v>
      </c>
      <c r="I181" s="140">
        <v>46092</v>
      </c>
      <c r="J181" s="98">
        <v>96.5</v>
      </c>
      <c r="K181" s="98" t="s">
        <v>419</v>
      </c>
      <c r="L181" s="91" t="s">
        <v>357</v>
      </c>
      <c r="M181" s="184">
        <f t="shared" ca="1" si="21"/>
        <v>1</v>
      </c>
      <c r="N181" s="67">
        <f t="shared" ca="1" si="22"/>
        <v>1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185" t="str">
        <f t="shared" ca="1" si="9"/>
        <v>Tổ Hạ tầng Kiến Tường</v>
      </c>
      <c r="C182" s="82" t="str">
        <f t="shared" ca="1" si="2"/>
        <v>Lê Duy Bình</v>
      </c>
      <c r="D182" s="186">
        <f t="shared" ca="1" si="3"/>
        <v>826549949</v>
      </c>
      <c r="E182" s="84" t="str">
        <f t="shared" ca="1" si="4"/>
        <v>binhld.tnh@vnpt.vn</v>
      </c>
      <c r="F182" s="85" t="str">
        <f t="shared" ca="1" si="5"/>
        <v>Lần 16</v>
      </c>
      <c r="G182" s="149">
        <v>46214</v>
      </c>
      <c r="H182" s="150">
        <v>71</v>
      </c>
      <c r="I182" s="263">
        <v>46032</v>
      </c>
      <c r="J182" s="151">
        <v>102</v>
      </c>
      <c r="K182" s="151" t="s">
        <v>420</v>
      </c>
      <c r="L182" s="152" t="s">
        <v>357</v>
      </c>
      <c r="M182" s="189">
        <f t="shared" ca="1" si="21"/>
        <v>1</v>
      </c>
      <c r="N182" s="171">
        <f t="shared" ca="1" si="22"/>
        <v>1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190" t="str">
        <f t="shared" ca="1" si="9"/>
        <v>Tổ Hạ tầng Kiến Tường</v>
      </c>
      <c r="C183" s="48" t="str">
        <f t="shared" ca="1" si="2"/>
        <v>Tiêu Văn Y</v>
      </c>
      <c r="D183" s="191">
        <f t="shared" ca="1" si="3"/>
        <v>948445577</v>
      </c>
      <c r="E183" s="50" t="str">
        <f t="shared" ca="1" si="4"/>
        <v>ytv.lan@vnpt.vn</v>
      </c>
      <c r="F183" s="51" t="str">
        <f t="shared" ca="1" si="5"/>
        <v>Lần 1</v>
      </c>
      <c r="G183" s="70"/>
      <c r="H183" s="142"/>
      <c r="I183" s="142"/>
      <c r="J183" s="244"/>
      <c r="K183" s="244"/>
      <c r="L183" s="193"/>
      <c r="M183" s="194">
        <f t="shared" ca="1" si="21"/>
        <v>0</v>
      </c>
      <c r="N183" s="195">
        <f t="shared" ca="1" si="22"/>
        <v>0</v>
      </c>
      <c r="O183" s="68">
        <f t="shared" ca="1" si="8"/>
        <v>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182" t="str">
        <f t="shared" ca="1" si="9"/>
        <v>Tổ Hạ tầng Kiến Tường</v>
      </c>
      <c r="C184" s="61" t="str">
        <f t="shared" ca="1" si="2"/>
        <v>Tiêu Văn Y</v>
      </c>
      <c r="D184" s="183">
        <f t="shared" ca="1" si="3"/>
        <v>948445577</v>
      </c>
      <c r="E184" s="63" t="str">
        <f t="shared" ca="1" si="4"/>
        <v>ytv.lan@vnpt.vn</v>
      </c>
      <c r="F184" s="64" t="str">
        <f t="shared" ca="1" si="5"/>
        <v>Lần 2</v>
      </c>
      <c r="G184" s="70"/>
      <c r="H184" s="71"/>
      <c r="I184" s="71"/>
      <c r="J184" s="94"/>
      <c r="K184" s="94"/>
      <c r="L184" s="95"/>
      <c r="M184" s="184">
        <f t="shared" ca="1" si="21"/>
        <v>0</v>
      </c>
      <c r="N184" s="67">
        <f t="shared" ca="1" si="22"/>
        <v>0</v>
      </c>
      <c r="O184" s="68">
        <f t="shared" ca="1" si="8"/>
        <v>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182" t="str">
        <f t="shared" ca="1" si="9"/>
        <v>Tổ Hạ tầng Kiến Tường</v>
      </c>
      <c r="C185" s="61" t="str">
        <f t="shared" ca="1" si="2"/>
        <v>Tiêu Văn Y</v>
      </c>
      <c r="D185" s="183">
        <f t="shared" ca="1" si="3"/>
        <v>948445577</v>
      </c>
      <c r="E185" s="63" t="str">
        <f t="shared" ca="1" si="4"/>
        <v>ytv.lan@vnpt.vn</v>
      </c>
      <c r="F185" s="64" t="str">
        <f t="shared" ca="1" si="5"/>
        <v>Lần 3</v>
      </c>
      <c r="G185" s="76"/>
      <c r="H185" s="71"/>
      <c r="I185" s="71"/>
      <c r="J185" s="94"/>
      <c r="K185" s="94"/>
      <c r="L185" s="95"/>
      <c r="M185" s="184">
        <f t="shared" ca="1" si="21"/>
        <v>0</v>
      </c>
      <c r="N185" s="67">
        <f t="shared" ca="1" si="22"/>
        <v>0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182" t="str">
        <f t="shared" ca="1" si="9"/>
        <v>Tổ Hạ tầng Kiến Tường</v>
      </c>
      <c r="C186" s="61" t="str">
        <f t="shared" ca="1" si="2"/>
        <v>Tiêu Văn Y</v>
      </c>
      <c r="D186" s="183">
        <f t="shared" ca="1" si="3"/>
        <v>948445577</v>
      </c>
      <c r="E186" s="63" t="str">
        <f t="shared" ca="1" si="4"/>
        <v>ytv.lan@vnpt.vn</v>
      </c>
      <c r="F186" s="64" t="str">
        <f t="shared" ca="1" si="5"/>
        <v>Lần 4</v>
      </c>
      <c r="G186" s="76"/>
      <c r="H186" s="71"/>
      <c r="I186" s="71"/>
      <c r="J186" s="94"/>
      <c r="K186" s="94"/>
      <c r="L186" s="95"/>
      <c r="M186" s="184">
        <f t="shared" ca="1" si="21"/>
        <v>0</v>
      </c>
      <c r="N186" s="67">
        <f t="shared" ca="1" si="22"/>
        <v>0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182" t="str">
        <f t="shared" ca="1" si="9"/>
        <v>Tổ Hạ tầng Kiến Tường</v>
      </c>
      <c r="C187" s="61" t="str">
        <f t="shared" ca="1" si="2"/>
        <v>Tiêu Văn Y</v>
      </c>
      <c r="D187" s="183">
        <f t="shared" ca="1" si="3"/>
        <v>948445577</v>
      </c>
      <c r="E187" s="63" t="str">
        <f t="shared" ca="1" si="4"/>
        <v>ytv.lan@vnpt.vn</v>
      </c>
      <c r="F187" s="64" t="str">
        <f t="shared" ca="1" si="5"/>
        <v>Lần 5</v>
      </c>
      <c r="G187" s="76"/>
      <c r="H187" s="75"/>
      <c r="I187" s="75"/>
      <c r="J187" s="94"/>
      <c r="K187" s="94"/>
      <c r="L187" s="95"/>
      <c r="M187" s="184">
        <f t="shared" ca="1" si="21"/>
        <v>0</v>
      </c>
      <c r="N187" s="67">
        <f t="shared" ca="1" si="22"/>
        <v>0</v>
      </c>
      <c r="O187" s="68">
        <f t="shared" ca="1" si="8"/>
        <v>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182" t="str">
        <f t="shared" ca="1" si="9"/>
        <v>Tổ Hạ tầng Kiến Tường</v>
      </c>
      <c r="C188" s="61" t="str">
        <f t="shared" ca="1" si="2"/>
        <v>Tiêu Văn Y</v>
      </c>
      <c r="D188" s="183">
        <f t="shared" ca="1" si="3"/>
        <v>948445577</v>
      </c>
      <c r="E188" s="63" t="str">
        <f t="shared" ca="1" si="4"/>
        <v>ytv.lan@vnpt.vn</v>
      </c>
      <c r="F188" s="64" t="str">
        <f t="shared" ca="1" si="5"/>
        <v>Lần 6</v>
      </c>
      <c r="G188" s="76"/>
      <c r="H188" s="75"/>
      <c r="I188" s="75"/>
      <c r="J188" s="94"/>
      <c r="K188" s="94"/>
      <c r="L188" s="95"/>
      <c r="M188" s="184">
        <f t="shared" ca="1" si="21"/>
        <v>0</v>
      </c>
      <c r="N188" s="67">
        <f t="shared" ca="1" si="22"/>
        <v>0</v>
      </c>
      <c r="O188" s="68">
        <f t="shared" ca="1" si="8"/>
        <v>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182" t="str">
        <f t="shared" ca="1" si="9"/>
        <v>Tổ Hạ tầng Kiến Tường</v>
      </c>
      <c r="C189" s="61" t="str">
        <f t="shared" ca="1" si="2"/>
        <v>Tiêu Văn Y</v>
      </c>
      <c r="D189" s="183">
        <f t="shared" ca="1" si="3"/>
        <v>948445577</v>
      </c>
      <c r="E189" s="63" t="str">
        <f t="shared" ca="1" si="4"/>
        <v>ytv.lan@vnpt.vn</v>
      </c>
      <c r="F189" s="64" t="str">
        <f t="shared" ca="1" si="5"/>
        <v>Lần 7</v>
      </c>
      <c r="G189" s="76"/>
      <c r="H189" s="75"/>
      <c r="I189" s="75"/>
      <c r="J189" s="94"/>
      <c r="K189" s="94"/>
      <c r="L189" s="95"/>
      <c r="M189" s="184">
        <f t="shared" ca="1" si="21"/>
        <v>0</v>
      </c>
      <c r="N189" s="67">
        <f t="shared" ca="1" si="22"/>
        <v>0</v>
      </c>
      <c r="O189" s="68">
        <f t="shared" ca="1" si="8"/>
        <v>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182" t="str">
        <f t="shared" ca="1" si="9"/>
        <v>Tổ Hạ tầng Kiến Tường</v>
      </c>
      <c r="C190" s="61" t="str">
        <f t="shared" ca="1" si="2"/>
        <v>Tiêu Văn Y</v>
      </c>
      <c r="D190" s="183">
        <f t="shared" ca="1" si="3"/>
        <v>948445577</v>
      </c>
      <c r="E190" s="63" t="str">
        <f t="shared" ca="1" si="4"/>
        <v>ytv.lan@vnpt.vn</v>
      </c>
      <c r="F190" s="64" t="str">
        <f t="shared" ca="1" si="5"/>
        <v>Lần 8</v>
      </c>
      <c r="G190" s="76"/>
      <c r="H190" s="75"/>
      <c r="I190" s="75"/>
      <c r="J190" s="94"/>
      <c r="K190" s="94"/>
      <c r="L190" s="95"/>
      <c r="M190" s="184">
        <f t="shared" ca="1" si="21"/>
        <v>0</v>
      </c>
      <c r="N190" s="67">
        <f t="shared" ca="1" si="22"/>
        <v>0</v>
      </c>
      <c r="O190" s="68">
        <f t="shared" ca="1" si="8"/>
        <v>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182" t="str">
        <f t="shared" ca="1" si="9"/>
        <v>Tổ Hạ tầng Kiến Tường</v>
      </c>
      <c r="C191" s="61" t="str">
        <f t="shared" ca="1" si="2"/>
        <v>Tiêu Văn Y</v>
      </c>
      <c r="D191" s="183">
        <f t="shared" ca="1" si="3"/>
        <v>948445577</v>
      </c>
      <c r="E191" s="63" t="str">
        <f t="shared" ca="1" si="4"/>
        <v>ytv.lan@vnpt.vn</v>
      </c>
      <c r="F191" s="64" t="str">
        <f t="shared" ca="1" si="5"/>
        <v>Lần 9</v>
      </c>
      <c r="G191" s="76"/>
      <c r="H191" s="75"/>
      <c r="I191" s="75"/>
      <c r="J191" s="94"/>
      <c r="K191" s="94"/>
      <c r="L191" s="95"/>
      <c r="M191" s="184">
        <f t="shared" ca="1" si="21"/>
        <v>0</v>
      </c>
      <c r="N191" s="67">
        <f t="shared" ca="1" si="22"/>
        <v>0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182" t="str">
        <f t="shared" ca="1" si="9"/>
        <v>Tổ Hạ tầng Kiến Tường</v>
      </c>
      <c r="C192" s="61" t="str">
        <f t="shared" ca="1" si="2"/>
        <v>Tiêu Văn Y</v>
      </c>
      <c r="D192" s="183">
        <f t="shared" ca="1" si="3"/>
        <v>948445577</v>
      </c>
      <c r="E192" s="63" t="str">
        <f t="shared" ca="1" si="4"/>
        <v>ytv.lan@vnpt.vn</v>
      </c>
      <c r="F192" s="64" t="str">
        <f t="shared" ca="1" si="5"/>
        <v>Lần 10</v>
      </c>
      <c r="G192" s="76"/>
      <c r="H192" s="75"/>
      <c r="I192" s="75"/>
      <c r="J192" s="94"/>
      <c r="K192" s="94"/>
      <c r="L192" s="95"/>
      <c r="M192" s="184">
        <f t="shared" ca="1" si="21"/>
        <v>0</v>
      </c>
      <c r="N192" s="67">
        <f t="shared" ca="1" si="22"/>
        <v>0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182" t="str">
        <f t="shared" ca="1" si="9"/>
        <v>Tổ Hạ tầng Kiến Tường</v>
      </c>
      <c r="C193" s="61" t="str">
        <f t="shared" ca="1" si="2"/>
        <v>Tiêu Văn Y</v>
      </c>
      <c r="D193" s="183">
        <f t="shared" ca="1" si="3"/>
        <v>948445577</v>
      </c>
      <c r="E193" s="63" t="str">
        <f t="shared" ca="1" si="4"/>
        <v>ytv.lan@vnpt.vn</v>
      </c>
      <c r="F193" s="64" t="str">
        <f t="shared" ca="1" si="5"/>
        <v>Lần 11</v>
      </c>
      <c r="G193" s="76"/>
      <c r="H193" s="75"/>
      <c r="I193" s="75"/>
      <c r="J193" s="94"/>
      <c r="K193" s="94"/>
      <c r="L193" s="95"/>
      <c r="M193" s="184">
        <f t="shared" ca="1" si="21"/>
        <v>0</v>
      </c>
      <c r="N193" s="67">
        <f t="shared" ca="1" si="22"/>
        <v>0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182" t="str">
        <f t="shared" ca="1" si="9"/>
        <v>Tổ Hạ tầng Kiến Tường</v>
      </c>
      <c r="C194" s="61" t="str">
        <f t="shared" ca="1" si="2"/>
        <v>Tiêu Văn Y</v>
      </c>
      <c r="D194" s="183">
        <f t="shared" ca="1" si="3"/>
        <v>948445577</v>
      </c>
      <c r="E194" s="63" t="str">
        <f t="shared" ca="1" si="4"/>
        <v>ytv.lan@vnpt.vn</v>
      </c>
      <c r="F194" s="64" t="str">
        <f t="shared" ca="1" si="5"/>
        <v>Lần 12</v>
      </c>
      <c r="G194" s="76"/>
      <c r="H194" s="75"/>
      <c r="I194" s="75"/>
      <c r="J194" s="94"/>
      <c r="K194" s="94"/>
      <c r="L194" s="95"/>
      <c r="M194" s="184">
        <f t="shared" ca="1" si="21"/>
        <v>0</v>
      </c>
      <c r="N194" s="67">
        <f t="shared" ca="1" si="22"/>
        <v>0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182" t="str">
        <f t="shared" ca="1" si="9"/>
        <v>Tổ Hạ tầng Kiến Tường</v>
      </c>
      <c r="C195" s="61" t="str">
        <f t="shared" ca="1" si="2"/>
        <v>Tiêu Văn Y</v>
      </c>
      <c r="D195" s="183">
        <f t="shared" ca="1" si="3"/>
        <v>948445577</v>
      </c>
      <c r="E195" s="63" t="str">
        <f t="shared" ca="1" si="4"/>
        <v>ytv.lan@vnpt.vn</v>
      </c>
      <c r="F195" s="64" t="str">
        <f t="shared" ca="1" si="5"/>
        <v>Lần 13</v>
      </c>
      <c r="G195" s="76"/>
      <c r="H195" s="75"/>
      <c r="I195" s="75"/>
      <c r="J195" s="94"/>
      <c r="K195" s="94"/>
      <c r="L195" s="95"/>
      <c r="M195" s="184">
        <f t="shared" ca="1" si="21"/>
        <v>0</v>
      </c>
      <c r="N195" s="67">
        <f t="shared" ca="1" si="22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182" t="str">
        <f t="shared" ca="1" si="9"/>
        <v>Tổ Hạ tầng Kiến Tường</v>
      </c>
      <c r="C196" s="61" t="str">
        <f t="shared" ca="1" si="2"/>
        <v>Tiêu Văn Y</v>
      </c>
      <c r="D196" s="183">
        <f t="shared" ca="1" si="3"/>
        <v>948445577</v>
      </c>
      <c r="E196" s="63" t="str">
        <f t="shared" ca="1" si="4"/>
        <v>ytv.lan@vnpt.vn</v>
      </c>
      <c r="F196" s="64" t="str">
        <f t="shared" ca="1" si="5"/>
        <v>Lần 14</v>
      </c>
      <c r="G196" s="76"/>
      <c r="H196" s="75"/>
      <c r="I196" s="75"/>
      <c r="J196" s="94"/>
      <c r="K196" s="94"/>
      <c r="L196" s="95"/>
      <c r="M196" s="184">
        <f t="shared" ca="1" si="21"/>
        <v>0</v>
      </c>
      <c r="N196" s="67">
        <f t="shared" ca="1" si="22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182" t="str">
        <f t="shared" ca="1" si="9"/>
        <v>Tổ Hạ tầng Kiến Tường</v>
      </c>
      <c r="C197" s="61" t="str">
        <f t="shared" ca="1" si="2"/>
        <v>Tiêu Văn Y</v>
      </c>
      <c r="D197" s="183">
        <f t="shared" ca="1" si="3"/>
        <v>948445577</v>
      </c>
      <c r="E197" s="63" t="str">
        <f t="shared" ca="1" si="4"/>
        <v>ytv.lan@vnpt.vn</v>
      </c>
      <c r="F197" s="64" t="str">
        <f t="shared" ca="1" si="5"/>
        <v>Lần 15</v>
      </c>
      <c r="G197" s="76"/>
      <c r="H197" s="75"/>
      <c r="I197" s="75"/>
      <c r="J197" s="94"/>
      <c r="K197" s="94"/>
      <c r="L197" s="95"/>
      <c r="M197" s="184">
        <f t="shared" ca="1" si="21"/>
        <v>0</v>
      </c>
      <c r="N197" s="67">
        <f t="shared" ca="1" si="22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96" t="str">
        <f t="shared" ca="1" si="9"/>
        <v>Tổ Hạ tầng Kiến Tường</v>
      </c>
      <c r="C198" s="102" t="str">
        <f t="shared" ca="1" si="2"/>
        <v>Tiêu Văn Y</v>
      </c>
      <c r="D198" s="197">
        <f t="shared" ca="1" si="3"/>
        <v>948445577</v>
      </c>
      <c r="E198" s="104" t="str">
        <f t="shared" ca="1" si="4"/>
        <v>ytv.lan@vnpt.vn</v>
      </c>
      <c r="F198" s="105" t="str">
        <f t="shared" ca="1" si="5"/>
        <v>Lần 16</v>
      </c>
      <c r="G198" s="76"/>
      <c r="H198" s="75"/>
      <c r="I198" s="75"/>
      <c r="J198" s="94"/>
      <c r="K198" s="94"/>
      <c r="L198" s="95"/>
      <c r="M198" s="202">
        <f t="shared" ca="1" si="21"/>
        <v>0</v>
      </c>
      <c r="N198" s="203">
        <f t="shared" ca="1" si="22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59">
        <f t="shared" ca="1" si="1"/>
        <v>193</v>
      </c>
      <c r="B199" s="60" t="str">
        <f t="shared" ca="1" si="9"/>
        <v>Tổ Hạ tầng Kiến Tường</v>
      </c>
      <c r="C199" s="61" t="str">
        <f t="shared" ca="1" si="2"/>
        <v>Thiệu Thái An</v>
      </c>
      <c r="D199" s="62">
        <f t="shared" ca="1" si="3"/>
        <v>911685484</v>
      </c>
      <c r="E199" s="63" t="str">
        <f t="shared" ca="1" si="4"/>
        <v>antt.lan@vnpt.vn</v>
      </c>
      <c r="F199" s="64" t="str">
        <f t="shared" ca="1" si="5"/>
        <v>Lần 1</v>
      </c>
      <c r="G199" s="76"/>
      <c r="H199" s="75"/>
      <c r="I199" s="75"/>
      <c r="J199" s="94"/>
      <c r="K199" s="94"/>
      <c r="L199" s="95"/>
      <c r="M199" s="202">
        <f t="shared" ca="1" si="21"/>
        <v>0</v>
      </c>
      <c r="N199" s="203">
        <f t="shared" ca="1" si="22"/>
        <v>0</v>
      </c>
      <c r="O199" s="68">
        <f t="shared" ca="1" si="8"/>
        <v>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60" t="str">
        <f t="shared" ca="1" si="9"/>
        <v>Tổ Hạ tầng Kiến Tường</v>
      </c>
      <c r="C200" s="61" t="str">
        <f t="shared" ca="1" si="2"/>
        <v>Thiệu Thái An</v>
      </c>
      <c r="D200" s="62">
        <f t="shared" ca="1" si="3"/>
        <v>911685484</v>
      </c>
      <c r="E200" s="63" t="str">
        <f t="shared" ca="1" si="4"/>
        <v>antt.lan@vnpt.vn</v>
      </c>
      <c r="F200" s="64" t="str">
        <f t="shared" ca="1" si="5"/>
        <v>Lần 2</v>
      </c>
      <c r="G200" s="76"/>
      <c r="H200" s="75"/>
      <c r="I200" s="75"/>
      <c r="J200" s="94"/>
      <c r="K200" s="94"/>
      <c r="L200" s="95"/>
      <c r="M200" s="202">
        <f t="shared" ca="1" si="21"/>
        <v>0</v>
      </c>
      <c r="N200" s="203">
        <f t="shared" ca="1" si="22"/>
        <v>0</v>
      </c>
      <c r="O200" s="68">
        <f t="shared" ca="1" si="8"/>
        <v>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60" t="str">
        <f t="shared" ca="1" si="9"/>
        <v>Tổ Hạ tầng Kiến Tường</v>
      </c>
      <c r="C201" s="61" t="str">
        <f t="shared" ca="1" si="2"/>
        <v>Thiệu Thái An</v>
      </c>
      <c r="D201" s="62">
        <f t="shared" ca="1" si="3"/>
        <v>911685484</v>
      </c>
      <c r="E201" s="63" t="str">
        <f t="shared" ca="1" si="4"/>
        <v>antt.lan@vnpt.vn</v>
      </c>
      <c r="F201" s="64" t="str">
        <f t="shared" ca="1" si="5"/>
        <v>Lần 3</v>
      </c>
      <c r="G201" s="76"/>
      <c r="H201" s="75"/>
      <c r="I201" s="75"/>
      <c r="J201" s="94"/>
      <c r="K201" s="94"/>
      <c r="L201" s="95"/>
      <c r="M201" s="202">
        <f t="shared" ca="1" si="21"/>
        <v>0</v>
      </c>
      <c r="N201" s="203">
        <f t="shared" ca="1" si="22"/>
        <v>0</v>
      </c>
      <c r="O201" s="68">
        <f t="shared" ca="1" si="8"/>
        <v>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60" t="str">
        <f t="shared" ca="1" si="9"/>
        <v>Tổ Hạ tầng Kiến Tường</v>
      </c>
      <c r="C202" s="61" t="str">
        <f t="shared" ca="1" si="2"/>
        <v>Thiệu Thái An</v>
      </c>
      <c r="D202" s="62">
        <f t="shared" ca="1" si="3"/>
        <v>911685484</v>
      </c>
      <c r="E202" s="63" t="str">
        <f t="shared" ca="1" si="4"/>
        <v>antt.lan@vnpt.vn</v>
      </c>
      <c r="F202" s="64" t="str">
        <f t="shared" ca="1" si="5"/>
        <v>Lần 4</v>
      </c>
      <c r="G202" s="76"/>
      <c r="H202" s="75"/>
      <c r="I202" s="75"/>
      <c r="J202" s="94"/>
      <c r="K202" s="94"/>
      <c r="L202" s="95"/>
      <c r="M202" s="202">
        <f t="shared" ca="1" si="21"/>
        <v>0</v>
      </c>
      <c r="N202" s="203">
        <f t="shared" ca="1" si="22"/>
        <v>0</v>
      </c>
      <c r="O202" s="68">
        <f t="shared" ca="1" si="8"/>
        <v>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60" t="str">
        <f t="shared" ca="1" si="9"/>
        <v>Tổ Hạ tầng Kiến Tường</v>
      </c>
      <c r="C203" s="61" t="str">
        <f t="shared" ca="1" si="2"/>
        <v>Thiệu Thái An</v>
      </c>
      <c r="D203" s="62">
        <f t="shared" ca="1" si="3"/>
        <v>911685484</v>
      </c>
      <c r="E203" s="63" t="str">
        <f t="shared" ca="1" si="4"/>
        <v>antt.lan@vnpt.vn</v>
      </c>
      <c r="F203" s="64" t="str">
        <f t="shared" ca="1" si="5"/>
        <v>Lần 5</v>
      </c>
      <c r="G203" s="76"/>
      <c r="H203" s="75"/>
      <c r="I203" s="75"/>
      <c r="J203" s="94"/>
      <c r="K203" s="94"/>
      <c r="L203" s="95"/>
      <c r="M203" s="202">
        <f t="shared" ca="1" si="21"/>
        <v>0</v>
      </c>
      <c r="N203" s="203">
        <f t="shared" ca="1" si="22"/>
        <v>0</v>
      </c>
      <c r="O203" s="68">
        <f t="shared" ca="1" si="8"/>
        <v>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60" t="str">
        <f t="shared" ca="1" si="9"/>
        <v>Tổ Hạ tầng Kiến Tường</v>
      </c>
      <c r="C204" s="61" t="str">
        <f t="shared" ca="1" si="2"/>
        <v>Thiệu Thái An</v>
      </c>
      <c r="D204" s="62">
        <f t="shared" ca="1" si="3"/>
        <v>911685484</v>
      </c>
      <c r="E204" s="63" t="str">
        <f t="shared" ca="1" si="4"/>
        <v>antt.lan@vnpt.vn</v>
      </c>
      <c r="F204" s="64" t="str">
        <f t="shared" ca="1" si="5"/>
        <v>Lần 6</v>
      </c>
      <c r="G204" s="76"/>
      <c r="H204" s="75"/>
      <c r="I204" s="75"/>
      <c r="J204" s="94"/>
      <c r="K204" s="94"/>
      <c r="L204" s="95"/>
      <c r="M204" s="202">
        <f t="shared" ca="1" si="21"/>
        <v>0</v>
      </c>
      <c r="N204" s="203">
        <f t="shared" ca="1" si="22"/>
        <v>0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60" t="str">
        <f t="shared" ca="1" si="9"/>
        <v>Tổ Hạ tầng Kiến Tường</v>
      </c>
      <c r="C205" s="61" t="str">
        <f t="shared" ca="1" si="2"/>
        <v>Thiệu Thái An</v>
      </c>
      <c r="D205" s="62">
        <f t="shared" ca="1" si="3"/>
        <v>911685484</v>
      </c>
      <c r="E205" s="63" t="str">
        <f t="shared" ca="1" si="4"/>
        <v>antt.lan@vnpt.vn</v>
      </c>
      <c r="F205" s="64" t="str">
        <f t="shared" ca="1" si="5"/>
        <v>Lần 7</v>
      </c>
      <c r="G205" s="76"/>
      <c r="H205" s="75"/>
      <c r="I205" s="75"/>
      <c r="J205" s="94"/>
      <c r="K205" s="94"/>
      <c r="L205" s="95"/>
      <c r="M205" s="202">
        <f t="shared" ca="1" si="21"/>
        <v>0</v>
      </c>
      <c r="N205" s="203">
        <f t="shared" ca="1" si="22"/>
        <v>0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60" t="str">
        <f t="shared" ca="1" si="9"/>
        <v>Tổ Hạ tầng Kiến Tường</v>
      </c>
      <c r="C206" s="61" t="str">
        <f t="shared" ca="1" si="2"/>
        <v>Thiệu Thái An</v>
      </c>
      <c r="D206" s="62">
        <f t="shared" ca="1" si="3"/>
        <v>911685484</v>
      </c>
      <c r="E206" s="63" t="str">
        <f t="shared" ca="1" si="4"/>
        <v>antt.lan@vnpt.vn</v>
      </c>
      <c r="F206" s="64" t="str">
        <f t="shared" ca="1" si="5"/>
        <v>Lần 8</v>
      </c>
      <c r="G206" s="76"/>
      <c r="H206" s="75"/>
      <c r="I206" s="75"/>
      <c r="J206" s="94"/>
      <c r="K206" s="94"/>
      <c r="L206" s="95"/>
      <c r="M206" s="202">
        <f t="shared" ca="1" si="21"/>
        <v>0</v>
      </c>
      <c r="N206" s="203">
        <f t="shared" ca="1" si="22"/>
        <v>0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60" t="str">
        <f t="shared" ca="1" si="9"/>
        <v>Tổ Hạ tầng Kiến Tường</v>
      </c>
      <c r="C207" s="61" t="str">
        <f t="shared" ca="1" si="2"/>
        <v>Thiệu Thái An</v>
      </c>
      <c r="D207" s="62">
        <f t="shared" ca="1" si="3"/>
        <v>911685484</v>
      </c>
      <c r="E207" s="63" t="str">
        <f t="shared" ca="1" si="4"/>
        <v>antt.lan@vnpt.vn</v>
      </c>
      <c r="F207" s="64" t="str">
        <f t="shared" ca="1" si="5"/>
        <v>Lần 9</v>
      </c>
      <c r="G207" s="76"/>
      <c r="H207" s="75"/>
      <c r="I207" s="75"/>
      <c r="J207" s="94"/>
      <c r="K207" s="94"/>
      <c r="L207" s="95"/>
      <c r="M207" s="202">
        <f t="shared" ca="1" si="21"/>
        <v>0</v>
      </c>
      <c r="N207" s="203">
        <f t="shared" ca="1" si="22"/>
        <v>0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60" t="str">
        <f t="shared" ca="1" si="9"/>
        <v>Tổ Hạ tầng Kiến Tường</v>
      </c>
      <c r="C208" s="61" t="str">
        <f t="shared" ca="1" si="2"/>
        <v>Thiệu Thái An</v>
      </c>
      <c r="D208" s="62">
        <f t="shared" ca="1" si="3"/>
        <v>911685484</v>
      </c>
      <c r="E208" s="63" t="str">
        <f t="shared" ca="1" si="4"/>
        <v>antt.lan@vnpt.vn</v>
      </c>
      <c r="F208" s="64" t="str">
        <f t="shared" ca="1" si="5"/>
        <v>Lần 10</v>
      </c>
      <c r="G208" s="76"/>
      <c r="H208" s="75"/>
      <c r="I208" s="75"/>
      <c r="J208" s="94"/>
      <c r="K208" s="94"/>
      <c r="L208" s="95"/>
      <c r="M208" s="202">
        <f t="shared" ca="1" si="21"/>
        <v>0</v>
      </c>
      <c r="N208" s="203">
        <f t="shared" ca="1" si="22"/>
        <v>0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60" t="str">
        <f t="shared" ca="1" si="9"/>
        <v>Tổ Hạ tầng Kiến Tường</v>
      </c>
      <c r="C209" s="61" t="str">
        <f t="shared" ca="1" si="2"/>
        <v>Thiệu Thái An</v>
      </c>
      <c r="D209" s="62">
        <f t="shared" ca="1" si="3"/>
        <v>911685484</v>
      </c>
      <c r="E209" s="63" t="str">
        <f t="shared" ca="1" si="4"/>
        <v>antt.lan@vnpt.vn</v>
      </c>
      <c r="F209" s="64" t="str">
        <f t="shared" ca="1" si="5"/>
        <v>Lần 11</v>
      </c>
      <c r="G209" s="76"/>
      <c r="H209" s="75"/>
      <c r="I209" s="75"/>
      <c r="J209" s="94"/>
      <c r="K209" s="94"/>
      <c r="L209" s="95"/>
      <c r="M209" s="202">
        <f t="shared" ca="1" si="21"/>
        <v>0</v>
      </c>
      <c r="N209" s="203">
        <f t="shared" ca="1" si="22"/>
        <v>0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60" t="str">
        <f t="shared" ca="1" si="9"/>
        <v>Tổ Hạ tầng Kiến Tường</v>
      </c>
      <c r="C210" s="61" t="str">
        <f t="shared" ca="1" si="2"/>
        <v>Thiệu Thái An</v>
      </c>
      <c r="D210" s="62">
        <f t="shared" ca="1" si="3"/>
        <v>911685484</v>
      </c>
      <c r="E210" s="63" t="str">
        <f t="shared" ca="1" si="4"/>
        <v>antt.lan@vnpt.vn</v>
      </c>
      <c r="F210" s="64" t="str">
        <f t="shared" ca="1" si="5"/>
        <v>Lần 12</v>
      </c>
      <c r="G210" s="76"/>
      <c r="H210" s="75"/>
      <c r="I210" s="75"/>
      <c r="J210" s="94"/>
      <c r="K210" s="94"/>
      <c r="L210" s="95"/>
      <c r="M210" s="202">
        <f t="shared" ca="1" si="21"/>
        <v>0</v>
      </c>
      <c r="N210" s="203">
        <f t="shared" ca="1" si="22"/>
        <v>0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60" t="str">
        <f t="shared" ca="1" si="9"/>
        <v>Tổ Hạ tầng Kiến Tường</v>
      </c>
      <c r="C211" s="61" t="str">
        <f t="shared" ca="1" si="2"/>
        <v>Thiệu Thái An</v>
      </c>
      <c r="D211" s="62">
        <f t="shared" ca="1" si="3"/>
        <v>911685484</v>
      </c>
      <c r="E211" s="63" t="str">
        <f t="shared" ca="1" si="4"/>
        <v>antt.lan@vnpt.vn</v>
      </c>
      <c r="F211" s="64" t="str">
        <f t="shared" ca="1" si="5"/>
        <v>Lần 13</v>
      </c>
      <c r="G211" s="76"/>
      <c r="H211" s="75"/>
      <c r="I211" s="75"/>
      <c r="J211" s="94"/>
      <c r="K211" s="94"/>
      <c r="L211" s="95"/>
      <c r="M211" s="202">
        <f t="shared" ca="1" si="21"/>
        <v>0</v>
      </c>
      <c r="N211" s="203">
        <f t="shared" ca="1" si="22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60" t="str">
        <f t="shared" ca="1" si="9"/>
        <v>Tổ Hạ tầng Kiến Tường</v>
      </c>
      <c r="C212" s="61" t="str">
        <f t="shared" ca="1" si="2"/>
        <v>Thiệu Thái An</v>
      </c>
      <c r="D212" s="62">
        <f t="shared" ca="1" si="3"/>
        <v>911685484</v>
      </c>
      <c r="E212" s="63" t="str">
        <f t="shared" ca="1" si="4"/>
        <v>antt.lan@vnpt.vn</v>
      </c>
      <c r="F212" s="64" t="str">
        <f t="shared" ca="1" si="5"/>
        <v>Lần 14</v>
      </c>
      <c r="G212" s="76"/>
      <c r="H212" s="75"/>
      <c r="I212" s="75"/>
      <c r="J212" s="94"/>
      <c r="K212" s="94"/>
      <c r="L212" s="95"/>
      <c r="M212" s="202">
        <f t="shared" ca="1" si="21"/>
        <v>0</v>
      </c>
      <c r="N212" s="203">
        <f t="shared" ca="1" si="22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60" t="str">
        <f t="shared" ca="1" si="9"/>
        <v>Tổ Hạ tầng Kiến Tường</v>
      </c>
      <c r="C213" s="61" t="str">
        <f t="shared" ca="1" si="2"/>
        <v>Thiệu Thái An</v>
      </c>
      <c r="D213" s="62">
        <f t="shared" ca="1" si="3"/>
        <v>911685484</v>
      </c>
      <c r="E213" s="63" t="str">
        <f t="shared" ca="1" si="4"/>
        <v>antt.lan@vnpt.vn</v>
      </c>
      <c r="F213" s="64" t="str">
        <f t="shared" ca="1" si="5"/>
        <v>Lần 15</v>
      </c>
      <c r="G213" s="76"/>
      <c r="H213" s="75"/>
      <c r="I213" s="75"/>
      <c r="J213" s="94"/>
      <c r="K213" s="94"/>
      <c r="L213" s="95"/>
      <c r="M213" s="202">
        <f t="shared" ca="1" si="21"/>
        <v>0</v>
      </c>
      <c r="N213" s="203">
        <f t="shared" ca="1" si="22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100">
        <f t="shared" ca="1" si="1"/>
        <v>208</v>
      </c>
      <c r="B214" s="101" t="str">
        <f t="shared" ca="1" si="9"/>
        <v>Tổ Hạ tầng Kiến Tường</v>
      </c>
      <c r="C214" s="102" t="str">
        <f t="shared" ca="1" si="2"/>
        <v>Thiệu Thái An</v>
      </c>
      <c r="D214" s="103">
        <f t="shared" ca="1" si="3"/>
        <v>911685484</v>
      </c>
      <c r="E214" s="104" t="str">
        <f t="shared" ca="1" si="4"/>
        <v>antt.lan@vnpt.vn</v>
      </c>
      <c r="F214" s="105" t="str">
        <f t="shared" ca="1" si="5"/>
        <v>Lần 16</v>
      </c>
      <c r="G214" s="76"/>
      <c r="H214" s="75"/>
      <c r="I214" s="75"/>
      <c r="J214" s="94"/>
      <c r="K214" s="94"/>
      <c r="L214" s="95"/>
      <c r="M214" s="202">
        <f t="shared" ca="1" si="21"/>
        <v>0</v>
      </c>
      <c r="N214" s="203">
        <f t="shared" ca="1" si="22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59">
        <f t="shared" ca="1" si="1"/>
        <v>209</v>
      </c>
      <c r="B215" s="60" t="str">
        <f t="shared" ca="1" si="9"/>
        <v>Tổ Hạ tầng Kiến Tường</v>
      </c>
      <c r="C215" s="61" t="str">
        <f t="shared" ca="1" si="2"/>
        <v>Nguyễn Vĩnh Thiên</v>
      </c>
      <c r="D215" s="62">
        <f t="shared" ca="1" si="3"/>
        <v>839195567</v>
      </c>
      <c r="E215" s="63" t="str">
        <f t="shared" ca="1" si="4"/>
        <v>thiennv.lan@vnpt.vn</v>
      </c>
      <c r="F215" s="64" t="str">
        <f t="shared" ca="1" si="5"/>
        <v>Lần 1</v>
      </c>
      <c r="G215" s="76"/>
      <c r="H215" s="75"/>
      <c r="I215" s="75"/>
      <c r="J215" s="94"/>
      <c r="K215" s="94"/>
      <c r="L215" s="95"/>
      <c r="M215" s="202">
        <f t="shared" ca="1" si="21"/>
        <v>0</v>
      </c>
      <c r="N215" s="203">
        <f t="shared" ca="1" si="22"/>
        <v>0</v>
      </c>
      <c r="O215" s="68">
        <f t="shared" ca="1" si="8"/>
        <v>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60" t="str">
        <f t="shared" ca="1" si="9"/>
        <v>Tổ Hạ tầng Kiến Tường</v>
      </c>
      <c r="C216" s="61" t="str">
        <f t="shared" ca="1" si="2"/>
        <v>Nguyễn Vĩnh Thiên</v>
      </c>
      <c r="D216" s="62">
        <f t="shared" ca="1" si="3"/>
        <v>839195567</v>
      </c>
      <c r="E216" s="63" t="str">
        <f t="shared" ca="1" si="4"/>
        <v>thiennv.lan@vnpt.vn</v>
      </c>
      <c r="F216" s="64" t="str">
        <f t="shared" ca="1" si="5"/>
        <v>Lần 2</v>
      </c>
      <c r="G216" s="76"/>
      <c r="H216" s="75"/>
      <c r="I216" s="75"/>
      <c r="J216" s="94"/>
      <c r="K216" s="94"/>
      <c r="L216" s="95"/>
      <c r="M216" s="202">
        <f t="shared" ca="1" si="21"/>
        <v>0</v>
      </c>
      <c r="N216" s="203">
        <f t="shared" ca="1" si="22"/>
        <v>0</v>
      </c>
      <c r="O216" s="68">
        <f t="shared" ca="1" si="8"/>
        <v>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60" t="str">
        <f t="shared" ca="1" si="9"/>
        <v>Tổ Hạ tầng Kiến Tường</v>
      </c>
      <c r="C217" s="61" t="str">
        <f t="shared" ca="1" si="2"/>
        <v>Nguyễn Vĩnh Thiên</v>
      </c>
      <c r="D217" s="62">
        <f t="shared" ca="1" si="3"/>
        <v>839195567</v>
      </c>
      <c r="E217" s="63" t="str">
        <f t="shared" ca="1" si="4"/>
        <v>thiennv.lan@vnpt.vn</v>
      </c>
      <c r="F217" s="64" t="str">
        <f t="shared" ca="1" si="5"/>
        <v>Lần 3</v>
      </c>
      <c r="G217" s="76"/>
      <c r="H217" s="75"/>
      <c r="I217" s="75"/>
      <c r="J217" s="94"/>
      <c r="K217" s="94"/>
      <c r="L217" s="95"/>
      <c r="M217" s="202">
        <f t="shared" ca="1" si="21"/>
        <v>0</v>
      </c>
      <c r="N217" s="203">
        <f t="shared" ca="1" si="22"/>
        <v>0</v>
      </c>
      <c r="O217" s="68">
        <f t="shared" ca="1" si="8"/>
        <v>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60" t="str">
        <f t="shared" ca="1" si="9"/>
        <v>Tổ Hạ tầng Kiến Tường</v>
      </c>
      <c r="C218" s="61" t="str">
        <f t="shared" ca="1" si="2"/>
        <v>Nguyễn Vĩnh Thiên</v>
      </c>
      <c r="D218" s="62">
        <f t="shared" ca="1" si="3"/>
        <v>839195567</v>
      </c>
      <c r="E218" s="63" t="str">
        <f t="shared" ca="1" si="4"/>
        <v>thiennv.lan@vnpt.vn</v>
      </c>
      <c r="F218" s="64" t="str">
        <f t="shared" ca="1" si="5"/>
        <v>Lần 4</v>
      </c>
      <c r="G218" s="76"/>
      <c r="H218" s="75"/>
      <c r="I218" s="75"/>
      <c r="J218" s="94"/>
      <c r="K218" s="94"/>
      <c r="L218" s="95"/>
      <c r="M218" s="202">
        <f t="shared" ca="1" si="21"/>
        <v>0</v>
      </c>
      <c r="N218" s="203">
        <f t="shared" ca="1" si="22"/>
        <v>0</v>
      </c>
      <c r="O218" s="68">
        <f t="shared" ca="1" si="8"/>
        <v>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60" t="str">
        <f t="shared" ca="1" si="9"/>
        <v>Tổ Hạ tầng Kiến Tường</v>
      </c>
      <c r="C219" s="61" t="str">
        <f t="shared" ca="1" si="2"/>
        <v>Nguyễn Vĩnh Thiên</v>
      </c>
      <c r="D219" s="62">
        <f t="shared" ca="1" si="3"/>
        <v>839195567</v>
      </c>
      <c r="E219" s="63" t="str">
        <f t="shared" ca="1" si="4"/>
        <v>thiennv.lan@vnpt.vn</v>
      </c>
      <c r="F219" s="64" t="str">
        <f t="shared" ca="1" si="5"/>
        <v>Lần 5</v>
      </c>
      <c r="G219" s="76"/>
      <c r="H219" s="75"/>
      <c r="I219" s="75"/>
      <c r="J219" s="94"/>
      <c r="K219" s="94"/>
      <c r="L219" s="95"/>
      <c r="M219" s="202">
        <f t="shared" ca="1" si="21"/>
        <v>0</v>
      </c>
      <c r="N219" s="203">
        <f t="shared" ca="1" si="22"/>
        <v>0</v>
      </c>
      <c r="O219" s="68">
        <f t="shared" ca="1" si="8"/>
        <v>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60" t="str">
        <f t="shared" ca="1" si="9"/>
        <v>Tổ Hạ tầng Kiến Tường</v>
      </c>
      <c r="C220" s="61" t="str">
        <f t="shared" ca="1" si="2"/>
        <v>Nguyễn Vĩnh Thiên</v>
      </c>
      <c r="D220" s="62">
        <f t="shared" ca="1" si="3"/>
        <v>839195567</v>
      </c>
      <c r="E220" s="63" t="str">
        <f t="shared" ca="1" si="4"/>
        <v>thiennv.lan@vnpt.vn</v>
      </c>
      <c r="F220" s="64" t="str">
        <f t="shared" ca="1" si="5"/>
        <v>Lần 6</v>
      </c>
      <c r="G220" s="76"/>
      <c r="H220" s="75"/>
      <c r="I220" s="75"/>
      <c r="J220" s="94"/>
      <c r="K220" s="94"/>
      <c r="L220" s="95"/>
      <c r="M220" s="202">
        <f t="shared" ca="1" si="21"/>
        <v>0</v>
      </c>
      <c r="N220" s="203">
        <f t="shared" ca="1" si="22"/>
        <v>0</v>
      </c>
      <c r="O220" s="68">
        <f t="shared" ca="1" si="8"/>
        <v>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60" t="str">
        <f t="shared" ca="1" si="9"/>
        <v>Tổ Hạ tầng Kiến Tường</v>
      </c>
      <c r="C221" s="61" t="str">
        <f t="shared" ca="1" si="2"/>
        <v>Nguyễn Vĩnh Thiên</v>
      </c>
      <c r="D221" s="62">
        <f t="shared" ca="1" si="3"/>
        <v>839195567</v>
      </c>
      <c r="E221" s="63" t="str">
        <f t="shared" ca="1" si="4"/>
        <v>thiennv.lan@vnpt.vn</v>
      </c>
      <c r="F221" s="64" t="str">
        <f t="shared" ca="1" si="5"/>
        <v>Lần 7</v>
      </c>
      <c r="G221" s="76"/>
      <c r="H221" s="75"/>
      <c r="I221" s="75"/>
      <c r="J221" s="94"/>
      <c r="K221" s="94"/>
      <c r="L221" s="95"/>
      <c r="M221" s="202">
        <f t="shared" ca="1" si="21"/>
        <v>0</v>
      </c>
      <c r="N221" s="203">
        <f t="shared" ca="1" si="22"/>
        <v>0</v>
      </c>
      <c r="O221" s="68">
        <f t="shared" ca="1" si="8"/>
        <v>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60" t="str">
        <f t="shared" ca="1" si="9"/>
        <v>Tổ Hạ tầng Kiến Tường</v>
      </c>
      <c r="C222" s="61" t="str">
        <f t="shared" ca="1" si="2"/>
        <v>Nguyễn Vĩnh Thiên</v>
      </c>
      <c r="D222" s="62">
        <f t="shared" ca="1" si="3"/>
        <v>839195567</v>
      </c>
      <c r="E222" s="63" t="str">
        <f t="shared" ca="1" si="4"/>
        <v>thiennv.lan@vnpt.vn</v>
      </c>
      <c r="F222" s="64" t="str">
        <f t="shared" ca="1" si="5"/>
        <v>Lần 8</v>
      </c>
      <c r="G222" s="76"/>
      <c r="H222" s="75"/>
      <c r="I222" s="75"/>
      <c r="J222" s="94"/>
      <c r="K222" s="94"/>
      <c r="L222" s="95"/>
      <c r="M222" s="202">
        <f t="shared" ca="1" si="21"/>
        <v>0</v>
      </c>
      <c r="N222" s="203">
        <f t="shared" ca="1" si="22"/>
        <v>0</v>
      </c>
      <c r="O222" s="68">
        <f t="shared" ca="1" si="8"/>
        <v>0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60" t="str">
        <f t="shared" ca="1" si="9"/>
        <v>Tổ Hạ tầng Kiến Tường</v>
      </c>
      <c r="C223" s="61" t="str">
        <f t="shared" ca="1" si="2"/>
        <v>Nguyễn Vĩnh Thiên</v>
      </c>
      <c r="D223" s="62">
        <f t="shared" ca="1" si="3"/>
        <v>839195567</v>
      </c>
      <c r="E223" s="63" t="str">
        <f t="shared" ca="1" si="4"/>
        <v>thiennv.lan@vnpt.vn</v>
      </c>
      <c r="F223" s="64" t="str">
        <f t="shared" ca="1" si="5"/>
        <v>Lần 9</v>
      </c>
      <c r="G223" s="76"/>
      <c r="H223" s="75"/>
      <c r="I223" s="75"/>
      <c r="J223" s="94"/>
      <c r="K223" s="94"/>
      <c r="L223" s="95"/>
      <c r="M223" s="202">
        <f t="shared" ca="1" si="21"/>
        <v>0</v>
      </c>
      <c r="N223" s="203">
        <f t="shared" ca="1" si="22"/>
        <v>0</v>
      </c>
      <c r="O223" s="68">
        <f t="shared" ca="1" si="8"/>
        <v>0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60" t="str">
        <f t="shared" ca="1" si="9"/>
        <v>Tổ Hạ tầng Kiến Tường</v>
      </c>
      <c r="C224" s="61" t="str">
        <f t="shared" ca="1" si="2"/>
        <v>Nguyễn Vĩnh Thiên</v>
      </c>
      <c r="D224" s="62">
        <f t="shared" ca="1" si="3"/>
        <v>839195567</v>
      </c>
      <c r="E224" s="63" t="str">
        <f t="shared" ca="1" si="4"/>
        <v>thiennv.lan@vnpt.vn</v>
      </c>
      <c r="F224" s="64" t="str">
        <f t="shared" ca="1" si="5"/>
        <v>Lần 10</v>
      </c>
      <c r="G224" s="76"/>
      <c r="H224" s="75"/>
      <c r="I224" s="75"/>
      <c r="J224" s="94"/>
      <c r="K224" s="94"/>
      <c r="L224" s="95"/>
      <c r="M224" s="202">
        <f t="shared" ca="1" si="21"/>
        <v>0</v>
      </c>
      <c r="N224" s="203">
        <f t="shared" ca="1" si="22"/>
        <v>0</v>
      </c>
      <c r="O224" s="68">
        <f t="shared" ca="1" si="8"/>
        <v>0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60" t="str">
        <f t="shared" ca="1" si="9"/>
        <v>Tổ Hạ tầng Kiến Tường</v>
      </c>
      <c r="C225" s="61" t="str">
        <f t="shared" ca="1" si="2"/>
        <v>Nguyễn Vĩnh Thiên</v>
      </c>
      <c r="D225" s="62">
        <f t="shared" ca="1" si="3"/>
        <v>839195567</v>
      </c>
      <c r="E225" s="63" t="str">
        <f t="shared" ca="1" si="4"/>
        <v>thiennv.lan@vnpt.vn</v>
      </c>
      <c r="F225" s="64" t="str">
        <f t="shared" ca="1" si="5"/>
        <v>Lần 11</v>
      </c>
      <c r="G225" s="76"/>
      <c r="H225" s="75"/>
      <c r="I225" s="75"/>
      <c r="J225" s="94"/>
      <c r="K225" s="94"/>
      <c r="L225" s="95"/>
      <c r="M225" s="202">
        <f t="shared" ca="1" si="21"/>
        <v>0</v>
      </c>
      <c r="N225" s="203">
        <f t="shared" ca="1" si="22"/>
        <v>0</v>
      </c>
      <c r="O225" s="68">
        <f t="shared" ca="1" si="8"/>
        <v>0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60" t="str">
        <f t="shared" ca="1" si="9"/>
        <v>Tổ Hạ tầng Kiến Tường</v>
      </c>
      <c r="C226" s="61" t="str">
        <f t="shared" ca="1" si="2"/>
        <v>Nguyễn Vĩnh Thiên</v>
      </c>
      <c r="D226" s="62">
        <f t="shared" ca="1" si="3"/>
        <v>839195567</v>
      </c>
      <c r="E226" s="63" t="str">
        <f t="shared" ca="1" si="4"/>
        <v>thiennv.lan@vnpt.vn</v>
      </c>
      <c r="F226" s="64" t="str">
        <f t="shared" ca="1" si="5"/>
        <v>Lần 12</v>
      </c>
      <c r="G226" s="76"/>
      <c r="H226" s="75"/>
      <c r="I226" s="75"/>
      <c r="J226" s="94"/>
      <c r="K226" s="94"/>
      <c r="L226" s="95"/>
      <c r="M226" s="202">
        <f t="shared" ca="1" si="21"/>
        <v>0</v>
      </c>
      <c r="N226" s="203">
        <f t="shared" ca="1" si="22"/>
        <v>0</v>
      </c>
      <c r="O226" s="68">
        <f t="shared" ca="1" si="8"/>
        <v>0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60" t="str">
        <f t="shared" ca="1" si="9"/>
        <v>Tổ Hạ tầng Kiến Tường</v>
      </c>
      <c r="C227" s="61" t="str">
        <f t="shared" ca="1" si="2"/>
        <v>Nguyễn Vĩnh Thiên</v>
      </c>
      <c r="D227" s="62">
        <f t="shared" ca="1" si="3"/>
        <v>839195567</v>
      </c>
      <c r="E227" s="63" t="str">
        <f t="shared" ca="1" si="4"/>
        <v>thiennv.lan@vnpt.vn</v>
      </c>
      <c r="F227" s="64" t="str">
        <f t="shared" ca="1" si="5"/>
        <v>Lần 13</v>
      </c>
      <c r="G227" s="76"/>
      <c r="H227" s="75"/>
      <c r="I227" s="75"/>
      <c r="J227" s="94"/>
      <c r="K227" s="94"/>
      <c r="L227" s="95"/>
      <c r="M227" s="202">
        <f t="shared" ca="1" si="21"/>
        <v>0</v>
      </c>
      <c r="N227" s="203">
        <f t="shared" ca="1" si="22"/>
        <v>0</v>
      </c>
      <c r="O227" s="68">
        <f t="shared" ca="1" si="8"/>
        <v>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60" t="str">
        <f t="shared" ca="1" si="9"/>
        <v>Tổ Hạ tầng Kiến Tường</v>
      </c>
      <c r="C228" s="61" t="str">
        <f t="shared" ca="1" si="2"/>
        <v>Nguyễn Vĩnh Thiên</v>
      </c>
      <c r="D228" s="62">
        <f t="shared" ca="1" si="3"/>
        <v>839195567</v>
      </c>
      <c r="E228" s="63" t="str">
        <f t="shared" ca="1" si="4"/>
        <v>thiennv.lan@vnpt.vn</v>
      </c>
      <c r="F228" s="64" t="str">
        <f t="shared" ca="1" si="5"/>
        <v>Lần 14</v>
      </c>
      <c r="G228" s="76"/>
      <c r="H228" s="75"/>
      <c r="I228" s="75"/>
      <c r="J228" s="94"/>
      <c r="K228" s="94"/>
      <c r="L228" s="95"/>
      <c r="M228" s="202">
        <f t="shared" ca="1" si="21"/>
        <v>0</v>
      </c>
      <c r="N228" s="203">
        <f t="shared" ca="1" si="22"/>
        <v>0</v>
      </c>
      <c r="O228" s="68">
        <f t="shared" ca="1" si="8"/>
        <v>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60" t="str">
        <f t="shared" ca="1" si="9"/>
        <v>Tổ Hạ tầng Kiến Tường</v>
      </c>
      <c r="C229" s="61" t="str">
        <f t="shared" ca="1" si="2"/>
        <v>Nguyễn Vĩnh Thiên</v>
      </c>
      <c r="D229" s="62">
        <f t="shared" ca="1" si="3"/>
        <v>839195567</v>
      </c>
      <c r="E229" s="63" t="str">
        <f t="shared" ca="1" si="4"/>
        <v>thiennv.lan@vnpt.vn</v>
      </c>
      <c r="F229" s="64" t="str">
        <f t="shared" ca="1" si="5"/>
        <v>Lần 15</v>
      </c>
      <c r="G229" s="76"/>
      <c r="H229" s="75"/>
      <c r="I229" s="75"/>
      <c r="J229" s="94"/>
      <c r="K229" s="94"/>
      <c r="L229" s="95"/>
      <c r="M229" s="202">
        <f t="shared" ca="1" si="21"/>
        <v>0</v>
      </c>
      <c r="N229" s="203">
        <f t="shared" ca="1" si="22"/>
        <v>0</v>
      </c>
      <c r="O229" s="68">
        <f t="shared" ca="1" si="8"/>
        <v>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80">
        <f t="shared" ca="1" si="1"/>
        <v>224</v>
      </c>
      <c r="B230" s="81" t="str">
        <f t="shared" ca="1" si="9"/>
        <v>Tổ Hạ tầng Kiến Tường</v>
      </c>
      <c r="C230" s="82" t="str">
        <f t="shared" ca="1" si="2"/>
        <v>Nguyễn Vĩnh Thiên</v>
      </c>
      <c r="D230" s="83">
        <f t="shared" ca="1" si="3"/>
        <v>839195567</v>
      </c>
      <c r="E230" s="84" t="str">
        <f t="shared" ca="1" si="4"/>
        <v>thiennv.lan@vnpt.vn</v>
      </c>
      <c r="F230" s="85" t="str">
        <f t="shared" ca="1" si="5"/>
        <v>Lần 16</v>
      </c>
      <c r="G230" s="76"/>
      <c r="H230" s="75"/>
      <c r="I230" s="75"/>
      <c r="J230" s="94"/>
      <c r="K230" s="94"/>
      <c r="L230" s="95"/>
      <c r="M230" s="202">
        <f t="shared" ca="1" si="21"/>
        <v>0</v>
      </c>
      <c r="N230" s="203">
        <f t="shared" ca="1" si="22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60">
        <f t="shared" ca="1" si="1"/>
        <v>225</v>
      </c>
      <c r="B231" s="60" t="str">
        <f t="shared" ca="1" si="9"/>
        <v>Tổ Hạ tầng Kiến Tường</v>
      </c>
      <c r="C231" s="61" t="str">
        <f t="shared" ca="1" si="2"/>
        <v>Bùi Hoàng Tường</v>
      </c>
      <c r="D231" s="62">
        <f t="shared" ca="1" si="3"/>
        <v>916659889</v>
      </c>
      <c r="E231" s="63" t="str">
        <f t="shared" ca="1" si="4"/>
        <v>tuongbh.lan@vnpt.vn</v>
      </c>
      <c r="F231" s="276" t="str">
        <f t="shared" ca="1" si="5"/>
        <v>Lần 1</v>
      </c>
      <c r="G231" s="76"/>
      <c r="H231" s="75"/>
      <c r="I231" s="75"/>
      <c r="J231" s="94"/>
      <c r="K231" s="94"/>
      <c r="L231" s="95"/>
      <c r="M231" s="202">
        <f t="shared" ca="1" si="21"/>
        <v>0</v>
      </c>
      <c r="N231" s="203">
        <f t="shared" ca="1" si="22"/>
        <v>0</v>
      </c>
      <c r="O231" s="68">
        <f t="shared" ca="1" si="8"/>
        <v>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60">
        <f t="shared" ca="1" si="1"/>
        <v>226</v>
      </c>
      <c r="B232" s="60" t="str">
        <f t="shared" ca="1" si="9"/>
        <v>Tổ Hạ tầng Kiến Tường</v>
      </c>
      <c r="C232" s="61" t="str">
        <f t="shared" ca="1" si="2"/>
        <v>Bùi Hoàng Tường</v>
      </c>
      <c r="D232" s="62">
        <f t="shared" ca="1" si="3"/>
        <v>916659889</v>
      </c>
      <c r="E232" s="63" t="str">
        <f t="shared" ca="1" si="4"/>
        <v>tuongbh.lan@vnpt.vn</v>
      </c>
      <c r="F232" s="276" t="str">
        <f t="shared" ca="1" si="5"/>
        <v>Lần 2</v>
      </c>
      <c r="G232" s="76"/>
      <c r="H232" s="75"/>
      <c r="I232" s="75"/>
      <c r="J232" s="94"/>
      <c r="K232" s="94"/>
      <c r="L232" s="95"/>
      <c r="M232" s="202">
        <f t="shared" ca="1" si="21"/>
        <v>0</v>
      </c>
      <c r="N232" s="203">
        <f t="shared" ca="1" si="22"/>
        <v>0</v>
      </c>
      <c r="O232" s="68">
        <f t="shared" ca="1" si="8"/>
        <v>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60">
        <f t="shared" ca="1" si="1"/>
        <v>227</v>
      </c>
      <c r="B233" s="60" t="str">
        <f t="shared" ca="1" si="9"/>
        <v>Tổ Hạ tầng Kiến Tường</v>
      </c>
      <c r="C233" s="61" t="str">
        <f t="shared" ca="1" si="2"/>
        <v>Bùi Hoàng Tường</v>
      </c>
      <c r="D233" s="62">
        <f t="shared" ca="1" si="3"/>
        <v>916659889</v>
      </c>
      <c r="E233" s="63" t="str">
        <f t="shared" ca="1" si="4"/>
        <v>tuongbh.lan@vnpt.vn</v>
      </c>
      <c r="F233" s="276" t="str">
        <f t="shared" ca="1" si="5"/>
        <v>Lần 3</v>
      </c>
      <c r="G233" s="76"/>
      <c r="H233" s="75"/>
      <c r="I233" s="75"/>
      <c r="J233" s="94"/>
      <c r="K233" s="94"/>
      <c r="L233" s="95"/>
      <c r="M233" s="202">
        <f t="shared" ca="1" si="21"/>
        <v>0</v>
      </c>
      <c r="N233" s="203">
        <f t="shared" ca="1" si="22"/>
        <v>0</v>
      </c>
      <c r="O233" s="68">
        <f t="shared" ca="1" si="8"/>
        <v>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60">
        <f t="shared" ca="1" si="1"/>
        <v>228</v>
      </c>
      <c r="B234" s="60" t="str">
        <f t="shared" ca="1" si="9"/>
        <v>Tổ Hạ tầng Kiến Tường</v>
      </c>
      <c r="C234" s="61" t="str">
        <f t="shared" ca="1" si="2"/>
        <v>Bùi Hoàng Tường</v>
      </c>
      <c r="D234" s="62">
        <f t="shared" ca="1" si="3"/>
        <v>916659889</v>
      </c>
      <c r="E234" s="63" t="str">
        <f t="shared" ca="1" si="4"/>
        <v>tuongbh.lan@vnpt.vn</v>
      </c>
      <c r="F234" s="276" t="str">
        <f t="shared" ca="1" si="5"/>
        <v>Lần 4</v>
      </c>
      <c r="G234" s="76"/>
      <c r="H234" s="75"/>
      <c r="I234" s="75"/>
      <c r="J234" s="94"/>
      <c r="K234" s="94"/>
      <c r="L234" s="95"/>
      <c r="M234" s="202">
        <f t="shared" ca="1" si="21"/>
        <v>0</v>
      </c>
      <c r="N234" s="203">
        <f t="shared" ca="1" si="22"/>
        <v>0</v>
      </c>
      <c r="O234" s="68">
        <f t="shared" ca="1" si="8"/>
        <v>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60">
        <f t="shared" ca="1" si="1"/>
        <v>229</v>
      </c>
      <c r="B235" s="60" t="str">
        <f t="shared" ca="1" si="9"/>
        <v>Tổ Hạ tầng Kiến Tường</v>
      </c>
      <c r="C235" s="61" t="str">
        <f t="shared" ca="1" si="2"/>
        <v>Bùi Hoàng Tường</v>
      </c>
      <c r="D235" s="62">
        <f t="shared" ca="1" si="3"/>
        <v>916659889</v>
      </c>
      <c r="E235" s="63" t="str">
        <f t="shared" ca="1" si="4"/>
        <v>tuongbh.lan@vnpt.vn</v>
      </c>
      <c r="F235" s="276" t="str">
        <f t="shared" ca="1" si="5"/>
        <v>Lần 5</v>
      </c>
      <c r="G235" s="76"/>
      <c r="H235" s="75"/>
      <c r="I235" s="75"/>
      <c r="J235" s="94"/>
      <c r="K235" s="94"/>
      <c r="L235" s="95"/>
      <c r="M235" s="202">
        <f t="shared" ca="1" si="21"/>
        <v>0</v>
      </c>
      <c r="N235" s="203">
        <f t="shared" ca="1" si="22"/>
        <v>0</v>
      </c>
      <c r="O235" s="68">
        <f t="shared" ca="1" si="8"/>
        <v>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60">
        <f t="shared" ca="1" si="1"/>
        <v>230</v>
      </c>
      <c r="B236" s="60" t="str">
        <f t="shared" ca="1" si="9"/>
        <v>Tổ Hạ tầng Kiến Tường</v>
      </c>
      <c r="C236" s="61" t="str">
        <f t="shared" ca="1" si="2"/>
        <v>Bùi Hoàng Tường</v>
      </c>
      <c r="D236" s="62">
        <f t="shared" ca="1" si="3"/>
        <v>916659889</v>
      </c>
      <c r="E236" s="63" t="str">
        <f t="shared" ca="1" si="4"/>
        <v>tuongbh.lan@vnpt.vn</v>
      </c>
      <c r="F236" s="276" t="str">
        <f t="shared" ca="1" si="5"/>
        <v>Lần 6</v>
      </c>
      <c r="G236" s="76"/>
      <c r="H236" s="75"/>
      <c r="I236" s="75"/>
      <c r="J236" s="94"/>
      <c r="K236" s="94"/>
      <c r="L236" s="95"/>
      <c r="M236" s="202">
        <f t="shared" ca="1" si="21"/>
        <v>0</v>
      </c>
      <c r="N236" s="203">
        <f t="shared" ca="1" si="22"/>
        <v>0</v>
      </c>
      <c r="O236" s="68">
        <f t="shared" ca="1" si="8"/>
        <v>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60">
        <f t="shared" ca="1" si="1"/>
        <v>231</v>
      </c>
      <c r="B237" s="60" t="str">
        <f t="shared" ca="1" si="9"/>
        <v>Tổ Hạ tầng Kiến Tường</v>
      </c>
      <c r="C237" s="61" t="str">
        <f t="shared" ca="1" si="2"/>
        <v>Bùi Hoàng Tường</v>
      </c>
      <c r="D237" s="62">
        <f t="shared" ca="1" si="3"/>
        <v>916659889</v>
      </c>
      <c r="E237" s="63" t="str">
        <f t="shared" ca="1" si="4"/>
        <v>tuongbh.lan@vnpt.vn</v>
      </c>
      <c r="F237" s="276" t="str">
        <f t="shared" ca="1" si="5"/>
        <v>Lần 7</v>
      </c>
      <c r="G237" s="76"/>
      <c r="H237" s="75"/>
      <c r="I237" s="75"/>
      <c r="J237" s="94"/>
      <c r="K237" s="94"/>
      <c r="L237" s="95"/>
      <c r="M237" s="202">
        <f t="shared" ca="1" si="21"/>
        <v>0</v>
      </c>
      <c r="N237" s="203">
        <f t="shared" ca="1" si="22"/>
        <v>0</v>
      </c>
      <c r="O237" s="68">
        <f t="shared" ca="1" si="8"/>
        <v>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60">
        <f t="shared" ca="1" si="1"/>
        <v>232</v>
      </c>
      <c r="B238" s="60" t="str">
        <f t="shared" ca="1" si="9"/>
        <v>Tổ Hạ tầng Kiến Tường</v>
      </c>
      <c r="C238" s="61" t="str">
        <f t="shared" ca="1" si="2"/>
        <v>Bùi Hoàng Tường</v>
      </c>
      <c r="D238" s="62">
        <f t="shared" ca="1" si="3"/>
        <v>916659889</v>
      </c>
      <c r="E238" s="63" t="str">
        <f t="shared" ca="1" si="4"/>
        <v>tuongbh.lan@vnpt.vn</v>
      </c>
      <c r="F238" s="276" t="str">
        <f t="shared" ca="1" si="5"/>
        <v>Lần 8</v>
      </c>
      <c r="G238" s="76"/>
      <c r="H238" s="75"/>
      <c r="I238" s="75"/>
      <c r="J238" s="94"/>
      <c r="K238" s="94"/>
      <c r="L238" s="95"/>
      <c r="M238" s="202">
        <f t="shared" ca="1" si="21"/>
        <v>0</v>
      </c>
      <c r="N238" s="203">
        <f t="shared" ca="1" si="22"/>
        <v>0</v>
      </c>
      <c r="O238" s="68">
        <f t="shared" ca="1" si="8"/>
        <v>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60">
        <f t="shared" ca="1" si="1"/>
        <v>233</v>
      </c>
      <c r="B239" s="60" t="str">
        <f t="shared" ca="1" si="9"/>
        <v>Tổ Hạ tầng Kiến Tường</v>
      </c>
      <c r="C239" s="61" t="str">
        <f t="shared" ca="1" si="2"/>
        <v>Bùi Hoàng Tường</v>
      </c>
      <c r="D239" s="62">
        <f t="shared" ca="1" si="3"/>
        <v>916659889</v>
      </c>
      <c r="E239" s="63" t="str">
        <f t="shared" ca="1" si="4"/>
        <v>tuongbh.lan@vnpt.vn</v>
      </c>
      <c r="F239" s="276" t="str">
        <f t="shared" ca="1" si="5"/>
        <v>Lần 9</v>
      </c>
      <c r="G239" s="76"/>
      <c r="H239" s="75"/>
      <c r="I239" s="75"/>
      <c r="J239" s="94"/>
      <c r="K239" s="94"/>
      <c r="L239" s="95"/>
      <c r="M239" s="202">
        <f t="shared" ca="1" si="21"/>
        <v>0</v>
      </c>
      <c r="N239" s="203">
        <f t="shared" ca="1" si="22"/>
        <v>0</v>
      </c>
      <c r="O239" s="68">
        <f t="shared" ca="1" si="8"/>
        <v>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60">
        <f t="shared" ca="1" si="1"/>
        <v>234</v>
      </c>
      <c r="B240" s="60" t="str">
        <f t="shared" ca="1" si="9"/>
        <v>Tổ Hạ tầng Kiến Tường</v>
      </c>
      <c r="C240" s="61" t="str">
        <f t="shared" ca="1" si="2"/>
        <v>Bùi Hoàng Tường</v>
      </c>
      <c r="D240" s="62">
        <f t="shared" ca="1" si="3"/>
        <v>916659889</v>
      </c>
      <c r="E240" s="63" t="str">
        <f t="shared" ca="1" si="4"/>
        <v>tuongbh.lan@vnpt.vn</v>
      </c>
      <c r="F240" s="276" t="str">
        <f t="shared" ca="1" si="5"/>
        <v>Lần 10</v>
      </c>
      <c r="G240" s="76"/>
      <c r="H240" s="75"/>
      <c r="I240" s="75"/>
      <c r="J240" s="94"/>
      <c r="K240" s="94"/>
      <c r="L240" s="95"/>
      <c r="M240" s="202">
        <f t="shared" ca="1" si="21"/>
        <v>0</v>
      </c>
      <c r="N240" s="203">
        <f t="shared" ca="1" si="22"/>
        <v>0</v>
      </c>
      <c r="O240" s="68">
        <f t="shared" ca="1" si="8"/>
        <v>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60">
        <f t="shared" ca="1" si="1"/>
        <v>235</v>
      </c>
      <c r="B241" s="60" t="str">
        <f t="shared" ca="1" si="9"/>
        <v>Tổ Hạ tầng Kiến Tường</v>
      </c>
      <c r="C241" s="61" t="str">
        <f t="shared" ca="1" si="2"/>
        <v>Bùi Hoàng Tường</v>
      </c>
      <c r="D241" s="62">
        <f t="shared" ca="1" si="3"/>
        <v>916659889</v>
      </c>
      <c r="E241" s="63" t="str">
        <f t="shared" ca="1" si="4"/>
        <v>tuongbh.lan@vnpt.vn</v>
      </c>
      <c r="F241" s="276" t="str">
        <f t="shared" ca="1" si="5"/>
        <v>Lần 11</v>
      </c>
      <c r="G241" s="76"/>
      <c r="H241" s="75"/>
      <c r="I241" s="75"/>
      <c r="J241" s="94"/>
      <c r="K241" s="94"/>
      <c r="L241" s="95"/>
      <c r="M241" s="202">
        <f t="shared" ca="1" si="21"/>
        <v>0</v>
      </c>
      <c r="N241" s="203">
        <f t="shared" ca="1" si="22"/>
        <v>0</v>
      </c>
      <c r="O241" s="68">
        <f t="shared" ca="1" si="8"/>
        <v>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60">
        <f t="shared" ca="1" si="1"/>
        <v>236</v>
      </c>
      <c r="B242" s="60" t="str">
        <f t="shared" ca="1" si="9"/>
        <v>Tổ Hạ tầng Kiến Tường</v>
      </c>
      <c r="C242" s="61" t="str">
        <f t="shared" ca="1" si="2"/>
        <v>Bùi Hoàng Tường</v>
      </c>
      <c r="D242" s="62">
        <f t="shared" ca="1" si="3"/>
        <v>916659889</v>
      </c>
      <c r="E242" s="63" t="str">
        <f t="shared" ca="1" si="4"/>
        <v>tuongbh.lan@vnpt.vn</v>
      </c>
      <c r="F242" s="276" t="str">
        <f t="shared" ca="1" si="5"/>
        <v>Lần 12</v>
      </c>
      <c r="G242" s="76"/>
      <c r="H242" s="75"/>
      <c r="I242" s="75"/>
      <c r="J242" s="94"/>
      <c r="K242" s="94"/>
      <c r="L242" s="95"/>
      <c r="M242" s="202">
        <f t="shared" ca="1" si="21"/>
        <v>0</v>
      </c>
      <c r="N242" s="203">
        <f t="shared" ca="1" si="22"/>
        <v>0</v>
      </c>
      <c r="O242" s="68">
        <f t="shared" ca="1" si="8"/>
        <v>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60">
        <f t="shared" ca="1" si="1"/>
        <v>237</v>
      </c>
      <c r="B243" s="60" t="str">
        <f t="shared" ca="1" si="9"/>
        <v>Tổ Hạ tầng Kiến Tường</v>
      </c>
      <c r="C243" s="61" t="str">
        <f t="shared" ca="1" si="2"/>
        <v>Bùi Hoàng Tường</v>
      </c>
      <c r="D243" s="62">
        <f t="shared" ca="1" si="3"/>
        <v>916659889</v>
      </c>
      <c r="E243" s="63" t="str">
        <f t="shared" ca="1" si="4"/>
        <v>tuongbh.lan@vnpt.vn</v>
      </c>
      <c r="F243" s="276" t="str">
        <f t="shared" ca="1" si="5"/>
        <v>Lần 13</v>
      </c>
      <c r="G243" s="76"/>
      <c r="H243" s="75"/>
      <c r="I243" s="75"/>
      <c r="J243" s="94"/>
      <c r="K243" s="94"/>
      <c r="L243" s="95"/>
      <c r="M243" s="202">
        <f t="shared" ca="1" si="21"/>
        <v>0</v>
      </c>
      <c r="N243" s="203">
        <f t="shared" ca="1" si="22"/>
        <v>0</v>
      </c>
      <c r="O243" s="68">
        <f t="shared" ca="1" si="8"/>
        <v>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60">
        <f t="shared" ca="1" si="1"/>
        <v>238</v>
      </c>
      <c r="B244" s="60" t="str">
        <f t="shared" ca="1" si="9"/>
        <v>Tổ Hạ tầng Kiến Tường</v>
      </c>
      <c r="C244" s="61" t="str">
        <f t="shared" ca="1" si="2"/>
        <v>Bùi Hoàng Tường</v>
      </c>
      <c r="D244" s="62">
        <f t="shared" ca="1" si="3"/>
        <v>916659889</v>
      </c>
      <c r="E244" s="63" t="str">
        <f t="shared" ca="1" si="4"/>
        <v>tuongbh.lan@vnpt.vn</v>
      </c>
      <c r="F244" s="276" t="str">
        <f t="shared" ca="1" si="5"/>
        <v>Lần 14</v>
      </c>
      <c r="G244" s="76"/>
      <c r="H244" s="75"/>
      <c r="I244" s="75"/>
      <c r="J244" s="94"/>
      <c r="K244" s="94"/>
      <c r="L244" s="95"/>
      <c r="M244" s="202">
        <f t="shared" ca="1" si="21"/>
        <v>0</v>
      </c>
      <c r="N244" s="203">
        <f t="shared" ca="1" si="22"/>
        <v>0</v>
      </c>
      <c r="O244" s="68">
        <f t="shared" ca="1" si="8"/>
        <v>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60">
        <f t="shared" ca="1" si="1"/>
        <v>239</v>
      </c>
      <c r="B245" s="60" t="str">
        <f t="shared" ca="1" si="9"/>
        <v>Tổ Hạ tầng Kiến Tường</v>
      </c>
      <c r="C245" s="61" t="str">
        <f t="shared" ca="1" si="2"/>
        <v>Bùi Hoàng Tường</v>
      </c>
      <c r="D245" s="62">
        <f t="shared" ca="1" si="3"/>
        <v>916659889</v>
      </c>
      <c r="E245" s="63" t="str">
        <f t="shared" ca="1" si="4"/>
        <v>tuongbh.lan@vnpt.vn</v>
      </c>
      <c r="F245" s="276" t="str">
        <f t="shared" ca="1" si="5"/>
        <v>Lần 15</v>
      </c>
      <c r="G245" s="76"/>
      <c r="H245" s="75"/>
      <c r="I245" s="75"/>
      <c r="J245" s="94"/>
      <c r="K245" s="94"/>
      <c r="L245" s="95"/>
      <c r="M245" s="202">
        <f t="shared" ca="1" si="21"/>
        <v>0</v>
      </c>
      <c r="N245" s="203">
        <f t="shared" ca="1" si="22"/>
        <v>0</v>
      </c>
      <c r="O245" s="68">
        <f t="shared" ca="1" si="8"/>
        <v>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60">
        <f t="shared" ca="1" si="1"/>
        <v>240</v>
      </c>
      <c r="B246" s="60" t="str">
        <f t="shared" ca="1" si="9"/>
        <v>Tổ Hạ tầng Kiến Tường</v>
      </c>
      <c r="C246" s="61" t="str">
        <f t="shared" ca="1" si="2"/>
        <v>Bùi Hoàng Tường</v>
      </c>
      <c r="D246" s="62">
        <f t="shared" ca="1" si="3"/>
        <v>916659889</v>
      </c>
      <c r="E246" s="63" t="str">
        <f t="shared" ca="1" si="4"/>
        <v>tuongbh.lan@vnpt.vn</v>
      </c>
      <c r="F246" s="276" t="str">
        <f t="shared" ca="1" si="5"/>
        <v>Lần 16</v>
      </c>
      <c r="G246" s="76"/>
      <c r="H246" s="75"/>
      <c r="I246" s="75"/>
      <c r="J246" s="94"/>
      <c r="K246" s="94"/>
      <c r="L246" s="95"/>
      <c r="M246" s="202">
        <f t="shared" ca="1" si="21"/>
        <v>0</v>
      </c>
      <c r="N246" s="203">
        <f t="shared" ca="1" si="22"/>
        <v>0</v>
      </c>
      <c r="O246" s="68">
        <f t="shared" ca="1" si="8"/>
        <v>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60">
        <f t="shared" ca="1" si="1"/>
        <v>241</v>
      </c>
      <c r="B247" s="60" t="str">
        <f t="shared" ca="1" si="9"/>
        <v>Tổ Hạ tầng Kiến Tường</v>
      </c>
      <c r="C247" s="61" t="str">
        <f t="shared" ca="1" si="2"/>
        <v>Trần Thuận Thiên</v>
      </c>
      <c r="D247" s="277" t="str">
        <f t="shared" ca="1" si="3"/>
        <v>0916186172</v>
      </c>
      <c r="E247" s="63" t="str">
        <f t="shared" ca="1" si="4"/>
        <v>thientt.tnh@vnpt.vn</v>
      </c>
      <c r="F247" s="276" t="str">
        <f t="shared" ca="1" si="5"/>
        <v>Lần 1</v>
      </c>
      <c r="G247" s="278">
        <v>46212</v>
      </c>
      <c r="H247" s="35">
        <v>140</v>
      </c>
      <c r="I247" s="35">
        <v>63.5</v>
      </c>
      <c r="J247" s="35">
        <v>139</v>
      </c>
      <c r="K247" s="35">
        <v>48.7</v>
      </c>
      <c r="L247" s="95" t="s">
        <v>279</v>
      </c>
      <c r="M247" s="202">
        <f t="shared" ca="1" si="21"/>
        <v>1</v>
      </c>
      <c r="N247" s="203">
        <f t="shared" ca="1" si="22"/>
        <v>1</v>
      </c>
      <c r="O247" s="68">
        <f t="shared" ca="1" si="8"/>
        <v>0</v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60">
        <f t="shared" ca="1" si="1"/>
        <v>242</v>
      </c>
      <c r="B248" s="60" t="str">
        <f t="shared" ca="1" si="9"/>
        <v>Tổ Hạ tầng Kiến Tường</v>
      </c>
      <c r="C248" s="61" t="str">
        <f t="shared" ca="1" si="2"/>
        <v>Trần Thuận Thiên</v>
      </c>
      <c r="D248" s="277" t="str">
        <f t="shared" ca="1" si="3"/>
        <v>0916186172</v>
      </c>
      <c r="E248" s="63" t="str">
        <f t="shared" ca="1" si="4"/>
        <v>thientt.tnh@vnpt.vn</v>
      </c>
      <c r="F248" s="276" t="str">
        <f t="shared" ca="1" si="5"/>
        <v>Lần 2</v>
      </c>
      <c r="G248" s="278">
        <v>46212</v>
      </c>
      <c r="H248" s="35">
        <v>156</v>
      </c>
      <c r="I248" s="35">
        <v>59.8</v>
      </c>
      <c r="J248" s="35">
        <v>130</v>
      </c>
      <c r="K248" s="35">
        <v>49.2</v>
      </c>
      <c r="L248" s="95" t="s">
        <v>279</v>
      </c>
      <c r="M248" s="202">
        <f t="shared" ca="1" si="21"/>
        <v>1</v>
      </c>
      <c r="N248" s="203">
        <f t="shared" ca="1" si="22"/>
        <v>1</v>
      </c>
      <c r="O248" s="68">
        <f t="shared" ca="1" si="8"/>
        <v>0</v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60">
        <f t="shared" ca="1" si="1"/>
        <v>243</v>
      </c>
      <c r="B249" s="60" t="str">
        <f t="shared" ca="1" si="9"/>
        <v>Tổ Hạ tầng Kiến Tường</v>
      </c>
      <c r="C249" s="61" t="str">
        <f t="shared" ca="1" si="2"/>
        <v>Trần Thuận Thiên</v>
      </c>
      <c r="D249" s="277" t="str">
        <f t="shared" ca="1" si="3"/>
        <v>0916186172</v>
      </c>
      <c r="E249" s="63" t="str">
        <f t="shared" ca="1" si="4"/>
        <v>thientt.tnh@vnpt.vn</v>
      </c>
      <c r="F249" s="276" t="str">
        <f t="shared" ca="1" si="5"/>
        <v>Lần 3</v>
      </c>
      <c r="G249" s="278">
        <v>46212</v>
      </c>
      <c r="H249" s="35">
        <v>134</v>
      </c>
      <c r="I249" s="35">
        <v>59.5</v>
      </c>
      <c r="J249" s="35">
        <v>130</v>
      </c>
      <c r="K249" s="35">
        <v>51.6</v>
      </c>
      <c r="L249" s="95" t="s">
        <v>279</v>
      </c>
      <c r="M249" s="202">
        <f t="shared" ca="1" si="21"/>
        <v>1</v>
      </c>
      <c r="N249" s="203">
        <f t="shared" ca="1" si="22"/>
        <v>1</v>
      </c>
      <c r="O249" s="68">
        <f t="shared" ca="1" si="8"/>
        <v>0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60">
        <f t="shared" ca="1" si="1"/>
        <v>244</v>
      </c>
      <c r="B250" s="60" t="str">
        <f t="shared" ca="1" si="9"/>
        <v>Tổ Hạ tầng Kiến Tường</v>
      </c>
      <c r="C250" s="61" t="str">
        <f t="shared" ca="1" si="2"/>
        <v>Trần Thuận Thiên</v>
      </c>
      <c r="D250" s="277" t="str">
        <f t="shared" ca="1" si="3"/>
        <v>0916186172</v>
      </c>
      <c r="E250" s="63" t="str">
        <f t="shared" ca="1" si="4"/>
        <v>thientt.tnh@vnpt.vn</v>
      </c>
      <c r="F250" s="276" t="str">
        <f t="shared" ca="1" si="5"/>
        <v>Lần 4</v>
      </c>
      <c r="G250" s="278">
        <v>46212</v>
      </c>
      <c r="H250" s="35">
        <v>139</v>
      </c>
      <c r="I250" s="35">
        <v>57.6</v>
      </c>
      <c r="J250" s="35">
        <v>132</v>
      </c>
      <c r="K250" s="35">
        <v>50.8</v>
      </c>
      <c r="L250" s="95" t="s">
        <v>279</v>
      </c>
      <c r="M250" s="202">
        <f t="shared" ca="1" si="21"/>
        <v>1</v>
      </c>
      <c r="N250" s="203">
        <f t="shared" ca="1" si="22"/>
        <v>1</v>
      </c>
      <c r="O250" s="68">
        <f t="shared" ca="1" si="8"/>
        <v>0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60">
        <f t="shared" ca="1" si="1"/>
        <v>245</v>
      </c>
      <c r="B251" s="60" t="str">
        <f t="shared" ca="1" si="9"/>
        <v>Tổ Hạ tầng Kiến Tường</v>
      </c>
      <c r="C251" s="61" t="str">
        <f t="shared" ca="1" si="2"/>
        <v>Trần Thuận Thiên</v>
      </c>
      <c r="D251" s="277" t="str">
        <f t="shared" ca="1" si="3"/>
        <v>0916186172</v>
      </c>
      <c r="E251" s="63" t="str">
        <f t="shared" ca="1" si="4"/>
        <v>thientt.tnh@vnpt.vn</v>
      </c>
      <c r="F251" s="276" t="str">
        <f t="shared" ca="1" si="5"/>
        <v>Lần 5</v>
      </c>
      <c r="G251" s="278">
        <v>46212</v>
      </c>
      <c r="H251" s="35">
        <v>128</v>
      </c>
      <c r="I251" s="35">
        <v>59.8</v>
      </c>
      <c r="J251" s="35">
        <v>144</v>
      </c>
      <c r="K251" s="35">
        <v>54</v>
      </c>
      <c r="L251" s="95" t="s">
        <v>279</v>
      </c>
      <c r="M251" s="202">
        <f t="shared" ca="1" si="21"/>
        <v>1</v>
      </c>
      <c r="N251" s="203">
        <f t="shared" ca="1" si="22"/>
        <v>1</v>
      </c>
      <c r="O251" s="68">
        <f t="shared" ca="1" si="8"/>
        <v>0</v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60">
        <f t="shared" ca="1" si="1"/>
        <v>246</v>
      </c>
      <c r="B252" s="60" t="str">
        <f t="shared" ca="1" si="9"/>
        <v>Tổ Hạ tầng Kiến Tường</v>
      </c>
      <c r="C252" s="61" t="str">
        <f t="shared" ca="1" si="2"/>
        <v>Trần Thuận Thiên</v>
      </c>
      <c r="D252" s="277" t="str">
        <f t="shared" ca="1" si="3"/>
        <v>0916186172</v>
      </c>
      <c r="E252" s="63" t="str">
        <f t="shared" ca="1" si="4"/>
        <v>thientt.tnh@vnpt.vn</v>
      </c>
      <c r="F252" s="276" t="str">
        <f t="shared" ca="1" si="5"/>
        <v>Lần 6</v>
      </c>
      <c r="G252" s="278">
        <v>46212</v>
      </c>
      <c r="H252" s="35">
        <v>137</v>
      </c>
      <c r="I252" s="35">
        <v>58.2</v>
      </c>
      <c r="J252" s="35">
        <v>128</v>
      </c>
      <c r="K252" s="35">
        <v>58.4</v>
      </c>
      <c r="L252" s="95" t="s">
        <v>279</v>
      </c>
      <c r="M252" s="202">
        <f t="shared" ca="1" si="21"/>
        <v>1</v>
      </c>
      <c r="N252" s="203">
        <f t="shared" ca="1" si="22"/>
        <v>1</v>
      </c>
      <c r="O252" s="68">
        <f t="shared" ca="1" si="8"/>
        <v>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60">
        <f t="shared" ca="1" si="1"/>
        <v>247</v>
      </c>
      <c r="B253" s="60" t="str">
        <f t="shared" ca="1" si="9"/>
        <v>Tổ Hạ tầng Kiến Tường</v>
      </c>
      <c r="C253" s="61" t="str">
        <f t="shared" ca="1" si="2"/>
        <v>Trần Thuận Thiên</v>
      </c>
      <c r="D253" s="277" t="str">
        <f t="shared" ca="1" si="3"/>
        <v>0916186172</v>
      </c>
      <c r="E253" s="63" t="str">
        <f t="shared" ca="1" si="4"/>
        <v>thientt.tnh@vnpt.vn</v>
      </c>
      <c r="F253" s="276" t="str">
        <f t="shared" ca="1" si="5"/>
        <v>Lần 7</v>
      </c>
      <c r="G253" s="278">
        <v>46212</v>
      </c>
      <c r="H253" s="35">
        <v>121</v>
      </c>
      <c r="I253" s="35">
        <v>58.7</v>
      </c>
      <c r="J253" s="35">
        <v>135</v>
      </c>
      <c r="K253" s="35">
        <v>55.5</v>
      </c>
      <c r="L253" s="95" t="s">
        <v>279</v>
      </c>
      <c r="M253" s="202">
        <f t="shared" ca="1" si="21"/>
        <v>1</v>
      </c>
      <c r="N253" s="203">
        <f t="shared" ca="1" si="22"/>
        <v>1</v>
      </c>
      <c r="O253" s="68">
        <f t="shared" ca="1" si="8"/>
        <v>0</v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60">
        <f t="shared" ca="1" si="1"/>
        <v>248</v>
      </c>
      <c r="B254" s="60" t="str">
        <f t="shared" ca="1" si="9"/>
        <v>Tổ Hạ tầng Kiến Tường</v>
      </c>
      <c r="C254" s="61" t="str">
        <f t="shared" ca="1" si="2"/>
        <v>Trần Thuận Thiên</v>
      </c>
      <c r="D254" s="277" t="str">
        <f t="shared" ca="1" si="3"/>
        <v>0916186172</v>
      </c>
      <c r="E254" s="63" t="str">
        <f t="shared" ca="1" si="4"/>
        <v>thientt.tnh@vnpt.vn</v>
      </c>
      <c r="F254" s="276" t="str">
        <f t="shared" ca="1" si="5"/>
        <v>Lần 8</v>
      </c>
      <c r="G254" s="278">
        <v>46212</v>
      </c>
      <c r="H254" s="35">
        <v>130</v>
      </c>
      <c r="I254" s="35">
        <v>57.4</v>
      </c>
      <c r="J254" s="35">
        <v>137</v>
      </c>
      <c r="K254" s="35">
        <v>56.3</v>
      </c>
      <c r="L254" s="95" t="s">
        <v>279</v>
      </c>
      <c r="M254" s="202">
        <f t="shared" ca="1" si="21"/>
        <v>1</v>
      </c>
      <c r="N254" s="203">
        <f t="shared" ca="1" si="22"/>
        <v>1</v>
      </c>
      <c r="O254" s="68">
        <f t="shared" ca="1" si="8"/>
        <v>0</v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60">
        <f t="shared" ca="1" si="1"/>
        <v>249</v>
      </c>
      <c r="B255" s="60" t="str">
        <f t="shared" ca="1" si="9"/>
        <v>Tổ Hạ tầng Kiến Tường</v>
      </c>
      <c r="C255" s="61" t="str">
        <f t="shared" ca="1" si="2"/>
        <v>Trần Thuận Thiên</v>
      </c>
      <c r="D255" s="277" t="str">
        <f t="shared" ca="1" si="3"/>
        <v>0916186172</v>
      </c>
      <c r="E255" s="63" t="str">
        <f t="shared" ca="1" si="4"/>
        <v>thientt.tnh@vnpt.vn</v>
      </c>
      <c r="F255" s="276" t="str">
        <f t="shared" ca="1" si="5"/>
        <v>Lần 9</v>
      </c>
      <c r="G255" s="278">
        <v>46212</v>
      </c>
      <c r="H255" s="35">
        <v>138</v>
      </c>
      <c r="I255" s="35">
        <v>58.6</v>
      </c>
      <c r="J255" s="35">
        <v>141</v>
      </c>
      <c r="K255" s="35">
        <v>60.6</v>
      </c>
      <c r="L255" s="95" t="s">
        <v>279</v>
      </c>
      <c r="M255" s="202">
        <f t="shared" ca="1" si="21"/>
        <v>1</v>
      </c>
      <c r="N255" s="203">
        <f t="shared" ca="1" si="22"/>
        <v>1</v>
      </c>
      <c r="O255" s="68">
        <f t="shared" ca="1" si="8"/>
        <v>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60">
        <f t="shared" ca="1" si="1"/>
        <v>250</v>
      </c>
      <c r="B256" s="60" t="str">
        <f t="shared" ca="1" si="9"/>
        <v>Tổ Hạ tầng Kiến Tường</v>
      </c>
      <c r="C256" s="61" t="str">
        <f t="shared" ca="1" si="2"/>
        <v>Trần Thuận Thiên</v>
      </c>
      <c r="D256" s="277" t="str">
        <f t="shared" ca="1" si="3"/>
        <v>0916186172</v>
      </c>
      <c r="E256" s="63" t="str">
        <f t="shared" ca="1" si="4"/>
        <v>thientt.tnh@vnpt.vn</v>
      </c>
      <c r="F256" s="276" t="str">
        <f t="shared" ca="1" si="5"/>
        <v>Lần 10</v>
      </c>
      <c r="G256" s="278">
        <v>46212</v>
      </c>
      <c r="H256" s="35">
        <v>133</v>
      </c>
      <c r="I256" s="35">
        <v>56.5</v>
      </c>
      <c r="J256" s="35">
        <v>145</v>
      </c>
      <c r="K256" s="35">
        <v>57.6</v>
      </c>
      <c r="L256" s="95" t="s">
        <v>279</v>
      </c>
      <c r="M256" s="202">
        <f t="shared" ca="1" si="21"/>
        <v>1</v>
      </c>
      <c r="N256" s="203">
        <f t="shared" ca="1" si="22"/>
        <v>1</v>
      </c>
      <c r="O256" s="68">
        <f t="shared" ca="1" si="8"/>
        <v>0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60">
        <f t="shared" ca="1" si="1"/>
        <v>251</v>
      </c>
      <c r="B257" s="60" t="str">
        <f t="shared" ca="1" si="9"/>
        <v>Tổ Hạ tầng Kiến Tường</v>
      </c>
      <c r="C257" s="61" t="str">
        <f t="shared" ca="1" si="2"/>
        <v>Trần Thuận Thiên</v>
      </c>
      <c r="D257" s="277" t="str">
        <f t="shared" ca="1" si="3"/>
        <v>0916186172</v>
      </c>
      <c r="E257" s="63" t="str">
        <f t="shared" ca="1" si="4"/>
        <v>thientt.tnh@vnpt.vn</v>
      </c>
      <c r="F257" s="276" t="str">
        <f t="shared" ca="1" si="5"/>
        <v>Lần 11</v>
      </c>
      <c r="G257" s="278">
        <v>46212</v>
      </c>
      <c r="H257" s="35">
        <v>137</v>
      </c>
      <c r="I257" s="35">
        <v>58.2</v>
      </c>
      <c r="J257" s="35">
        <v>137</v>
      </c>
      <c r="K257" s="35">
        <v>54</v>
      </c>
      <c r="L257" s="95" t="s">
        <v>279</v>
      </c>
      <c r="M257" s="202">
        <f t="shared" ca="1" si="21"/>
        <v>1</v>
      </c>
      <c r="N257" s="203">
        <f t="shared" ca="1" si="22"/>
        <v>1</v>
      </c>
      <c r="O257" s="68">
        <f t="shared" ca="1" si="8"/>
        <v>0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60">
        <f t="shared" ca="1" si="1"/>
        <v>252</v>
      </c>
      <c r="B258" s="60" t="str">
        <f t="shared" ca="1" si="9"/>
        <v>Tổ Hạ tầng Kiến Tường</v>
      </c>
      <c r="C258" s="61" t="str">
        <f t="shared" ca="1" si="2"/>
        <v>Trần Thuận Thiên</v>
      </c>
      <c r="D258" s="277" t="str">
        <f t="shared" ca="1" si="3"/>
        <v>0916186172</v>
      </c>
      <c r="E258" s="63" t="str">
        <f t="shared" ca="1" si="4"/>
        <v>thientt.tnh@vnpt.vn</v>
      </c>
      <c r="F258" s="276" t="str">
        <f t="shared" ca="1" si="5"/>
        <v>Lần 12</v>
      </c>
      <c r="G258" s="278">
        <v>46212</v>
      </c>
      <c r="H258" s="35">
        <v>140</v>
      </c>
      <c r="I258" s="35">
        <v>57.1</v>
      </c>
      <c r="J258" s="35">
        <v>149</v>
      </c>
      <c r="K258" s="35">
        <v>60.8</v>
      </c>
      <c r="L258" s="95" t="s">
        <v>279</v>
      </c>
      <c r="M258" s="202">
        <f t="shared" ca="1" si="21"/>
        <v>1</v>
      </c>
      <c r="N258" s="203">
        <f t="shared" ca="1" si="22"/>
        <v>1</v>
      </c>
      <c r="O258" s="68">
        <f t="shared" ca="1" si="8"/>
        <v>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60">
        <f t="shared" ca="1" si="1"/>
        <v>253</v>
      </c>
      <c r="B259" s="60" t="str">
        <f t="shared" ca="1" si="9"/>
        <v>Tổ Hạ tầng Kiến Tường</v>
      </c>
      <c r="C259" s="61" t="str">
        <f t="shared" ca="1" si="2"/>
        <v>Trần Thuận Thiên</v>
      </c>
      <c r="D259" s="277" t="str">
        <f t="shared" ca="1" si="3"/>
        <v>0916186172</v>
      </c>
      <c r="E259" s="63" t="str">
        <f t="shared" ca="1" si="4"/>
        <v>thientt.tnh@vnpt.vn</v>
      </c>
      <c r="F259" s="276" t="str">
        <f t="shared" ca="1" si="5"/>
        <v>Lần 13</v>
      </c>
      <c r="G259" s="278">
        <v>46212</v>
      </c>
      <c r="H259" s="35">
        <v>129</v>
      </c>
      <c r="I259" s="35">
        <v>57.1</v>
      </c>
      <c r="J259" s="35">
        <v>144</v>
      </c>
      <c r="K259" s="35">
        <v>58.1</v>
      </c>
      <c r="L259" s="95" t="s">
        <v>279</v>
      </c>
      <c r="M259" s="202">
        <f t="shared" ca="1" si="21"/>
        <v>1</v>
      </c>
      <c r="N259" s="203">
        <f t="shared" ca="1" si="22"/>
        <v>1</v>
      </c>
      <c r="O259" s="68">
        <f t="shared" ca="1" si="8"/>
        <v>0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60">
        <f t="shared" ca="1" si="1"/>
        <v>254</v>
      </c>
      <c r="B260" s="60" t="str">
        <f t="shared" ca="1" si="9"/>
        <v>Tổ Hạ tầng Kiến Tường</v>
      </c>
      <c r="C260" s="61" t="str">
        <f t="shared" ca="1" si="2"/>
        <v>Trần Thuận Thiên</v>
      </c>
      <c r="D260" s="277" t="str">
        <f t="shared" ca="1" si="3"/>
        <v>0916186172</v>
      </c>
      <c r="E260" s="63" t="str">
        <f t="shared" ca="1" si="4"/>
        <v>thientt.tnh@vnpt.vn</v>
      </c>
      <c r="F260" s="276" t="str">
        <f t="shared" ca="1" si="5"/>
        <v>Lần 14</v>
      </c>
      <c r="G260" s="278">
        <v>46212</v>
      </c>
      <c r="H260" s="35">
        <v>137</v>
      </c>
      <c r="I260" s="35">
        <v>56.9</v>
      </c>
      <c r="J260" s="35">
        <v>133</v>
      </c>
      <c r="K260" s="35">
        <v>60.9</v>
      </c>
      <c r="L260" s="95" t="s">
        <v>279</v>
      </c>
      <c r="M260" s="202">
        <f t="shared" ca="1" si="21"/>
        <v>1</v>
      </c>
      <c r="N260" s="203">
        <f t="shared" ca="1" si="22"/>
        <v>1</v>
      </c>
      <c r="O260" s="68">
        <f t="shared" ca="1" si="8"/>
        <v>0</v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60">
        <f t="shared" ca="1" si="1"/>
        <v>255</v>
      </c>
      <c r="B261" s="60" t="str">
        <f t="shared" ca="1" si="9"/>
        <v>Tổ Hạ tầng Kiến Tường</v>
      </c>
      <c r="C261" s="61" t="str">
        <f t="shared" ca="1" si="2"/>
        <v>Trần Thuận Thiên</v>
      </c>
      <c r="D261" s="277" t="str">
        <f t="shared" ca="1" si="3"/>
        <v>0916186172</v>
      </c>
      <c r="E261" s="63" t="str">
        <f t="shared" ca="1" si="4"/>
        <v>thientt.tnh@vnpt.vn</v>
      </c>
      <c r="F261" s="276" t="str">
        <f t="shared" ca="1" si="5"/>
        <v>Lần 15</v>
      </c>
      <c r="G261" s="278">
        <v>46212</v>
      </c>
      <c r="H261" s="35">
        <v>142</v>
      </c>
      <c r="I261" s="35">
        <v>60.2</v>
      </c>
      <c r="J261" s="35">
        <v>120</v>
      </c>
      <c r="K261" s="35">
        <v>56.8</v>
      </c>
      <c r="L261" s="95" t="s">
        <v>279</v>
      </c>
      <c r="M261" s="202">
        <f t="shared" ca="1" si="21"/>
        <v>1</v>
      </c>
      <c r="N261" s="203">
        <f t="shared" ca="1" si="22"/>
        <v>1</v>
      </c>
      <c r="O261" s="68">
        <f t="shared" ca="1" si="8"/>
        <v>0</v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60">
        <f t="shared" ref="A262:A294" ca="1" si="23">IF(INDIRECT("'DS nhân viên Speedtest'!B"&amp; (56+QUOTIENT(ROW()-ROW($A$7),16)))="","",ROW()-ROW($A$7)+1)</f>
        <v>256</v>
      </c>
      <c r="B262" s="60" t="str">
        <f t="shared" ca="1" si="9"/>
        <v>Tổ Hạ tầng Kiến Tường</v>
      </c>
      <c r="C262" s="61" t="str">
        <f t="shared" ref="C262:C294" ca="1" si="24">IF(A262="","",INDIRECT("'DS nhân viên Speedtest'!B"&amp; (56+QUOTIENT(A262-1,16))))</f>
        <v>Trần Thuận Thiên</v>
      </c>
      <c r="D262" s="277" t="str">
        <f t="shared" ref="D262:D294" ca="1" si="25">IF(A262="","",INDIRECT("'DS nhân viên Speedtest'!C"&amp; (56+QUOTIENT(A262-1,16))))</f>
        <v>0916186172</v>
      </c>
      <c r="E262" s="63" t="str">
        <f t="shared" ref="E262:E294" ca="1" si="26">IF(A262="","",INDIRECT("'DS nhân viên Speedtest'!D"&amp; (56+QUOTIENT(A262-1,16))))</f>
        <v>thientt.tnh@vnpt.vn</v>
      </c>
      <c r="F262" s="276" t="str">
        <f t="shared" ref="F262:F294" ca="1" si="27">IF(A262="","","Lần "&amp;(MOD(ROW()-ROW($A$7),16)+1))</f>
        <v>Lần 16</v>
      </c>
      <c r="G262" s="278">
        <v>46212</v>
      </c>
      <c r="H262" s="35">
        <v>128</v>
      </c>
      <c r="I262" s="35">
        <v>61.5</v>
      </c>
      <c r="J262" s="35">
        <v>134</v>
      </c>
      <c r="K262" s="35">
        <v>53.2</v>
      </c>
      <c r="L262" s="95" t="s">
        <v>279</v>
      </c>
      <c r="M262" s="202">
        <f t="shared" ca="1" si="21"/>
        <v>1</v>
      </c>
      <c r="N262" s="203">
        <f t="shared" ca="1" si="22"/>
        <v>1</v>
      </c>
      <c r="O262" s="68">
        <f t="shared" ref="O262:O294" ca="1" si="28">IF(B262="","",IF((J262-0)&gt;200,1,0))</f>
        <v>0</v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60">
        <f t="shared" ca="1" si="23"/>
        <v>257</v>
      </c>
      <c r="B263" s="60" t="str">
        <f t="shared" ref="B263:B294" ca="1" si="29">IF(A263="","",B262)</f>
        <v>Tổ Hạ tầng Kiến Tường</v>
      </c>
      <c r="C263" s="61" t="str">
        <f t="shared" ca="1" si="24"/>
        <v>Bùi Văn Quí</v>
      </c>
      <c r="D263" s="277" t="str">
        <f t="shared" ca="1" si="25"/>
        <v>0919584123</v>
      </c>
      <c r="E263" s="63" t="str">
        <f t="shared" ca="1" si="26"/>
        <v>quibv.lan@vnpt.vn</v>
      </c>
      <c r="F263" s="276" t="str">
        <f t="shared" ca="1" si="27"/>
        <v>Lần 1</v>
      </c>
      <c r="G263" s="76"/>
      <c r="H263" s="75"/>
      <c r="I263" s="75"/>
      <c r="J263" s="94"/>
      <c r="K263" s="94"/>
      <c r="L263" s="95"/>
      <c r="M263" s="202">
        <f t="shared" ca="1" si="21"/>
        <v>0</v>
      </c>
      <c r="N263" s="203">
        <f t="shared" ca="1" si="22"/>
        <v>0</v>
      </c>
      <c r="O263" s="68">
        <f t="shared" ca="1" si="28"/>
        <v>0</v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60">
        <f t="shared" ca="1" si="23"/>
        <v>258</v>
      </c>
      <c r="B264" s="60" t="str">
        <f t="shared" ca="1" si="29"/>
        <v>Tổ Hạ tầng Kiến Tường</v>
      </c>
      <c r="C264" s="61" t="str">
        <f t="shared" ca="1" si="24"/>
        <v>Bùi Văn Quí</v>
      </c>
      <c r="D264" s="277" t="str">
        <f t="shared" ca="1" si="25"/>
        <v>0919584123</v>
      </c>
      <c r="E264" s="63" t="str">
        <f t="shared" ca="1" si="26"/>
        <v>quibv.lan@vnpt.vn</v>
      </c>
      <c r="F264" s="276" t="str">
        <f t="shared" ca="1" si="27"/>
        <v>Lần 2</v>
      </c>
      <c r="G264" s="76"/>
      <c r="H264" s="75"/>
      <c r="I264" s="75"/>
      <c r="J264" s="94"/>
      <c r="K264" s="94"/>
      <c r="L264" s="95"/>
      <c r="M264" s="202">
        <f t="shared" ca="1" si="21"/>
        <v>0</v>
      </c>
      <c r="N264" s="203">
        <f t="shared" ca="1" si="22"/>
        <v>0</v>
      </c>
      <c r="O264" s="68">
        <f t="shared" ca="1" si="28"/>
        <v>0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60">
        <f t="shared" ca="1" si="23"/>
        <v>259</v>
      </c>
      <c r="B265" s="60" t="str">
        <f t="shared" ca="1" si="29"/>
        <v>Tổ Hạ tầng Kiến Tường</v>
      </c>
      <c r="C265" s="61" t="str">
        <f t="shared" ca="1" si="24"/>
        <v>Bùi Văn Quí</v>
      </c>
      <c r="D265" s="277" t="str">
        <f t="shared" ca="1" si="25"/>
        <v>0919584123</v>
      </c>
      <c r="E265" s="63" t="str">
        <f t="shared" ca="1" si="26"/>
        <v>quibv.lan@vnpt.vn</v>
      </c>
      <c r="F265" s="276" t="str">
        <f t="shared" ca="1" si="27"/>
        <v>Lần 3</v>
      </c>
      <c r="G265" s="76"/>
      <c r="H265" s="75"/>
      <c r="I265" s="75"/>
      <c r="J265" s="94"/>
      <c r="K265" s="94"/>
      <c r="L265" s="95"/>
      <c r="M265" s="202">
        <f t="shared" ca="1" si="21"/>
        <v>0</v>
      </c>
      <c r="N265" s="203">
        <f t="shared" ca="1" si="22"/>
        <v>0</v>
      </c>
      <c r="O265" s="68">
        <f t="shared" ca="1" si="28"/>
        <v>0</v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60">
        <f t="shared" ca="1" si="23"/>
        <v>260</v>
      </c>
      <c r="B266" s="60" t="str">
        <f t="shared" ca="1" si="29"/>
        <v>Tổ Hạ tầng Kiến Tường</v>
      </c>
      <c r="C266" s="61" t="str">
        <f t="shared" ca="1" si="24"/>
        <v>Bùi Văn Quí</v>
      </c>
      <c r="D266" s="277" t="str">
        <f t="shared" ca="1" si="25"/>
        <v>0919584123</v>
      </c>
      <c r="E266" s="63" t="str">
        <f t="shared" ca="1" si="26"/>
        <v>quibv.lan@vnpt.vn</v>
      </c>
      <c r="F266" s="276" t="str">
        <f t="shared" ca="1" si="27"/>
        <v>Lần 4</v>
      </c>
      <c r="G266" s="76"/>
      <c r="H266" s="75"/>
      <c r="I266" s="75"/>
      <c r="J266" s="94"/>
      <c r="K266" s="94"/>
      <c r="L266" s="95"/>
      <c r="M266" s="202">
        <f t="shared" ca="1" si="21"/>
        <v>0</v>
      </c>
      <c r="N266" s="203">
        <f t="shared" ca="1" si="22"/>
        <v>0</v>
      </c>
      <c r="O266" s="68">
        <f t="shared" ca="1" si="28"/>
        <v>0</v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60">
        <f t="shared" ca="1" si="23"/>
        <v>261</v>
      </c>
      <c r="B267" s="60" t="str">
        <f t="shared" ca="1" si="29"/>
        <v>Tổ Hạ tầng Kiến Tường</v>
      </c>
      <c r="C267" s="61" t="str">
        <f t="shared" ca="1" si="24"/>
        <v>Bùi Văn Quí</v>
      </c>
      <c r="D267" s="277" t="str">
        <f t="shared" ca="1" si="25"/>
        <v>0919584123</v>
      </c>
      <c r="E267" s="63" t="str">
        <f t="shared" ca="1" si="26"/>
        <v>quibv.lan@vnpt.vn</v>
      </c>
      <c r="F267" s="276" t="str">
        <f t="shared" ca="1" si="27"/>
        <v>Lần 5</v>
      </c>
      <c r="G267" s="76"/>
      <c r="H267" s="75"/>
      <c r="I267" s="75"/>
      <c r="J267" s="94"/>
      <c r="K267" s="94"/>
      <c r="L267" s="95"/>
      <c r="M267" s="202">
        <f t="shared" ca="1" si="21"/>
        <v>0</v>
      </c>
      <c r="N267" s="203">
        <f t="shared" ca="1" si="22"/>
        <v>0</v>
      </c>
      <c r="O267" s="68">
        <f t="shared" ca="1" si="28"/>
        <v>0</v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60">
        <f t="shared" ca="1" si="23"/>
        <v>262</v>
      </c>
      <c r="B268" s="60" t="str">
        <f t="shared" ca="1" si="29"/>
        <v>Tổ Hạ tầng Kiến Tường</v>
      </c>
      <c r="C268" s="61" t="str">
        <f t="shared" ca="1" si="24"/>
        <v>Bùi Văn Quí</v>
      </c>
      <c r="D268" s="277" t="str">
        <f t="shared" ca="1" si="25"/>
        <v>0919584123</v>
      </c>
      <c r="E268" s="63" t="str">
        <f t="shared" ca="1" si="26"/>
        <v>quibv.lan@vnpt.vn</v>
      </c>
      <c r="F268" s="276" t="str">
        <f t="shared" ca="1" si="27"/>
        <v>Lần 6</v>
      </c>
      <c r="G268" s="76"/>
      <c r="H268" s="75"/>
      <c r="I268" s="75"/>
      <c r="J268" s="94"/>
      <c r="K268" s="94"/>
      <c r="L268" s="95"/>
      <c r="M268" s="202">
        <f t="shared" ca="1" si="21"/>
        <v>0</v>
      </c>
      <c r="N268" s="203">
        <f t="shared" ca="1" si="22"/>
        <v>0</v>
      </c>
      <c r="O268" s="68">
        <f t="shared" ca="1" si="28"/>
        <v>0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60">
        <f t="shared" ca="1" si="23"/>
        <v>263</v>
      </c>
      <c r="B269" s="60" t="str">
        <f t="shared" ca="1" si="29"/>
        <v>Tổ Hạ tầng Kiến Tường</v>
      </c>
      <c r="C269" s="61" t="str">
        <f t="shared" ca="1" si="24"/>
        <v>Bùi Văn Quí</v>
      </c>
      <c r="D269" s="277" t="str">
        <f t="shared" ca="1" si="25"/>
        <v>0919584123</v>
      </c>
      <c r="E269" s="63" t="str">
        <f t="shared" ca="1" si="26"/>
        <v>quibv.lan@vnpt.vn</v>
      </c>
      <c r="F269" s="276" t="str">
        <f t="shared" ca="1" si="27"/>
        <v>Lần 7</v>
      </c>
      <c r="G269" s="76"/>
      <c r="H269" s="75"/>
      <c r="I269" s="75"/>
      <c r="J269" s="94"/>
      <c r="K269" s="94"/>
      <c r="L269" s="95"/>
      <c r="M269" s="202">
        <f t="shared" ca="1" si="21"/>
        <v>0</v>
      </c>
      <c r="N269" s="203">
        <f t="shared" ca="1" si="22"/>
        <v>0</v>
      </c>
      <c r="O269" s="68">
        <f t="shared" ca="1" si="28"/>
        <v>0</v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60">
        <f t="shared" ca="1" si="23"/>
        <v>264</v>
      </c>
      <c r="B270" s="60" t="str">
        <f t="shared" ca="1" si="29"/>
        <v>Tổ Hạ tầng Kiến Tường</v>
      </c>
      <c r="C270" s="61" t="str">
        <f t="shared" ca="1" si="24"/>
        <v>Bùi Văn Quí</v>
      </c>
      <c r="D270" s="277" t="str">
        <f t="shared" ca="1" si="25"/>
        <v>0919584123</v>
      </c>
      <c r="E270" s="63" t="str">
        <f t="shared" ca="1" si="26"/>
        <v>quibv.lan@vnpt.vn</v>
      </c>
      <c r="F270" s="276" t="str">
        <f t="shared" ca="1" si="27"/>
        <v>Lần 8</v>
      </c>
      <c r="G270" s="76"/>
      <c r="H270" s="75"/>
      <c r="I270" s="75"/>
      <c r="J270" s="94"/>
      <c r="K270" s="94"/>
      <c r="L270" s="95"/>
      <c r="M270" s="202">
        <f t="shared" ca="1" si="21"/>
        <v>0</v>
      </c>
      <c r="N270" s="203">
        <f t="shared" ca="1" si="22"/>
        <v>0</v>
      </c>
      <c r="O270" s="68">
        <f t="shared" ca="1" si="28"/>
        <v>0</v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60">
        <f t="shared" ca="1" si="23"/>
        <v>265</v>
      </c>
      <c r="B271" s="60" t="str">
        <f t="shared" ca="1" si="29"/>
        <v>Tổ Hạ tầng Kiến Tường</v>
      </c>
      <c r="C271" s="61" t="str">
        <f t="shared" ca="1" si="24"/>
        <v>Bùi Văn Quí</v>
      </c>
      <c r="D271" s="277" t="str">
        <f t="shared" ca="1" si="25"/>
        <v>0919584123</v>
      </c>
      <c r="E271" s="63" t="str">
        <f t="shared" ca="1" si="26"/>
        <v>quibv.lan@vnpt.vn</v>
      </c>
      <c r="F271" s="276" t="str">
        <f t="shared" ca="1" si="27"/>
        <v>Lần 9</v>
      </c>
      <c r="G271" s="76"/>
      <c r="H271" s="75"/>
      <c r="I271" s="75"/>
      <c r="J271" s="94"/>
      <c r="K271" s="94"/>
      <c r="L271" s="95"/>
      <c r="M271" s="202">
        <f t="shared" ca="1" si="21"/>
        <v>0</v>
      </c>
      <c r="N271" s="203">
        <f t="shared" ca="1" si="22"/>
        <v>0</v>
      </c>
      <c r="O271" s="68">
        <f t="shared" ca="1" si="28"/>
        <v>0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60">
        <f t="shared" ca="1" si="23"/>
        <v>266</v>
      </c>
      <c r="B272" s="60" t="str">
        <f t="shared" ca="1" si="29"/>
        <v>Tổ Hạ tầng Kiến Tường</v>
      </c>
      <c r="C272" s="61" t="str">
        <f t="shared" ca="1" si="24"/>
        <v>Bùi Văn Quí</v>
      </c>
      <c r="D272" s="277" t="str">
        <f t="shared" ca="1" si="25"/>
        <v>0919584123</v>
      </c>
      <c r="E272" s="63" t="str">
        <f t="shared" ca="1" si="26"/>
        <v>quibv.lan@vnpt.vn</v>
      </c>
      <c r="F272" s="276" t="str">
        <f t="shared" ca="1" si="27"/>
        <v>Lần 10</v>
      </c>
      <c r="G272" s="76"/>
      <c r="H272" s="75"/>
      <c r="I272" s="75"/>
      <c r="J272" s="94"/>
      <c r="K272" s="94"/>
      <c r="L272" s="95"/>
      <c r="M272" s="202">
        <f t="shared" ca="1" si="21"/>
        <v>0</v>
      </c>
      <c r="N272" s="203">
        <f t="shared" ca="1" si="22"/>
        <v>0</v>
      </c>
      <c r="O272" s="68">
        <f t="shared" ca="1" si="28"/>
        <v>0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60">
        <f t="shared" ca="1" si="23"/>
        <v>267</v>
      </c>
      <c r="B273" s="60" t="str">
        <f t="shared" ca="1" si="29"/>
        <v>Tổ Hạ tầng Kiến Tường</v>
      </c>
      <c r="C273" s="61" t="str">
        <f t="shared" ca="1" si="24"/>
        <v>Bùi Văn Quí</v>
      </c>
      <c r="D273" s="277" t="str">
        <f t="shared" ca="1" si="25"/>
        <v>0919584123</v>
      </c>
      <c r="E273" s="63" t="str">
        <f t="shared" ca="1" si="26"/>
        <v>quibv.lan@vnpt.vn</v>
      </c>
      <c r="F273" s="276" t="str">
        <f t="shared" ca="1" si="27"/>
        <v>Lần 11</v>
      </c>
      <c r="G273" s="76"/>
      <c r="H273" s="75"/>
      <c r="I273" s="75"/>
      <c r="J273" s="94"/>
      <c r="K273" s="94"/>
      <c r="L273" s="95"/>
      <c r="M273" s="202">
        <f t="shared" ca="1" si="21"/>
        <v>0</v>
      </c>
      <c r="N273" s="203">
        <f t="shared" ca="1" si="22"/>
        <v>0</v>
      </c>
      <c r="O273" s="68">
        <f t="shared" ca="1" si="28"/>
        <v>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60">
        <f t="shared" ca="1" si="23"/>
        <v>268</v>
      </c>
      <c r="B274" s="60" t="str">
        <f t="shared" ca="1" si="29"/>
        <v>Tổ Hạ tầng Kiến Tường</v>
      </c>
      <c r="C274" s="61" t="str">
        <f t="shared" ca="1" si="24"/>
        <v>Bùi Văn Quí</v>
      </c>
      <c r="D274" s="277" t="str">
        <f t="shared" ca="1" si="25"/>
        <v>0919584123</v>
      </c>
      <c r="E274" s="63" t="str">
        <f t="shared" ca="1" si="26"/>
        <v>quibv.lan@vnpt.vn</v>
      </c>
      <c r="F274" s="276" t="str">
        <f t="shared" ca="1" si="27"/>
        <v>Lần 12</v>
      </c>
      <c r="G274" s="76"/>
      <c r="H274" s="75"/>
      <c r="I274" s="75"/>
      <c r="J274" s="94"/>
      <c r="K274" s="94"/>
      <c r="L274" s="95"/>
      <c r="M274" s="202">
        <f t="shared" ca="1" si="21"/>
        <v>0</v>
      </c>
      <c r="N274" s="203">
        <f t="shared" ca="1" si="22"/>
        <v>0</v>
      </c>
      <c r="O274" s="68">
        <f t="shared" ca="1" si="28"/>
        <v>0</v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60">
        <f t="shared" ca="1" si="23"/>
        <v>269</v>
      </c>
      <c r="B275" s="60" t="str">
        <f t="shared" ca="1" si="29"/>
        <v>Tổ Hạ tầng Kiến Tường</v>
      </c>
      <c r="C275" s="61" t="str">
        <f t="shared" ca="1" si="24"/>
        <v>Bùi Văn Quí</v>
      </c>
      <c r="D275" s="277" t="str">
        <f t="shared" ca="1" si="25"/>
        <v>0919584123</v>
      </c>
      <c r="E275" s="63" t="str">
        <f t="shared" ca="1" si="26"/>
        <v>quibv.lan@vnpt.vn</v>
      </c>
      <c r="F275" s="276" t="str">
        <f t="shared" ca="1" si="27"/>
        <v>Lần 13</v>
      </c>
      <c r="G275" s="76"/>
      <c r="H275" s="75"/>
      <c r="I275" s="75"/>
      <c r="J275" s="94"/>
      <c r="K275" s="94"/>
      <c r="L275" s="95"/>
      <c r="M275" s="202">
        <f t="shared" ca="1" si="21"/>
        <v>0</v>
      </c>
      <c r="N275" s="203">
        <f t="shared" ca="1" si="22"/>
        <v>0</v>
      </c>
      <c r="O275" s="68">
        <f t="shared" ca="1" si="28"/>
        <v>0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60">
        <f t="shared" ca="1" si="23"/>
        <v>270</v>
      </c>
      <c r="B276" s="60" t="str">
        <f t="shared" ca="1" si="29"/>
        <v>Tổ Hạ tầng Kiến Tường</v>
      </c>
      <c r="C276" s="61" t="str">
        <f t="shared" ca="1" si="24"/>
        <v>Bùi Văn Quí</v>
      </c>
      <c r="D276" s="277" t="str">
        <f t="shared" ca="1" si="25"/>
        <v>0919584123</v>
      </c>
      <c r="E276" s="63" t="str">
        <f t="shared" ca="1" si="26"/>
        <v>quibv.lan@vnpt.vn</v>
      </c>
      <c r="F276" s="276" t="str">
        <f t="shared" ca="1" si="27"/>
        <v>Lần 14</v>
      </c>
      <c r="G276" s="76"/>
      <c r="H276" s="75"/>
      <c r="I276" s="75"/>
      <c r="J276" s="94"/>
      <c r="K276" s="94"/>
      <c r="L276" s="95"/>
      <c r="M276" s="202">
        <f t="shared" ca="1" si="21"/>
        <v>0</v>
      </c>
      <c r="N276" s="203">
        <f t="shared" ca="1" si="22"/>
        <v>0</v>
      </c>
      <c r="O276" s="68">
        <f t="shared" ca="1" si="28"/>
        <v>0</v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60">
        <f t="shared" ca="1" si="23"/>
        <v>271</v>
      </c>
      <c r="B277" s="60" t="str">
        <f t="shared" ca="1" si="29"/>
        <v>Tổ Hạ tầng Kiến Tường</v>
      </c>
      <c r="C277" s="61" t="str">
        <f t="shared" ca="1" si="24"/>
        <v>Bùi Văn Quí</v>
      </c>
      <c r="D277" s="277" t="str">
        <f t="shared" ca="1" si="25"/>
        <v>0919584123</v>
      </c>
      <c r="E277" s="63" t="str">
        <f t="shared" ca="1" si="26"/>
        <v>quibv.lan@vnpt.vn</v>
      </c>
      <c r="F277" s="276" t="str">
        <f t="shared" ca="1" si="27"/>
        <v>Lần 15</v>
      </c>
      <c r="G277" s="76"/>
      <c r="H277" s="75"/>
      <c r="I277" s="75"/>
      <c r="J277" s="94"/>
      <c r="K277" s="94"/>
      <c r="L277" s="95"/>
      <c r="M277" s="202">
        <f t="shared" ca="1" si="21"/>
        <v>0</v>
      </c>
      <c r="N277" s="203">
        <f t="shared" ca="1" si="22"/>
        <v>0</v>
      </c>
      <c r="O277" s="68">
        <f t="shared" ca="1" si="28"/>
        <v>0</v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60">
        <f t="shared" ca="1" si="23"/>
        <v>272</v>
      </c>
      <c r="B278" s="60" t="str">
        <f t="shared" ca="1" si="29"/>
        <v>Tổ Hạ tầng Kiến Tường</v>
      </c>
      <c r="C278" s="61" t="str">
        <f t="shared" ca="1" si="24"/>
        <v>Bùi Văn Quí</v>
      </c>
      <c r="D278" s="277" t="str">
        <f t="shared" ca="1" si="25"/>
        <v>0919584123</v>
      </c>
      <c r="E278" s="63" t="str">
        <f t="shared" ca="1" si="26"/>
        <v>quibv.lan@vnpt.vn</v>
      </c>
      <c r="F278" s="276" t="str">
        <f t="shared" ca="1" si="27"/>
        <v>Lần 16</v>
      </c>
      <c r="G278" s="76"/>
      <c r="H278" s="75"/>
      <c r="I278" s="75"/>
      <c r="J278" s="94"/>
      <c r="K278" s="94"/>
      <c r="L278" s="95"/>
      <c r="M278" s="202">
        <f t="shared" ca="1" si="21"/>
        <v>0</v>
      </c>
      <c r="N278" s="203">
        <f t="shared" ca="1" si="22"/>
        <v>0</v>
      </c>
      <c r="O278" s="68">
        <f t="shared" ca="1" si="28"/>
        <v>0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60">
        <f t="shared" ca="1" si="23"/>
        <v>273</v>
      </c>
      <c r="B279" s="60" t="str">
        <f t="shared" ca="1" si="29"/>
        <v>Tổ Hạ tầng Kiến Tường</v>
      </c>
      <c r="C279" s="61" t="str">
        <f t="shared" ca="1" si="24"/>
        <v>Đoàn Nguyễn Tuấn Anh</v>
      </c>
      <c r="D279" s="62">
        <f t="shared" ca="1" si="25"/>
        <v>943541776</v>
      </c>
      <c r="E279" s="63" t="str">
        <f t="shared" ca="1" si="26"/>
        <v>dntanh.lan@vnpt.vn</v>
      </c>
      <c r="F279" s="276" t="str">
        <f t="shared" ca="1" si="27"/>
        <v>Lần 1</v>
      </c>
      <c r="G279" s="76"/>
      <c r="H279" s="75"/>
      <c r="I279" s="75"/>
      <c r="J279" s="94"/>
      <c r="K279" s="94"/>
      <c r="L279" s="95"/>
      <c r="M279" s="202">
        <f t="shared" ca="1" si="21"/>
        <v>0</v>
      </c>
      <c r="N279" s="203">
        <f t="shared" ca="1" si="22"/>
        <v>0</v>
      </c>
      <c r="O279" s="68">
        <f t="shared" ca="1" si="28"/>
        <v>0</v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60">
        <f t="shared" ca="1" si="23"/>
        <v>274</v>
      </c>
      <c r="B280" s="60" t="str">
        <f t="shared" ca="1" si="29"/>
        <v>Tổ Hạ tầng Kiến Tường</v>
      </c>
      <c r="C280" s="61" t="str">
        <f t="shared" ca="1" si="24"/>
        <v>Đoàn Nguyễn Tuấn Anh</v>
      </c>
      <c r="D280" s="62">
        <f t="shared" ca="1" si="25"/>
        <v>943541776</v>
      </c>
      <c r="E280" s="63" t="str">
        <f t="shared" ca="1" si="26"/>
        <v>dntanh.lan@vnpt.vn</v>
      </c>
      <c r="F280" s="276" t="str">
        <f t="shared" ca="1" si="27"/>
        <v>Lần 2</v>
      </c>
      <c r="G280" s="76"/>
      <c r="H280" s="75"/>
      <c r="I280" s="75"/>
      <c r="J280" s="94"/>
      <c r="K280" s="94"/>
      <c r="L280" s="95"/>
      <c r="M280" s="202">
        <f t="shared" ca="1" si="21"/>
        <v>0</v>
      </c>
      <c r="N280" s="203">
        <f t="shared" ca="1" si="22"/>
        <v>0</v>
      </c>
      <c r="O280" s="68">
        <f t="shared" ca="1" si="28"/>
        <v>0</v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60">
        <f t="shared" ca="1" si="23"/>
        <v>275</v>
      </c>
      <c r="B281" s="60" t="str">
        <f t="shared" ca="1" si="29"/>
        <v>Tổ Hạ tầng Kiến Tường</v>
      </c>
      <c r="C281" s="61" t="str">
        <f t="shared" ca="1" si="24"/>
        <v>Đoàn Nguyễn Tuấn Anh</v>
      </c>
      <c r="D281" s="62">
        <f t="shared" ca="1" si="25"/>
        <v>943541776</v>
      </c>
      <c r="E281" s="63" t="str">
        <f t="shared" ca="1" si="26"/>
        <v>dntanh.lan@vnpt.vn</v>
      </c>
      <c r="F281" s="276" t="str">
        <f t="shared" ca="1" si="27"/>
        <v>Lần 3</v>
      </c>
      <c r="G281" s="76"/>
      <c r="H281" s="75"/>
      <c r="I281" s="75"/>
      <c r="J281" s="94"/>
      <c r="K281" s="94"/>
      <c r="L281" s="95"/>
      <c r="M281" s="202">
        <f t="shared" ca="1" si="21"/>
        <v>0</v>
      </c>
      <c r="N281" s="203">
        <f t="shared" ca="1" si="22"/>
        <v>0</v>
      </c>
      <c r="O281" s="68">
        <f t="shared" ca="1" si="28"/>
        <v>0</v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60">
        <f t="shared" ca="1" si="23"/>
        <v>276</v>
      </c>
      <c r="B282" s="60" t="str">
        <f t="shared" ca="1" si="29"/>
        <v>Tổ Hạ tầng Kiến Tường</v>
      </c>
      <c r="C282" s="61" t="str">
        <f t="shared" ca="1" si="24"/>
        <v>Đoàn Nguyễn Tuấn Anh</v>
      </c>
      <c r="D282" s="62">
        <f t="shared" ca="1" si="25"/>
        <v>943541776</v>
      </c>
      <c r="E282" s="63" t="str">
        <f t="shared" ca="1" si="26"/>
        <v>dntanh.lan@vnpt.vn</v>
      </c>
      <c r="F282" s="276" t="str">
        <f t="shared" ca="1" si="27"/>
        <v>Lần 4</v>
      </c>
      <c r="G282" s="76"/>
      <c r="H282" s="75"/>
      <c r="I282" s="75"/>
      <c r="J282" s="94"/>
      <c r="K282" s="94"/>
      <c r="L282" s="95"/>
      <c r="M282" s="202">
        <f t="shared" ca="1" si="21"/>
        <v>0</v>
      </c>
      <c r="N282" s="203">
        <f t="shared" ca="1" si="22"/>
        <v>0</v>
      </c>
      <c r="O282" s="68">
        <f t="shared" ca="1" si="28"/>
        <v>0</v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60">
        <f t="shared" ca="1" si="23"/>
        <v>277</v>
      </c>
      <c r="B283" s="60" t="str">
        <f t="shared" ca="1" si="29"/>
        <v>Tổ Hạ tầng Kiến Tường</v>
      </c>
      <c r="C283" s="61" t="str">
        <f t="shared" ca="1" si="24"/>
        <v>Đoàn Nguyễn Tuấn Anh</v>
      </c>
      <c r="D283" s="62">
        <f t="shared" ca="1" si="25"/>
        <v>943541776</v>
      </c>
      <c r="E283" s="63" t="str">
        <f t="shared" ca="1" si="26"/>
        <v>dntanh.lan@vnpt.vn</v>
      </c>
      <c r="F283" s="276" t="str">
        <f t="shared" ca="1" si="27"/>
        <v>Lần 5</v>
      </c>
      <c r="G283" s="76"/>
      <c r="H283" s="75"/>
      <c r="I283" s="75"/>
      <c r="J283" s="94"/>
      <c r="K283" s="94"/>
      <c r="L283" s="95"/>
      <c r="M283" s="202">
        <f t="shared" ca="1" si="21"/>
        <v>0</v>
      </c>
      <c r="N283" s="203">
        <f t="shared" ca="1" si="22"/>
        <v>0</v>
      </c>
      <c r="O283" s="68">
        <f t="shared" ca="1" si="28"/>
        <v>0</v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60">
        <f t="shared" ca="1" si="23"/>
        <v>278</v>
      </c>
      <c r="B284" s="60" t="str">
        <f t="shared" ca="1" si="29"/>
        <v>Tổ Hạ tầng Kiến Tường</v>
      </c>
      <c r="C284" s="61" t="str">
        <f t="shared" ca="1" si="24"/>
        <v>Đoàn Nguyễn Tuấn Anh</v>
      </c>
      <c r="D284" s="62">
        <f t="shared" ca="1" si="25"/>
        <v>943541776</v>
      </c>
      <c r="E284" s="63" t="str">
        <f t="shared" ca="1" si="26"/>
        <v>dntanh.lan@vnpt.vn</v>
      </c>
      <c r="F284" s="276" t="str">
        <f t="shared" ca="1" si="27"/>
        <v>Lần 6</v>
      </c>
      <c r="G284" s="76"/>
      <c r="H284" s="75"/>
      <c r="I284" s="75"/>
      <c r="J284" s="94"/>
      <c r="K284" s="94"/>
      <c r="L284" s="95"/>
      <c r="M284" s="202">
        <f t="shared" ca="1" si="21"/>
        <v>0</v>
      </c>
      <c r="N284" s="203">
        <f t="shared" ca="1" si="22"/>
        <v>0</v>
      </c>
      <c r="O284" s="68">
        <f t="shared" ca="1" si="28"/>
        <v>0</v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60">
        <f t="shared" ca="1" si="23"/>
        <v>279</v>
      </c>
      <c r="B285" s="60" t="str">
        <f t="shared" ca="1" si="29"/>
        <v>Tổ Hạ tầng Kiến Tường</v>
      </c>
      <c r="C285" s="61" t="str">
        <f t="shared" ca="1" si="24"/>
        <v>Đoàn Nguyễn Tuấn Anh</v>
      </c>
      <c r="D285" s="62">
        <f t="shared" ca="1" si="25"/>
        <v>943541776</v>
      </c>
      <c r="E285" s="63" t="str">
        <f t="shared" ca="1" si="26"/>
        <v>dntanh.lan@vnpt.vn</v>
      </c>
      <c r="F285" s="276" t="str">
        <f t="shared" ca="1" si="27"/>
        <v>Lần 7</v>
      </c>
      <c r="G285" s="76"/>
      <c r="H285" s="75"/>
      <c r="I285" s="75"/>
      <c r="J285" s="94"/>
      <c r="K285" s="94"/>
      <c r="L285" s="95"/>
      <c r="M285" s="202">
        <f t="shared" ca="1" si="21"/>
        <v>0</v>
      </c>
      <c r="N285" s="203">
        <f t="shared" ca="1" si="22"/>
        <v>0</v>
      </c>
      <c r="O285" s="68">
        <f t="shared" ca="1" si="28"/>
        <v>0</v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60">
        <f t="shared" ca="1" si="23"/>
        <v>280</v>
      </c>
      <c r="B286" s="60" t="str">
        <f t="shared" ca="1" si="29"/>
        <v>Tổ Hạ tầng Kiến Tường</v>
      </c>
      <c r="C286" s="61" t="str">
        <f t="shared" ca="1" si="24"/>
        <v>Đoàn Nguyễn Tuấn Anh</v>
      </c>
      <c r="D286" s="62">
        <f t="shared" ca="1" si="25"/>
        <v>943541776</v>
      </c>
      <c r="E286" s="63" t="str">
        <f t="shared" ca="1" si="26"/>
        <v>dntanh.lan@vnpt.vn</v>
      </c>
      <c r="F286" s="276" t="str">
        <f t="shared" ca="1" si="27"/>
        <v>Lần 8</v>
      </c>
      <c r="G286" s="76"/>
      <c r="H286" s="75"/>
      <c r="I286" s="75"/>
      <c r="J286" s="94"/>
      <c r="K286" s="94"/>
      <c r="L286" s="95"/>
      <c r="M286" s="202">
        <f t="shared" ca="1" si="21"/>
        <v>0</v>
      </c>
      <c r="N286" s="203">
        <f t="shared" ca="1" si="22"/>
        <v>0</v>
      </c>
      <c r="O286" s="68">
        <f t="shared" ca="1" si="28"/>
        <v>0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60">
        <f t="shared" ca="1" si="23"/>
        <v>281</v>
      </c>
      <c r="B287" s="60" t="str">
        <f t="shared" ca="1" si="29"/>
        <v>Tổ Hạ tầng Kiến Tường</v>
      </c>
      <c r="C287" s="61" t="str">
        <f t="shared" ca="1" si="24"/>
        <v>Đoàn Nguyễn Tuấn Anh</v>
      </c>
      <c r="D287" s="62">
        <f t="shared" ca="1" si="25"/>
        <v>943541776</v>
      </c>
      <c r="E287" s="63" t="str">
        <f t="shared" ca="1" si="26"/>
        <v>dntanh.lan@vnpt.vn</v>
      </c>
      <c r="F287" s="276" t="str">
        <f t="shared" ca="1" si="27"/>
        <v>Lần 9</v>
      </c>
      <c r="G287" s="76"/>
      <c r="H287" s="75"/>
      <c r="I287" s="75"/>
      <c r="J287" s="94"/>
      <c r="K287" s="94"/>
      <c r="L287" s="95"/>
      <c r="M287" s="202">
        <f t="shared" ca="1" si="21"/>
        <v>0</v>
      </c>
      <c r="N287" s="203">
        <f t="shared" ca="1" si="22"/>
        <v>0</v>
      </c>
      <c r="O287" s="68">
        <f t="shared" ca="1" si="28"/>
        <v>0</v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60">
        <f t="shared" ca="1" si="23"/>
        <v>282</v>
      </c>
      <c r="B288" s="60" t="str">
        <f t="shared" ca="1" si="29"/>
        <v>Tổ Hạ tầng Kiến Tường</v>
      </c>
      <c r="C288" s="61" t="str">
        <f t="shared" ca="1" si="24"/>
        <v>Đoàn Nguyễn Tuấn Anh</v>
      </c>
      <c r="D288" s="62">
        <f t="shared" ca="1" si="25"/>
        <v>943541776</v>
      </c>
      <c r="E288" s="63" t="str">
        <f t="shared" ca="1" si="26"/>
        <v>dntanh.lan@vnpt.vn</v>
      </c>
      <c r="F288" s="276" t="str">
        <f t="shared" ca="1" si="27"/>
        <v>Lần 10</v>
      </c>
      <c r="G288" s="76"/>
      <c r="H288" s="75"/>
      <c r="I288" s="75"/>
      <c r="J288" s="94"/>
      <c r="K288" s="94"/>
      <c r="L288" s="95"/>
      <c r="M288" s="202">
        <f t="shared" ca="1" si="21"/>
        <v>0</v>
      </c>
      <c r="N288" s="203">
        <f t="shared" ca="1" si="22"/>
        <v>0</v>
      </c>
      <c r="O288" s="68">
        <f t="shared" ca="1" si="28"/>
        <v>0</v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60">
        <f t="shared" ca="1" si="23"/>
        <v>283</v>
      </c>
      <c r="B289" s="60" t="str">
        <f t="shared" ca="1" si="29"/>
        <v>Tổ Hạ tầng Kiến Tường</v>
      </c>
      <c r="C289" s="61" t="str">
        <f t="shared" ca="1" si="24"/>
        <v>Đoàn Nguyễn Tuấn Anh</v>
      </c>
      <c r="D289" s="62">
        <f t="shared" ca="1" si="25"/>
        <v>943541776</v>
      </c>
      <c r="E289" s="63" t="str">
        <f t="shared" ca="1" si="26"/>
        <v>dntanh.lan@vnpt.vn</v>
      </c>
      <c r="F289" s="276" t="str">
        <f t="shared" ca="1" si="27"/>
        <v>Lần 11</v>
      </c>
      <c r="G289" s="76"/>
      <c r="H289" s="75"/>
      <c r="I289" s="75"/>
      <c r="J289" s="94"/>
      <c r="K289" s="94"/>
      <c r="L289" s="95"/>
      <c r="M289" s="202">
        <f t="shared" ca="1" si="21"/>
        <v>0</v>
      </c>
      <c r="N289" s="203">
        <f t="shared" ca="1" si="22"/>
        <v>0</v>
      </c>
      <c r="O289" s="68">
        <f t="shared" ca="1" si="28"/>
        <v>0</v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60">
        <f t="shared" ca="1" si="23"/>
        <v>284</v>
      </c>
      <c r="B290" s="60" t="str">
        <f t="shared" ca="1" si="29"/>
        <v>Tổ Hạ tầng Kiến Tường</v>
      </c>
      <c r="C290" s="61" t="str">
        <f t="shared" ca="1" si="24"/>
        <v>Đoàn Nguyễn Tuấn Anh</v>
      </c>
      <c r="D290" s="62">
        <f t="shared" ca="1" si="25"/>
        <v>943541776</v>
      </c>
      <c r="E290" s="63" t="str">
        <f t="shared" ca="1" si="26"/>
        <v>dntanh.lan@vnpt.vn</v>
      </c>
      <c r="F290" s="276" t="str">
        <f t="shared" ca="1" si="27"/>
        <v>Lần 12</v>
      </c>
      <c r="G290" s="76"/>
      <c r="H290" s="75"/>
      <c r="I290" s="75"/>
      <c r="J290" s="94"/>
      <c r="K290" s="94"/>
      <c r="L290" s="95"/>
      <c r="M290" s="202">
        <f t="shared" ca="1" si="21"/>
        <v>0</v>
      </c>
      <c r="N290" s="203">
        <f t="shared" ca="1" si="22"/>
        <v>0</v>
      </c>
      <c r="O290" s="68">
        <f t="shared" ca="1" si="28"/>
        <v>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60">
        <f t="shared" ca="1" si="23"/>
        <v>285</v>
      </c>
      <c r="B291" s="60" t="str">
        <f t="shared" ca="1" si="29"/>
        <v>Tổ Hạ tầng Kiến Tường</v>
      </c>
      <c r="C291" s="61" t="str">
        <f t="shared" ca="1" si="24"/>
        <v>Đoàn Nguyễn Tuấn Anh</v>
      </c>
      <c r="D291" s="62">
        <f t="shared" ca="1" si="25"/>
        <v>943541776</v>
      </c>
      <c r="E291" s="63" t="str">
        <f t="shared" ca="1" si="26"/>
        <v>dntanh.lan@vnpt.vn</v>
      </c>
      <c r="F291" s="276" t="str">
        <f t="shared" ca="1" si="27"/>
        <v>Lần 13</v>
      </c>
      <c r="G291" s="76"/>
      <c r="H291" s="75"/>
      <c r="I291" s="75"/>
      <c r="J291" s="94"/>
      <c r="K291" s="94"/>
      <c r="L291" s="95"/>
      <c r="M291" s="202">
        <f t="shared" ca="1" si="21"/>
        <v>0</v>
      </c>
      <c r="N291" s="203">
        <f t="shared" ca="1" si="22"/>
        <v>0</v>
      </c>
      <c r="O291" s="68">
        <f t="shared" ca="1" si="28"/>
        <v>0</v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60">
        <f t="shared" ca="1" si="23"/>
        <v>286</v>
      </c>
      <c r="B292" s="60" t="str">
        <f t="shared" ca="1" si="29"/>
        <v>Tổ Hạ tầng Kiến Tường</v>
      </c>
      <c r="C292" s="61" t="str">
        <f t="shared" ca="1" si="24"/>
        <v>Đoàn Nguyễn Tuấn Anh</v>
      </c>
      <c r="D292" s="62">
        <f t="shared" ca="1" si="25"/>
        <v>943541776</v>
      </c>
      <c r="E292" s="63" t="str">
        <f t="shared" ca="1" si="26"/>
        <v>dntanh.lan@vnpt.vn</v>
      </c>
      <c r="F292" s="276" t="str">
        <f t="shared" ca="1" si="27"/>
        <v>Lần 14</v>
      </c>
      <c r="G292" s="76"/>
      <c r="H292" s="75"/>
      <c r="I292" s="75"/>
      <c r="J292" s="94"/>
      <c r="K292" s="94"/>
      <c r="L292" s="95"/>
      <c r="M292" s="202">
        <f t="shared" ca="1" si="21"/>
        <v>0</v>
      </c>
      <c r="N292" s="203">
        <f t="shared" ca="1" si="22"/>
        <v>0</v>
      </c>
      <c r="O292" s="68">
        <f t="shared" ca="1" si="28"/>
        <v>0</v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60">
        <f t="shared" ca="1" si="23"/>
        <v>287</v>
      </c>
      <c r="B293" s="60" t="str">
        <f t="shared" ca="1" si="29"/>
        <v>Tổ Hạ tầng Kiến Tường</v>
      </c>
      <c r="C293" s="61" t="str">
        <f t="shared" ca="1" si="24"/>
        <v>Đoàn Nguyễn Tuấn Anh</v>
      </c>
      <c r="D293" s="62">
        <f t="shared" ca="1" si="25"/>
        <v>943541776</v>
      </c>
      <c r="E293" s="63" t="str">
        <f t="shared" ca="1" si="26"/>
        <v>dntanh.lan@vnpt.vn</v>
      </c>
      <c r="F293" s="276" t="str">
        <f t="shared" ca="1" si="27"/>
        <v>Lần 15</v>
      </c>
      <c r="G293" s="76"/>
      <c r="H293" s="75"/>
      <c r="I293" s="75"/>
      <c r="J293" s="94"/>
      <c r="K293" s="94"/>
      <c r="L293" s="95"/>
      <c r="M293" s="202">
        <f t="shared" ca="1" si="21"/>
        <v>0</v>
      </c>
      <c r="N293" s="203">
        <f t="shared" ca="1" si="22"/>
        <v>0</v>
      </c>
      <c r="O293" s="68">
        <f t="shared" ca="1" si="28"/>
        <v>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60">
        <f t="shared" ca="1" si="23"/>
        <v>288</v>
      </c>
      <c r="B294" s="60" t="str">
        <f t="shared" ca="1" si="29"/>
        <v>Tổ Hạ tầng Kiến Tường</v>
      </c>
      <c r="C294" s="61" t="str">
        <f t="shared" ca="1" si="24"/>
        <v>Đoàn Nguyễn Tuấn Anh</v>
      </c>
      <c r="D294" s="62">
        <f t="shared" ca="1" si="25"/>
        <v>943541776</v>
      </c>
      <c r="E294" s="63" t="str">
        <f t="shared" ca="1" si="26"/>
        <v>dntanh.lan@vnpt.vn</v>
      </c>
      <c r="F294" s="276" t="str">
        <f t="shared" ca="1" si="27"/>
        <v>Lần 16</v>
      </c>
      <c r="G294" s="76"/>
      <c r="H294" s="199"/>
      <c r="I294" s="199"/>
      <c r="J294" s="245"/>
      <c r="K294" s="245"/>
      <c r="L294" s="212"/>
      <c r="M294" s="202">
        <f t="shared" ca="1" si="21"/>
        <v>0</v>
      </c>
      <c r="N294" s="203">
        <f t="shared" ca="1" si="22"/>
        <v>0</v>
      </c>
      <c r="O294" s="68">
        <f t="shared" ca="1" si="28"/>
        <v>0</v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175"/>
      <c r="K400" s="175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175"/>
      <c r="K401" s="175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175"/>
      <c r="K402" s="175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175"/>
      <c r="K403" s="175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175"/>
      <c r="K404" s="175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175"/>
      <c r="K405" s="175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175"/>
      <c r="K406" s="175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175"/>
      <c r="K407" s="175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175"/>
      <c r="K408" s="175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175"/>
      <c r="K409" s="175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175"/>
      <c r="K410" s="175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175"/>
      <c r="K411" s="175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175"/>
      <c r="K412" s="175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175"/>
      <c r="K413" s="175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175"/>
      <c r="K414" s="175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175"/>
      <c r="K415" s="175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175"/>
      <c r="K416" s="175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175"/>
      <c r="K417" s="175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175"/>
      <c r="K418" s="175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175"/>
      <c r="K419" s="175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175"/>
      <c r="K420" s="175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175"/>
      <c r="K421" s="175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174"/>
      <c r="H422" s="174"/>
      <c r="I422" s="174"/>
      <c r="J422" s="175"/>
      <c r="K422" s="175"/>
      <c r="L422" s="174"/>
      <c r="M422" s="174"/>
      <c r="N422" s="174"/>
      <c r="O422" s="174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174"/>
      <c r="H423" s="174"/>
      <c r="I423" s="174"/>
      <c r="J423" s="175"/>
      <c r="K423" s="175"/>
      <c r="L423" s="174"/>
      <c r="M423" s="174"/>
      <c r="N423" s="174"/>
      <c r="O423" s="174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174"/>
      <c r="H424" s="174"/>
      <c r="I424" s="174"/>
      <c r="J424" s="175"/>
      <c r="K424" s="175"/>
      <c r="L424" s="174"/>
      <c r="M424" s="174"/>
      <c r="N424" s="174"/>
      <c r="O424" s="174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174"/>
      <c r="H425" s="174"/>
      <c r="I425" s="174"/>
      <c r="J425" s="175"/>
      <c r="K425" s="175"/>
      <c r="L425" s="174"/>
      <c r="M425" s="174"/>
      <c r="N425" s="174"/>
      <c r="O425" s="174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174"/>
      <c r="H426" s="174"/>
      <c r="I426" s="174"/>
      <c r="J426" s="175"/>
      <c r="K426" s="175"/>
      <c r="L426" s="174"/>
      <c r="M426" s="174"/>
      <c r="N426" s="174"/>
      <c r="O426" s="174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174"/>
      <c r="H427" s="174"/>
      <c r="I427" s="174"/>
      <c r="J427" s="175"/>
      <c r="K427" s="175"/>
      <c r="L427" s="174"/>
      <c r="M427" s="174"/>
      <c r="N427" s="174"/>
      <c r="O427" s="174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174"/>
      <c r="H428" s="174"/>
      <c r="I428" s="174"/>
      <c r="J428" s="175"/>
      <c r="K428" s="175"/>
      <c r="L428" s="174"/>
      <c r="M428" s="174"/>
      <c r="N428" s="174"/>
      <c r="O428" s="174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174"/>
      <c r="H429" s="174"/>
      <c r="I429" s="174"/>
      <c r="J429" s="175"/>
      <c r="K429" s="175"/>
      <c r="L429" s="174"/>
      <c r="M429" s="174"/>
      <c r="N429" s="174"/>
      <c r="O429" s="174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174"/>
      <c r="H430" s="174"/>
      <c r="I430" s="174"/>
      <c r="J430" s="175"/>
      <c r="K430" s="175"/>
      <c r="L430" s="174"/>
      <c r="M430" s="174"/>
      <c r="N430" s="174"/>
      <c r="O430" s="174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174"/>
      <c r="H431" s="174"/>
      <c r="I431" s="174"/>
      <c r="J431" s="175"/>
      <c r="K431" s="175"/>
      <c r="L431" s="174"/>
      <c r="M431" s="174"/>
      <c r="N431" s="174"/>
      <c r="O431" s="174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174"/>
      <c r="H432" s="174"/>
      <c r="I432" s="174"/>
      <c r="J432" s="37"/>
      <c r="K432" s="37"/>
      <c r="L432" s="174"/>
      <c r="M432" s="174"/>
      <c r="N432" s="174"/>
      <c r="O432" s="174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174"/>
      <c r="H433" s="174"/>
      <c r="I433" s="174"/>
      <c r="J433" s="37"/>
      <c r="K433" s="37"/>
      <c r="L433" s="174"/>
      <c r="M433" s="174"/>
      <c r="N433" s="174"/>
      <c r="O433" s="174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174"/>
      <c r="H434" s="174"/>
      <c r="I434" s="174"/>
      <c r="J434" s="37"/>
      <c r="K434" s="37"/>
      <c r="L434" s="174"/>
      <c r="M434" s="174"/>
      <c r="N434" s="174"/>
      <c r="O434" s="174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174"/>
      <c r="H435" s="174"/>
      <c r="I435" s="174"/>
      <c r="J435" s="37"/>
      <c r="K435" s="37"/>
      <c r="L435" s="174"/>
      <c r="M435" s="174"/>
      <c r="N435" s="174"/>
      <c r="O435" s="174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174"/>
      <c r="H436" s="174"/>
      <c r="I436" s="174"/>
      <c r="J436" s="37"/>
      <c r="K436" s="37"/>
      <c r="L436" s="174"/>
      <c r="M436" s="174"/>
      <c r="N436" s="174"/>
      <c r="O436" s="174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174"/>
      <c r="H437" s="174"/>
      <c r="I437" s="174"/>
      <c r="J437" s="37"/>
      <c r="K437" s="37"/>
      <c r="L437" s="174"/>
      <c r="M437" s="174"/>
      <c r="N437" s="174"/>
      <c r="O437" s="174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 ht="15.75" customHeight="1">
      <c r="A955" s="37"/>
      <c r="B955" s="37"/>
      <c r="C955" s="37"/>
      <c r="D955" s="37"/>
      <c r="E955" s="173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 ht="15.75" customHeight="1">
      <c r="A956" s="37"/>
      <c r="B956" s="37"/>
      <c r="C956" s="37"/>
      <c r="D956" s="37"/>
      <c r="E956" s="173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 ht="15.75" customHeight="1">
      <c r="A957" s="37"/>
      <c r="B957" s="37"/>
      <c r="C957" s="37"/>
      <c r="D957" s="37"/>
      <c r="E957" s="173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 ht="15.75" customHeight="1">
      <c r="A958" s="37"/>
      <c r="B958" s="37"/>
      <c r="C958" s="37"/>
      <c r="D958" s="37"/>
      <c r="E958" s="173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 ht="15.75" customHeight="1">
      <c r="A959" s="37"/>
      <c r="B959" s="37"/>
      <c r="C959" s="37"/>
      <c r="D959" s="37"/>
      <c r="E959" s="173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 ht="15.75" customHeight="1">
      <c r="A960" s="37"/>
      <c r="B960" s="37"/>
      <c r="C960" s="37"/>
      <c r="D960" s="37"/>
      <c r="E960" s="173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 ht="15.75" customHeight="1">
      <c r="A961" s="37"/>
      <c r="B961" s="37"/>
      <c r="C961" s="37"/>
      <c r="D961" s="37"/>
      <c r="E961" s="173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 ht="15.75" customHeight="1">
      <c r="A962" s="37"/>
      <c r="B962" s="37"/>
      <c r="C962" s="37"/>
      <c r="D962" s="37"/>
      <c r="E962" s="173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 ht="15.75" customHeight="1">
      <c r="A963" s="37"/>
      <c r="B963" s="37"/>
      <c r="C963" s="37"/>
      <c r="D963" s="37"/>
      <c r="E963" s="173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 ht="15.75" customHeight="1">
      <c r="A964" s="37"/>
      <c r="B964" s="37"/>
      <c r="C964" s="37"/>
      <c r="D964" s="37"/>
      <c r="E964" s="173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 ht="15.75" customHeight="1">
      <c r="A965" s="37"/>
      <c r="B965" s="37"/>
      <c r="C965" s="37"/>
      <c r="D965" s="37"/>
      <c r="E965" s="173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 ht="15.75" customHeight="1">
      <c r="A966" s="37"/>
      <c r="B966" s="37"/>
      <c r="C966" s="37"/>
      <c r="D966" s="37"/>
      <c r="E966" s="173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 ht="15.75" customHeight="1">
      <c r="A967" s="37"/>
      <c r="B967" s="37"/>
      <c r="C967" s="37"/>
      <c r="D967" s="37"/>
      <c r="E967" s="173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 ht="15.75" customHeight="1">
      <c r="A968" s="37"/>
      <c r="B968" s="37"/>
      <c r="C968" s="37"/>
      <c r="D968" s="37"/>
      <c r="E968" s="173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 ht="15.75" customHeight="1">
      <c r="A969" s="37"/>
      <c r="B969" s="37"/>
      <c r="C969" s="37"/>
      <c r="D969" s="37"/>
      <c r="E969" s="173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 ht="15.75" customHeight="1">
      <c r="A970" s="37"/>
      <c r="B970" s="37"/>
      <c r="C970" s="37"/>
      <c r="D970" s="37"/>
      <c r="E970" s="173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94">
    <cfRule type="expression" dxfId="23" priority="1">
      <formula>ISEVEN(QUOTIENT(ROW()-ROW($A$7),16))</formula>
    </cfRule>
  </conditionalFormatting>
  <conditionalFormatting sqref="A7:O294">
    <cfRule type="expression" dxfId="22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70"/>
  <sheetViews>
    <sheetView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8.710937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15.7109375" customWidth="1"/>
    <col min="13" max="13" width="7.42578125" customWidth="1"/>
    <col min="14" max="14" width="9.7109375" customWidth="1"/>
    <col min="15" max="15" width="19.2851562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70" t="s">
        <v>421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126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0.81746031746031744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72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279" t="s">
        <v>280</v>
      </c>
      <c r="I6" s="280" t="s">
        <v>281</v>
      </c>
      <c r="J6" s="281" t="s">
        <v>280</v>
      </c>
      <c r="K6" s="282" t="s">
        <v>281</v>
      </c>
      <c r="L6" s="573"/>
      <c r="M6" s="45">
        <f t="shared" ref="M6:N6" ca="1" si="0">SUM(M7:M470)</f>
        <v>126</v>
      </c>
      <c r="N6" s="45">
        <f t="shared" ca="1" si="0"/>
        <v>126</v>
      </c>
      <c r="O6" s="45">
        <f ca="1">SUM(O7:O999)</f>
        <v>103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(76+QUOTIENT(ROW()-ROW($A$7),16)))="","",ROW()-ROW($A$7)+1)</f>
        <v>1</v>
      </c>
      <c r="B7" s="47" t="str">
        <f ca="1">IF(A7="","","Tổ Hạ tầng " &amp; 'Báo cáo'!B6)</f>
        <v>Tổ Hạ tầng Tân An</v>
      </c>
      <c r="C7" s="178" t="str">
        <f t="shared" ref="C7:C261" ca="1" si="2">IF(A7="","",INDIRECT("'DS nhân viên Speedtest'!B"&amp; (76+QUOTIENT(A7-1,16))))</f>
        <v>Trần Thái Bình</v>
      </c>
      <c r="D7" s="49">
        <f t="shared" ref="D7:D261" ca="1" si="3">IF(A7="","",INDIRECT("'DS nhân viên Speedtest'!C"&amp; (76+QUOTIENT(A7-1,16))))</f>
        <v>918430555</v>
      </c>
      <c r="E7" s="50" t="str">
        <f t="shared" ref="E7:E261" ca="1" si="4">IF(A7="","",INDIRECT("'DS nhân viên Speedtest'!D"&amp; (76+QUOTIENT(A7-1,16))))</f>
        <v>binhtt.lan@vnpt.vn</v>
      </c>
      <c r="F7" s="51" t="str">
        <f t="shared" ref="F7:F261" ca="1" si="5">IF(A7="","","Lần "&amp;(MOD(ROW()-ROW($A$7),16)+1))</f>
        <v>Lần 1</v>
      </c>
      <c r="G7" s="52">
        <v>46204</v>
      </c>
      <c r="H7" s="69">
        <v>359</v>
      </c>
      <c r="I7" s="69" t="s">
        <v>422</v>
      </c>
      <c r="J7" s="54">
        <v>650</v>
      </c>
      <c r="K7" s="69" t="s">
        <v>423</v>
      </c>
      <c r="L7" s="180"/>
      <c r="M7" s="56">
        <f t="shared" ref="M7:M16" ca="1" si="6">IF(B7="","",IF(OR(G7="",H7="",I7=""),0,1))</f>
        <v>1</v>
      </c>
      <c r="N7" s="266">
        <f t="shared" ref="N7:N16" ca="1" si="7">IF(B7="","",IF(OR(G7="",J7="",K7=""),0,1))</f>
        <v>1</v>
      </c>
      <c r="O7" s="58">
        <f t="shared" ref="O7:O261" ca="1" si="8">IF(B7="","",IF((J7-0)&gt;200,1,0))</f>
        <v>1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Tân An</v>
      </c>
      <c r="C8" s="61" t="str">
        <f t="shared" ca="1" si="2"/>
        <v>Trần Thái Bình</v>
      </c>
      <c r="D8" s="183">
        <f t="shared" ca="1" si="3"/>
        <v>918430555</v>
      </c>
      <c r="E8" s="63" t="str">
        <f t="shared" ca="1" si="4"/>
        <v>binhtt.lan@vnpt.vn</v>
      </c>
      <c r="F8" s="64" t="str">
        <f t="shared" ca="1" si="5"/>
        <v>Lần 2</v>
      </c>
      <c r="G8" s="52">
        <v>46204</v>
      </c>
      <c r="H8" s="69">
        <v>181</v>
      </c>
      <c r="I8" s="69" t="s">
        <v>424</v>
      </c>
      <c r="J8" s="54">
        <v>611</v>
      </c>
      <c r="K8" s="69" t="s">
        <v>425</v>
      </c>
      <c r="L8" s="91"/>
      <c r="M8" s="66">
        <f t="shared" ca="1" si="6"/>
        <v>1</v>
      </c>
      <c r="N8" s="268">
        <f t="shared" ca="1" si="7"/>
        <v>1</v>
      </c>
      <c r="O8" s="68">
        <f t="shared" ca="1" si="8"/>
        <v>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182" t="str">
        <f t="shared" ca="1" si="9"/>
        <v>Tổ Hạ tầng Tân An</v>
      </c>
      <c r="C9" s="61" t="str">
        <f t="shared" ca="1" si="2"/>
        <v>Trần Thái Bình</v>
      </c>
      <c r="D9" s="183">
        <f t="shared" ca="1" si="3"/>
        <v>918430555</v>
      </c>
      <c r="E9" s="63" t="str">
        <f t="shared" ca="1" si="4"/>
        <v>binhtt.lan@vnpt.vn</v>
      </c>
      <c r="F9" s="64" t="str">
        <f t="shared" ca="1" si="5"/>
        <v>Lần 3</v>
      </c>
      <c r="G9" s="52">
        <v>46204</v>
      </c>
      <c r="H9" s="53">
        <v>299</v>
      </c>
      <c r="I9" s="53" t="s">
        <v>426</v>
      </c>
      <c r="J9" s="54">
        <v>589</v>
      </c>
      <c r="K9" s="69" t="s">
        <v>427</v>
      </c>
      <c r="L9" s="91"/>
      <c r="M9" s="66">
        <f t="shared" ca="1" si="6"/>
        <v>1</v>
      </c>
      <c r="N9" s="268">
        <f t="shared" ca="1" si="7"/>
        <v>1</v>
      </c>
      <c r="O9" s="68">
        <f t="shared" ca="1" si="8"/>
        <v>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182" t="str">
        <f t="shared" ca="1" si="9"/>
        <v>Tổ Hạ tầng Tân An</v>
      </c>
      <c r="C10" s="61" t="str">
        <f t="shared" ca="1" si="2"/>
        <v>Trần Thái Bình</v>
      </c>
      <c r="D10" s="183">
        <f t="shared" ca="1" si="3"/>
        <v>918430555</v>
      </c>
      <c r="E10" s="63" t="str">
        <f t="shared" ca="1" si="4"/>
        <v>binhtt.lan@vnpt.vn</v>
      </c>
      <c r="F10" s="64" t="str">
        <f t="shared" ca="1" si="5"/>
        <v>Lần 4</v>
      </c>
      <c r="G10" s="52">
        <v>46204</v>
      </c>
      <c r="H10" s="53">
        <v>275</v>
      </c>
      <c r="I10" s="53" t="s">
        <v>282</v>
      </c>
      <c r="J10" s="54">
        <v>617</v>
      </c>
      <c r="K10" s="54" t="s">
        <v>283</v>
      </c>
      <c r="L10" s="91"/>
      <c r="M10" s="66">
        <f t="shared" ca="1" si="6"/>
        <v>1</v>
      </c>
      <c r="N10" s="268">
        <f t="shared" ca="1" si="7"/>
        <v>1</v>
      </c>
      <c r="O10" s="68">
        <f t="shared" ca="1" si="8"/>
        <v>1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182" t="str">
        <f t="shared" ca="1" si="9"/>
        <v>Tổ Hạ tầng Tân An</v>
      </c>
      <c r="C11" s="61" t="str">
        <f t="shared" ca="1" si="2"/>
        <v>Trần Thái Bình</v>
      </c>
      <c r="D11" s="183">
        <f t="shared" ca="1" si="3"/>
        <v>918430555</v>
      </c>
      <c r="E11" s="63" t="str">
        <f t="shared" ca="1" si="4"/>
        <v>binhtt.lan@vnpt.vn</v>
      </c>
      <c r="F11" s="64" t="str">
        <f t="shared" ca="1" si="5"/>
        <v>Lần 5</v>
      </c>
      <c r="G11" s="52">
        <v>46204</v>
      </c>
      <c r="H11" s="53">
        <v>284</v>
      </c>
      <c r="I11" s="53" t="s">
        <v>284</v>
      </c>
      <c r="J11" s="54">
        <v>756</v>
      </c>
      <c r="K11" s="54" t="s">
        <v>285</v>
      </c>
      <c r="L11" s="91"/>
      <c r="M11" s="66">
        <f t="shared" ca="1" si="6"/>
        <v>1</v>
      </c>
      <c r="N11" s="268">
        <f t="shared" ca="1" si="7"/>
        <v>1</v>
      </c>
      <c r="O11" s="68">
        <f t="shared" ca="1" si="8"/>
        <v>1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182" t="str">
        <f t="shared" ca="1" si="9"/>
        <v>Tổ Hạ tầng Tân An</v>
      </c>
      <c r="C12" s="61" t="str">
        <f t="shared" ca="1" si="2"/>
        <v>Trần Thái Bình</v>
      </c>
      <c r="D12" s="183">
        <f t="shared" ca="1" si="3"/>
        <v>918430555</v>
      </c>
      <c r="E12" s="63" t="str">
        <f t="shared" ca="1" si="4"/>
        <v>binhtt.lan@vnpt.vn</v>
      </c>
      <c r="F12" s="64" t="str">
        <f t="shared" ca="1" si="5"/>
        <v>Lần 6</v>
      </c>
      <c r="G12" s="52">
        <v>46205</v>
      </c>
      <c r="H12" s="53">
        <v>107</v>
      </c>
      <c r="I12" s="53" t="s">
        <v>286</v>
      </c>
      <c r="J12" s="54">
        <v>653</v>
      </c>
      <c r="K12" s="54" t="s">
        <v>286</v>
      </c>
      <c r="L12" s="91"/>
      <c r="M12" s="66">
        <f t="shared" ca="1" si="6"/>
        <v>1</v>
      </c>
      <c r="N12" s="268">
        <f t="shared" ca="1" si="7"/>
        <v>1</v>
      </c>
      <c r="O12" s="68">
        <f t="shared" ca="1" si="8"/>
        <v>1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182" t="str">
        <f t="shared" ca="1" si="9"/>
        <v>Tổ Hạ tầng Tân An</v>
      </c>
      <c r="C13" s="61" t="str">
        <f t="shared" ca="1" si="2"/>
        <v>Trần Thái Bình</v>
      </c>
      <c r="D13" s="183">
        <f t="shared" ca="1" si="3"/>
        <v>918430555</v>
      </c>
      <c r="E13" s="63" t="str">
        <f t="shared" ca="1" si="4"/>
        <v>binhtt.lan@vnpt.vn</v>
      </c>
      <c r="F13" s="64" t="str">
        <f t="shared" ca="1" si="5"/>
        <v>Lần 7</v>
      </c>
      <c r="G13" s="52">
        <v>46205</v>
      </c>
      <c r="H13" s="53">
        <v>112</v>
      </c>
      <c r="I13" s="53" t="s">
        <v>287</v>
      </c>
      <c r="J13" s="54">
        <v>692</v>
      </c>
      <c r="K13" s="54" t="s">
        <v>288</v>
      </c>
      <c r="L13" s="91"/>
      <c r="M13" s="66">
        <f t="shared" ca="1" si="6"/>
        <v>1</v>
      </c>
      <c r="N13" s="268">
        <f t="shared" ca="1" si="7"/>
        <v>1</v>
      </c>
      <c r="O13" s="68">
        <f t="shared" ca="1" si="8"/>
        <v>1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182" t="str">
        <f t="shared" ca="1" si="9"/>
        <v>Tổ Hạ tầng Tân An</v>
      </c>
      <c r="C14" s="61" t="str">
        <f t="shared" ca="1" si="2"/>
        <v>Trần Thái Bình</v>
      </c>
      <c r="D14" s="183">
        <f t="shared" ca="1" si="3"/>
        <v>918430555</v>
      </c>
      <c r="E14" s="63" t="str">
        <f t="shared" ca="1" si="4"/>
        <v>binhtt.lan@vnpt.vn</v>
      </c>
      <c r="F14" s="64" t="str">
        <f t="shared" ca="1" si="5"/>
        <v>Lần 8</v>
      </c>
      <c r="G14" s="52">
        <v>46205</v>
      </c>
      <c r="H14" s="53">
        <v>109</v>
      </c>
      <c r="I14" s="53">
        <v>34</v>
      </c>
      <c r="J14" s="54">
        <v>748</v>
      </c>
      <c r="K14" s="69" t="s">
        <v>289</v>
      </c>
      <c r="L14" s="91"/>
      <c r="M14" s="66">
        <f t="shared" ca="1" si="6"/>
        <v>1</v>
      </c>
      <c r="N14" s="268">
        <f t="shared" ca="1" si="7"/>
        <v>1</v>
      </c>
      <c r="O14" s="68">
        <f t="shared" ca="1" si="8"/>
        <v>1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182" t="str">
        <f t="shared" ca="1" si="9"/>
        <v>Tổ Hạ tầng Tân An</v>
      </c>
      <c r="C15" s="61" t="str">
        <f t="shared" ca="1" si="2"/>
        <v>Trần Thái Bình</v>
      </c>
      <c r="D15" s="183">
        <f t="shared" ca="1" si="3"/>
        <v>918430555</v>
      </c>
      <c r="E15" s="63" t="str">
        <f t="shared" ca="1" si="4"/>
        <v>binhtt.lan@vnpt.vn</v>
      </c>
      <c r="F15" s="64" t="str">
        <f t="shared" ca="1" si="5"/>
        <v>Lần 9</v>
      </c>
      <c r="G15" s="52">
        <v>46205</v>
      </c>
      <c r="H15" s="53" t="s">
        <v>290</v>
      </c>
      <c r="I15" s="53">
        <v>34</v>
      </c>
      <c r="J15" s="54">
        <v>748</v>
      </c>
      <c r="K15" s="69" t="s">
        <v>291</v>
      </c>
      <c r="L15" s="91"/>
      <c r="M15" s="66">
        <f t="shared" ca="1" si="6"/>
        <v>1</v>
      </c>
      <c r="N15" s="268">
        <f t="shared" ca="1" si="7"/>
        <v>1</v>
      </c>
      <c r="O15" s="68">
        <f t="shared" ca="1" si="8"/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182" t="str">
        <f t="shared" ca="1" si="9"/>
        <v>Tổ Hạ tầng Tân An</v>
      </c>
      <c r="C16" s="61" t="str">
        <f t="shared" ca="1" si="2"/>
        <v>Trần Thái Bình</v>
      </c>
      <c r="D16" s="183">
        <f t="shared" ca="1" si="3"/>
        <v>918430555</v>
      </c>
      <c r="E16" s="63" t="str">
        <f t="shared" ca="1" si="4"/>
        <v>binhtt.lan@vnpt.vn</v>
      </c>
      <c r="F16" s="64" t="str">
        <f t="shared" ca="1" si="5"/>
        <v>Lần 10</v>
      </c>
      <c r="G16" s="89">
        <v>46212</v>
      </c>
      <c r="H16" s="53">
        <v>983</v>
      </c>
      <c r="I16" s="53">
        <v>117</v>
      </c>
      <c r="J16" s="54">
        <v>1054</v>
      </c>
      <c r="K16" s="54">
        <v>117</v>
      </c>
      <c r="L16" s="91"/>
      <c r="M16" s="66">
        <f t="shared" ca="1" si="6"/>
        <v>1</v>
      </c>
      <c r="N16" s="268">
        <f t="shared" ca="1" si="7"/>
        <v>1</v>
      </c>
      <c r="O16" s="68">
        <f t="shared" ca="1" si="8"/>
        <v>1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182" t="str">
        <f t="shared" ca="1" si="9"/>
        <v>Tổ Hạ tầng Tân An</v>
      </c>
      <c r="C17" s="61" t="str">
        <f t="shared" ca="1" si="2"/>
        <v>Trần Thái Bình</v>
      </c>
      <c r="D17" s="183">
        <f t="shared" ca="1" si="3"/>
        <v>918430555</v>
      </c>
      <c r="E17" s="63" t="str">
        <f t="shared" ca="1" si="4"/>
        <v>binhtt.lan@vnpt.vn</v>
      </c>
      <c r="F17" s="64" t="str">
        <f t="shared" ca="1" si="5"/>
        <v>Lần 11</v>
      </c>
      <c r="G17" s="89">
        <v>46212</v>
      </c>
      <c r="H17" s="53">
        <v>969</v>
      </c>
      <c r="I17" s="53">
        <v>115</v>
      </c>
      <c r="J17" s="54">
        <v>1009</v>
      </c>
      <c r="K17" s="54">
        <v>124</v>
      </c>
      <c r="L17" s="91"/>
      <c r="M17" s="66">
        <f ca="1">IF(B17="","",IF(OR(G22="",H17="",I17=""),0,1))</f>
        <v>1</v>
      </c>
      <c r="N17" s="268">
        <f ca="1">IF(B17="","",IF(OR(G22="",J17="",K17=""),0,1))</f>
        <v>1</v>
      </c>
      <c r="O17" s="68">
        <f t="shared" ca="1" si="8"/>
        <v>1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182" t="str">
        <f t="shared" ca="1" si="9"/>
        <v>Tổ Hạ tầng Tân An</v>
      </c>
      <c r="C18" s="61" t="str">
        <f t="shared" ca="1" si="2"/>
        <v>Trần Thái Bình</v>
      </c>
      <c r="D18" s="183">
        <f t="shared" ca="1" si="3"/>
        <v>918430555</v>
      </c>
      <c r="E18" s="63" t="str">
        <f t="shared" ca="1" si="4"/>
        <v>binhtt.lan@vnpt.vn</v>
      </c>
      <c r="F18" s="64" t="str">
        <f t="shared" ca="1" si="5"/>
        <v>Lần 12</v>
      </c>
      <c r="G18" s="89">
        <v>46212</v>
      </c>
      <c r="H18" s="53">
        <v>883</v>
      </c>
      <c r="I18" s="53">
        <v>120</v>
      </c>
      <c r="J18" s="54">
        <v>1141</v>
      </c>
      <c r="K18" s="54">
        <v>119</v>
      </c>
      <c r="L18" s="91"/>
      <c r="M18" s="66">
        <f t="shared" ref="M18:M22" ca="1" si="10">IF(B18="","",IF(OR(G18="",H18="",I18=""),0,1))</f>
        <v>1</v>
      </c>
      <c r="N18" s="268">
        <f t="shared" ref="N18:N219" ca="1" si="11">IF(B18="","",IF(OR(G18="",J18="",K18=""),0,1))</f>
        <v>1</v>
      </c>
      <c r="O18" s="68">
        <f t="shared" ca="1" si="8"/>
        <v>1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182" t="str">
        <f t="shared" ca="1" si="9"/>
        <v>Tổ Hạ tầng Tân An</v>
      </c>
      <c r="C19" s="61" t="str">
        <f t="shared" ca="1" si="2"/>
        <v>Trần Thái Bình</v>
      </c>
      <c r="D19" s="183">
        <f t="shared" ca="1" si="3"/>
        <v>918430555</v>
      </c>
      <c r="E19" s="63" t="str">
        <f t="shared" ca="1" si="4"/>
        <v>binhtt.lan@vnpt.vn</v>
      </c>
      <c r="F19" s="64" t="str">
        <f t="shared" ca="1" si="5"/>
        <v>Lần 13</v>
      </c>
      <c r="G19" s="89">
        <v>46212</v>
      </c>
      <c r="H19" s="78">
        <v>1089</v>
      </c>
      <c r="I19" s="78">
        <v>123</v>
      </c>
      <c r="J19" s="79">
        <v>1041</v>
      </c>
      <c r="K19" s="79">
        <v>117</v>
      </c>
      <c r="L19" s="91"/>
      <c r="M19" s="66">
        <f t="shared" ca="1" si="10"/>
        <v>1</v>
      </c>
      <c r="N19" s="268">
        <f t="shared" ca="1" si="11"/>
        <v>1</v>
      </c>
      <c r="O19" s="68">
        <f t="shared" ca="1" si="8"/>
        <v>1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182" t="str">
        <f t="shared" ca="1" si="9"/>
        <v>Tổ Hạ tầng Tân An</v>
      </c>
      <c r="C20" s="61" t="str">
        <f t="shared" ca="1" si="2"/>
        <v>Trần Thái Bình</v>
      </c>
      <c r="D20" s="183">
        <f t="shared" ca="1" si="3"/>
        <v>918430555</v>
      </c>
      <c r="E20" s="63" t="str">
        <f t="shared" ca="1" si="4"/>
        <v>binhtt.lan@vnpt.vn</v>
      </c>
      <c r="F20" s="64" t="str">
        <f t="shared" ca="1" si="5"/>
        <v>Lần 14</v>
      </c>
      <c r="G20" s="89">
        <v>46212</v>
      </c>
      <c r="H20" s="78">
        <v>1082</v>
      </c>
      <c r="I20" s="78">
        <v>120</v>
      </c>
      <c r="J20" s="79">
        <v>1017</v>
      </c>
      <c r="K20" s="79">
        <v>121</v>
      </c>
      <c r="L20" s="91"/>
      <c r="M20" s="66">
        <f t="shared" ca="1" si="10"/>
        <v>1</v>
      </c>
      <c r="N20" s="268">
        <f t="shared" ca="1" si="11"/>
        <v>1</v>
      </c>
      <c r="O20" s="68">
        <f t="shared" ca="1" si="8"/>
        <v>1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182" t="str">
        <f t="shared" ca="1" si="9"/>
        <v>Tổ Hạ tầng Tân An</v>
      </c>
      <c r="C21" s="61" t="str">
        <f t="shared" ca="1" si="2"/>
        <v>Trần Thái Bình</v>
      </c>
      <c r="D21" s="183">
        <f t="shared" ca="1" si="3"/>
        <v>918430555</v>
      </c>
      <c r="E21" s="63" t="str">
        <f t="shared" ca="1" si="4"/>
        <v>binhtt.lan@vnpt.vn</v>
      </c>
      <c r="F21" s="64" t="str">
        <f t="shared" ca="1" si="5"/>
        <v>Lần 15</v>
      </c>
      <c r="G21" s="89">
        <v>46212</v>
      </c>
      <c r="H21" s="78">
        <v>953</v>
      </c>
      <c r="I21" s="78">
        <v>122</v>
      </c>
      <c r="J21" s="79">
        <v>1005</v>
      </c>
      <c r="K21" s="79">
        <v>126</v>
      </c>
      <c r="L21" s="91"/>
      <c r="M21" s="66">
        <f t="shared" ca="1" si="10"/>
        <v>1</v>
      </c>
      <c r="N21" s="268">
        <f t="shared" ca="1" si="11"/>
        <v>1</v>
      </c>
      <c r="O21" s="68">
        <f t="shared" ca="1" si="8"/>
        <v>1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185" t="str">
        <f t="shared" ca="1" si="9"/>
        <v>Tổ Hạ tầng Tân An</v>
      </c>
      <c r="C22" s="82" t="str">
        <f t="shared" ca="1" si="2"/>
        <v>Trần Thái Bình</v>
      </c>
      <c r="D22" s="186">
        <f t="shared" ca="1" si="3"/>
        <v>918430555</v>
      </c>
      <c r="E22" s="84" t="str">
        <f t="shared" ca="1" si="4"/>
        <v>binhtt.lan@vnpt.vn</v>
      </c>
      <c r="F22" s="85" t="str">
        <f t="shared" ca="1" si="5"/>
        <v>Lần 16</v>
      </c>
      <c r="G22" s="89">
        <v>46212</v>
      </c>
      <c r="H22" s="78">
        <v>1158</v>
      </c>
      <c r="I22" s="78">
        <v>111</v>
      </c>
      <c r="J22" s="79">
        <v>1065</v>
      </c>
      <c r="K22" s="79">
        <v>119</v>
      </c>
      <c r="L22" s="152"/>
      <c r="M22" s="66">
        <f t="shared" ca="1" si="10"/>
        <v>1</v>
      </c>
      <c r="N22" s="268">
        <f t="shared" ca="1" si="11"/>
        <v>1</v>
      </c>
      <c r="O22" s="68">
        <f t="shared" ca="1" si="8"/>
        <v>1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190" t="str">
        <f t="shared" ca="1" si="9"/>
        <v>Tổ Hạ tầng Tân An</v>
      </c>
      <c r="C23" s="48" t="str">
        <f t="shared" ca="1" si="2"/>
        <v>Nguyễn Thành Phạm Trung</v>
      </c>
      <c r="D23" s="191">
        <f t="shared" ca="1" si="3"/>
        <v>941328668</v>
      </c>
      <c r="E23" s="50" t="str">
        <f t="shared" ca="1" si="4"/>
        <v>trungntp.lan@vnpt.vn</v>
      </c>
      <c r="F23" s="51" t="str">
        <f t="shared" ca="1" si="5"/>
        <v>Lần 1</v>
      </c>
      <c r="G23" s="52">
        <v>46206</v>
      </c>
      <c r="H23" s="23">
        <v>85.3</v>
      </c>
      <c r="I23" s="23">
        <v>50.2</v>
      </c>
      <c r="J23" s="123">
        <v>95</v>
      </c>
      <c r="K23" s="123">
        <v>45.2</v>
      </c>
      <c r="L23" s="193"/>
      <c r="M23" s="194">
        <f ca="1">IF(B23="","",IF(OR(G23="",J23="",K23=""),0,1))</f>
        <v>1</v>
      </c>
      <c r="N23" s="67">
        <f t="shared" ca="1" si="11"/>
        <v>1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182" t="str">
        <f t="shared" ca="1" si="9"/>
        <v>Tổ Hạ tầng Tân An</v>
      </c>
      <c r="C24" s="61" t="str">
        <f t="shared" ca="1" si="2"/>
        <v>Nguyễn Thành Phạm Trung</v>
      </c>
      <c r="D24" s="183">
        <f t="shared" ca="1" si="3"/>
        <v>941328668</v>
      </c>
      <c r="E24" s="63" t="str">
        <f t="shared" ca="1" si="4"/>
        <v>trungntp.lan@vnpt.vn</v>
      </c>
      <c r="F24" s="64" t="str">
        <f t="shared" ca="1" si="5"/>
        <v>Lần 2</v>
      </c>
      <c r="G24" s="89">
        <v>46209</v>
      </c>
      <c r="H24" s="123">
        <v>98.7</v>
      </c>
      <c r="I24" s="123">
        <v>45.3</v>
      </c>
      <c r="J24" s="79">
        <v>105</v>
      </c>
      <c r="K24" s="79">
        <v>45.9</v>
      </c>
      <c r="L24" s="95"/>
      <c r="M24" s="184">
        <f t="shared" ref="M24:M219" ca="1" si="12">IF(B24="","",IF(OR(G24="",H24="",I24=""),0,1))</f>
        <v>1</v>
      </c>
      <c r="N24" s="67">
        <f t="shared" ca="1" si="11"/>
        <v>1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182" t="str">
        <f t="shared" ca="1" si="9"/>
        <v>Tổ Hạ tầng Tân An</v>
      </c>
      <c r="C25" s="61" t="str">
        <f t="shared" ca="1" si="2"/>
        <v>Nguyễn Thành Phạm Trung</v>
      </c>
      <c r="D25" s="183">
        <f t="shared" ca="1" si="3"/>
        <v>941328668</v>
      </c>
      <c r="E25" s="63" t="str">
        <f t="shared" ca="1" si="4"/>
        <v>trungntp.lan@vnpt.vn</v>
      </c>
      <c r="F25" s="64" t="str">
        <f t="shared" ca="1" si="5"/>
        <v>Lần 3</v>
      </c>
      <c r="G25" s="89">
        <v>46209</v>
      </c>
      <c r="H25" s="123">
        <v>101</v>
      </c>
      <c r="I25" s="123">
        <v>55.5</v>
      </c>
      <c r="J25" s="129">
        <v>93.7</v>
      </c>
      <c r="K25" s="78">
        <v>53.1</v>
      </c>
      <c r="L25" s="95"/>
      <c r="M25" s="184">
        <f t="shared" ca="1" si="12"/>
        <v>1</v>
      </c>
      <c r="N25" s="67">
        <f t="shared" ca="1" si="11"/>
        <v>1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182" t="str">
        <f t="shared" ca="1" si="9"/>
        <v>Tổ Hạ tầng Tân An</v>
      </c>
      <c r="C26" s="61" t="str">
        <f t="shared" ca="1" si="2"/>
        <v>Nguyễn Thành Phạm Trung</v>
      </c>
      <c r="D26" s="183">
        <f t="shared" ca="1" si="3"/>
        <v>941328668</v>
      </c>
      <c r="E26" s="63" t="str">
        <f t="shared" ca="1" si="4"/>
        <v>trungntp.lan@vnpt.vn</v>
      </c>
      <c r="F26" s="64" t="str">
        <f t="shared" ca="1" si="5"/>
        <v>Lần 4</v>
      </c>
      <c r="G26" s="89">
        <v>46209</v>
      </c>
      <c r="H26" s="125">
        <v>85.8</v>
      </c>
      <c r="I26" s="125">
        <v>52.8</v>
      </c>
      <c r="J26" s="90">
        <v>95.3</v>
      </c>
      <c r="K26" s="90">
        <v>54.3</v>
      </c>
      <c r="L26" s="95"/>
      <c r="M26" s="184">
        <f t="shared" ca="1" si="12"/>
        <v>1</v>
      </c>
      <c r="N26" s="67">
        <f t="shared" ca="1" si="11"/>
        <v>1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182" t="str">
        <f t="shared" ca="1" si="9"/>
        <v>Tổ Hạ tầng Tân An</v>
      </c>
      <c r="C27" s="61" t="str">
        <f t="shared" ca="1" si="2"/>
        <v>Nguyễn Thành Phạm Trung</v>
      </c>
      <c r="D27" s="183">
        <f t="shared" ca="1" si="3"/>
        <v>941328668</v>
      </c>
      <c r="E27" s="63" t="str">
        <f t="shared" ca="1" si="4"/>
        <v>trungntp.lan@vnpt.vn</v>
      </c>
      <c r="F27" s="64" t="str">
        <f t="shared" ca="1" si="5"/>
        <v>Lần 5</v>
      </c>
      <c r="G27" s="89">
        <v>46213</v>
      </c>
      <c r="H27" s="125">
        <v>124</v>
      </c>
      <c r="I27" s="125">
        <v>54.2</v>
      </c>
      <c r="J27" s="69">
        <v>124</v>
      </c>
      <c r="K27" s="54">
        <v>51.5</v>
      </c>
      <c r="L27" s="95"/>
      <c r="M27" s="184">
        <f t="shared" ca="1" si="12"/>
        <v>1</v>
      </c>
      <c r="N27" s="67">
        <f t="shared" ca="1" si="11"/>
        <v>1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182" t="str">
        <f t="shared" ca="1" si="9"/>
        <v>Tổ Hạ tầng Tân An</v>
      </c>
      <c r="C28" s="61" t="str">
        <f t="shared" ca="1" si="2"/>
        <v>Nguyễn Thành Phạm Trung</v>
      </c>
      <c r="D28" s="183">
        <f t="shared" ca="1" si="3"/>
        <v>941328668</v>
      </c>
      <c r="E28" s="63" t="str">
        <f t="shared" ca="1" si="4"/>
        <v>trungntp.lan@vnpt.vn</v>
      </c>
      <c r="F28" s="64" t="str">
        <f t="shared" ca="1" si="5"/>
        <v>Lần 6</v>
      </c>
      <c r="G28" s="89">
        <v>46213</v>
      </c>
      <c r="H28" s="125">
        <v>115</v>
      </c>
      <c r="I28" s="125">
        <v>45.1</v>
      </c>
      <c r="J28" s="54">
        <v>105</v>
      </c>
      <c r="K28" s="69">
        <v>50.4</v>
      </c>
      <c r="L28" s="95"/>
      <c r="M28" s="184">
        <f t="shared" ca="1" si="12"/>
        <v>1</v>
      </c>
      <c r="N28" s="67">
        <f t="shared" ca="1" si="11"/>
        <v>1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182" t="str">
        <f t="shared" ca="1" si="9"/>
        <v>Tổ Hạ tầng Tân An</v>
      </c>
      <c r="C29" s="61" t="str">
        <f t="shared" ca="1" si="2"/>
        <v>Nguyễn Thành Phạm Trung</v>
      </c>
      <c r="D29" s="183">
        <f t="shared" ca="1" si="3"/>
        <v>941328668</v>
      </c>
      <c r="E29" s="63" t="str">
        <f t="shared" ca="1" si="4"/>
        <v>trungntp.lan@vnpt.vn</v>
      </c>
      <c r="F29" s="64" t="str">
        <f t="shared" ca="1" si="5"/>
        <v>Lần 7</v>
      </c>
      <c r="G29" s="89">
        <v>46213</v>
      </c>
      <c r="H29" s="125">
        <v>87.3</v>
      </c>
      <c r="I29" s="125">
        <v>49.2</v>
      </c>
      <c r="J29" s="54">
        <v>114</v>
      </c>
      <c r="K29" s="54">
        <v>52.7</v>
      </c>
      <c r="L29" s="96"/>
      <c r="M29" s="184">
        <f t="shared" ca="1" si="12"/>
        <v>1</v>
      </c>
      <c r="N29" s="67">
        <f t="shared" ca="1" si="11"/>
        <v>1</v>
      </c>
      <c r="O29" s="68">
        <f t="shared" ca="1" si="8"/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182" t="str">
        <f t="shared" ca="1" si="9"/>
        <v>Tổ Hạ tầng Tân An</v>
      </c>
      <c r="C30" s="61" t="str">
        <f t="shared" ca="1" si="2"/>
        <v>Nguyễn Thành Phạm Trung</v>
      </c>
      <c r="D30" s="183">
        <f t="shared" ca="1" si="3"/>
        <v>941328668</v>
      </c>
      <c r="E30" s="63" t="str">
        <f t="shared" ca="1" si="4"/>
        <v>trungntp.lan@vnpt.vn</v>
      </c>
      <c r="F30" s="64" t="str">
        <f t="shared" ca="1" si="5"/>
        <v>Lần 8</v>
      </c>
      <c r="G30" s="89">
        <v>46213</v>
      </c>
      <c r="H30" s="125">
        <v>88.8</v>
      </c>
      <c r="I30" s="125">
        <v>44.9</v>
      </c>
      <c r="J30" s="54">
        <v>93.5</v>
      </c>
      <c r="K30" s="54">
        <v>51.4</v>
      </c>
      <c r="L30" s="96"/>
      <c r="M30" s="184">
        <f t="shared" ca="1" si="12"/>
        <v>1</v>
      </c>
      <c r="N30" s="67">
        <f t="shared" ca="1" si="11"/>
        <v>1</v>
      </c>
      <c r="O30" s="68">
        <f t="shared" ca="1" si="8"/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182" t="str">
        <f t="shared" ca="1" si="9"/>
        <v>Tổ Hạ tầng Tân An</v>
      </c>
      <c r="C31" s="61" t="str">
        <f t="shared" ca="1" si="2"/>
        <v>Nguyễn Thành Phạm Trung</v>
      </c>
      <c r="D31" s="183">
        <f t="shared" ca="1" si="3"/>
        <v>941328668</v>
      </c>
      <c r="E31" s="63" t="str">
        <f t="shared" ca="1" si="4"/>
        <v>trungntp.lan@vnpt.vn</v>
      </c>
      <c r="F31" s="64" t="str">
        <f t="shared" ca="1" si="5"/>
        <v>Lần 9</v>
      </c>
      <c r="G31" s="89">
        <v>46213</v>
      </c>
      <c r="H31" s="125">
        <v>90.2</v>
      </c>
      <c r="I31" s="125">
        <v>45.6</v>
      </c>
      <c r="J31" s="54">
        <v>102</v>
      </c>
      <c r="K31" s="54">
        <v>47.4</v>
      </c>
      <c r="L31" s="96"/>
      <c r="M31" s="184">
        <f t="shared" ca="1" si="12"/>
        <v>1</v>
      </c>
      <c r="N31" s="67">
        <f t="shared" ca="1" si="11"/>
        <v>1</v>
      </c>
      <c r="O31" s="68">
        <f t="shared" ca="1" si="8"/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182" t="str">
        <f t="shared" ca="1" si="9"/>
        <v>Tổ Hạ tầng Tân An</v>
      </c>
      <c r="C32" s="61" t="str">
        <f t="shared" ca="1" si="2"/>
        <v>Nguyễn Thành Phạm Trung</v>
      </c>
      <c r="D32" s="183">
        <f t="shared" ca="1" si="3"/>
        <v>941328668</v>
      </c>
      <c r="E32" s="63" t="str">
        <f t="shared" ca="1" si="4"/>
        <v>trungntp.lan@vnpt.vn</v>
      </c>
      <c r="F32" s="64" t="str">
        <f t="shared" ca="1" si="5"/>
        <v>Lần 10</v>
      </c>
      <c r="G32" s="89"/>
      <c r="H32" s="125"/>
      <c r="I32" s="125"/>
      <c r="J32" s="54"/>
      <c r="K32" s="54"/>
      <c r="L32" s="95"/>
      <c r="M32" s="184">
        <f t="shared" ca="1" si="12"/>
        <v>0</v>
      </c>
      <c r="N32" s="67">
        <f t="shared" ca="1" si="11"/>
        <v>0</v>
      </c>
      <c r="O32" s="68">
        <f t="shared" ca="1" si="8"/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182" t="str">
        <f t="shared" ca="1" si="9"/>
        <v>Tổ Hạ tầng Tân An</v>
      </c>
      <c r="C33" s="61" t="str">
        <f t="shared" ca="1" si="2"/>
        <v>Nguyễn Thành Phạm Trung</v>
      </c>
      <c r="D33" s="183">
        <f t="shared" ca="1" si="3"/>
        <v>941328668</v>
      </c>
      <c r="E33" s="63" t="str">
        <f t="shared" ca="1" si="4"/>
        <v>trungntp.lan@vnpt.vn</v>
      </c>
      <c r="F33" s="64" t="str">
        <f t="shared" ca="1" si="5"/>
        <v>Lần 11</v>
      </c>
      <c r="G33" s="89"/>
      <c r="H33" s="125"/>
      <c r="I33" s="125"/>
      <c r="J33" s="54"/>
      <c r="K33" s="54"/>
      <c r="L33" s="95"/>
      <c r="M33" s="184">
        <f t="shared" ca="1" si="12"/>
        <v>0</v>
      </c>
      <c r="N33" s="67">
        <f t="shared" ca="1" si="11"/>
        <v>0</v>
      </c>
      <c r="O33" s="68">
        <f t="shared" ca="1" si="8"/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182" t="str">
        <f t="shared" ca="1" si="9"/>
        <v>Tổ Hạ tầng Tân An</v>
      </c>
      <c r="C34" s="61" t="str">
        <f t="shared" ca="1" si="2"/>
        <v>Nguyễn Thành Phạm Trung</v>
      </c>
      <c r="D34" s="183">
        <f t="shared" ca="1" si="3"/>
        <v>941328668</v>
      </c>
      <c r="E34" s="63" t="str">
        <f t="shared" ca="1" si="4"/>
        <v>trungntp.lan@vnpt.vn</v>
      </c>
      <c r="F34" s="64" t="str">
        <f t="shared" ca="1" si="5"/>
        <v>Lần 12</v>
      </c>
      <c r="G34" s="89"/>
      <c r="H34" s="125"/>
      <c r="I34" s="125"/>
      <c r="J34" s="54"/>
      <c r="K34" s="54"/>
      <c r="L34" s="96"/>
      <c r="M34" s="184">
        <f t="shared" ca="1" si="12"/>
        <v>0</v>
      </c>
      <c r="N34" s="67">
        <f t="shared" ca="1" si="11"/>
        <v>0</v>
      </c>
      <c r="O34" s="68">
        <f t="shared" ca="1" si="8"/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182" t="str">
        <f t="shared" ca="1" si="9"/>
        <v>Tổ Hạ tầng Tân An</v>
      </c>
      <c r="C35" s="61" t="str">
        <f t="shared" ca="1" si="2"/>
        <v>Nguyễn Thành Phạm Trung</v>
      </c>
      <c r="D35" s="183">
        <f t="shared" ca="1" si="3"/>
        <v>941328668</v>
      </c>
      <c r="E35" s="63" t="str">
        <f t="shared" ca="1" si="4"/>
        <v>trungntp.lan@vnpt.vn</v>
      </c>
      <c r="F35" s="64" t="str">
        <f t="shared" ca="1" si="5"/>
        <v>Lần 13</v>
      </c>
      <c r="G35" s="89"/>
      <c r="H35" s="125"/>
      <c r="I35" s="125"/>
      <c r="J35" s="126"/>
      <c r="K35" s="126"/>
      <c r="L35" s="96"/>
      <c r="M35" s="184">
        <f t="shared" ca="1" si="12"/>
        <v>0</v>
      </c>
      <c r="N35" s="67">
        <f t="shared" ca="1" si="11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182" t="str">
        <f t="shared" ca="1" si="9"/>
        <v>Tổ Hạ tầng Tân An</v>
      </c>
      <c r="C36" s="61" t="str">
        <f t="shared" ca="1" si="2"/>
        <v>Nguyễn Thành Phạm Trung</v>
      </c>
      <c r="D36" s="183">
        <f t="shared" ca="1" si="3"/>
        <v>941328668</v>
      </c>
      <c r="E36" s="63" t="str">
        <f t="shared" ca="1" si="4"/>
        <v>trungntp.lan@vnpt.vn</v>
      </c>
      <c r="F36" s="64" t="str">
        <f t="shared" ca="1" si="5"/>
        <v>Lần 14</v>
      </c>
      <c r="G36" s="89"/>
      <c r="H36" s="125"/>
      <c r="I36" s="125"/>
      <c r="J36" s="126"/>
      <c r="K36" s="126"/>
      <c r="L36" s="96"/>
      <c r="M36" s="184">
        <f t="shared" ca="1" si="12"/>
        <v>0</v>
      </c>
      <c r="N36" s="67">
        <f t="shared" ca="1" si="11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182" t="str">
        <f t="shared" ca="1" si="9"/>
        <v>Tổ Hạ tầng Tân An</v>
      </c>
      <c r="C37" s="61" t="str">
        <f t="shared" ca="1" si="2"/>
        <v>Nguyễn Thành Phạm Trung</v>
      </c>
      <c r="D37" s="183">
        <f t="shared" ca="1" si="3"/>
        <v>941328668</v>
      </c>
      <c r="E37" s="63" t="str">
        <f t="shared" ca="1" si="4"/>
        <v>trungntp.lan@vnpt.vn</v>
      </c>
      <c r="F37" s="64" t="str">
        <f t="shared" ca="1" si="5"/>
        <v>Lần 15</v>
      </c>
      <c r="G37" s="89"/>
      <c r="H37" s="125"/>
      <c r="I37" s="125"/>
      <c r="J37" s="126"/>
      <c r="K37" s="126"/>
      <c r="L37" s="96"/>
      <c r="M37" s="184">
        <f t="shared" ca="1" si="12"/>
        <v>0</v>
      </c>
      <c r="N37" s="67">
        <f t="shared" ca="1" si="11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96" t="str">
        <f t="shared" ca="1" si="9"/>
        <v>Tổ Hạ tầng Tân An</v>
      </c>
      <c r="C38" s="102" t="str">
        <f t="shared" ca="1" si="2"/>
        <v>Nguyễn Thành Phạm Trung</v>
      </c>
      <c r="D38" s="197">
        <f t="shared" ca="1" si="3"/>
        <v>941328668</v>
      </c>
      <c r="E38" s="104" t="str">
        <f t="shared" ca="1" si="4"/>
        <v>trungntp.lan@vnpt.vn</v>
      </c>
      <c r="F38" s="105" t="str">
        <f t="shared" ca="1" si="5"/>
        <v>Lần 16</v>
      </c>
      <c r="G38" s="283"/>
      <c r="H38" s="284"/>
      <c r="I38" s="284"/>
      <c r="J38" s="285"/>
      <c r="K38" s="285"/>
      <c r="L38" s="201"/>
      <c r="M38" s="202">
        <f t="shared" ca="1" si="12"/>
        <v>0</v>
      </c>
      <c r="N38" s="203">
        <f t="shared" ca="1" si="11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204" t="str">
        <f t="shared" ca="1" si="9"/>
        <v>Tổ Hạ tầng Tân An</v>
      </c>
      <c r="C39" s="108" t="str">
        <f t="shared" ca="1" si="2"/>
        <v>Đỗ Tấn Phát</v>
      </c>
      <c r="D39" s="205">
        <f t="shared" ca="1" si="3"/>
        <v>917769763</v>
      </c>
      <c r="E39" s="110" t="str">
        <f t="shared" ca="1" si="4"/>
        <v>phatdt.lan@vnpt.vn</v>
      </c>
      <c r="F39" s="111" t="str">
        <f t="shared" ca="1" si="5"/>
        <v>Lần 1</v>
      </c>
      <c r="G39" s="89"/>
      <c r="H39" s="69"/>
      <c r="I39" s="69"/>
      <c r="J39" s="54"/>
      <c r="K39" s="90"/>
      <c r="L39" s="132"/>
      <c r="M39" s="56">
        <f t="shared" ca="1" si="12"/>
        <v>0</v>
      </c>
      <c r="N39" s="266">
        <f t="shared" ca="1" si="11"/>
        <v>0</v>
      </c>
      <c r="O39" s="68">
        <f t="shared" ca="1" si="8"/>
        <v>0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182" t="str">
        <f t="shared" ca="1" si="9"/>
        <v>Tổ Hạ tầng Tân An</v>
      </c>
      <c r="C40" s="61" t="str">
        <f t="shared" ca="1" si="2"/>
        <v>Đỗ Tấn Phát</v>
      </c>
      <c r="D40" s="183">
        <f t="shared" ca="1" si="3"/>
        <v>917769763</v>
      </c>
      <c r="E40" s="63" t="str">
        <f t="shared" ca="1" si="4"/>
        <v>phatdt.lan@vnpt.vn</v>
      </c>
      <c r="F40" s="64" t="str">
        <f t="shared" ca="1" si="5"/>
        <v>Lần 2</v>
      </c>
      <c r="G40" s="89"/>
      <c r="H40" s="69"/>
      <c r="I40" s="69"/>
      <c r="J40" s="90"/>
      <c r="K40" s="90"/>
      <c r="L40" s="116"/>
      <c r="M40" s="66">
        <f t="shared" ca="1" si="12"/>
        <v>0</v>
      </c>
      <c r="N40" s="268">
        <f t="shared" ca="1" si="11"/>
        <v>0</v>
      </c>
      <c r="O40" s="68">
        <f t="shared" ca="1" si="8"/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182" t="str">
        <f t="shared" ca="1" si="9"/>
        <v>Tổ Hạ tầng Tân An</v>
      </c>
      <c r="C41" s="61" t="str">
        <f t="shared" ca="1" si="2"/>
        <v>Đỗ Tấn Phát</v>
      </c>
      <c r="D41" s="183">
        <f t="shared" ca="1" si="3"/>
        <v>917769763</v>
      </c>
      <c r="E41" s="63" t="str">
        <f t="shared" ca="1" si="4"/>
        <v>phatdt.lan@vnpt.vn</v>
      </c>
      <c r="F41" s="64" t="str">
        <f t="shared" ca="1" si="5"/>
        <v>Lần 3</v>
      </c>
      <c r="G41" s="89"/>
      <c r="H41" s="53"/>
      <c r="I41" s="53"/>
      <c r="J41" s="90"/>
      <c r="K41" s="90"/>
      <c r="L41" s="116"/>
      <c r="M41" s="66">
        <f t="shared" ca="1" si="12"/>
        <v>0</v>
      </c>
      <c r="N41" s="268">
        <f t="shared" ca="1" si="11"/>
        <v>0</v>
      </c>
      <c r="O41" s="68">
        <f t="shared" ca="1" si="8"/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182" t="str">
        <f t="shared" ca="1" si="9"/>
        <v>Tổ Hạ tầng Tân An</v>
      </c>
      <c r="C42" s="61" t="str">
        <f t="shared" ca="1" si="2"/>
        <v>Đỗ Tấn Phát</v>
      </c>
      <c r="D42" s="183">
        <f t="shared" ca="1" si="3"/>
        <v>917769763</v>
      </c>
      <c r="E42" s="63" t="str">
        <f t="shared" ca="1" si="4"/>
        <v>phatdt.lan@vnpt.vn</v>
      </c>
      <c r="F42" s="64" t="str">
        <f t="shared" ca="1" si="5"/>
        <v>Lần 4</v>
      </c>
      <c r="G42" s="89"/>
      <c r="H42" s="53"/>
      <c r="I42" s="53"/>
      <c r="J42" s="90"/>
      <c r="K42" s="90"/>
      <c r="L42" s="208"/>
      <c r="M42" s="66">
        <f t="shared" ca="1" si="12"/>
        <v>0</v>
      </c>
      <c r="N42" s="268">
        <f t="shared" ca="1" si="11"/>
        <v>0</v>
      </c>
      <c r="O42" s="68">
        <f t="shared" ca="1" si="8"/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182" t="str">
        <f t="shared" ca="1" si="9"/>
        <v>Tổ Hạ tầng Tân An</v>
      </c>
      <c r="C43" s="61" t="str">
        <f t="shared" ca="1" si="2"/>
        <v>Đỗ Tấn Phát</v>
      </c>
      <c r="D43" s="183">
        <f t="shared" ca="1" si="3"/>
        <v>917769763</v>
      </c>
      <c r="E43" s="63" t="str">
        <f t="shared" ca="1" si="4"/>
        <v>phatdt.lan@vnpt.vn</v>
      </c>
      <c r="F43" s="64" t="str">
        <f t="shared" ca="1" si="5"/>
        <v>Lần 5</v>
      </c>
      <c r="G43" s="89"/>
      <c r="H43" s="53"/>
      <c r="I43" s="53"/>
      <c r="J43" s="90"/>
      <c r="K43" s="90"/>
      <c r="L43" s="208"/>
      <c r="M43" s="66">
        <f t="shared" ca="1" si="12"/>
        <v>0</v>
      </c>
      <c r="N43" s="268">
        <f t="shared" ca="1" si="11"/>
        <v>0</v>
      </c>
      <c r="O43" s="68">
        <f t="shared" ca="1" si="8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182" t="str">
        <f t="shared" ca="1" si="9"/>
        <v>Tổ Hạ tầng Tân An</v>
      </c>
      <c r="C44" s="61" t="str">
        <f t="shared" ca="1" si="2"/>
        <v>Đỗ Tấn Phát</v>
      </c>
      <c r="D44" s="183">
        <f t="shared" ca="1" si="3"/>
        <v>917769763</v>
      </c>
      <c r="E44" s="63" t="str">
        <f t="shared" ca="1" si="4"/>
        <v>phatdt.lan@vnpt.vn</v>
      </c>
      <c r="F44" s="64" t="str">
        <f t="shared" ca="1" si="5"/>
        <v>Lần 6</v>
      </c>
      <c r="G44" s="89"/>
      <c r="H44" s="133"/>
      <c r="I44" s="133"/>
      <c r="J44" s="72"/>
      <c r="K44" s="72"/>
      <c r="L44" s="208"/>
      <c r="M44" s="66">
        <f t="shared" ca="1" si="12"/>
        <v>0</v>
      </c>
      <c r="N44" s="268">
        <f t="shared" ca="1" si="11"/>
        <v>0</v>
      </c>
      <c r="O44" s="68">
        <f t="shared" ca="1" si="8"/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182" t="str">
        <f t="shared" ca="1" si="9"/>
        <v>Tổ Hạ tầng Tân An</v>
      </c>
      <c r="C45" s="61" t="str">
        <f t="shared" ca="1" si="2"/>
        <v>Đỗ Tấn Phát</v>
      </c>
      <c r="D45" s="183">
        <f t="shared" ca="1" si="3"/>
        <v>917769763</v>
      </c>
      <c r="E45" s="63" t="str">
        <f t="shared" ca="1" si="4"/>
        <v>phatdt.lan@vnpt.vn</v>
      </c>
      <c r="F45" s="64" t="str">
        <f t="shared" ca="1" si="5"/>
        <v>Lần 7</v>
      </c>
      <c r="G45" s="89"/>
      <c r="H45" s="53"/>
      <c r="I45" s="53"/>
      <c r="J45" s="54"/>
      <c r="K45" s="54"/>
      <c r="L45" s="208"/>
      <c r="M45" s="66">
        <f t="shared" ca="1" si="12"/>
        <v>0</v>
      </c>
      <c r="N45" s="268">
        <f t="shared" ca="1" si="11"/>
        <v>0</v>
      </c>
      <c r="O45" s="68">
        <f t="shared" ca="1" si="8"/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182" t="str">
        <f t="shared" ca="1" si="9"/>
        <v>Tổ Hạ tầng Tân An</v>
      </c>
      <c r="C46" s="61" t="str">
        <f t="shared" ca="1" si="2"/>
        <v>Đỗ Tấn Phát</v>
      </c>
      <c r="D46" s="183">
        <f t="shared" ca="1" si="3"/>
        <v>917769763</v>
      </c>
      <c r="E46" s="63" t="str">
        <f t="shared" ca="1" si="4"/>
        <v>phatdt.lan@vnpt.vn</v>
      </c>
      <c r="F46" s="64" t="str">
        <f t="shared" ca="1" si="5"/>
        <v>Lần 8</v>
      </c>
      <c r="G46" s="89"/>
      <c r="H46" s="53"/>
      <c r="I46" s="53"/>
      <c r="J46" s="54"/>
      <c r="K46" s="54"/>
      <c r="L46" s="116"/>
      <c r="M46" s="66">
        <f t="shared" ca="1" si="12"/>
        <v>0</v>
      </c>
      <c r="N46" s="268">
        <f t="shared" ca="1" si="11"/>
        <v>0</v>
      </c>
      <c r="O46" s="68">
        <f t="shared" ca="1" si="8"/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182" t="str">
        <f t="shared" ca="1" si="9"/>
        <v>Tổ Hạ tầng Tân An</v>
      </c>
      <c r="C47" s="61" t="str">
        <f t="shared" ca="1" si="2"/>
        <v>Đỗ Tấn Phát</v>
      </c>
      <c r="D47" s="183">
        <f t="shared" ca="1" si="3"/>
        <v>917769763</v>
      </c>
      <c r="E47" s="63" t="str">
        <f t="shared" ca="1" si="4"/>
        <v>phatdt.lan@vnpt.vn</v>
      </c>
      <c r="F47" s="64" t="str">
        <f t="shared" ca="1" si="5"/>
        <v>Lần 9</v>
      </c>
      <c r="G47" s="89"/>
      <c r="H47" s="53"/>
      <c r="I47" s="53"/>
      <c r="J47" s="54"/>
      <c r="K47" s="54"/>
      <c r="L47" s="116"/>
      <c r="M47" s="66">
        <f t="shared" ca="1" si="12"/>
        <v>0</v>
      </c>
      <c r="N47" s="268">
        <f t="shared" ca="1" si="11"/>
        <v>0</v>
      </c>
      <c r="O47" s="68">
        <f t="shared" ca="1" si="8"/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182" t="str">
        <f t="shared" ca="1" si="9"/>
        <v>Tổ Hạ tầng Tân An</v>
      </c>
      <c r="C48" s="61" t="str">
        <f t="shared" ca="1" si="2"/>
        <v>Đỗ Tấn Phát</v>
      </c>
      <c r="D48" s="183">
        <f t="shared" ca="1" si="3"/>
        <v>917769763</v>
      </c>
      <c r="E48" s="63" t="str">
        <f t="shared" ca="1" si="4"/>
        <v>phatdt.lan@vnpt.vn</v>
      </c>
      <c r="F48" s="64" t="str">
        <f t="shared" ca="1" si="5"/>
        <v>Lần 10</v>
      </c>
      <c r="G48" s="89"/>
      <c r="H48" s="53"/>
      <c r="I48" s="53"/>
      <c r="J48" s="54"/>
      <c r="K48" s="54"/>
      <c r="L48" s="116"/>
      <c r="M48" s="66">
        <f t="shared" ca="1" si="12"/>
        <v>0</v>
      </c>
      <c r="N48" s="268">
        <f t="shared" ca="1" si="11"/>
        <v>0</v>
      </c>
      <c r="O48" s="68">
        <f t="shared" ca="1" si="8"/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182" t="str">
        <f t="shared" ca="1" si="9"/>
        <v>Tổ Hạ tầng Tân An</v>
      </c>
      <c r="C49" s="61" t="str">
        <f t="shared" ca="1" si="2"/>
        <v>Đỗ Tấn Phát</v>
      </c>
      <c r="D49" s="183">
        <f t="shared" ca="1" si="3"/>
        <v>917769763</v>
      </c>
      <c r="E49" s="63" t="str">
        <f t="shared" ca="1" si="4"/>
        <v>phatdt.lan@vnpt.vn</v>
      </c>
      <c r="F49" s="64" t="str">
        <f t="shared" ca="1" si="5"/>
        <v>Lần 11</v>
      </c>
      <c r="G49" s="89"/>
      <c r="H49" s="53"/>
      <c r="I49" s="53"/>
      <c r="J49" s="54"/>
      <c r="K49" s="54"/>
      <c r="L49" s="116"/>
      <c r="M49" s="66">
        <f t="shared" ca="1" si="12"/>
        <v>0</v>
      </c>
      <c r="N49" s="268">
        <f t="shared" ca="1" si="11"/>
        <v>0</v>
      </c>
      <c r="O49" s="68">
        <f t="shared" ca="1" si="8"/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182" t="str">
        <f t="shared" ca="1" si="9"/>
        <v>Tổ Hạ tầng Tân An</v>
      </c>
      <c r="C50" s="61" t="str">
        <f t="shared" ca="1" si="2"/>
        <v>Đỗ Tấn Phát</v>
      </c>
      <c r="D50" s="183">
        <f t="shared" ca="1" si="3"/>
        <v>917769763</v>
      </c>
      <c r="E50" s="63" t="str">
        <f t="shared" ca="1" si="4"/>
        <v>phatdt.lan@vnpt.vn</v>
      </c>
      <c r="F50" s="64" t="str">
        <f t="shared" ca="1" si="5"/>
        <v>Lần 12</v>
      </c>
      <c r="G50" s="89"/>
      <c r="H50" s="53"/>
      <c r="I50" s="53"/>
      <c r="J50" s="54"/>
      <c r="K50" s="54"/>
      <c r="L50" s="116"/>
      <c r="M50" s="66">
        <f t="shared" ca="1" si="12"/>
        <v>0</v>
      </c>
      <c r="N50" s="268">
        <f t="shared" ca="1" si="11"/>
        <v>0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182" t="str">
        <f t="shared" ca="1" si="9"/>
        <v>Tổ Hạ tầng Tân An</v>
      </c>
      <c r="C51" s="61" t="str">
        <f t="shared" ca="1" si="2"/>
        <v>Đỗ Tấn Phát</v>
      </c>
      <c r="D51" s="183">
        <f t="shared" ca="1" si="3"/>
        <v>917769763</v>
      </c>
      <c r="E51" s="63" t="str">
        <f t="shared" ca="1" si="4"/>
        <v>phatdt.lan@vnpt.vn</v>
      </c>
      <c r="F51" s="64" t="str">
        <f t="shared" ca="1" si="5"/>
        <v>Lần 13</v>
      </c>
      <c r="G51" s="89"/>
      <c r="H51" s="53"/>
      <c r="I51" s="53"/>
      <c r="J51" s="54"/>
      <c r="K51" s="54"/>
      <c r="L51" s="116"/>
      <c r="M51" s="66">
        <f t="shared" ca="1" si="12"/>
        <v>0</v>
      </c>
      <c r="N51" s="268">
        <f t="shared" ca="1" si="11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182" t="str">
        <f t="shared" ca="1" si="9"/>
        <v>Tổ Hạ tầng Tân An</v>
      </c>
      <c r="C52" s="61" t="str">
        <f t="shared" ca="1" si="2"/>
        <v>Đỗ Tấn Phát</v>
      </c>
      <c r="D52" s="183">
        <f t="shared" ca="1" si="3"/>
        <v>917769763</v>
      </c>
      <c r="E52" s="63" t="str">
        <f t="shared" ca="1" si="4"/>
        <v>phatdt.lan@vnpt.vn</v>
      </c>
      <c r="F52" s="64" t="str">
        <f t="shared" ca="1" si="5"/>
        <v>Lần 14</v>
      </c>
      <c r="G52" s="89"/>
      <c r="H52" s="53"/>
      <c r="I52" s="53"/>
      <c r="J52" s="54"/>
      <c r="K52" s="54"/>
      <c r="L52" s="116"/>
      <c r="M52" s="66">
        <f t="shared" ca="1" si="12"/>
        <v>0</v>
      </c>
      <c r="N52" s="268">
        <f t="shared" ca="1" si="11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182" t="str">
        <f t="shared" ca="1" si="9"/>
        <v>Tổ Hạ tầng Tân An</v>
      </c>
      <c r="C53" s="61" t="str">
        <f t="shared" ca="1" si="2"/>
        <v>Đỗ Tấn Phát</v>
      </c>
      <c r="D53" s="183">
        <f t="shared" ca="1" si="3"/>
        <v>917769763</v>
      </c>
      <c r="E53" s="63" t="str">
        <f t="shared" ca="1" si="4"/>
        <v>phatdt.lan@vnpt.vn</v>
      </c>
      <c r="F53" s="64" t="str">
        <f t="shared" ca="1" si="5"/>
        <v>Lần 15</v>
      </c>
      <c r="G53" s="89"/>
      <c r="H53" s="53"/>
      <c r="I53" s="53"/>
      <c r="J53" s="54"/>
      <c r="K53" s="54"/>
      <c r="L53" s="116"/>
      <c r="M53" s="66">
        <f t="shared" ca="1" si="12"/>
        <v>0</v>
      </c>
      <c r="N53" s="268">
        <f t="shared" ca="1" si="11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185" t="str">
        <f t="shared" ca="1" si="9"/>
        <v>Tổ Hạ tầng Tân An</v>
      </c>
      <c r="C54" s="82" t="str">
        <f t="shared" ca="1" si="2"/>
        <v>Đỗ Tấn Phát</v>
      </c>
      <c r="D54" s="186">
        <f t="shared" ca="1" si="3"/>
        <v>917769763</v>
      </c>
      <c r="E54" s="84" t="str">
        <f t="shared" ca="1" si="4"/>
        <v>phatdt.lan@vnpt.vn</v>
      </c>
      <c r="F54" s="85" t="str">
        <f t="shared" ca="1" si="5"/>
        <v>Lần 16</v>
      </c>
      <c r="G54" s="89"/>
      <c r="H54" s="286"/>
      <c r="I54" s="286"/>
      <c r="J54" s="287"/>
      <c r="K54" s="287"/>
      <c r="L54" s="211"/>
      <c r="M54" s="170">
        <f t="shared" ca="1" si="12"/>
        <v>0</v>
      </c>
      <c r="N54" s="269">
        <f t="shared" ca="1" si="11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190" t="str">
        <f t="shared" ca="1" si="9"/>
        <v>Tổ Hạ tầng Tân An</v>
      </c>
      <c r="C55" s="48" t="str">
        <f t="shared" ca="1" si="2"/>
        <v>Phạm Nguyễn Quang Huy</v>
      </c>
      <c r="D55" s="191">
        <f t="shared" ca="1" si="3"/>
        <v>947245878</v>
      </c>
      <c r="E55" s="50" t="str">
        <f t="shared" ca="1" si="4"/>
        <v>huypnq.lan@vnpt.vn</v>
      </c>
      <c r="F55" s="51" t="str">
        <f t="shared" ca="1" si="5"/>
        <v>Lần 1</v>
      </c>
      <c r="G55" s="52">
        <v>46205</v>
      </c>
      <c r="H55" s="86">
        <v>280</v>
      </c>
      <c r="I55" s="86" t="s">
        <v>292</v>
      </c>
      <c r="J55" s="87">
        <v>768</v>
      </c>
      <c r="K55" s="87" t="s">
        <v>293</v>
      </c>
      <c r="L55" s="193"/>
      <c r="M55" s="194">
        <f t="shared" ca="1" si="12"/>
        <v>1</v>
      </c>
      <c r="N55" s="195">
        <f t="shared" ca="1" si="11"/>
        <v>1</v>
      </c>
      <c r="O55" s="68">
        <f t="shared" ca="1" si="8"/>
        <v>1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182" t="str">
        <f t="shared" ca="1" si="9"/>
        <v>Tổ Hạ tầng Tân An</v>
      </c>
      <c r="C56" s="61" t="str">
        <f t="shared" ca="1" si="2"/>
        <v>Phạm Nguyễn Quang Huy</v>
      </c>
      <c r="D56" s="183">
        <f t="shared" ca="1" si="3"/>
        <v>947245878</v>
      </c>
      <c r="E56" s="63" t="str">
        <f t="shared" ca="1" si="4"/>
        <v>huypnq.lan@vnpt.vn</v>
      </c>
      <c r="F56" s="64" t="str">
        <f t="shared" ca="1" si="5"/>
        <v>Lần 2</v>
      </c>
      <c r="G56" s="89">
        <v>46206</v>
      </c>
      <c r="H56" s="69">
        <v>332</v>
      </c>
      <c r="I56" s="69" t="s">
        <v>294</v>
      </c>
      <c r="J56" s="54">
        <v>657</v>
      </c>
      <c r="K56" s="54" t="s">
        <v>116</v>
      </c>
      <c r="L56" s="95"/>
      <c r="M56" s="184">
        <f t="shared" ca="1" si="12"/>
        <v>1</v>
      </c>
      <c r="N56" s="67">
        <f t="shared" ca="1" si="11"/>
        <v>1</v>
      </c>
      <c r="O56" s="68">
        <f t="shared" ca="1" si="8"/>
        <v>1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182" t="str">
        <f t="shared" ca="1" si="9"/>
        <v>Tổ Hạ tầng Tân An</v>
      </c>
      <c r="C57" s="61" t="str">
        <f t="shared" ca="1" si="2"/>
        <v>Phạm Nguyễn Quang Huy</v>
      </c>
      <c r="D57" s="183">
        <f t="shared" ca="1" si="3"/>
        <v>947245878</v>
      </c>
      <c r="E57" s="63" t="str">
        <f t="shared" ca="1" si="4"/>
        <v>huypnq.lan@vnpt.vn</v>
      </c>
      <c r="F57" s="64" t="str">
        <f t="shared" ca="1" si="5"/>
        <v>Lần 3</v>
      </c>
      <c r="G57" s="89">
        <v>46209</v>
      </c>
      <c r="H57" s="53">
        <v>311</v>
      </c>
      <c r="I57" s="53" t="s">
        <v>295</v>
      </c>
      <c r="J57" s="90">
        <v>747</v>
      </c>
      <c r="K57" s="90" t="s">
        <v>296</v>
      </c>
      <c r="L57" s="95"/>
      <c r="M57" s="184">
        <f t="shared" ca="1" si="12"/>
        <v>1</v>
      </c>
      <c r="N57" s="67">
        <f t="shared" ca="1" si="11"/>
        <v>1</v>
      </c>
      <c r="O57" s="68">
        <f t="shared" ca="1" si="8"/>
        <v>1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182" t="str">
        <f t="shared" ca="1" si="9"/>
        <v>Tổ Hạ tầng Tân An</v>
      </c>
      <c r="C58" s="61" t="str">
        <f t="shared" ca="1" si="2"/>
        <v>Phạm Nguyễn Quang Huy</v>
      </c>
      <c r="D58" s="183">
        <f t="shared" ca="1" si="3"/>
        <v>947245878</v>
      </c>
      <c r="E58" s="63" t="str">
        <f t="shared" ca="1" si="4"/>
        <v>huypnq.lan@vnpt.vn</v>
      </c>
      <c r="F58" s="64" t="str">
        <f t="shared" ca="1" si="5"/>
        <v>Lần 4</v>
      </c>
      <c r="G58" s="89">
        <v>46209</v>
      </c>
      <c r="H58" s="53">
        <v>322</v>
      </c>
      <c r="I58" s="53" t="s">
        <v>293</v>
      </c>
      <c r="J58" s="90">
        <v>1100</v>
      </c>
      <c r="K58" s="90">
        <v>121</v>
      </c>
      <c r="L58" s="95"/>
      <c r="M58" s="184">
        <f t="shared" ca="1" si="12"/>
        <v>1</v>
      </c>
      <c r="N58" s="67">
        <f t="shared" ca="1" si="11"/>
        <v>1</v>
      </c>
      <c r="O58" s="68">
        <f t="shared" ca="1" si="8"/>
        <v>1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182" t="str">
        <f t="shared" ca="1" si="9"/>
        <v>Tổ Hạ tầng Tân An</v>
      </c>
      <c r="C59" s="61" t="str">
        <f t="shared" ca="1" si="2"/>
        <v>Phạm Nguyễn Quang Huy</v>
      </c>
      <c r="D59" s="183">
        <f t="shared" ca="1" si="3"/>
        <v>947245878</v>
      </c>
      <c r="E59" s="63" t="str">
        <f t="shared" ca="1" si="4"/>
        <v>huypnq.lan@vnpt.vn</v>
      </c>
      <c r="F59" s="64" t="str">
        <f t="shared" ca="1" si="5"/>
        <v>Lần 5</v>
      </c>
      <c r="G59" s="89">
        <v>46210</v>
      </c>
      <c r="H59" s="53">
        <v>309</v>
      </c>
      <c r="I59" s="53" t="s">
        <v>297</v>
      </c>
      <c r="J59" s="54">
        <v>929</v>
      </c>
      <c r="K59" s="54">
        <v>143</v>
      </c>
      <c r="L59" s="95"/>
      <c r="M59" s="184">
        <f t="shared" ca="1" si="12"/>
        <v>1</v>
      </c>
      <c r="N59" s="67">
        <f t="shared" ca="1" si="11"/>
        <v>1</v>
      </c>
      <c r="O59" s="68">
        <f t="shared" ca="1" si="8"/>
        <v>1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182" t="str">
        <f t="shared" ca="1" si="9"/>
        <v>Tổ Hạ tầng Tân An</v>
      </c>
      <c r="C60" s="61" t="str">
        <f t="shared" ca="1" si="2"/>
        <v>Phạm Nguyễn Quang Huy</v>
      </c>
      <c r="D60" s="183">
        <f t="shared" ca="1" si="3"/>
        <v>947245878</v>
      </c>
      <c r="E60" s="63" t="str">
        <f t="shared" ca="1" si="4"/>
        <v>huypnq.lan@vnpt.vn</v>
      </c>
      <c r="F60" s="64" t="str">
        <f t="shared" ca="1" si="5"/>
        <v>Lần 6</v>
      </c>
      <c r="G60" s="89">
        <v>46210</v>
      </c>
      <c r="H60" s="53">
        <v>293</v>
      </c>
      <c r="I60" s="53" t="s">
        <v>298</v>
      </c>
      <c r="J60" s="54">
        <v>763</v>
      </c>
      <c r="K60" s="54" t="s">
        <v>218</v>
      </c>
      <c r="L60" s="95"/>
      <c r="M60" s="184">
        <f t="shared" ca="1" si="12"/>
        <v>1</v>
      </c>
      <c r="N60" s="67">
        <f t="shared" ca="1" si="11"/>
        <v>1</v>
      </c>
      <c r="O60" s="68">
        <f t="shared" ca="1" si="8"/>
        <v>1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182" t="str">
        <f t="shared" ca="1" si="9"/>
        <v>Tổ Hạ tầng Tân An</v>
      </c>
      <c r="C61" s="61" t="str">
        <f t="shared" ca="1" si="2"/>
        <v>Phạm Nguyễn Quang Huy</v>
      </c>
      <c r="D61" s="183">
        <f t="shared" ca="1" si="3"/>
        <v>947245878</v>
      </c>
      <c r="E61" s="63" t="str">
        <f t="shared" ca="1" si="4"/>
        <v>huypnq.lan@vnpt.vn</v>
      </c>
      <c r="F61" s="64" t="str">
        <f t="shared" ca="1" si="5"/>
        <v>Lần 7</v>
      </c>
      <c r="G61" s="89">
        <v>46210</v>
      </c>
      <c r="H61" s="53">
        <v>283</v>
      </c>
      <c r="I61" s="53" t="s">
        <v>299</v>
      </c>
      <c r="J61" s="54">
        <v>799</v>
      </c>
      <c r="K61" s="54" t="s">
        <v>300</v>
      </c>
      <c r="L61" s="95"/>
      <c r="M61" s="184">
        <f t="shared" ca="1" si="12"/>
        <v>1</v>
      </c>
      <c r="N61" s="67">
        <f t="shared" ca="1" si="11"/>
        <v>1</v>
      </c>
      <c r="O61" s="68">
        <f t="shared" ca="1" si="8"/>
        <v>1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182" t="str">
        <f t="shared" ca="1" si="9"/>
        <v>Tổ Hạ tầng Tân An</v>
      </c>
      <c r="C62" s="61" t="str">
        <f t="shared" ca="1" si="2"/>
        <v>Phạm Nguyễn Quang Huy</v>
      </c>
      <c r="D62" s="183">
        <f t="shared" ca="1" si="3"/>
        <v>947245878</v>
      </c>
      <c r="E62" s="63" t="str">
        <f t="shared" ca="1" si="4"/>
        <v>huypnq.lan@vnpt.vn</v>
      </c>
      <c r="F62" s="64" t="str">
        <f t="shared" ca="1" si="5"/>
        <v>Lần 8</v>
      </c>
      <c r="G62" s="89">
        <v>46211</v>
      </c>
      <c r="H62" s="53">
        <v>281</v>
      </c>
      <c r="I62" s="92">
        <v>46081</v>
      </c>
      <c r="J62" s="54">
        <v>740</v>
      </c>
      <c r="K62" s="54" t="s">
        <v>265</v>
      </c>
      <c r="L62" s="95"/>
      <c r="M62" s="184">
        <f t="shared" ca="1" si="12"/>
        <v>1</v>
      </c>
      <c r="N62" s="67">
        <f t="shared" ca="1" si="11"/>
        <v>1</v>
      </c>
      <c r="O62" s="68">
        <f t="shared" ca="1" si="8"/>
        <v>1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182" t="str">
        <f t="shared" ca="1" si="9"/>
        <v>Tổ Hạ tầng Tân An</v>
      </c>
      <c r="C63" s="61" t="str">
        <f t="shared" ca="1" si="2"/>
        <v>Phạm Nguyễn Quang Huy</v>
      </c>
      <c r="D63" s="183">
        <f t="shared" ca="1" si="3"/>
        <v>947245878</v>
      </c>
      <c r="E63" s="63" t="str">
        <f t="shared" ca="1" si="4"/>
        <v>huypnq.lan@vnpt.vn</v>
      </c>
      <c r="F63" s="64" t="str">
        <f t="shared" ca="1" si="5"/>
        <v>Lần 9</v>
      </c>
      <c r="G63" s="89">
        <v>46212</v>
      </c>
      <c r="H63" s="53">
        <v>341</v>
      </c>
      <c r="I63" s="53" t="s">
        <v>428</v>
      </c>
      <c r="J63" s="54">
        <v>1028</v>
      </c>
      <c r="K63" s="54">
        <v>155</v>
      </c>
      <c r="L63" s="95"/>
      <c r="M63" s="184">
        <f t="shared" ca="1" si="12"/>
        <v>1</v>
      </c>
      <c r="N63" s="67">
        <f t="shared" ca="1" si="11"/>
        <v>1</v>
      </c>
      <c r="O63" s="68">
        <f t="shared" ca="1" si="8"/>
        <v>1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182" t="str">
        <f t="shared" ca="1" si="9"/>
        <v>Tổ Hạ tầng Tân An</v>
      </c>
      <c r="C64" s="61" t="str">
        <f t="shared" ca="1" si="2"/>
        <v>Phạm Nguyễn Quang Huy</v>
      </c>
      <c r="D64" s="183">
        <f t="shared" ca="1" si="3"/>
        <v>947245878</v>
      </c>
      <c r="E64" s="63" t="str">
        <f t="shared" ca="1" si="4"/>
        <v>huypnq.lan@vnpt.vn</v>
      </c>
      <c r="F64" s="64" t="str">
        <f t="shared" ca="1" si="5"/>
        <v>Lần 10</v>
      </c>
      <c r="G64" s="89">
        <v>46212</v>
      </c>
      <c r="H64" s="53">
        <v>203</v>
      </c>
      <c r="I64" s="53" t="s">
        <v>429</v>
      </c>
      <c r="J64" s="54">
        <v>806</v>
      </c>
      <c r="K64" s="54" t="s">
        <v>430</v>
      </c>
      <c r="L64" s="95"/>
      <c r="M64" s="184">
        <f t="shared" ca="1" si="12"/>
        <v>1</v>
      </c>
      <c r="N64" s="67">
        <f t="shared" ca="1" si="11"/>
        <v>1</v>
      </c>
      <c r="O64" s="68">
        <f t="shared" ca="1" si="8"/>
        <v>1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182" t="str">
        <f t="shared" ca="1" si="9"/>
        <v>Tổ Hạ tầng Tân An</v>
      </c>
      <c r="C65" s="61" t="str">
        <f t="shared" ca="1" si="2"/>
        <v>Phạm Nguyễn Quang Huy</v>
      </c>
      <c r="D65" s="183">
        <f t="shared" ca="1" si="3"/>
        <v>947245878</v>
      </c>
      <c r="E65" s="63" t="str">
        <f t="shared" ca="1" si="4"/>
        <v>huypnq.lan@vnpt.vn</v>
      </c>
      <c r="F65" s="64" t="str">
        <f t="shared" ca="1" si="5"/>
        <v>Lần 11</v>
      </c>
      <c r="G65" s="89">
        <v>46213</v>
      </c>
      <c r="H65" s="53">
        <v>328</v>
      </c>
      <c r="I65" s="92">
        <v>46170</v>
      </c>
      <c r="J65" s="54">
        <v>735</v>
      </c>
      <c r="K65" s="288">
        <v>46172</v>
      </c>
      <c r="L65" s="95"/>
      <c r="M65" s="184">
        <f t="shared" ca="1" si="12"/>
        <v>1</v>
      </c>
      <c r="N65" s="67">
        <f t="shared" ca="1" si="11"/>
        <v>1</v>
      </c>
      <c r="O65" s="68">
        <f t="shared" ca="1" si="8"/>
        <v>1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182" t="str">
        <f t="shared" ca="1" si="9"/>
        <v>Tổ Hạ tầng Tân An</v>
      </c>
      <c r="C66" s="61" t="str">
        <f t="shared" ca="1" si="2"/>
        <v>Phạm Nguyễn Quang Huy</v>
      </c>
      <c r="D66" s="183">
        <f t="shared" ca="1" si="3"/>
        <v>947245878</v>
      </c>
      <c r="E66" s="63" t="str">
        <f t="shared" ca="1" si="4"/>
        <v>huypnq.lan@vnpt.vn</v>
      </c>
      <c r="F66" s="64" t="str">
        <f t="shared" ca="1" si="5"/>
        <v>Lần 12</v>
      </c>
      <c r="G66" s="89">
        <v>46214</v>
      </c>
      <c r="H66" s="53">
        <v>318</v>
      </c>
      <c r="I66" s="53" t="s">
        <v>431</v>
      </c>
      <c r="J66" s="54">
        <v>912</v>
      </c>
      <c r="K66" s="54">
        <v>143</v>
      </c>
      <c r="L66" s="95"/>
      <c r="M66" s="184">
        <f t="shared" ca="1" si="12"/>
        <v>1</v>
      </c>
      <c r="N66" s="67">
        <f t="shared" ca="1" si="11"/>
        <v>1</v>
      </c>
      <c r="O66" s="68">
        <f t="shared" ca="1" si="8"/>
        <v>1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182" t="str">
        <f t="shared" ca="1" si="9"/>
        <v>Tổ Hạ tầng Tân An</v>
      </c>
      <c r="C67" s="61" t="str">
        <f t="shared" ca="1" si="2"/>
        <v>Phạm Nguyễn Quang Huy</v>
      </c>
      <c r="D67" s="183">
        <f t="shared" ca="1" si="3"/>
        <v>947245878</v>
      </c>
      <c r="E67" s="63" t="str">
        <f t="shared" ca="1" si="4"/>
        <v>huypnq.lan@vnpt.vn</v>
      </c>
      <c r="F67" s="64" t="str">
        <f t="shared" ca="1" si="5"/>
        <v>Lần 13</v>
      </c>
      <c r="G67" s="89">
        <v>46214</v>
      </c>
      <c r="H67" s="53">
        <v>265</v>
      </c>
      <c r="I67" s="53" t="s">
        <v>432</v>
      </c>
      <c r="J67" s="54">
        <v>920</v>
      </c>
      <c r="K67" s="54">
        <v>109</v>
      </c>
      <c r="L67" s="95"/>
      <c r="M67" s="184">
        <f t="shared" ca="1" si="12"/>
        <v>1</v>
      </c>
      <c r="N67" s="67">
        <f t="shared" ca="1" si="11"/>
        <v>1</v>
      </c>
      <c r="O67" s="68">
        <f t="shared" ca="1" si="8"/>
        <v>1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182" t="str">
        <f t="shared" ca="1" si="9"/>
        <v>Tổ Hạ tầng Tân An</v>
      </c>
      <c r="C68" s="61" t="str">
        <f t="shared" ca="1" si="2"/>
        <v>Phạm Nguyễn Quang Huy</v>
      </c>
      <c r="D68" s="183">
        <f t="shared" ca="1" si="3"/>
        <v>947245878</v>
      </c>
      <c r="E68" s="63" t="str">
        <f t="shared" ca="1" si="4"/>
        <v>huypnq.lan@vnpt.vn</v>
      </c>
      <c r="F68" s="64" t="str">
        <f t="shared" ca="1" si="5"/>
        <v>Lần 14</v>
      </c>
      <c r="G68" s="89">
        <v>46214</v>
      </c>
      <c r="H68" s="53">
        <v>291</v>
      </c>
      <c r="I68" s="53" t="s">
        <v>433</v>
      </c>
      <c r="J68" s="54">
        <v>1006</v>
      </c>
      <c r="K68" s="54">
        <v>88</v>
      </c>
      <c r="L68" s="95"/>
      <c r="M68" s="184">
        <f t="shared" ca="1" si="12"/>
        <v>1</v>
      </c>
      <c r="N68" s="67">
        <f t="shared" ca="1" si="11"/>
        <v>1</v>
      </c>
      <c r="O68" s="68">
        <f t="shared" ca="1" si="8"/>
        <v>1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182" t="str">
        <f t="shared" ca="1" si="9"/>
        <v>Tổ Hạ tầng Tân An</v>
      </c>
      <c r="C69" s="61" t="str">
        <f t="shared" ca="1" si="2"/>
        <v>Phạm Nguyễn Quang Huy</v>
      </c>
      <c r="D69" s="183">
        <f t="shared" ca="1" si="3"/>
        <v>947245878</v>
      </c>
      <c r="E69" s="63" t="str">
        <f t="shared" ca="1" si="4"/>
        <v>huypnq.lan@vnpt.vn</v>
      </c>
      <c r="F69" s="64" t="str">
        <f t="shared" ca="1" si="5"/>
        <v>Lần 15</v>
      </c>
      <c r="G69" s="89">
        <v>46217</v>
      </c>
      <c r="H69" s="53">
        <v>217</v>
      </c>
      <c r="I69" s="53" t="s">
        <v>434</v>
      </c>
      <c r="J69" s="54">
        <v>837</v>
      </c>
      <c r="K69" s="54">
        <v>146</v>
      </c>
      <c r="L69" s="95"/>
      <c r="M69" s="184">
        <f t="shared" ca="1" si="12"/>
        <v>1</v>
      </c>
      <c r="N69" s="67">
        <f t="shared" ca="1" si="11"/>
        <v>1</v>
      </c>
      <c r="O69" s="68">
        <f t="shared" ca="1" si="8"/>
        <v>1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96" t="str">
        <f t="shared" ca="1" si="9"/>
        <v>Tổ Hạ tầng Tân An</v>
      </c>
      <c r="C70" s="102" t="str">
        <f t="shared" ca="1" si="2"/>
        <v>Phạm Nguyễn Quang Huy</v>
      </c>
      <c r="D70" s="197">
        <f t="shared" ca="1" si="3"/>
        <v>947245878</v>
      </c>
      <c r="E70" s="104" t="str">
        <f t="shared" ca="1" si="4"/>
        <v>huypnq.lan@vnpt.vn</v>
      </c>
      <c r="F70" s="105" t="str">
        <f t="shared" ca="1" si="5"/>
        <v>Lần 16</v>
      </c>
      <c r="G70" s="283">
        <v>46217</v>
      </c>
      <c r="H70" s="289">
        <v>349</v>
      </c>
      <c r="I70" s="289" t="s">
        <v>435</v>
      </c>
      <c r="J70" s="290">
        <v>901</v>
      </c>
      <c r="K70" s="290">
        <v>839</v>
      </c>
      <c r="L70" s="212"/>
      <c r="M70" s="202">
        <f t="shared" ca="1" si="12"/>
        <v>1</v>
      </c>
      <c r="N70" s="203">
        <f t="shared" ca="1" si="11"/>
        <v>1</v>
      </c>
      <c r="O70" s="68">
        <f t="shared" ca="1" si="8"/>
        <v>1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204" t="str">
        <f t="shared" ca="1" si="9"/>
        <v>Tổ Hạ tầng Tân An</v>
      </c>
      <c r="C71" s="108" t="str">
        <f t="shared" ca="1" si="2"/>
        <v>Nguyễn Hoàng Tuấn</v>
      </c>
      <c r="D71" s="205">
        <f t="shared" ca="1" si="3"/>
        <v>915282271</v>
      </c>
      <c r="E71" s="110" t="str">
        <f t="shared" ca="1" si="4"/>
        <v>tuannh.lan@vnpt.vn</v>
      </c>
      <c r="F71" s="111" t="str">
        <f t="shared" ca="1" si="5"/>
        <v>Lần 1</v>
      </c>
      <c r="G71" s="89">
        <v>46206</v>
      </c>
      <c r="H71" s="69">
        <v>351</v>
      </c>
      <c r="I71" s="69">
        <v>93</v>
      </c>
      <c r="J71" s="90">
        <v>878</v>
      </c>
      <c r="K71" s="90">
        <v>119</v>
      </c>
      <c r="L71" s="213" t="s">
        <v>279</v>
      </c>
      <c r="M71" s="56">
        <f t="shared" ca="1" si="12"/>
        <v>1</v>
      </c>
      <c r="N71" s="266">
        <f t="shared" ca="1" si="11"/>
        <v>1</v>
      </c>
      <c r="O71" s="68">
        <f t="shared" ca="1" si="8"/>
        <v>1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182" t="str">
        <f t="shared" ca="1" si="9"/>
        <v>Tổ Hạ tầng Tân An</v>
      </c>
      <c r="C72" s="61" t="str">
        <f t="shared" ca="1" si="2"/>
        <v>Nguyễn Hoàng Tuấn</v>
      </c>
      <c r="D72" s="183">
        <f t="shared" ca="1" si="3"/>
        <v>915282271</v>
      </c>
      <c r="E72" s="63" t="str">
        <f t="shared" ca="1" si="4"/>
        <v>tuannh.lan@vnpt.vn</v>
      </c>
      <c r="F72" s="64" t="str">
        <f t="shared" ca="1" si="5"/>
        <v>Lần 2</v>
      </c>
      <c r="G72" s="89">
        <v>46209</v>
      </c>
      <c r="H72" s="69">
        <v>944</v>
      </c>
      <c r="I72" s="69">
        <v>139</v>
      </c>
      <c r="J72" s="54">
        <v>1123</v>
      </c>
      <c r="K72" s="54">
        <v>156</v>
      </c>
      <c r="L72" s="88" t="s">
        <v>279</v>
      </c>
      <c r="M72" s="66">
        <f t="shared" ca="1" si="12"/>
        <v>1</v>
      </c>
      <c r="N72" s="268">
        <f t="shared" ca="1" si="11"/>
        <v>1</v>
      </c>
      <c r="O72" s="68">
        <f t="shared" ca="1" si="8"/>
        <v>1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182" t="str">
        <f t="shared" ca="1" si="9"/>
        <v>Tổ Hạ tầng Tân An</v>
      </c>
      <c r="C73" s="61" t="str">
        <f t="shared" ca="1" si="2"/>
        <v>Nguyễn Hoàng Tuấn</v>
      </c>
      <c r="D73" s="183">
        <f t="shared" ca="1" si="3"/>
        <v>915282271</v>
      </c>
      <c r="E73" s="63" t="str">
        <f t="shared" ca="1" si="4"/>
        <v>tuannh.lan@vnpt.vn</v>
      </c>
      <c r="F73" s="64" t="str">
        <f t="shared" ca="1" si="5"/>
        <v>Lần 3</v>
      </c>
      <c r="G73" s="89">
        <v>46209</v>
      </c>
      <c r="H73" s="53">
        <v>947</v>
      </c>
      <c r="I73" s="53">
        <v>138</v>
      </c>
      <c r="J73" s="90">
        <v>938</v>
      </c>
      <c r="K73" s="90">
        <v>150</v>
      </c>
      <c r="L73" s="88" t="s">
        <v>279</v>
      </c>
      <c r="M73" s="66">
        <f t="shared" ca="1" si="12"/>
        <v>1</v>
      </c>
      <c r="N73" s="268">
        <f t="shared" ca="1" si="11"/>
        <v>1</v>
      </c>
      <c r="O73" s="68">
        <f t="shared" ca="1" si="8"/>
        <v>1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182" t="str">
        <f t="shared" ca="1" si="9"/>
        <v>Tổ Hạ tầng Tân An</v>
      </c>
      <c r="C74" s="61" t="str">
        <f t="shared" ca="1" si="2"/>
        <v>Nguyễn Hoàng Tuấn</v>
      </c>
      <c r="D74" s="183">
        <f t="shared" ca="1" si="3"/>
        <v>915282271</v>
      </c>
      <c r="E74" s="63" t="str">
        <f t="shared" ca="1" si="4"/>
        <v>tuannh.lan@vnpt.vn</v>
      </c>
      <c r="F74" s="64" t="str">
        <f t="shared" ca="1" si="5"/>
        <v>Lần 4</v>
      </c>
      <c r="G74" s="89">
        <v>46210</v>
      </c>
      <c r="H74" s="53">
        <v>329</v>
      </c>
      <c r="I74" s="53">
        <v>91.3</v>
      </c>
      <c r="J74" s="90">
        <v>974</v>
      </c>
      <c r="K74" s="90">
        <v>114</v>
      </c>
      <c r="L74" s="88" t="s">
        <v>279</v>
      </c>
      <c r="M74" s="66">
        <f t="shared" ca="1" si="12"/>
        <v>1</v>
      </c>
      <c r="N74" s="268">
        <f t="shared" ca="1" si="11"/>
        <v>1</v>
      </c>
      <c r="O74" s="68">
        <f t="shared" ca="1" si="8"/>
        <v>1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182" t="str">
        <f t="shared" ca="1" si="9"/>
        <v>Tổ Hạ tầng Tân An</v>
      </c>
      <c r="C75" s="61" t="str">
        <f t="shared" ca="1" si="2"/>
        <v>Nguyễn Hoàng Tuấn</v>
      </c>
      <c r="D75" s="183">
        <f t="shared" ca="1" si="3"/>
        <v>915282271</v>
      </c>
      <c r="E75" s="63" t="str">
        <f t="shared" ca="1" si="4"/>
        <v>tuannh.lan@vnpt.vn</v>
      </c>
      <c r="F75" s="64" t="str">
        <f t="shared" ca="1" si="5"/>
        <v>Lần 5</v>
      </c>
      <c r="G75" s="89">
        <v>46210</v>
      </c>
      <c r="H75" s="53">
        <v>300</v>
      </c>
      <c r="I75" s="53">
        <v>95.8</v>
      </c>
      <c r="J75" s="54">
        <v>1018</v>
      </c>
      <c r="K75" s="54">
        <v>124</v>
      </c>
      <c r="L75" s="91" t="s">
        <v>279</v>
      </c>
      <c r="M75" s="66">
        <f t="shared" ca="1" si="12"/>
        <v>1</v>
      </c>
      <c r="N75" s="268">
        <f t="shared" ca="1" si="11"/>
        <v>1</v>
      </c>
      <c r="O75" s="68">
        <f t="shared" ca="1" si="8"/>
        <v>1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182" t="str">
        <f t="shared" ca="1" si="9"/>
        <v>Tổ Hạ tầng Tân An</v>
      </c>
      <c r="C76" s="61" t="str">
        <f t="shared" ca="1" si="2"/>
        <v>Nguyễn Hoàng Tuấn</v>
      </c>
      <c r="D76" s="183">
        <f t="shared" ca="1" si="3"/>
        <v>915282271</v>
      </c>
      <c r="E76" s="63" t="str">
        <f t="shared" ca="1" si="4"/>
        <v>tuannh.lan@vnpt.vn</v>
      </c>
      <c r="F76" s="64" t="str">
        <f t="shared" ca="1" si="5"/>
        <v>Lần 6</v>
      </c>
      <c r="G76" s="89">
        <v>46210</v>
      </c>
      <c r="H76" s="53">
        <v>276</v>
      </c>
      <c r="I76" s="53">
        <v>76.099999999999994</v>
      </c>
      <c r="J76" s="54">
        <v>1006</v>
      </c>
      <c r="K76" s="54">
        <v>126</v>
      </c>
      <c r="L76" s="91" t="s">
        <v>279</v>
      </c>
      <c r="M76" s="66">
        <f t="shared" ca="1" si="12"/>
        <v>1</v>
      </c>
      <c r="N76" s="268">
        <f t="shared" ca="1" si="11"/>
        <v>1</v>
      </c>
      <c r="O76" s="68">
        <f t="shared" ca="1" si="8"/>
        <v>1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182" t="str">
        <f t="shared" ca="1" si="9"/>
        <v>Tổ Hạ tầng Tân An</v>
      </c>
      <c r="C77" s="61" t="str">
        <f t="shared" ca="1" si="2"/>
        <v>Nguyễn Hoàng Tuấn</v>
      </c>
      <c r="D77" s="183">
        <f t="shared" ca="1" si="3"/>
        <v>915282271</v>
      </c>
      <c r="E77" s="63" t="str">
        <f t="shared" ca="1" si="4"/>
        <v>tuannh.lan@vnpt.vn</v>
      </c>
      <c r="F77" s="64" t="str">
        <f t="shared" ca="1" si="5"/>
        <v>Lần 7</v>
      </c>
      <c r="G77" s="89">
        <v>46211</v>
      </c>
      <c r="H77" s="122">
        <v>375</v>
      </c>
      <c r="I77" s="122">
        <v>68.099999999999994</v>
      </c>
      <c r="J77" s="98">
        <v>917</v>
      </c>
      <c r="K77" s="98">
        <v>156</v>
      </c>
      <c r="L77" s="91" t="s">
        <v>279</v>
      </c>
      <c r="M77" s="66">
        <f t="shared" ca="1" si="12"/>
        <v>1</v>
      </c>
      <c r="N77" s="268">
        <f t="shared" ca="1" si="11"/>
        <v>1</v>
      </c>
      <c r="O77" s="68">
        <f t="shared" ca="1" si="8"/>
        <v>1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182" t="str">
        <f t="shared" ca="1" si="9"/>
        <v>Tổ Hạ tầng Tân An</v>
      </c>
      <c r="C78" s="61" t="str">
        <f t="shared" ca="1" si="2"/>
        <v>Nguyễn Hoàng Tuấn</v>
      </c>
      <c r="D78" s="183">
        <f t="shared" ca="1" si="3"/>
        <v>915282271</v>
      </c>
      <c r="E78" s="63" t="str">
        <f t="shared" ca="1" si="4"/>
        <v>tuannh.lan@vnpt.vn</v>
      </c>
      <c r="F78" s="64" t="str">
        <f t="shared" ca="1" si="5"/>
        <v>Lần 8</v>
      </c>
      <c r="G78" s="89">
        <v>46211</v>
      </c>
      <c r="H78" s="122">
        <v>383</v>
      </c>
      <c r="I78" s="122">
        <v>73.599999999999994</v>
      </c>
      <c r="J78" s="98">
        <v>932</v>
      </c>
      <c r="K78" s="98">
        <v>80.099999999999994</v>
      </c>
      <c r="L78" s="91" t="s">
        <v>279</v>
      </c>
      <c r="M78" s="66">
        <f t="shared" ca="1" si="12"/>
        <v>1</v>
      </c>
      <c r="N78" s="268">
        <f t="shared" ca="1" si="11"/>
        <v>1</v>
      </c>
      <c r="O78" s="68">
        <f t="shared" ca="1" si="8"/>
        <v>1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182" t="str">
        <f t="shared" ca="1" si="9"/>
        <v>Tổ Hạ tầng Tân An</v>
      </c>
      <c r="C79" s="61" t="str">
        <f t="shared" ca="1" si="2"/>
        <v>Nguyễn Hoàng Tuấn</v>
      </c>
      <c r="D79" s="183">
        <f t="shared" ca="1" si="3"/>
        <v>915282271</v>
      </c>
      <c r="E79" s="63" t="str">
        <f t="shared" ca="1" si="4"/>
        <v>tuannh.lan@vnpt.vn</v>
      </c>
      <c r="F79" s="64" t="str">
        <f t="shared" ca="1" si="5"/>
        <v>Lần 9</v>
      </c>
      <c r="G79" s="89">
        <v>46212</v>
      </c>
      <c r="H79" s="53">
        <v>345</v>
      </c>
      <c r="I79" s="53">
        <v>61.2</v>
      </c>
      <c r="J79" s="54">
        <v>905</v>
      </c>
      <c r="K79" s="54">
        <v>91</v>
      </c>
      <c r="L79" s="91" t="s">
        <v>279</v>
      </c>
      <c r="M79" s="66">
        <f t="shared" ca="1" si="12"/>
        <v>1</v>
      </c>
      <c r="N79" s="268">
        <f t="shared" ca="1" si="11"/>
        <v>1</v>
      </c>
      <c r="O79" s="68">
        <f t="shared" ca="1" si="8"/>
        <v>1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182" t="str">
        <f t="shared" ca="1" si="9"/>
        <v>Tổ Hạ tầng Tân An</v>
      </c>
      <c r="C80" s="61" t="str">
        <f t="shared" ca="1" si="2"/>
        <v>Nguyễn Hoàng Tuấn</v>
      </c>
      <c r="D80" s="183">
        <f t="shared" ca="1" si="3"/>
        <v>915282271</v>
      </c>
      <c r="E80" s="63" t="str">
        <f t="shared" ca="1" si="4"/>
        <v>tuannh.lan@vnpt.vn</v>
      </c>
      <c r="F80" s="64" t="str">
        <f t="shared" ca="1" si="5"/>
        <v>Lần 10</v>
      </c>
      <c r="G80" s="89">
        <v>46212</v>
      </c>
      <c r="H80" s="53">
        <v>300</v>
      </c>
      <c r="I80" s="53">
        <v>91.7</v>
      </c>
      <c r="J80" s="54">
        <v>972</v>
      </c>
      <c r="K80" s="54">
        <v>90.3</v>
      </c>
      <c r="L80" s="91" t="s">
        <v>279</v>
      </c>
      <c r="M80" s="66">
        <f t="shared" ca="1" si="12"/>
        <v>1</v>
      </c>
      <c r="N80" s="268">
        <f t="shared" ca="1" si="11"/>
        <v>1</v>
      </c>
      <c r="O80" s="68">
        <f t="shared" ca="1" si="8"/>
        <v>1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182" t="str">
        <f t="shared" ca="1" si="9"/>
        <v>Tổ Hạ tầng Tân An</v>
      </c>
      <c r="C81" s="61" t="str">
        <f t="shared" ca="1" si="2"/>
        <v>Nguyễn Hoàng Tuấn</v>
      </c>
      <c r="D81" s="183">
        <f t="shared" ca="1" si="3"/>
        <v>915282271</v>
      </c>
      <c r="E81" s="63" t="str">
        <f t="shared" ca="1" si="4"/>
        <v>tuannh.lan@vnpt.vn</v>
      </c>
      <c r="F81" s="64" t="str">
        <f t="shared" ca="1" si="5"/>
        <v>Lần 11</v>
      </c>
      <c r="G81" s="89">
        <v>46212</v>
      </c>
      <c r="H81" s="53">
        <v>242</v>
      </c>
      <c r="I81" s="53">
        <v>107</v>
      </c>
      <c r="J81" s="54">
        <v>933</v>
      </c>
      <c r="K81" s="54">
        <v>122</v>
      </c>
      <c r="L81" s="91" t="s">
        <v>279</v>
      </c>
      <c r="M81" s="66">
        <f t="shared" ca="1" si="12"/>
        <v>1</v>
      </c>
      <c r="N81" s="268">
        <f t="shared" ca="1" si="11"/>
        <v>1</v>
      </c>
      <c r="O81" s="68">
        <f t="shared" ca="1" si="8"/>
        <v>1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182" t="str">
        <f t="shared" ca="1" si="9"/>
        <v>Tổ Hạ tầng Tân An</v>
      </c>
      <c r="C82" s="61" t="str">
        <f t="shared" ca="1" si="2"/>
        <v>Nguyễn Hoàng Tuấn</v>
      </c>
      <c r="D82" s="183">
        <f t="shared" ca="1" si="3"/>
        <v>915282271</v>
      </c>
      <c r="E82" s="63" t="str">
        <f t="shared" ca="1" si="4"/>
        <v>tuannh.lan@vnpt.vn</v>
      </c>
      <c r="F82" s="64" t="str">
        <f t="shared" ca="1" si="5"/>
        <v>Lần 12</v>
      </c>
      <c r="G82" s="89">
        <v>46214</v>
      </c>
      <c r="H82" s="53">
        <v>831</v>
      </c>
      <c r="I82" s="53">
        <v>93.5</v>
      </c>
      <c r="J82" s="54">
        <v>863</v>
      </c>
      <c r="K82" s="54">
        <v>100</v>
      </c>
      <c r="L82" s="91" t="s">
        <v>279</v>
      </c>
      <c r="M82" s="66">
        <f t="shared" ca="1" si="12"/>
        <v>1</v>
      </c>
      <c r="N82" s="268">
        <f t="shared" ca="1" si="11"/>
        <v>1</v>
      </c>
      <c r="O82" s="68">
        <f t="shared" ca="1" si="8"/>
        <v>1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182" t="str">
        <f t="shared" ca="1" si="9"/>
        <v>Tổ Hạ tầng Tân An</v>
      </c>
      <c r="C83" s="61" t="str">
        <f t="shared" ca="1" si="2"/>
        <v>Nguyễn Hoàng Tuấn</v>
      </c>
      <c r="D83" s="183">
        <f t="shared" ca="1" si="3"/>
        <v>915282271</v>
      </c>
      <c r="E83" s="63" t="str">
        <f t="shared" ca="1" si="4"/>
        <v>tuannh.lan@vnpt.vn</v>
      </c>
      <c r="F83" s="64" t="str">
        <f t="shared" ca="1" si="5"/>
        <v>Lần 13</v>
      </c>
      <c r="G83" s="89">
        <v>46214</v>
      </c>
      <c r="H83" s="53">
        <v>848</v>
      </c>
      <c r="I83" s="53">
        <v>76.599999999999994</v>
      </c>
      <c r="J83" s="54">
        <v>739</v>
      </c>
      <c r="K83" s="54">
        <v>98.8</v>
      </c>
      <c r="L83" s="91" t="s">
        <v>279</v>
      </c>
      <c r="M83" s="66">
        <f t="shared" ca="1" si="12"/>
        <v>1</v>
      </c>
      <c r="N83" s="268">
        <f t="shared" ca="1" si="11"/>
        <v>1</v>
      </c>
      <c r="O83" s="68">
        <f t="shared" ca="1" si="8"/>
        <v>1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182" t="str">
        <f t="shared" ca="1" si="9"/>
        <v>Tổ Hạ tầng Tân An</v>
      </c>
      <c r="C84" s="61" t="str">
        <f t="shared" ca="1" si="2"/>
        <v>Nguyễn Hoàng Tuấn</v>
      </c>
      <c r="D84" s="183">
        <f t="shared" ca="1" si="3"/>
        <v>915282271</v>
      </c>
      <c r="E84" s="63" t="str">
        <f t="shared" ca="1" si="4"/>
        <v>tuannh.lan@vnpt.vn</v>
      </c>
      <c r="F84" s="64" t="str">
        <f t="shared" ca="1" si="5"/>
        <v>Lần 14</v>
      </c>
      <c r="G84" s="89">
        <v>46214</v>
      </c>
      <c r="H84" s="53">
        <v>673</v>
      </c>
      <c r="I84" s="53">
        <v>66.8</v>
      </c>
      <c r="J84" s="54">
        <v>827</v>
      </c>
      <c r="K84" s="54">
        <v>97.9</v>
      </c>
      <c r="L84" s="91" t="s">
        <v>279</v>
      </c>
      <c r="M84" s="66">
        <f t="shared" ca="1" si="12"/>
        <v>1</v>
      </c>
      <c r="N84" s="268">
        <f t="shared" ca="1" si="11"/>
        <v>1</v>
      </c>
      <c r="O84" s="68">
        <f t="shared" ca="1" si="8"/>
        <v>1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182" t="str">
        <f t="shared" ca="1" si="9"/>
        <v>Tổ Hạ tầng Tân An</v>
      </c>
      <c r="C85" s="61" t="str">
        <f t="shared" ca="1" si="2"/>
        <v>Nguyễn Hoàng Tuấn</v>
      </c>
      <c r="D85" s="183">
        <f t="shared" ca="1" si="3"/>
        <v>915282271</v>
      </c>
      <c r="E85" s="63" t="str">
        <f t="shared" ca="1" si="4"/>
        <v>tuannh.lan@vnpt.vn</v>
      </c>
      <c r="F85" s="64" t="str">
        <f t="shared" ca="1" si="5"/>
        <v>Lần 15</v>
      </c>
      <c r="G85" s="89">
        <v>46214</v>
      </c>
      <c r="H85" s="53">
        <v>449</v>
      </c>
      <c r="I85" s="53">
        <v>30.5</v>
      </c>
      <c r="J85" s="54">
        <v>596</v>
      </c>
      <c r="K85" s="54">
        <v>94.7</v>
      </c>
      <c r="L85" s="91" t="s">
        <v>279</v>
      </c>
      <c r="M85" s="66">
        <f t="shared" ca="1" si="12"/>
        <v>1</v>
      </c>
      <c r="N85" s="268">
        <f t="shared" ca="1" si="11"/>
        <v>1</v>
      </c>
      <c r="O85" s="68">
        <f t="shared" ca="1" si="8"/>
        <v>1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185" t="str">
        <f t="shared" ca="1" si="9"/>
        <v>Tổ Hạ tầng Tân An</v>
      </c>
      <c r="C86" s="82" t="str">
        <f t="shared" ca="1" si="2"/>
        <v>Nguyễn Hoàng Tuấn</v>
      </c>
      <c r="D86" s="186">
        <f t="shared" ca="1" si="3"/>
        <v>915282271</v>
      </c>
      <c r="E86" s="84" t="str">
        <f t="shared" ca="1" si="4"/>
        <v>tuannh.lan@vnpt.vn</v>
      </c>
      <c r="F86" s="85" t="str">
        <f t="shared" ca="1" si="5"/>
        <v>Lần 16</v>
      </c>
      <c r="G86" s="291">
        <v>46216</v>
      </c>
      <c r="H86" s="286">
        <v>326</v>
      </c>
      <c r="I86" s="286">
        <v>94</v>
      </c>
      <c r="J86" s="287">
        <v>786</v>
      </c>
      <c r="K86" s="287">
        <v>92.3</v>
      </c>
      <c r="L86" s="152" t="s">
        <v>279</v>
      </c>
      <c r="M86" s="170">
        <f t="shared" ca="1" si="12"/>
        <v>1</v>
      </c>
      <c r="N86" s="269">
        <f t="shared" ca="1" si="11"/>
        <v>1</v>
      </c>
      <c r="O86" s="68">
        <f t="shared" ca="1" si="8"/>
        <v>1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190" t="str">
        <f t="shared" ca="1" si="9"/>
        <v>Tổ Hạ tầng Tân An</v>
      </c>
      <c r="C87" s="48" t="str">
        <f t="shared" ca="1" si="2"/>
        <v>Võ Quang Duy</v>
      </c>
      <c r="D87" s="191">
        <f t="shared" ca="1" si="3"/>
        <v>945833826</v>
      </c>
      <c r="E87" s="50" t="str">
        <f t="shared" ca="1" si="4"/>
        <v>duyvq.lan@vnpt.vn</v>
      </c>
      <c r="F87" s="51" t="str">
        <f t="shared" ca="1" si="5"/>
        <v>Lần 1</v>
      </c>
      <c r="G87" s="52">
        <v>46205</v>
      </c>
      <c r="H87" s="292">
        <v>661</v>
      </c>
      <c r="I87" s="292">
        <v>23</v>
      </c>
      <c r="J87" s="293">
        <v>676</v>
      </c>
      <c r="K87" s="294">
        <v>17.100000000000001</v>
      </c>
      <c r="L87" s="295" t="s">
        <v>279</v>
      </c>
      <c r="M87" s="194">
        <f t="shared" ca="1" si="12"/>
        <v>1</v>
      </c>
      <c r="N87" s="195">
        <f t="shared" ca="1" si="11"/>
        <v>1</v>
      </c>
      <c r="O87" s="68">
        <f t="shared" ca="1" si="8"/>
        <v>1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182" t="str">
        <f t="shared" ca="1" si="9"/>
        <v>Tổ Hạ tầng Tân An</v>
      </c>
      <c r="C88" s="61" t="str">
        <f t="shared" ca="1" si="2"/>
        <v>Võ Quang Duy</v>
      </c>
      <c r="D88" s="183">
        <f t="shared" ca="1" si="3"/>
        <v>945833826</v>
      </c>
      <c r="E88" s="63" t="str">
        <f t="shared" ca="1" si="4"/>
        <v>duyvq.lan@vnpt.vn</v>
      </c>
      <c r="F88" s="64" t="str">
        <f t="shared" ca="1" si="5"/>
        <v>Lần 2</v>
      </c>
      <c r="G88" s="52">
        <v>46205</v>
      </c>
      <c r="H88" s="125">
        <v>477</v>
      </c>
      <c r="I88" s="125">
        <v>21.9</v>
      </c>
      <c r="J88" s="126">
        <v>666</v>
      </c>
      <c r="K88" s="296">
        <v>29.9</v>
      </c>
      <c r="L88" s="297" t="s">
        <v>279</v>
      </c>
      <c r="M88" s="184">
        <f t="shared" ca="1" si="12"/>
        <v>1</v>
      </c>
      <c r="N88" s="67">
        <f t="shared" ca="1" si="11"/>
        <v>1</v>
      </c>
      <c r="O88" s="68">
        <f t="shared" ca="1" si="8"/>
        <v>1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182" t="str">
        <f t="shared" ca="1" si="9"/>
        <v>Tổ Hạ tầng Tân An</v>
      </c>
      <c r="C89" s="61" t="str">
        <f t="shared" ca="1" si="2"/>
        <v>Võ Quang Duy</v>
      </c>
      <c r="D89" s="183">
        <f t="shared" ca="1" si="3"/>
        <v>945833826</v>
      </c>
      <c r="E89" s="63" t="str">
        <f t="shared" ca="1" si="4"/>
        <v>duyvq.lan@vnpt.vn</v>
      </c>
      <c r="F89" s="64" t="str">
        <f t="shared" ca="1" si="5"/>
        <v>Lần 3</v>
      </c>
      <c r="G89" s="52">
        <v>46205</v>
      </c>
      <c r="H89" s="125">
        <v>576</v>
      </c>
      <c r="I89" s="125">
        <v>15.3</v>
      </c>
      <c r="J89" s="126">
        <v>676</v>
      </c>
      <c r="K89" s="126">
        <v>31.3</v>
      </c>
      <c r="L89" s="127" t="s">
        <v>279</v>
      </c>
      <c r="M89" s="184">
        <f t="shared" ca="1" si="12"/>
        <v>1</v>
      </c>
      <c r="N89" s="67">
        <f t="shared" ca="1" si="11"/>
        <v>1</v>
      </c>
      <c r="O89" s="68">
        <f t="shared" ca="1" si="8"/>
        <v>1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182" t="str">
        <f t="shared" ca="1" si="9"/>
        <v>Tổ Hạ tầng Tân An</v>
      </c>
      <c r="C90" s="61" t="str">
        <f t="shared" ca="1" si="2"/>
        <v>Võ Quang Duy</v>
      </c>
      <c r="D90" s="183">
        <f t="shared" ca="1" si="3"/>
        <v>945833826</v>
      </c>
      <c r="E90" s="63" t="str">
        <f t="shared" ca="1" si="4"/>
        <v>duyvq.lan@vnpt.vn</v>
      </c>
      <c r="F90" s="64" t="str">
        <f t="shared" ca="1" si="5"/>
        <v>Lần 4</v>
      </c>
      <c r="G90" s="52">
        <v>46205</v>
      </c>
      <c r="H90" s="125">
        <v>538</v>
      </c>
      <c r="I90" s="125">
        <v>23.5</v>
      </c>
      <c r="J90" s="126">
        <v>659</v>
      </c>
      <c r="K90" s="126">
        <v>26.5</v>
      </c>
      <c r="L90" s="127" t="s">
        <v>279</v>
      </c>
      <c r="M90" s="184">
        <f t="shared" ca="1" si="12"/>
        <v>1</v>
      </c>
      <c r="N90" s="67">
        <f t="shared" ca="1" si="11"/>
        <v>1</v>
      </c>
      <c r="O90" s="68">
        <f t="shared" ca="1" si="8"/>
        <v>1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182" t="str">
        <f t="shared" ca="1" si="9"/>
        <v>Tổ Hạ tầng Tân An</v>
      </c>
      <c r="C91" s="61" t="str">
        <f t="shared" ca="1" si="2"/>
        <v>Võ Quang Duy</v>
      </c>
      <c r="D91" s="183">
        <f t="shared" ca="1" si="3"/>
        <v>945833826</v>
      </c>
      <c r="E91" s="63" t="str">
        <f t="shared" ca="1" si="4"/>
        <v>duyvq.lan@vnpt.vn</v>
      </c>
      <c r="F91" s="64" t="str">
        <f t="shared" ca="1" si="5"/>
        <v>Lần 5</v>
      </c>
      <c r="G91" s="52">
        <v>46205</v>
      </c>
      <c r="H91" s="125">
        <v>406</v>
      </c>
      <c r="I91" s="125">
        <v>23.7</v>
      </c>
      <c r="J91" s="126">
        <v>626</v>
      </c>
      <c r="K91" s="126">
        <v>24.5</v>
      </c>
      <c r="L91" s="127" t="s">
        <v>279</v>
      </c>
      <c r="M91" s="184">
        <f t="shared" ca="1" si="12"/>
        <v>1</v>
      </c>
      <c r="N91" s="67">
        <f t="shared" ca="1" si="11"/>
        <v>1</v>
      </c>
      <c r="O91" s="68">
        <f t="shared" ca="1" si="8"/>
        <v>1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182" t="str">
        <f t="shared" ca="1" si="9"/>
        <v>Tổ Hạ tầng Tân An</v>
      </c>
      <c r="C92" s="61" t="str">
        <f t="shared" ca="1" si="2"/>
        <v>Võ Quang Duy</v>
      </c>
      <c r="D92" s="183">
        <f t="shared" ca="1" si="3"/>
        <v>945833826</v>
      </c>
      <c r="E92" s="63" t="str">
        <f t="shared" ca="1" si="4"/>
        <v>duyvq.lan@vnpt.vn</v>
      </c>
      <c r="F92" s="64" t="str">
        <f t="shared" ca="1" si="5"/>
        <v>Lần 6</v>
      </c>
      <c r="G92" s="89">
        <v>46208</v>
      </c>
      <c r="H92" s="125">
        <v>655</v>
      </c>
      <c r="I92" s="125">
        <v>58.6</v>
      </c>
      <c r="J92" s="126">
        <v>1032</v>
      </c>
      <c r="K92" s="126">
        <v>163</v>
      </c>
      <c r="L92" s="127" t="s">
        <v>279</v>
      </c>
      <c r="M92" s="184">
        <f t="shared" ca="1" si="12"/>
        <v>1</v>
      </c>
      <c r="N92" s="67">
        <f t="shared" ca="1" si="11"/>
        <v>1</v>
      </c>
      <c r="O92" s="68">
        <f t="shared" ca="1" si="8"/>
        <v>1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182" t="str">
        <f t="shared" ca="1" si="9"/>
        <v>Tổ Hạ tầng Tân An</v>
      </c>
      <c r="C93" s="61" t="str">
        <f t="shared" ca="1" si="2"/>
        <v>Võ Quang Duy</v>
      </c>
      <c r="D93" s="183">
        <f t="shared" ca="1" si="3"/>
        <v>945833826</v>
      </c>
      <c r="E93" s="63" t="str">
        <f t="shared" ca="1" si="4"/>
        <v>duyvq.lan@vnpt.vn</v>
      </c>
      <c r="F93" s="64" t="str">
        <f t="shared" ca="1" si="5"/>
        <v>Lần 7</v>
      </c>
      <c r="G93" s="89">
        <v>46208</v>
      </c>
      <c r="H93" s="125">
        <v>575</v>
      </c>
      <c r="I93" s="125">
        <v>74.099999999999994</v>
      </c>
      <c r="J93" s="126">
        <v>1174</v>
      </c>
      <c r="K93" s="126">
        <v>163</v>
      </c>
      <c r="L93" s="127" t="s">
        <v>279</v>
      </c>
      <c r="M93" s="184">
        <f t="shared" ca="1" si="12"/>
        <v>1</v>
      </c>
      <c r="N93" s="67">
        <f t="shared" ca="1" si="11"/>
        <v>1</v>
      </c>
      <c r="O93" s="68">
        <f t="shared" ca="1" si="8"/>
        <v>1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182" t="str">
        <f t="shared" ca="1" si="9"/>
        <v>Tổ Hạ tầng Tân An</v>
      </c>
      <c r="C94" s="61" t="str">
        <f t="shared" ca="1" si="2"/>
        <v>Võ Quang Duy</v>
      </c>
      <c r="D94" s="183">
        <f t="shared" ca="1" si="3"/>
        <v>945833826</v>
      </c>
      <c r="E94" s="63" t="str">
        <f t="shared" ca="1" si="4"/>
        <v>duyvq.lan@vnpt.vn</v>
      </c>
      <c r="F94" s="64" t="str">
        <f t="shared" ca="1" si="5"/>
        <v>Lần 8</v>
      </c>
      <c r="G94" s="89">
        <v>46208</v>
      </c>
      <c r="H94" s="125">
        <v>564</v>
      </c>
      <c r="I94" s="125">
        <v>68.8</v>
      </c>
      <c r="J94" s="126">
        <v>948</v>
      </c>
      <c r="K94" s="126">
        <v>160</v>
      </c>
      <c r="L94" s="127" t="s">
        <v>279</v>
      </c>
      <c r="M94" s="184">
        <f t="shared" ca="1" si="12"/>
        <v>1</v>
      </c>
      <c r="N94" s="67">
        <f t="shared" ca="1" si="11"/>
        <v>1</v>
      </c>
      <c r="O94" s="68">
        <f t="shared" ca="1" si="8"/>
        <v>1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182" t="str">
        <f t="shared" ca="1" si="9"/>
        <v>Tổ Hạ tầng Tân An</v>
      </c>
      <c r="C95" s="61" t="str">
        <f t="shared" ca="1" si="2"/>
        <v>Võ Quang Duy</v>
      </c>
      <c r="D95" s="183">
        <f t="shared" ca="1" si="3"/>
        <v>945833826</v>
      </c>
      <c r="E95" s="63" t="str">
        <f t="shared" ca="1" si="4"/>
        <v>duyvq.lan@vnpt.vn</v>
      </c>
      <c r="F95" s="64" t="str">
        <f t="shared" ca="1" si="5"/>
        <v>Lần 9</v>
      </c>
      <c r="G95" s="89">
        <v>46208</v>
      </c>
      <c r="H95" s="125">
        <v>612</v>
      </c>
      <c r="I95" s="125">
        <v>72.400000000000006</v>
      </c>
      <c r="J95" s="126">
        <v>1177</v>
      </c>
      <c r="K95" s="126">
        <v>159</v>
      </c>
      <c r="L95" s="127" t="s">
        <v>279</v>
      </c>
      <c r="M95" s="184">
        <f t="shared" ca="1" si="12"/>
        <v>1</v>
      </c>
      <c r="N95" s="67">
        <f t="shared" ca="1" si="11"/>
        <v>1</v>
      </c>
      <c r="O95" s="68">
        <f t="shared" ca="1" si="8"/>
        <v>1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182" t="str">
        <f t="shared" ca="1" si="9"/>
        <v>Tổ Hạ tầng Tân An</v>
      </c>
      <c r="C96" s="61" t="str">
        <f t="shared" ca="1" si="2"/>
        <v>Võ Quang Duy</v>
      </c>
      <c r="D96" s="183">
        <f t="shared" ca="1" si="3"/>
        <v>945833826</v>
      </c>
      <c r="E96" s="63" t="str">
        <f t="shared" ca="1" si="4"/>
        <v>duyvq.lan@vnpt.vn</v>
      </c>
      <c r="F96" s="64" t="str">
        <f t="shared" ca="1" si="5"/>
        <v>Lần 10</v>
      </c>
      <c r="G96" s="89">
        <v>46208</v>
      </c>
      <c r="H96" s="125">
        <v>607</v>
      </c>
      <c r="I96" s="125">
        <v>75.8</v>
      </c>
      <c r="J96" s="126">
        <v>1155</v>
      </c>
      <c r="K96" s="126">
        <v>161</v>
      </c>
      <c r="L96" s="127" t="s">
        <v>279</v>
      </c>
      <c r="M96" s="184">
        <f t="shared" ca="1" si="12"/>
        <v>1</v>
      </c>
      <c r="N96" s="67">
        <f t="shared" ca="1" si="11"/>
        <v>1</v>
      </c>
      <c r="O96" s="68">
        <f t="shared" ca="1" si="8"/>
        <v>1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182" t="str">
        <f t="shared" ca="1" si="9"/>
        <v>Tổ Hạ tầng Tân An</v>
      </c>
      <c r="C97" s="61" t="str">
        <f t="shared" ca="1" si="2"/>
        <v>Võ Quang Duy</v>
      </c>
      <c r="D97" s="183">
        <f t="shared" ca="1" si="3"/>
        <v>945833826</v>
      </c>
      <c r="E97" s="63" t="str">
        <f t="shared" ca="1" si="4"/>
        <v>duyvq.lan@vnpt.vn</v>
      </c>
      <c r="F97" s="64" t="str">
        <f t="shared" ca="1" si="5"/>
        <v>Lần 11</v>
      </c>
      <c r="G97" s="89">
        <v>46214</v>
      </c>
      <c r="H97" s="75">
        <v>530</v>
      </c>
      <c r="I97" s="75">
        <v>66.099999999999994</v>
      </c>
      <c r="J97" s="126">
        <v>977</v>
      </c>
      <c r="K97" s="126">
        <v>68.599999999999994</v>
      </c>
      <c r="L97" s="127" t="s">
        <v>279</v>
      </c>
      <c r="M97" s="184">
        <f t="shared" ca="1" si="12"/>
        <v>1</v>
      </c>
      <c r="N97" s="67">
        <f t="shared" ca="1" si="11"/>
        <v>1</v>
      </c>
      <c r="O97" s="68">
        <f t="shared" ca="1" si="8"/>
        <v>1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182" t="str">
        <f t="shared" ca="1" si="9"/>
        <v>Tổ Hạ tầng Tân An</v>
      </c>
      <c r="C98" s="61" t="str">
        <f t="shared" ca="1" si="2"/>
        <v>Võ Quang Duy</v>
      </c>
      <c r="D98" s="183">
        <f t="shared" ca="1" si="3"/>
        <v>945833826</v>
      </c>
      <c r="E98" s="63" t="str">
        <f t="shared" ca="1" si="4"/>
        <v>duyvq.lan@vnpt.vn</v>
      </c>
      <c r="F98" s="64" t="str">
        <f t="shared" ca="1" si="5"/>
        <v>Lần 12</v>
      </c>
      <c r="G98" s="89">
        <v>46214</v>
      </c>
      <c r="H98" s="53">
        <v>588</v>
      </c>
      <c r="I98" s="53">
        <v>67.5</v>
      </c>
      <c r="J98" s="126">
        <v>1022</v>
      </c>
      <c r="K98" s="126">
        <v>72.5</v>
      </c>
      <c r="L98" s="127" t="s">
        <v>279</v>
      </c>
      <c r="M98" s="184">
        <f t="shared" ca="1" si="12"/>
        <v>1</v>
      </c>
      <c r="N98" s="67">
        <f t="shared" ca="1" si="11"/>
        <v>1</v>
      </c>
      <c r="O98" s="68">
        <f t="shared" ca="1" si="8"/>
        <v>1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182" t="str">
        <f t="shared" ca="1" si="9"/>
        <v>Tổ Hạ tầng Tân An</v>
      </c>
      <c r="C99" s="61" t="str">
        <f t="shared" ca="1" si="2"/>
        <v>Võ Quang Duy</v>
      </c>
      <c r="D99" s="183">
        <f t="shared" ca="1" si="3"/>
        <v>945833826</v>
      </c>
      <c r="E99" s="63" t="str">
        <f t="shared" ca="1" si="4"/>
        <v>duyvq.lan@vnpt.vn</v>
      </c>
      <c r="F99" s="64" t="str">
        <f t="shared" ca="1" si="5"/>
        <v>Lần 13</v>
      </c>
      <c r="G99" s="89">
        <v>46214</v>
      </c>
      <c r="H99" s="53">
        <v>535</v>
      </c>
      <c r="I99" s="53" t="s">
        <v>436</v>
      </c>
      <c r="J99" s="126">
        <v>873</v>
      </c>
      <c r="K99" s="126">
        <v>77.599999999999994</v>
      </c>
      <c r="L99" s="127" t="s">
        <v>279</v>
      </c>
      <c r="M99" s="184">
        <f t="shared" ca="1" si="12"/>
        <v>1</v>
      </c>
      <c r="N99" s="67">
        <f t="shared" ca="1" si="11"/>
        <v>1</v>
      </c>
      <c r="O99" s="68">
        <f t="shared" ca="1" si="8"/>
        <v>1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182" t="str">
        <f t="shared" ca="1" si="9"/>
        <v>Tổ Hạ tầng Tân An</v>
      </c>
      <c r="C100" s="61" t="str">
        <f t="shared" ca="1" si="2"/>
        <v>Võ Quang Duy</v>
      </c>
      <c r="D100" s="183">
        <f t="shared" ca="1" si="3"/>
        <v>945833826</v>
      </c>
      <c r="E100" s="63" t="str">
        <f t="shared" ca="1" si="4"/>
        <v>duyvq.lan@vnpt.vn</v>
      </c>
      <c r="F100" s="64" t="str">
        <f t="shared" ca="1" si="5"/>
        <v>Lần 14</v>
      </c>
      <c r="G100" s="89">
        <v>46214</v>
      </c>
      <c r="H100" s="53">
        <v>579</v>
      </c>
      <c r="I100" s="53">
        <v>68.599999999999994</v>
      </c>
      <c r="J100" s="126">
        <v>962</v>
      </c>
      <c r="K100" s="126">
        <v>86.1</v>
      </c>
      <c r="L100" s="127" t="s">
        <v>279</v>
      </c>
      <c r="M100" s="184">
        <f t="shared" ca="1" si="12"/>
        <v>1</v>
      </c>
      <c r="N100" s="67">
        <f t="shared" ca="1" si="11"/>
        <v>1</v>
      </c>
      <c r="O100" s="68">
        <f t="shared" ca="1" si="8"/>
        <v>1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182" t="str">
        <f t="shared" ca="1" si="9"/>
        <v>Tổ Hạ tầng Tân An</v>
      </c>
      <c r="C101" s="61" t="str">
        <f t="shared" ca="1" si="2"/>
        <v>Võ Quang Duy</v>
      </c>
      <c r="D101" s="183">
        <f t="shared" ca="1" si="3"/>
        <v>945833826</v>
      </c>
      <c r="E101" s="63" t="str">
        <f t="shared" ca="1" si="4"/>
        <v>duyvq.lan@vnpt.vn</v>
      </c>
      <c r="F101" s="64" t="str">
        <f t="shared" ca="1" si="5"/>
        <v>Lần 15</v>
      </c>
      <c r="G101" s="89">
        <v>46214</v>
      </c>
      <c r="H101" s="53">
        <v>526</v>
      </c>
      <c r="I101" s="53">
        <v>68</v>
      </c>
      <c r="J101" s="126">
        <v>946</v>
      </c>
      <c r="K101" s="126">
        <v>86.1</v>
      </c>
      <c r="L101" s="127" t="s">
        <v>279</v>
      </c>
      <c r="M101" s="184">
        <f t="shared" ca="1" si="12"/>
        <v>1</v>
      </c>
      <c r="N101" s="67">
        <f t="shared" ca="1" si="11"/>
        <v>1</v>
      </c>
      <c r="O101" s="68">
        <f t="shared" ca="1" si="8"/>
        <v>1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96" t="str">
        <f t="shared" ca="1" si="9"/>
        <v>Tổ Hạ tầng Tân An</v>
      </c>
      <c r="C102" s="102" t="str">
        <f t="shared" ca="1" si="2"/>
        <v>Võ Quang Duy</v>
      </c>
      <c r="D102" s="197">
        <f t="shared" ca="1" si="3"/>
        <v>945833826</v>
      </c>
      <c r="E102" s="104" t="str">
        <f t="shared" ca="1" si="4"/>
        <v>duyvq.lan@vnpt.vn</v>
      </c>
      <c r="F102" s="105" t="str">
        <f t="shared" ca="1" si="5"/>
        <v>Lần 16</v>
      </c>
      <c r="G102" s="89">
        <v>46214</v>
      </c>
      <c r="H102" s="53">
        <v>464</v>
      </c>
      <c r="I102" s="53">
        <v>59</v>
      </c>
      <c r="J102" s="285">
        <v>1011</v>
      </c>
      <c r="K102" s="285">
        <v>78.3</v>
      </c>
      <c r="L102" s="127" t="s">
        <v>279</v>
      </c>
      <c r="M102" s="202">
        <f t="shared" ca="1" si="12"/>
        <v>1</v>
      </c>
      <c r="N102" s="203">
        <f t="shared" ca="1" si="11"/>
        <v>1</v>
      </c>
      <c r="O102" s="68">
        <f t="shared" ca="1" si="8"/>
        <v>1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204" t="str">
        <f t="shared" ca="1" si="9"/>
        <v>Tổ Hạ tầng Tân An</v>
      </c>
      <c r="C103" s="108" t="str">
        <f t="shared" ca="1" si="2"/>
        <v>Bùi Phạm Hải Đăng</v>
      </c>
      <c r="D103" s="205">
        <f t="shared" ca="1" si="3"/>
        <v>916878010</v>
      </c>
      <c r="E103" s="110" t="str">
        <f t="shared" ca="1" si="4"/>
        <v>dangbph.lan@vnpt.vn</v>
      </c>
      <c r="F103" s="111" t="str">
        <f t="shared" ca="1" si="5"/>
        <v>Lần 1</v>
      </c>
      <c r="G103" s="89">
        <v>46207</v>
      </c>
      <c r="H103" s="69">
        <v>86</v>
      </c>
      <c r="I103" s="69">
        <v>37.299999999999997</v>
      </c>
      <c r="J103" s="69">
        <v>92.5</v>
      </c>
      <c r="K103" s="69">
        <v>36.4</v>
      </c>
      <c r="L103" s="35" t="s">
        <v>357</v>
      </c>
      <c r="M103" s="56">
        <f t="shared" ca="1" si="12"/>
        <v>1</v>
      </c>
      <c r="N103" s="266">
        <f t="shared" ca="1" si="11"/>
        <v>1</v>
      </c>
      <c r="O103" s="68">
        <f t="shared" ca="1" si="8"/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182" t="str">
        <f t="shared" ca="1" si="9"/>
        <v>Tổ Hạ tầng Tân An</v>
      </c>
      <c r="C104" s="61" t="str">
        <f t="shared" ca="1" si="2"/>
        <v>Bùi Phạm Hải Đăng</v>
      </c>
      <c r="D104" s="183">
        <f t="shared" ca="1" si="3"/>
        <v>916878010</v>
      </c>
      <c r="E104" s="63" t="str">
        <f t="shared" ca="1" si="4"/>
        <v>dangbph.lan@vnpt.vn</v>
      </c>
      <c r="F104" s="64" t="str">
        <f t="shared" ca="1" si="5"/>
        <v>Lần 2</v>
      </c>
      <c r="G104" s="89">
        <v>46207</v>
      </c>
      <c r="H104" s="53">
        <v>80.400000000000006</v>
      </c>
      <c r="I104" s="53">
        <v>37.200000000000003</v>
      </c>
      <c r="J104" s="90">
        <v>95.5</v>
      </c>
      <c r="K104" s="90">
        <v>37.9</v>
      </c>
      <c r="L104" s="213" t="s">
        <v>357</v>
      </c>
      <c r="M104" s="66">
        <f t="shared" ca="1" si="12"/>
        <v>1</v>
      </c>
      <c r="N104" s="268">
        <f t="shared" ca="1" si="11"/>
        <v>1</v>
      </c>
      <c r="O104" s="68">
        <f t="shared" ca="1" si="8"/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182" t="str">
        <f t="shared" ca="1" si="9"/>
        <v>Tổ Hạ tầng Tân An</v>
      </c>
      <c r="C105" s="61" t="str">
        <f t="shared" ca="1" si="2"/>
        <v>Bùi Phạm Hải Đăng</v>
      </c>
      <c r="D105" s="183">
        <f t="shared" ca="1" si="3"/>
        <v>916878010</v>
      </c>
      <c r="E105" s="63" t="str">
        <f t="shared" ca="1" si="4"/>
        <v>dangbph.lan@vnpt.vn</v>
      </c>
      <c r="F105" s="64" t="str">
        <f t="shared" ca="1" si="5"/>
        <v>Lần 3</v>
      </c>
      <c r="G105" s="89">
        <v>46207</v>
      </c>
      <c r="H105" s="53">
        <v>77</v>
      </c>
      <c r="I105" s="53">
        <v>39</v>
      </c>
      <c r="J105" s="90">
        <v>83.3</v>
      </c>
      <c r="K105" s="90">
        <v>38.700000000000003</v>
      </c>
      <c r="L105" s="88" t="s">
        <v>357</v>
      </c>
      <c r="M105" s="66">
        <f t="shared" ca="1" si="12"/>
        <v>1</v>
      </c>
      <c r="N105" s="268">
        <f t="shared" ca="1" si="11"/>
        <v>1</v>
      </c>
      <c r="O105" s="68">
        <f t="shared" ca="1" si="8"/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182" t="str">
        <f t="shared" ca="1" si="9"/>
        <v>Tổ Hạ tầng Tân An</v>
      </c>
      <c r="C106" s="61" t="str">
        <f t="shared" ca="1" si="2"/>
        <v>Bùi Phạm Hải Đăng</v>
      </c>
      <c r="D106" s="183">
        <f t="shared" ca="1" si="3"/>
        <v>916878010</v>
      </c>
      <c r="E106" s="63" t="str">
        <f t="shared" ca="1" si="4"/>
        <v>dangbph.lan@vnpt.vn</v>
      </c>
      <c r="F106" s="64" t="str">
        <f t="shared" ca="1" si="5"/>
        <v>Lần 4</v>
      </c>
      <c r="G106" s="89">
        <v>46211</v>
      </c>
      <c r="H106" s="53">
        <v>77.3</v>
      </c>
      <c r="I106" s="53">
        <v>30.8</v>
      </c>
      <c r="J106" s="90">
        <v>77.7</v>
      </c>
      <c r="K106" s="90">
        <v>27.9</v>
      </c>
      <c r="L106" s="88" t="s">
        <v>357</v>
      </c>
      <c r="M106" s="66">
        <f t="shared" ca="1" si="12"/>
        <v>1</v>
      </c>
      <c r="N106" s="268">
        <f t="shared" ca="1" si="11"/>
        <v>1</v>
      </c>
      <c r="O106" s="68">
        <f t="shared" ca="1" si="8"/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182" t="str">
        <f t="shared" ca="1" si="9"/>
        <v>Tổ Hạ tầng Tân An</v>
      </c>
      <c r="C107" s="61" t="str">
        <f t="shared" ca="1" si="2"/>
        <v>Bùi Phạm Hải Đăng</v>
      </c>
      <c r="D107" s="183">
        <f t="shared" ca="1" si="3"/>
        <v>916878010</v>
      </c>
      <c r="E107" s="63" t="str">
        <f t="shared" ca="1" si="4"/>
        <v>dangbph.lan@vnpt.vn</v>
      </c>
      <c r="F107" s="64" t="str">
        <f t="shared" ca="1" si="5"/>
        <v>Lần 5</v>
      </c>
      <c r="G107" s="89">
        <v>46211</v>
      </c>
      <c r="H107" s="53">
        <v>74.2</v>
      </c>
      <c r="I107" s="53">
        <v>26</v>
      </c>
      <c r="J107" s="90">
        <v>79.7</v>
      </c>
      <c r="K107" s="90">
        <v>31.4</v>
      </c>
      <c r="L107" s="88" t="s">
        <v>357</v>
      </c>
      <c r="M107" s="66">
        <f t="shared" ca="1" si="12"/>
        <v>1</v>
      </c>
      <c r="N107" s="268">
        <f t="shared" ca="1" si="11"/>
        <v>1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182" t="str">
        <f t="shared" ca="1" si="9"/>
        <v>Tổ Hạ tầng Tân An</v>
      </c>
      <c r="C108" s="61" t="str">
        <f t="shared" ca="1" si="2"/>
        <v>Bùi Phạm Hải Đăng</v>
      </c>
      <c r="D108" s="183">
        <f t="shared" ca="1" si="3"/>
        <v>916878010</v>
      </c>
      <c r="E108" s="63" t="str">
        <f t="shared" ca="1" si="4"/>
        <v>dangbph.lan@vnpt.vn</v>
      </c>
      <c r="F108" s="64" t="str">
        <f t="shared" ca="1" si="5"/>
        <v>Lần 6</v>
      </c>
      <c r="G108" s="89">
        <v>46211</v>
      </c>
      <c r="H108" s="53">
        <v>82</v>
      </c>
      <c r="I108" s="53">
        <v>28.9</v>
      </c>
      <c r="J108" s="90">
        <v>82</v>
      </c>
      <c r="K108" s="90">
        <v>27.8</v>
      </c>
      <c r="L108" s="88" t="s">
        <v>357</v>
      </c>
      <c r="M108" s="66">
        <f t="shared" ca="1" si="12"/>
        <v>1</v>
      </c>
      <c r="N108" s="268">
        <f t="shared" ca="1" si="11"/>
        <v>1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182" t="str">
        <f t="shared" ca="1" si="9"/>
        <v>Tổ Hạ tầng Tân An</v>
      </c>
      <c r="C109" s="61" t="str">
        <f t="shared" ca="1" si="2"/>
        <v>Bùi Phạm Hải Đăng</v>
      </c>
      <c r="D109" s="183">
        <f t="shared" ca="1" si="3"/>
        <v>916878010</v>
      </c>
      <c r="E109" s="63" t="str">
        <f t="shared" ca="1" si="4"/>
        <v>dangbph.lan@vnpt.vn</v>
      </c>
      <c r="F109" s="64" t="str">
        <f t="shared" ca="1" si="5"/>
        <v>Lần 7</v>
      </c>
      <c r="G109" s="89"/>
      <c r="H109" s="53"/>
      <c r="I109" s="53"/>
      <c r="J109" s="90"/>
      <c r="K109" s="90"/>
      <c r="L109" s="88" t="s">
        <v>357</v>
      </c>
      <c r="M109" s="66">
        <f t="shared" ca="1" si="12"/>
        <v>0</v>
      </c>
      <c r="N109" s="268">
        <f t="shared" ca="1" si="11"/>
        <v>0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182" t="str">
        <f t="shared" ca="1" si="9"/>
        <v>Tổ Hạ tầng Tân An</v>
      </c>
      <c r="C110" s="61" t="str">
        <f t="shared" ca="1" si="2"/>
        <v>Bùi Phạm Hải Đăng</v>
      </c>
      <c r="D110" s="183">
        <f t="shared" ca="1" si="3"/>
        <v>916878010</v>
      </c>
      <c r="E110" s="63" t="str">
        <f t="shared" ca="1" si="4"/>
        <v>dangbph.lan@vnpt.vn</v>
      </c>
      <c r="F110" s="64" t="str">
        <f t="shared" ca="1" si="5"/>
        <v>Lần 8</v>
      </c>
      <c r="G110" s="89"/>
      <c r="H110" s="53"/>
      <c r="I110" s="53"/>
      <c r="J110" s="54"/>
      <c r="K110" s="54"/>
      <c r="L110" s="88" t="s">
        <v>357</v>
      </c>
      <c r="M110" s="66">
        <f t="shared" ca="1" si="12"/>
        <v>0</v>
      </c>
      <c r="N110" s="268">
        <f t="shared" ca="1" si="11"/>
        <v>0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182" t="str">
        <f t="shared" ca="1" si="9"/>
        <v>Tổ Hạ tầng Tân An</v>
      </c>
      <c r="C111" s="61" t="str">
        <f t="shared" ca="1" si="2"/>
        <v>Bùi Phạm Hải Đăng</v>
      </c>
      <c r="D111" s="183">
        <f t="shared" ca="1" si="3"/>
        <v>916878010</v>
      </c>
      <c r="E111" s="63" t="str">
        <f t="shared" ca="1" si="4"/>
        <v>dangbph.lan@vnpt.vn</v>
      </c>
      <c r="F111" s="64" t="str">
        <f t="shared" ca="1" si="5"/>
        <v>Lần 9</v>
      </c>
      <c r="G111" s="89"/>
      <c r="H111" s="53"/>
      <c r="I111" s="53"/>
      <c r="J111" s="54"/>
      <c r="K111" s="54"/>
      <c r="L111" s="88" t="s">
        <v>357</v>
      </c>
      <c r="M111" s="66">
        <f t="shared" ca="1" si="12"/>
        <v>0</v>
      </c>
      <c r="N111" s="268">
        <f t="shared" ca="1" si="11"/>
        <v>0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182" t="str">
        <f t="shared" ca="1" si="9"/>
        <v>Tổ Hạ tầng Tân An</v>
      </c>
      <c r="C112" s="61" t="str">
        <f t="shared" ca="1" si="2"/>
        <v>Bùi Phạm Hải Đăng</v>
      </c>
      <c r="D112" s="183">
        <f t="shared" ca="1" si="3"/>
        <v>916878010</v>
      </c>
      <c r="E112" s="63" t="str">
        <f t="shared" ca="1" si="4"/>
        <v>dangbph.lan@vnpt.vn</v>
      </c>
      <c r="F112" s="64" t="str">
        <f t="shared" ca="1" si="5"/>
        <v>Lần 10</v>
      </c>
      <c r="G112" s="89"/>
      <c r="H112" s="53"/>
      <c r="I112" s="92"/>
      <c r="J112" s="54"/>
      <c r="K112" s="54"/>
      <c r="L112" s="88" t="s">
        <v>357</v>
      </c>
      <c r="M112" s="66">
        <f t="shared" ca="1" si="12"/>
        <v>0</v>
      </c>
      <c r="N112" s="268">
        <f t="shared" ca="1" si="11"/>
        <v>0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182" t="str">
        <f t="shared" ca="1" si="9"/>
        <v>Tổ Hạ tầng Tân An</v>
      </c>
      <c r="C113" s="61" t="str">
        <f t="shared" ca="1" si="2"/>
        <v>Bùi Phạm Hải Đăng</v>
      </c>
      <c r="D113" s="183">
        <f t="shared" ca="1" si="3"/>
        <v>916878010</v>
      </c>
      <c r="E113" s="63" t="str">
        <f t="shared" ca="1" si="4"/>
        <v>dangbph.lan@vnpt.vn</v>
      </c>
      <c r="F113" s="64" t="str">
        <f t="shared" ca="1" si="5"/>
        <v>Lần 11</v>
      </c>
      <c r="G113" s="89"/>
      <c r="H113" s="53"/>
      <c r="I113" s="53"/>
      <c r="J113" s="54"/>
      <c r="K113" s="54"/>
      <c r="L113" s="88" t="s">
        <v>357</v>
      </c>
      <c r="M113" s="66">
        <f t="shared" ca="1" si="12"/>
        <v>0</v>
      </c>
      <c r="N113" s="268">
        <f t="shared" ca="1" si="11"/>
        <v>0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182" t="str">
        <f t="shared" ca="1" si="9"/>
        <v>Tổ Hạ tầng Tân An</v>
      </c>
      <c r="C114" s="61" t="str">
        <f t="shared" ca="1" si="2"/>
        <v>Bùi Phạm Hải Đăng</v>
      </c>
      <c r="D114" s="183">
        <f t="shared" ca="1" si="3"/>
        <v>916878010</v>
      </c>
      <c r="E114" s="63" t="str">
        <f t="shared" ca="1" si="4"/>
        <v>dangbph.lan@vnpt.vn</v>
      </c>
      <c r="F114" s="64" t="str">
        <f t="shared" ca="1" si="5"/>
        <v>Lần 12</v>
      </c>
      <c r="G114" s="89"/>
      <c r="H114" s="53"/>
      <c r="I114" s="53"/>
      <c r="J114" s="54"/>
      <c r="K114" s="54"/>
      <c r="L114" s="88" t="s">
        <v>357</v>
      </c>
      <c r="M114" s="66">
        <f t="shared" ca="1" si="12"/>
        <v>0</v>
      </c>
      <c r="N114" s="268">
        <f t="shared" ca="1" si="11"/>
        <v>0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182" t="str">
        <f t="shared" ca="1" si="9"/>
        <v>Tổ Hạ tầng Tân An</v>
      </c>
      <c r="C115" s="61" t="str">
        <f t="shared" ca="1" si="2"/>
        <v>Bùi Phạm Hải Đăng</v>
      </c>
      <c r="D115" s="183">
        <f t="shared" ca="1" si="3"/>
        <v>916878010</v>
      </c>
      <c r="E115" s="63" t="str">
        <f t="shared" ca="1" si="4"/>
        <v>dangbph.lan@vnpt.vn</v>
      </c>
      <c r="F115" s="64" t="str">
        <f t="shared" ca="1" si="5"/>
        <v>Lần 13</v>
      </c>
      <c r="G115" s="89"/>
      <c r="H115" s="53"/>
      <c r="I115" s="53"/>
      <c r="J115" s="54"/>
      <c r="K115" s="54"/>
      <c r="L115" s="88" t="s">
        <v>357</v>
      </c>
      <c r="M115" s="66">
        <f t="shared" ca="1" si="12"/>
        <v>0</v>
      </c>
      <c r="N115" s="268">
        <f t="shared" ca="1" si="11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182" t="str">
        <f t="shared" ca="1" si="9"/>
        <v>Tổ Hạ tầng Tân An</v>
      </c>
      <c r="C116" s="61" t="str">
        <f t="shared" ca="1" si="2"/>
        <v>Bùi Phạm Hải Đăng</v>
      </c>
      <c r="D116" s="183">
        <f t="shared" ca="1" si="3"/>
        <v>916878010</v>
      </c>
      <c r="E116" s="63" t="str">
        <f t="shared" ca="1" si="4"/>
        <v>dangbph.lan@vnpt.vn</v>
      </c>
      <c r="F116" s="64" t="str">
        <f t="shared" ca="1" si="5"/>
        <v>Lần 14</v>
      </c>
      <c r="G116" s="89"/>
      <c r="H116" s="53"/>
      <c r="I116" s="53"/>
      <c r="J116" s="54"/>
      <c r="K116" s="54"/>
      <c r="L116" s="88" t="s">
        <v>357</v>
      </c>
      <c r="M116" s="66">
        <f t="shared" ca="1" si="12"/>
        <v>0</v>
      </c>
      <c r="N116" s="268">
        <f t="shared" ca="1" si="11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182" t="str">
        <f t="shared" ca="1" si="9"/>
        <v>Tổ Hạ tầng Tân An</v>
      </c>
      <c r="C117" s="61" t="str">
        <f t="shared" ca="1" si="2"/>
        <v>Bùi Phạm Hải Đăng</v>
      </c>
      <c r="D117" s="183">
        <f t="shared" ca="1" si="3"/>
        <v>916878010</v>
      </c>
      <c r="E117" s="63" t="str">
        <f t="shared" ca="1" si="4"/>
        <v>dangbph.lan@vnpt.vn</v>
      </c>
      <c r="F117" s="64" t="str">
        <f t="shared" ca="1" si="5"/>
        <v>Lần 15</v>
      </c>
      <c r="G117" s="89"/>
      <c r="H117" s="53"/>
      <c r="I117" s="53"/>
      <c r="J117" s="54"/>
      <c r="K117" s="54"/>
      <c r="L117" s="213" t="s">
        <v>357</v>
      </c>
      <c r="M117" s="66">
        <f t="shared" ca="1" si="12"/>
        <v>0</v>
      </c>
      <c r="N117" s="268">
        <f t="shared" ca="1" si="11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185" t="str">
        <f t="shared" ca="1" si="9"/>
        <v>Tổ Hạ tầng Tân An</v>
      </c>
      <c r="C118" s="82" t="str">
        <f t="shared" ca="1" si="2"/>
        <v>Bùi Phạm Hải Đăng</v>
      </c>
      <c r="D118" s="186">
        <f t="shared" ca="1" si="3"/>
        <v>916878010</v>
      </c>
      <c r="E118" s="84" t="str">
        <f t="shared" ca="1" si="4"/>
        <v>dangbph.lan@vnpt.vn</v>
      </c>
      <c r="F118" s="85" t="str">
        <f t="shared" ca="1" si="5"/>
        <v>Lần 16</v>
      </c>
      <c r="G118" s="291"/>
      <c r="H118" s="286"/>
      <c r="I118" s="286"/>
      <c r="J118" s="287"/>
      <c r="K118" s="298"/>
      <c r="L118" s="218" t="s">
        <v>357</v>
      </c>
      <c r="M118" s="170">
        <f t="shared" ca="1" si="12"/>
        <v>0</v>
      </c>
      <c r="N118" s="269">
        <f t="shared" ca="1" si="11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190" t="str">
        <f t="shared" ca="1" si="9"/>
        <v>Tổ Hạ tầng Tân An</v>
      </c>
      <c r="C119" s="48" t="str">
        <f t="shared" ca="1" si="2"/>
        <v>Nguyễn Hữu Tân</v>
      </c>
      <c r="D119" s="191">
        <f t="shared" ca="1" si="3"/>
        <v>945663773</v>
      </c>
      <c r="E119" s="50" t="str">
        <f t="shared" ca="1" si="4"/>
        <v>tannh.lan@vnpt.vn</v>
      </c>
      <c r="F119" s="51" t="str">
        <f t="shared" ca="1" si="5"/>
        <v>Lần 1</v>
      </c>
      <c r="G119" s="299"/>
      <c r="H119" s="292"/>
      <c r="I119" s="292"/>
      <c r="J119" s="293"/>
      <c r="K119" s="293"/>
      <c r="L119" s="193" t="s">
        <v>357</v>
      </c>
      <c r="M119" s="194">
        <f t="shared" ca="1" si="12"/>
        <v>0</v>
      </c>
      <c r="N119" s="195">
        <f t="shared" ca="1" si="11"/>
        <v>0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182" t="str">
        <f t="shared" ca="1" si="9"/>
        <v>Tổ Hạ tầng Tân An</v>
      </c>
      <c r="C120" s="61" t="str">
        <f t="shared" ca="1" si="2"/>
        <v>Nguyễn Hữu Tân</v>
      </c>
      <c r="D120" s="183">
        <f t="shared" ca="1" si="3"/>
        <v>945663773</v>
      </c>
      <c r="E120" s="63" t="str">
        <f t="shared" ca="1" si="4"/>
        <v>tannh.lan@vnpt.vn</v>
      </c>
      <c r="F120" s="64" t="str">
        <f t="shared" ca="1" si="5"/>
        <v>Lần 2</v>
      </c>
      <c r="G120" s="89"/>
      <c r="H120" s="125"/>
      <c r="I120" s="125"/>
      <c r="J120" s="126"/>
      <c r="K120" s="126"/>
      <c r="L120" s="193" t="s">
        <v>357</v>
      </c>
      <c r="M120" s="184">
        <f t="shared" ca="1" si="12"/>
        <v>0</v>
      </c>
      <c r="N120" s="67">
        <f t="shared" ca="1" si="11"/>
        <v>0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182" t="str">
        <f t="shared" ca="1" si="9"/>
        <v>Tổ Hạ tầng Tân An</v>
      </c>
      <c r="C121" s="61" t="str">
        <f t="shared" ca="1" si="2"/>
        <v>Nguyễn Hữu Tân</v>
      </c>
      <c r="D121" s="183">
        <f t="shared" ca="1" si="3"/>
        <v>945663773</v>
      </c>
      <c r="E121" s="63" t="str">
        <f t="shared" ca="1" si="4"/>
        <v>tannh.lan@vnpt.vn</v>
      </c>
      <c r="F121" s="64" t="str">
        <f t="shared" ca="1" si="5"/>
        <v>Lần 3</v>
      </c>
      <c r="G121" s="89"/>
      <c r="H121" s="125"/>
      <c r="I121" s="125"/>
      <c r="J121" s="126"/>
      <c r="K121" s="125"/>
      <c r="L121" s="193" t="s">
        <v>357</v>
      </c>
      <c r="M121" s="184">
        <f t="shared" ca="1" si="12"/>
        <v>0</v>
      </c>
      <c r="N121" s="67">
        <f t="shared" ca="1" si="11"/>
        <v>0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182" t="str">
        <f t="shared" ca="1" si="9"/>
        <v>Tổ Hạ tầng Tân An</v>
      </c>
      <c r="C122" s="61" t="str">
        <f t="shared" ca="1" si="2"/>
        <v>Nguyễn Hữu Tân</v>
      </c>
      <c r="D122" s="183">
        <f t="shared" ca="1" si="3"/>
        <v>945663773</v>
      </c>
      <c r="E122" s="63" t="str">
        <f t="shared" ca="1" si="4"/>
        <v>tannh.lan@vnpt.vn</v>
      </c>
      <c r="F122" s="64" t="str">
        <f t="shared" ca="1" si="5"/>
        <v>Lần 4</v>
      </c>
      <c r="G122" s="89"/>
      <c r="H122" s="125"/>
      <c r="I122" s="125"/>
      <c r="J122" s="126"/>
      <c r="K122" s="125"/>
      <c r="L122" s="193" t="s">
        <v>357</v>
      </c>
      <c r="M122" s="184">
        <f t="shared" ca="1" si="12"/>
        <v>0</v>
      </c>
      <c r="N122" s="67">
        <f t="shared" ca="1" si="11"/>
        <v>0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182" t="str">
        <f t="shared" ca="1" si="9"/>
        <v>Tổ Hạ tầng Tân An</v>
      </c>
      <c r="C123" s="61" t="str">
        <f t="shared" ca="1" si="2"/>
        <v>Nguyễn Hữu Tân</v>
      </c>
      <c r="D123" s="183">
        <f t="shared" ca="1" si="3"/>
        <v>945663773</v>
      </c>
      <c r="E123" s="63" t="str">
        <f t="shared" ca="1" si="4"/>
        <v>tannh.lan@vnpt.vn</v>
      </c>
      <c r="F123" s="64" t="str">
        <f t="shared" ca="1" si="5"/>
        <v>Lần 5</v>
      </c>
      <c r="G123" s="89"/>
      <c r="H123" s="125"/>
      <c r="I123" s="125"/>
      <c r="J123" s="126"/>
      <c r="K123" s="125"/>
      <c r="L123" s="193" t="s">
        <v>357</v>
      </c>
      <c r="M123" s="184">
        <f t="shared" ca="1" si="12"/>
        <v>0</v>
      </c>
      <c r="N123" s="67">
        <f t="shared" ca="1" si="11"/>
        <v>0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182" t="str">
        <f t="shared" ca="1" si="9"/>
        <v>Tổ Hạ tầng Tân An</v>
      </c>
      <c r="C124" s="61" t="str">
        <f t="shared" ca="1" si="2"/>
        <v>Nguyễn Hữu Tân</v>
      </c>
      <c r="D124" s="183">
        <f t="shared" ca="1" si="3"/>
        <v>945663773</v>
      </c>
      <c r="E124" s="63" t="str">
        <f t="shared" ca="1" si="4"/>
        <v>tannh.lan@vnpt.vn</v>
      </c>
      <c r="F124" s="64" t="str">
        <f t="shared" ca="1" si="5"/>
        <v>Lần 6</v>
      </c>
      <c r="G124" s="89"/>
      <c r="H124" s="125"/>
      <c r="I124" s="125"/>
      <c r="J124" s="126"/>
      <c r="K124" s="126"/>
      <c r="L124" s="193" t="s">
        <v>357</v>
      </c>
      <c r="M124" s="184">
        <f t="shared" ca="1" si="12"/>
        <v>0</v>
      </c>
      <c r="N124" s="67">
        <f t="shared" ca="1" si="11"/>
        <v>0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182" t="str">
        <f t="shared" ca="1" si="9"/>
        <v>Tổ Hạ tầng Tân An</v>
      </c>
      <c r="C125" s="61" t="str">
        <f t="shared" ca="1" si="2"/>
        <v>Nguyễn Hữu Tân</v>
      </c>
      <c r="D125" s="183">
        <f t="shared" ca="1" si="3"/>
        <v>945663773</v>
      </c>
      <c r="E125" s="63" t="str">
        <f t="shared" ca="1" si="4"/>
        <v>tannh.lan@vnpt.vn</v>
      </c>
      <c r="F125" s="64" t="str">
        <f t="shared" ca="1" si="5"/>
        <v>Lần 7</v>
      </c>
      <c r="G125" s="89"/>
      <c r="H125" s="75"/>
      <c r="I125" s="75"/>
      <c r="J125" s="94"/>
      <c r="K125" s="94"/>
      <c r="L125" s="193" t="s">
        <v>357</v>
      </c>
      <c r="M125" s="184">
        <f t="shared" ca="1" si="12"/>
        <v>0</v>
      </c>
      <c r="N125" s="67">
        <f t="shared" ca="1" si="11"/>
        <v>0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182" t="str">
        <f t="shared" ca="1" si="9"/>
        <v>Tổ Hạ tầng Tân An</v>
      </c>
      <c r="C126" s="61" t="str">
        <f t="shared" ca="1" si="2"/>
        <v>Nguyễn Hữu Tân</v>
      </c>
      <c r="D126" s="183">
        <f t="shared" ca="1" si="3"/>
        <v>945663773</v>
      </c>
      <c r="E126" s="63" t="str">
        <f t="shared" ca="1" si="4"/>
        <v>tannh.lan@vnpt.vn</v>
      </c>
      <c r="F126" s="64" t="str">
        <f t="shared" ca="1" si="5"/>
        <v>Lần 8</v>
      </c>
      <c r="G126" s="89"/>
      <c r="H126" s="75"/>
      <c r="I126" s="75"/>
      <c r="J126" s="94"/>
      <c r="K126" s="94"/>
      <c r="L126" s="193" t="s">
        <v>357</v>
      </c>
      <c r="M126" s="184">
        <f t="shared" ca="1" si="12"/>
        <v>0</v>
      </c>
      <c r="N126" s="67">
        <f t="shared" ca="1" si="11"/>
        <v>0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182" t="str">
        <f t="shared" ca="1" si="9"/>
        <v>Tổ Hạ tầng Tân An</v>
      </c>
      <c r="C127" s="61" t="str">
        <f t="shared" ca="1" si="2"/>
        <v>Nguyễn Hữu Tân</v>
      </c>
      <c r="D127" s="183">
        <f t="shared" ca="1" si="3"/>
        <v>945663773</v>
      </c>
      <c r="E127" s="63" t="str">
        <f t="shared" ca="1" si="4"/>
        <v>tannh.lan@vnpt.vn</v>
      </c>
      <c r="F127" s="64" t="str">
        <f t="shared" ca="1" si="5"/>
        <v>Lần 9</v>
      </c>
      <c r="G127" s="89"/>
      <c r="H127" s="125"/>
      <c r="I127" s="125"/>
      <c r="J127" s="126"/>
      <c r="K127" s="126"/>
      <c r="L127" s="193" t="s">
        <v>357</v>
      </c>
      <c r="M127" s="184">
        <f t="shared" ca="1" si="12"/>
        <v>0</v>
      </c>
      <c r="N127" s="67">
        <f t="shared" ca="1" si="11"/>
        <v>0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182" t="str">
        <f t="shared" ca="1" si="9"/>
        <v>Tổ Hạ tầng Tân An</v>
      </c>
      <c r="C128" s="61" t="str">
        <f t="shared" ca="1" si="2"/>
        <v>Nguyễn Hữu Tân</v>
      </c>
      <c r="D128" s="183">
        <f t="shared" ca="1" si="3"/>
        <v>945663773</v>
      </c>
      <c r="E128" s="63" t="str">
        <f t="shared" ca="1" si="4"/>
        <v>tannh.lan@vnpt.vn</v>
      </c>
      <c r="F128" s="64" t="str">
        <f t="shared" ca="1" si="5"/>
        <v>Lần 10</v>
      </c>
      <c r="G128" s="89"/>
      <c r="H128" s="125"/>
      <c r="I128" s="125"/>
      <c r="J128" s="126"/>
      <c r="K128" s="126"/>
      <c r="L128" s="193" t="s">
        <v>357</v>
      </c>
      <c r="M128" s="184">
        <f t="shared" ca="1" si="12"/>
        <v>0</v>
      </c>
      <c r="N128" s="67">
        <f t="shared" ca="1" si="11"/>
        <v>0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182" t="str">
        <f t="shared" ca="1" si="9"/>
        <v>Tổ Hạ tầng Tân An</v>
      </c>
      <c r="C129" s="61" t="str">
        <f t="shared" ca="1" si="2"/>
        <v>Nguyễn Hữu Tân</v>
      </c>
      <c r="D129" s="183">
        <f t="shared" ca="1" si="3"/>
        <v>945663773</v>
      </c>
      <c r="E129" s="63" t="str">
        <f t="shared" ca="1" si="4"/>
        <v>tannh.lan@vnpt.vn</v>
      </c>
      <c r="F129" s="64" t="str">
        <f t="shared" ca="1" si="5"/>
        <v>Lần 11</v>
      </c>
      <c r="G129" s="89"/>
      <c r="H129" s="125"/>
      <c r="I129" s="125"/>
      <c r="J129" s="126"/>
      <c r="K129" s="126"/>
      <c r="L129" s="193" t="s">
        <v>357</v>
      </c>
      <c r="M129" s="184">
        <f t="shared" ca="1" si="12"/>
        <v>0</v>
      </c>
      <c r="N129" s="67">
        <f t="shared" ca="1" si="11"/>
        <v>0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182" t="str">
        <f t="shared" ca="1" si="9"/>
        <v>Tổ Hạ tầng Tân An</v>
      </c>
      <c r="C130" s="61" t="str">
        <f t="shared" ca="1" si="2"/>
        <v>Nguyễn Hữu Tân</v>
      </c>
      <c r="D130" s="183">
        <f t="shared" ca="1" si="3"/>
        <v>945663773</v>
      </c>
      <c r="E130" s="63" t="str">
        <f t="shared" ca="1" si="4"/>
        <v>tannh.lan@vnpt.vn</v>
      </c>
      <c r="F130" s="64" t="str">
        <f t="shared" ca="1" si="5"/>
        <v>Lần 12</v>
      </c>
      <c r="G130" s="89"/>
      <c r="H130" s="125"/>
      <c r="I130" s="125"/>
      <c r="J130" s="126"/>
      <c r="K130" s="126"/>
      <c r="L130" s="193" t="s">
        <v>357</v>
      </c>
      <c r="M130" s="184">
        <f t="shared" ca="1" si="12"/>
        <v>0</v>
      </c>
      <c r="N130" s="67">
        <f t="shared" ca="1" si="11"/>
        <v>0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182" t="str">
        <f t="shared" ca="1" si="9"/>
        <v>Tổ Hạ tầng Tân An</v>
      </c>
      <c r="C131" s="61" t="str">
        <f t="shared" ca="1" si="2"/>
        <v>Nguyễn Hữu Tân</v>
      </c>
      <c r="D131" s="183">
        <f t="shared" ca="1" si="3"/>
        <v>945663773</v>
      </c>
      <c r="E131" s="63" t="str">
        <f t="shared" ca="1" si="4"/>
        <v>tannh.lan@vnpt.vn</v>
      </c>
      <c r="F131" s="64" t="str">
        <f t="shared" ca="1" si="5"/>
        <v>Lần 13</v>
      </c>
      <c r="G131" s="89"/>
      <c r="H131" s="125"/>
      <c r="I131" s="125"/>
      <c r="J131" s="126"/>
      <c r="K131" s="126"/>
      <c r="L131" s="193" t="s">
        <v>357</v>
      </c>
      <c r="M131" s="184">
        <f t="shared" ca="1" si="12"/>
        <v>0</v>
      </c>
      <c r="N131" s="67">
        <f t="shared" ca="1" si="11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182" t="str">
        <f t="shared" ca="1" si="9"/>
        <v>Tổ Hạ tầng Tân An</v>
      </c>
      <c r="C132" s="61" t="str">
        <f t="shared" ca="1" si="2"/>
        <v>Nguyễn Hữu Tân</v>
      </c>
      <c r="D132" s="183">
        <f t="shared" ca="1" si="3"/>
        <v>945663773</v>
      </c>
      <c r="E132" s="63" t="str">
        <f t="shared" ca="1" si="4"/>
        <v>tannh.lan@vnpt.vn</v>
      </c>
      <c r="F132" s="64" t="str">
        <f t="shared" ca="1" si="5"/>
        <v>Lần 14</v>
      </c>
      <c r="G132" s="89"/>
      <c r="H132" s="125"/>
      <c r="I132" s="125"/>
      <c r="J132" s="126"/>
      <c r="K132" s="126"/>
      <c r="L132" s="193" t="s">
        <v>357</v>
      </c>
      <c r="M132" s="184">
        <f t="shared" ca="1" si="12"/>
        <v>0</v>
      </c>
      <c r="N132" s="67">
        <f t="shared" ca="1" si="11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182" t="str">
        <f t="shared" ca="1" si="9"/>
        <v>Tổ Hạ tầng Tân An</v>
      </c>
      <c r="C133" s="61" t="str">
        <f t="shared" ca="1" si="2"/>
        <v>Nguyễn Hữu Tân</v>
      </c>
      <c r="D133" s="183">
        <f t="shared" ca="1" si="3"/>
        <v>945663773</v>
      </c>
      <c r="E133" s="63" t="str">
        <f t="shared" ca="1" si="4"/>
        <v>tannh.lan@vnpt.vn</v>
      </c>
      <c r="F133" s="64" t="str">
        <f t="shared" ca="1" si="5"/>
        <v>Lần 15</v>
      </c>
      <c r="G133" s="89"/>
      <c r="H133" s="125"/>
      <c r="I133" s="125"/>
      <c r="J133" s="126"/>
      <c r="K133" s="126"/>
      <c r="L133" s="193" t="s">
        <v>357</v>
      </c>
      <c r="M133" s="184">
        <f t="shared" ca="1" si="12"/>
        <v>0</v>
      </c>
      <c r="N133" s="67">
        <f t="shared" ca="1" si="11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96" t="str">
        <f t="shared" ca="1" si="9"/>
        <v>Tổ Hạ tầng Tân An</v>
      </c>
      <c r="C134" s="102" t="str">
        <f t="shared" ca="1" si="2"/>
        <v>Nguyễn Hữu Tân</v>
      </c>
      <c r="D134" s="197">
        <f t="shared" ca="1" si="3"/>
        <v>945663773</v>
      </c>
      <c r="E134" s="104" t="str">
        <f t="shared" ca="1" si="4"/>
        <v>tannh.lan@vnpt.vn</v>
      </c>
      <c r="F134" s="105" t="str">
        <f t="shared" ca="1" si="5"/>
        <v>Lần 16</v>
      </c>
      <c r="G134" s="283"/>
      <c r="H134" s="284"/>
      <c r="I134" s="284"/>
      <c r="J134" s="285"/>
      <c r="K134" s="285"/>
      <c r="L134" s="193" t="s">
        <v>357</v>
      </c>
      <c r="M134" s="202">
        <f t="shared" ca="1" si="12"/>
        <v>0</v>
      </c>
      <c r="N134" s="203">
        <f t="shared" ca="1" si="11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204" t="str">
        <f t="shared" ca="1" si="9"/>
        <v>Tổ Hạ tầng Tân An</v>
      </c>
      <c r="C135" s="108" t="str">
        <f t="shared" ca="1" si="2"/>
        <v>Lê Minh Kha</v>
      </c>
      <c r="D135" s="205">
        <f t="shared" ca="1" si="3"/>
        <v>829669739</v>
      </c>
      <c r="E135" s="110" t="str">
        <f t="shared" ca="1" si="4"/>
        <v>khalm.lan@vnpt.vn</v>
      </c>
      <c r="F135" s="111" t="str">
        <f t="shared" ca="1" si="5"/>
        <v>Lần 1</v>
      </c>
      <c r="G135" s="89"/>
      <c r="H135" s="125"/>
      <c r="I135" s="125"/>
      <c r="J135" s="125"/>
      <c r="K135" s="126"/>
      <c r="L135" s="148" t="s">
        <v>279</v>
      </c>
      <c r="M135" s="56">
        <f t="shared" ca="1" si="12"/>
        <v>0</v>
      </c>
      <c r="N135" s="266">
        <f t="shared" ca="1" si="11"/>
        <v>0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182" t="str">
        <f t="shared" ca="1" si="9"/>
        <v>Tổ Hạ tầng Tân An</v>
      </c>
      <c r="C136" s="61" t="str">
        <f t="shared" ca="1" si="2"/>
        <v>Lê Minh Kha</v>
      </c>
      <c r="D136" s="183">
        <f t="shared" ca="1" si="3"/>
        <v>829669739</v>
      </c>
      <c r="E136" s="63" t="str">
        <f t="shared" ca="1" si="4"/>
        <v>khalm.lan@vnpt.vn</v>
      </c>
      <c r="F136" s="64" t="str">
        <f t="shared" ca="1" si="5"/>
        <v>Lần 2</v>
      </c>
      <c r="G136" s="89"/>
      <c r="H136" s="125"/>
      <c r="I136" s="125"/>
      <c r="J136" s="126"/>
      <c r="K136" s="126"/>
      <c r="L136" s="148" t="s">
        <v>279</v>
      </c>
      <c r="M136" s="66">
        <f t="shared" ca="1" si="12"/>
        <v>0</v>
      </c>
      <c r="N136" s="268">
        <f t="shared" ca="1" si="11"/>
        <v>0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182" t="str">
        <f t="shared" ca="1" si="9"/>
        <v>Tổ Hạ tầng Tân An</v>
      </c>
      <c r="C137" s="61" t="str">
        <f t="shared" ca="1" si="2"/>
        <v>Lê Minh Kha</v>
      </c>
      <c r="D137" s="183">
        <f t="shared" ca="1" si="3"/>
        <v>829669739</v>
      </c>
      <c r="E137" s="63" t="str">
        <f t="shared" ca="1" si="4"/>
        <v>khalm.lan@vnpt.vn</v>
      </c>
      <c r="F137" s="64" t="str">
        <f t="shared" ca="1" si="5"/>
        <v>Lần 3</v>
      </c>
      <c r="G137" s="89"/>
      <c r="H137" s="125"/>
      <c r="I137" s="125"/>
      <c r="J137" s="126"/>
      <c r="K137" s="126"/>
      <c r="L137" s="148" t="s">
        <v>279</v>
      </c>
      <c r="M137" s="66">
        <f t="shared" ca="1" si="12"/>
        <v>0</v>
      </c>
      <c r="N137" s="268">
        <f t="shared" ca="1" si="11"/>
        <v>0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182" t="str">
        <f t="shared" ca="1" si="9"/>
        <v>Tổ Hạ tầng Tân An</v>
      </c>
      <c r="C138" s="61" t="str">
        <f t="shared" ca="1" si="2"/>
        <v>Lê Minh Kha</v>
      </c>
      <c r="D138" s="183">
        <f t="shared" ca="1" si="3"/>
        <v>829669739</v>
      </c>
      <c r="E138" s="63" t="str">
        <f t="shared" ca="1" si="4"/>
        <v>khalm.lan@vnpt.vn</v>
      </c>
      <c r="F138" s="64" t="str">
        <f t="shared" ca="1" si="5"/>
        <v>Lần 4</v>
      </c>
      <c r="G138" s="89"/>
      <c r="H138" s="125"/>
      <c r="I138" s="125"/>
      <c r="J138" s="126"/>
      <c r="K138" s="126"/>
      <c r="L138" s="148" t="s">
        <v>279</v>
      </c>
      <c r="M138" s="66">
        <f t="shared" ca="1" si="12"/>
        <v>0</v>
      </c>
      <c r="N138" s="268">
        <f t="shared" ca="1" si="11"/>
        <v>0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182" t="str">
        <f t="shared" ca="1" si="9"/>
        <v>Tổ Hạ tầng Tân An</v>
      </c>
      <c r="C139" s="61" t="str">
        <f t="shared" ca="1" si="2"/>
        <v>Lê Minh Kha</v>
      </c>
      <c r="D139" s="183">
        <f t="shared" ca="1" si="3"/>
        <v>829669739</v>
      </c>
      <c r="E139" s="63" t="str">
        <f t="shared" ca="1" si="4"/>
        <v>khalm.lan@vnpt.vn</v>
      </c>
      <c r="F139" s="64" t="str">
        <f t="shared" ca="1" si="5"/>
        <v>Lần 5</v>
      </c>
      <c r="G139" s="89"/>
      <c r="H139" s="125"/>
      <c r="I139" s="125"/>
      <c r="J139" s="126"/>
      <c r="K139" s="126"/>
      <c r="L139" s="148" t="s">
        <v>279</v>
      </c>
      <c r="M139" s="66">
        <f t="shared" ca="1" si="12"/>
        <v>0</v>
      </c>
      <c r="N139" s="268">
        <f t="shared" ca="1" si="11"/>
        <v>0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182" t="str">
        <f t="shared" ca="1" si="9"/>
        <v>Tổ Hạ tầng Tân An</v>
      </c>
      <c r="C140" s="61" t="str">
        <f t="shared" ca="1" si="2"/>
        <v>Lê Minh Kha</v>
      </c>
      <c r="D140" s="183">
        <f t="shared" ca="1" si="3"/>
        <v>829669739</v>
      </c>
      <c r="E140" s="63" t="str">
        <f t="shared" ca="1" si="4"/>
        <v>khalm.lan@vnpt.vn</v>
      </c>
      <c r="F140" s="64" t="str">
        <f t="shared" ca="1" si="5"/>
        <v>Lần 6</v>
      </c>
      <c r="G140" s="89"/>
      <c r="H140" s="122"/>
      <c r="I140" s="122"/>
      <c r="J140" s="98"/>
      <c r="K140" s="98"/>
      <c r="L140" s="148" t="s">
        <v>279</v>
      </c>
      <c r="M140" s="66">
        <f t="shared" ca="1" si="12"/>
        <v>0</v>
      </c>
      <c r="N140" s="268">
        <f t="shared" ca="1" si="11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182" t="str">
        <f t="shared" ca="1" si="9"/>
        <v>Tổ Hạ tầng Tân An</v>
      </c>
      <c r="C141" s="61" t="str">
        <f t="shared" ca="1" si="2"/>
        <v>Lê Minh Kha</v>
      </c>
      <c r="D141" s="183">
        <f t="shared" ca="1" si="3"/>
        <v>829669739</v>
      </c>
      <c r="E141" s="63" t="str">
        <f t="shared" ca="1" si="4"/>
        <v>khalm.lan@vnpt.vn</v>
      </c>
      <c r="F141" s="64" t="str">
        <f t="shared" ca="1" si="5"/>
        <v>Lần 7</v>
      </c>
      <c r="G141" s="89"/>
      <c r="H141" s="125"/>
      <c r="I141" s="125"/>
      <c r="J141" s="126"/>
      <c r="K141" s="126"/>
      <c r="L141" s="148" t="s">
        <v>279</v>
      </c>
      <c r="M141" s="66">
        <f t="shared" ca="1" si="12"/>
        <v>0</v>
      </c>
      <c r="N141" s="268">
        <f t="shared" ca="1" si="11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182" t="str">
        <f t="shared" ca="1" si="9"/>
        <v>Tổ Hạ tầng Tân An</v>
      </c>
      <c r="C142" s="61" t="str">
        <f t="shared" ca="1" si="2"/>
        <v>Lê Minh Kha</v>
      </c>
      <c r="D142" s="183">
        <f t="shared" ca="1" si="3"/>
        <v>829669739</v>
      </c>
      <c r="E142" s="63" t="str">
        <f t="shared" ca="1" si="4"/>
        <v>khalm.lan@vnpt.vn</v>
      </c>
      <c r="F142" s="64" t="str">
        <f t="shared" ca="1" si="5"/>
        <v>Lần 8</v>
      </c>
      <c r="G142" s="89"/>
      <c r="H142" s="125"/>
      <c r="I142" s="125"/>
      <c r="J142" s="126"/>
      <c r="K142" s="126"/>
      <c r="L142" s="148" t="s">
        <v>279</v>
      </c>
      <c r="M142" s="66">
        <f t="shared" ca="1" si="12"/>
        <v>0</v>
      </c>
      <c r="N142" s="268">
        <f t="shared" ca="1" si="11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182" t="str">
        <f t="shared" ca="1" si="9"/>
        <v>Tổ Hạ tầng Tân An</v>
      </c>
      <c r="C143" s="61" t="str">
        <f t="shared" ca="1" si="2"/>
        <v>Lê Minh Kha</v>
      </c>
      <c r="D143" s="183">
        <f t="shared" ca="1" si="3"/>
        <v>829669739</v>
      </c>
      <c r="E143" s="63" t="str">
        <f t="shared" ca="1" si="4"/>
        <v>khalm.lan@vnpt.vn</v>
      </c>
      <c r="F143" s="64" t="str">
        <f t="shared" ca="1" si="5"/>
        <v>Lần 9</v>
      </c>
      <c r="G143" s="89"/>
      <c r="H143" s="125"/>
      <c r="I143" s="125"/>
      <c r="J143" s="126"/>
      <c r="K143" s="126"/>
      <c r="L143" s="148" t="s">
        <v>279</v>
      </c>
      <c r="M143" s="66">
        <f t="shared" ca="1" si="12"/>
        <v>0</v>
      </c>
      <c r="N143" s="268">
        <f t="shared" ca="1" si="11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182" t="str">
        <f t="shared" ca="1" si="9"/>
        <v>Tổ Hạ tầng Tân An</v>
      </c>
      <c r="C144" s="61" t="str">
        <f t="shared" ca="1" si="2"/>
        <v>Lê Minh Kha</v>
      </c>
      <c r="D144" s="183">
        <f t="shared" ca="1" si="3"/>
        <v>829669739</v>
      </c>
      <c r="E144" s="63" t="str">
        <f t="shared" ca="1" si="4"/>
        <v>khalm.lan@vnpt.vn</v>
      </c>
      <c r="F144" s="64" t="str">
        <f t="shared" ca="1" si="5"/>
        <v>Lần 10</v>
      </c>
      <c r="G144" s="89"/>
      <c r="H144" s="125"/>
      <c r="I144" s="125"/>
      <c r="J144" s="126"/>
      <c r="K144" s="126"/>
      <c r="L144" s="148" t="s">
        <v>279</v>
      </c>
      <c r="M144" s="66">
        <f t="shared" ca="1" si="12"/>
        <v>0</v>
      </c>
      <c r="N144" s="268">
        <f t="shared" ca="1" si="11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182" t="str">
        <f t="shared" ca="1" si="9"/>
        <v>Tổ Hạ tầng Tân An</v>
      </c>
      <c r="C145" s="61" t="str">
        <f t="shared" ca="1" si="2"/>
        <v>Lê Minh Kha</v>
      </c>
      <c r="D145" s="183">
        <f t="shared" ca="1" si="3"/>
        <v>829669739</v>
      </c>
      <c r="E145" s="63" t="str">
        <f t="shared" ca="1" si="4"/>
        <v>khalm.lan@vnpt.vn</v>
      </c>
      <c r="F145" s="64" t="str">
        <f t="shared" ca="1" si="5"/>
        <v>Lần 11</v>
      </c>
      <c r="G145" s="89"/>
      <c r="H145" s="125"/>
      <c r="I145" s="125"/>
      <c r="J145" s="126"/>
      <c r="K145" s="126"/>
      <c r="L145" s="148" t="s">
        <v>279</v>
      </c>
      <c r="M145" s="66">
        <f t="shared" ca="1" si="12"/>
        <v>0</v>
      </c>
      <c r="N145" s="268">
        <f t="shared" ca="1" si="11"/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182" t="str">
        <f t="shared" ca="1" si="9"/>
        <v>Tổ Hạ tầng Tân An</v>
      </c>
      <c r="C146" s="61" t="str">
        <f t="shared" ca="1" si="2"/>
        <v>Lê Minh Kha</v>
      </c>
      <c r="D146" s="183">
        <f t="shared" ca="1" si="3"/>
        <v>829669739</v>
      </c>
      <c r="E146" s="63" t="str">
        <f t="shared" ca="1" si="4"/>
        <v>khalm.lan@vnpt.vn</v>
      </c>
      <c r="F146" s="64" t="str">
        <f t="shared" ca="1" si="5"/>
        <v>Lần 12</v>
      </c>
      <c r="G146" s="89"/>
      <c r="H146" s="125"/>
      <c r="I146" s="125"/>
      <c r="J146" s="126"/>
      <c r="K146" s="126"/>
      <c r="L146" s="148" t="s">
        <v>279</v>
      </c>
      <c r="M146" s="66">
        <f t="shared" ca="1" si="12"/>
        <v>0</v>
      </c>
      <c r="N146" s="268">
        <f t="shared" ca="1" si="11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182" t="str">
        <f t="shared" ca="1" si="9"/>
        <v>Tổ Hạ tầng Tân An</v>
      </c>
      <c r="C147" s="61" t="str">
        <f t="shared" ca="1" si="2"/>
        <v>Lê Minh Kha</v>
      </c>
      <c r="D147" s="183">
        <f t="shared" ca="1" si="3"/>
        <v>829669739</v>
      </c>
      <c r="E147" s="63" t="str">
        <f t="shared" ca="1" si="4"/>
        <v>khalm.lan@vnpt.vn</v>
      </c>
      <c r="F147" s="64" t="str">
        <f t="shared" ca="1" si="5"/>
        <v>Lần 13</v>
      </c>
      <c r="G147" s="89"/>
      <c r="H147" s="125"/>
      <c r="I147" s="125"/>
      <c r="J147" s="126"/>
      <c r="K147" s="126"/>
      <c r="L147" s="148" t="s">
        <v>279</v>
      </c>
      <c r="M147" s="66">
        <f t="shared" ca="1" si="12"/>
        <v>0</v>
      </c>
      <c r="N147" s="268">
        <f t="shared" ca="1" si="11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182" t="str">
        <f t="shared" ca="1" si="9"/>
        <v>Tổ Hạ tầng Tân An</v>
      </c>
      <c r="C148" s="61" t="str">
        <f t="shared" ca="1" si="2"/>
        <v>Lê Minh Kha</v>
      </c>
      <c r="D148" s="183">
        <f t="shared" ca="1" si="3"/>
        <v>829669739</v>
      </c>
      <c r="E148" s="63" t="str">
        <f t="shared" ca="1" si="4"/>
        <v>khalm.lan@vnpt.vn</v>
      </c>
      <c r="F148" s="64" t="str">
        <f t="shared" ca="1" si="5"/>
        <v>Lần 14</v>
      </c>
      <c r="G148" s="89"/>
      <c r="H148" s="125"/>
      <c r="I148" s="125"/>
      <c r="J148" s="126"/>
      <c r="K148" s="126"/>
      <c r="L148" s="148" t="s">
        <v>279</v>
      </c>
      <c r="M148" s="66">
        <f t="shared" ca="1" si="12"/>
        <v>0</v>
      </c>
      <c r="N148" s="268">
        <f t="shared" ca="1" si="11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182" t="str">
        <f t="shared" ca="1" si="9"/>
        <v>Tổ Hạ tầng Tân An</v>
      </c>
      <c r="C149" s="61" t="str">
        <f t="shared" ca="1" si="2"/>
        <v>Lê Minh Kha</v>
      </c>
      <c r="D149" s="183">
        <f t="shared" ca="1" si="3"/>
        <v>829669739</v>
      </c>
      <c r="E149" s="63" t="str">
        <f t="shared" ca="1" si="4"/>
        <v>khalm.lan@vnpt.vn</v>
      </c>
      <c r="F149" s="64" t="str">
        <f t="shared" ca="1" si="5"/>
        <v>Lần 15</v>
      </c>
      <c r="G149" s="89"/>
      <c r="H149" s="125"/>
      <c r="I149" s="125"/>
      <c r="J149" s="126"/>
      <c r="K149" s="126"/>
      <c r="L149" s="148" t="s">
        <v>279</v>
      </c>
      <c r="M149" s="66">
        <f t="shared" ca="1" si="12"/>
        <v>0</v>
      </c>
      <c r="N149" s="268">
        <f t="shared" ca="1" si="11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185" t="str">
        <f t="shared" ca="1" si="9"/>
        <v>Tổ Hạ tầng Tân An</v>
      </c>
      <c r="C150" s="82" t="str">
        <f t="shared" ca="1" si="2"/>
        <v>Lê Minh Kha</v>
      </c>
      <c r="D150" s="186">
        <f t="shared" ca="1" si="3"/>
        <v>829669739</v>
      </c>
      <c r="E150" s="84" t="str">
        <f t="shared" ca="1" si="4"/>
        <v>khalm.lan@vnpt.vn</v>
      </c>
      <c r="F150" s="85" t="str">
        <f t="shared" ca="1" si="5"/>
        <v>Lần 16</v>
      </c>
      <c r="G150" s="89"/>
      <c r="H150" s="300"/>
      <c r="I150" s="300"/>
      <c r="J150" s="301"/>
      <c r="K150" s="301"/>
      <c r="L150" s="148" t="s">
        <v>279</v>
      </c>
      <c r="M150" s="170">
        <f t="shared" ca="1" si="12"/>
        <v>0</v>
      </c>
      <c r="N150" s="269">
        <f t="shared" ca="1" si="11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190" t="str">
        <f t="shared" ca="1" si="9"/>
        <v>Tổ Hạ tầng Tân An</v>
      </c>
      <c r="C151" s="48" t="str">
        <f t="shared" ca="1" si="2"/>
        <v>Huỳnh Phước Yên</v>
      </c>
      <c r="D151" s="191">
        <f t="shared" ca="1" si="3"/>
        <v>918611919</v>
      </c>
      <c r="E151" s="50" t="str">
        <f t="shared" ca="1" si="4"/>
        <v>yenhp.lan@vnpt.vn</v>
      </c>
      <c r="F151" s="51" t="str">
        <f t="shared" ca="1" si="5"/>
        <v>Lần 1</v>
      </c>
      <c r="G151" s="52">
        <v>46204</v>
      </c>
      <c r="H151" s="86">
        <v>514.1</v>
      </c>
      <c r="I151" s="86">
        <v>107.9</v>
      </c>
      <c r="J151" s="87">
        <v>1169</v>
      </c>
      <c r="K151" s="86">
        <v>107</v>
      </c>
      <c r="L151" s="302" t="s">
        <v>279</v>
      </c>
      <c r="M151" s="194">
        <f t="shared" ca="1" si="12"/>
        <v>1</v>
      </c>
      <c r="N151" s="195">
        <f t="shared" ca="1" si="11"/>
        <v>1</v>
      </c>
      <c r="O151" s="68">
        <f t="shared" ca="1" si="8"/>
        <v>1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182" t="str">
        <f t="shared" ca="1" si="9"/>
        <v>Tổ Hạ tầng Tân An</v>
      </c>
      <c r="C152" s="61" t="str">
        <f t="shared" ca="1" si="2"/>
        <v>Huỳnh Phước Yên</v>
      </c>
      <c r="D152" s="183">
        <f t="shared" ca="1" si="3"/>
        <v>918611919</v>
      </c>
      <c r="E152" s="63" t="str">
        <f t="shared" ca="1" si="4"/>
        <v>yenhp.lan@vnpt.vn</v>
      </c>
      <c r="F152" s="64" t="str">
        <f t="shared" ca="1" si="5"/>
        <v>Lần 2</v>
      </c>
      <c r="G152" s="52">
        <v>46204</v>
      </c>
      <c r="H152" s="69">
        <v>561.79999999999995</v>
      </c>
      <c r="I152" s="69">
        <v>113.6</v>
      </c>
      <c r="J152" s="90">
        <v>1040</v>
      </c>
      <c r="K152" s="53">
        <v>109</v>
      </c>
      <c r="L152" s="303" t="s">
        <v>279</v>
      </c>
      <c r="M152" s="184">
        <f t="shared" ca="1" si="12"/>
        <v>1</v>
      </c>
      <c r="N152" s="67">
        <f t="shared" ca="1" si="11"/>
        <v>1</v>
      </c>
      <c r="O152" s="68">
        <f t="shared" ca="1" si="8"/>
        <v>1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182" t="str">
        <f t="shared" ca="1" si="9"/>
        <v>Tổ Hạ tầng Tân An</v>
      </c>
      <c r="C153" s="61" t="str">
        <f t="shared" ca="1" si="2"/>
        <v>Huỳnh Phước Yên</v>
      </c>
      <c r="D153" s="183">
        <f t="shared" ca="1" si="3"/>
        <v>918611919</v>
      </c>
      <c r="E153" s="63" t="str">
        <f t="shared" ca="1" si="4"/>
        <v>yenhp.lan@vnpt.vn</v>
      </c>
      <c r="F153" s="64" t="str">
        <f t="shared" ca="1" si="5"/>
        <v>Lần 3</v>
      </c>
      <c r="G153" s="52">
        <v>46204</v>
      </c>
      <c r="H153" s="69">
        <v>529.1</v>
      </c>
      <c r="I153" s="69">
        <v>111.2</v>
      </c>
      <c r="J153" s="90">
        <v>769</v>
      </c>
      <c r="K153" s="90">
        <v>104</v>
      </c>
      <c r="L153" s="303" t="s">
        <v>279</v>
      </c>
      <c r="M153" s="184">
        <f t="shared" ca="1" si="12"/>
        <v>1</v>
      </c>
      <c r="N153" s="67">
        <f t="shared" ca="1" si="11"/>
        <v>1</v>
      </c>
      <c r="O153" s="68">
        <f t="shared" ca="1" si="8"/>
        <v>1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182" t="str">
        <f t="shared" ca="1" si="9"/>
        <v>Tổ Hạ tầng Tân An</v>
      </c>
      <c r="C154" s="61" t="str">
        <f t="shared" ca="1" si="2"/>
        <v>Huỳnh Phước Yên</v>
      </c>
      <c r="D154" s="183">
        <f t="shared" ca="1" si="3"/>
        <v>918611919</v>
      </c>
      <c r="E154" s="63" t="str">
        <f t="shared" ca="1" si="4"/>
        <v>yenhp.lan@vnpt.vn</v>
      </c>
      <c r="F154" s="64" t="str">
        <f t="shared" ca="1" si="5"/>
        <v>Lần 4</v>
      </c>
      <c r="G154" s="52">
        <v>46204</v>
      </c>
      <c r="H154" s="125">
        <v>441.8</v>
      </c>
      <c r="I154" s="125">
        <v>104</v>
      </c>
      <c r="J154" s="126">
        <v>919</v>
      </c>
      <c r="K154" s="126">
        <v>100</v>
      </c>
      <c r="L154" s="303" t="s">
        <v>279</v>
      </c>
      <c r="M154" s="184">
        <f t="shared" ca="1" si="12"/>
        <v>1</v>
      </c>
      <c r="N154" s="67">
        <f t="shared" ca="1" si="11"/>
        <v>1</v>
      </c>
      <c r="O154" s="68">
        <f t="shared" ca="1" si="8"/>
        <v>1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182" t="str">
        <f t="shared" ca="1" si="9"/>
        <v>Tổ Hạ tầng Tân An</v>
      </c>
      <c r="C155" s="61" t="str">
        <f t="shared" ca="1" si="2"/>
        <v>Huỳnh Phước Yên</v>
      </c>
      <c r="D155" s="183">
        <f t="shared" ca="1" si="3"/>
        <v>918611919</v>
      </c>
      <c r="E155" s="63" t="str">
        <f t="shared" ca="1" si="4"/>
        <v>yenhp.lan@vnpt.vn</v>
      </c>
      <c r="F155" s="64" t="str">
        <f t="shared" ca="1" si="5"/>
        <v>Lần 5</v>
      </c>
      <c r="G155" s="89">
        <v>46205</v>
      </c>
      <c r="H155" s="125">
        <v>603.9</v>
      </c>
      <c r="I155" s="125">
        <v>54.5</v>
      </c>
      <c r="J155" s="126">
        <v>1122</v>
      </c>
      <c r="K155" s="126">
        <v>53.5</v>
      </c>
      <c r="L155" s="303" t="s">
        <v>279</v>
      </c>
      <c r="M155" s="184">
        <f t="shared" ca="1" si="12"/>
        <v>1</v>
      </c>
      <c r="N155" s="67">
        <f t="shared" ca="1" si="11"/>
        <v>1</v>
      </c>
      <c r="O155" s="68">
        <f t="shared" ca="1" si="8"/>
        <v>1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182" t="str">
        <f t="shared" ca="1" si="9"/>
        <v>Tổ Hạ tầng Tân An</v>
      </c>
      <c r="C156" s="61" t="str">
        <f t="shared" ca="1" si="2"/>
        <v>Huỳnh Phước Yên</v>
      </c>
      <c r="D156" s="183">
        <f t="shared" ca="1" si="3"/>
        <v>918611919</v>
      </c>
      <c r="E156" s="63" t="str">
        <f t="shared" ca="1" si="4"/>
        <v>yenhp.lan@vnpt.vn</v>
      </c>
      <c r="F156" s="64" t="str">
        <f t="shared" ca="1" si="5"/>
        <v>Lần 6</v>
      </c>
      <c r="G156" s="89">
        <v>46205</v>
      </c>
      <c r="H156" s="125">
        <v>601</v>
      </c>
      <c r="I156" s="125">
        <v>53.4</v>
      </c>
      <c r="J156" s="126">
        <v>1277</v>
      </c>
      <c r="K156" s="126">
        <v>45</v>
      </c>
      <c r="L156" s="270" t="s">
        <v>279</v>
      </c>
      <c r="M156" s="184">
        <f t="shared" ca="1" si="12"/>
        <v>1</v>
      </c>
      <c r="N156" s="67">
        <f t="shared" ca="1" si="11"/>
        <v>1</v>
      </c>
      <c r="O156" s="68">
        <f t="shared" ca="1" si="8"/>
        <v>1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182" t="str">
        <f t="shared" ca="1" si="9"/>
        <v>Tổ Hạ tầng Tân An</v>
      </c>
      <c r="C157" s="61" t="str">
        <f t="shared" ca="1" si="2"/>
        <v>Huỳnh Phước Yên</v>
      </c>
      <c r="D157" s="183">
        <f t="shared" ca="1" si="3"/>
        <v>918611919</v>
      </c>
      <c r="E157" s="63" t="str">
        <f t="shared" ca="1" si="4"/>
        <v>yenhp.lan@vnpt.vn</v>
      </c>
      <c r="F157" s="64" t="str">
        <f t="shared" ca="1" si="5"/>
        <v>Lần 7</v>
      </c>
      <c r="G157" s="89">
        <v>46205</v>
      </c>
      <c r="H157" s="75">
        <v>654.4</v>
      </c>
      <c r="I157" s="75">
        <v>52</v>
      </c>
      <c r="J157" s="94">
        <v>1306</v>
      </c>
      <c r="K157" s="94">
        <v>54.6</v>
      </c>
      <c r="L157" s="270" t="s">
        <v>279</v>
      </c>
      <c r="M157" s="184">
        <f t="shared" ca="1" si="12"/>
        <v>1</v>
      </c>
      <c r="N157" s="67">
        <f t="shared" ca="1" si="11"/>
        <v>1</v>
      </c>
      <c r="O157" s="68">
        <f t="shared" ca="1" si="8"/>
        <v>1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182" t="str">
        <f t="shared" ca="1" si="9"/>
        <v>Tổ Hạ tầng Tân An</v>
      </c>
      <c r="C158" s="61" t="str">
        <f t="shared" ca="1" si="2"/>
        <v>Huỳnh Phước Yên</v>
      </c>
      <c r="D158" s="183">
        <f t="shared" ca="1" si="3"/>
        <v>918611919</v>
      </c>
      <c r="E158" s="63" t="str">
        <f t="shared" ca="1" si="4"/>
        <v>yenhp.lan@vnpt.vn</v>
      </c>
      <c r="F158" s="64" t="str">
        <f t="shared" ca="1" si="5"/>
        <v>Lần 8</v>
      </c>
      <c r="G158" s="89">
        <v>46215</v>
      </c>
      <c r="H158" s="75">
        <v>149.5</v>
      </c>
      <c r="I158" s="75">
        <v>44</v>
      </c>
      <c r="J158" s="94">
        <v>1000</v>
      </c>
      <c r="K158" s="94">
        <v>68.900000000000006</v>
      </c>
      <c r="L158" s="270" t="s">
        <v>279</v>
      </c>
      <c r="M158" s="184">
        <f t="shared" ca="1" si="12"/>
        <v>1</v>
      </c>
      <c r="N158" s="67">
        <f t="shared" ca="1" si="11"/>
        <v>1</v>
      </c>
      <c r="O158" s="68">
        <f t="shared" ca="1" si="8"/>
        <v>1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182" t="str">
        <f t="shared" ca="1" si="9"/>
        <v>Tổ Hạ tầng Tân An</v>
      </c>
      <c r="C159" s="61" t="str">
        <f t="shared" ca="1" si="2"/>
        <v>Huỳnh Phước Yên</v>
      </c>
      <c r="D159" s="183">
        <f t="shared" ca="1" si="3"/>
        <v>918611919</v>
      </c>
      <c r="E159" s="63" t="str">
        <f t="shared" ca="1" si="4"/>
        <v>yenhp.lan@vnpt.vn</v>
      </c>
      <c r="F159" s="64" t="str">
        <f t="shared" ca="1" si="5"/>
        <v>Lần 9</v>
      </c>
      <c r="G159" s="89">
        <v>46215</v>
      </c>
      <c r="H159" s="53">
        <v>143.30000000000001</v>
      </c>
      <c r="I159" s="53">
        <v>63.4</v>
      </c>
      <c r="J159" s="54">
        <v>897</v>
      </c>
      <c r="K159" s="54">
        <v>58.1</v>
      </c>
      <c r="L159" s="270" t="s">
        <v>279</v>
      </c>
      <c r="M159" s="184">
        <f t="shared" ca="1" si="12"/>
        <v>1</v>
      </c>
      <c r="N159" s="67">
        <f t="shared" ca="1" si="11"/>
        <v>1</v>
      </c>
      <c r="O159" s="68">
        <f t="shared" ca="1" si="8"/>
        <v>1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182" t="str">
        <f t="shared" ca="1" si="9"/>
        <v>Tổ Hạ tầng Tân An</v>
      </c>
      <c r="C160" s="61" t="str">
        <f t="shared" ca="1" si="2"/>
        <v>Huỳnh Phước Yên</v>
      </c>
      <c r="D160" s="183">
        <f t="shared" ca="1" si="3"/>
        <v>918611919</v>
      </c>
      <c r="E160" s="63" t="str">
        <f t="shared" ca="1" si="4"/>
        <v>yenhp.lan@vnpt.vn</v>
      </c>
      <c r="F160" s="64" t="str">
        <f t="shared" ca="1" si="5"/>
        <v>Lần 10</v>
      </c>
      <c r="G160" s="89">
        <v>46215</v>
      </c>
      <c r="H160" s="53">
        <v>166.9</v>
      </c>
      <c r="I160" s="53">
        <v>56.5</v>
      </c>
      <c r="J160" s="54">
        <v>838</v>
      </c>
      <c r="K160" s="54" t="s">
        <v>341</v>
      </c>
      <c r="L160" s="270" t="s">
        <v>279</v>
      </c>
      <c r="M160" s="184">
        <f t="shared" ca="1" si="12"/>
        <v>1</v>
      </c>
      <c r="N160" s="67">
        <f t="shared" ca="1" si="11"/>
        <v>1</v>
      </c>
      <c r="O160" s="68">
        <f t="shared" ca="1" si="8"/>
        <v>1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182" t="str">
        <f t="shared" ca="1" si="9"/>
        <v>Tổ Hạ tầng Tân An</v>
      </c>
      <c r="C161" s="61" t="str">
        <f t="shared" ca="1" si="2"/>
        <v>Huỳnh Phước Yên</v>
      </c>
      <c r="D161" s="183">
        <f t="shared" ca="1" si="3"/>
        <v>918611919</v>
      </c>
      <c r="E161" s="63" t="str">
        <f t="shared" ca="1" si="4"/>
        <v>yenhp.lan@vnpt.vn</v>
      </c>
      <c r="F161" s="64" t="str">
        <f t="shared" ca="1" si="5"/>
        <v>Lần 11</v>
      </c>
      <c r="G161" s="89"/>
      <c r="H161" s="53"/>
      <c r="I161" s="53"/>
      <c r="J161" s="54"/>
      <c r="K161" s="54"/>
      <c r="L161" s="270" t="s">
        <v>279</v>
      </c>
      <c r="M161" s="184">
        <f t="shared" ca="1" si="12"/>
        <v>0</v>
      </c>
      <c r="N161" s="67">
        <f t="shared" ca="1" si="11"/>
        <v>0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182" t="str">
        <f t="shared" ca="1" si="9"/>
        <v>Tổ Hạ tầng Tân An</v>
      </c>
      <c r="C162" s="61" t="str">
        <f t="shared" ca="1" si="2"/>
        <v>Huỳnh Phước Yên</v>
      </c>
      <c r="D162" s="183">
        <f t="shared" ca="1" si="3"/>
        <v>918611919</v>
      </c>
      <c r="E162" s="63" t="str">
        <f t="shared" ca="1" si="4"/>
        <v>yenhp.lan@vnpt.vn</v>
      </c>
      <c r="F162" s="64" t="str">
        <f t="shared" ca="1" si="5"/>
        <v>Lần 12</v>
      </c>
      <c r="G162" s="89"/>
      <c r="H162" s="53"/>
      <c r="I162" s="53"/>
      <c r="J162" s="54"/>
      <c r="K162" s="54"/>
      <c r="L162" s="270" t="s">
        <v>279</v>
      </c>
      <c r="M162" s="184">
        <f t="shared" ca="1" si="12"/>
        <v>0</v>
      </c>
      <c r="N162" s="67">
        <f t="shared" ca="1" si="11"/>
        <v>0</v>
      </c>
      <c r="O162" s="68">
        <f t="shared" ca="1" si="8"/>
        <v>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182" t="str">
        <f t="shared" ca="1" si="9"/>
        <v>Tổ Hạ tầng Tân An</v>
      </c>
      <c r="C163" s="61" t="str">
        <f t="shared" ca="1" si="2"/>
        <v>Huỳnh Phước Yên</v>
      </c>
      <c r="D163" s="183">
        <f t="shared" ca="1" si="3"/>
        <v>918611919</v>
      </c>
      <c r="E163" s="63" t="str">
        <f t="shared" ca="1" si="4"/>
        <v>yenhp.lan@vnpt.vn</v>
      </c>
      <c r="F163" s="64" t="str">
        <f t="shared" ca="1" si="5"/>
        <v>Lần 13</v>
      </c>
      <c r="G163" s="89"/>
      <c r="H163" s="53"/>
      <c r="I163" s="53"/>
      <c r="J163" s="54"/>
      <c r="K163" s="54"/>
      <c r="L163" s="270" t="s">
        <v>279</v>
      </c>
      <c r="M163" s="184">
        <f t="shared" ca="1" si="12"/>
        <v>0</v>
      </c>
      <c r="N163" s="67">
        <f t="shared" ca="1" si="11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182" t="str">
        <f t="shared" ca="1" si="9"/>
        <v>Tổ Hạ tầng Tân An</v>
      </c>
      <c r="C164" s="61" t="str">
        <f t="shared" ca="1" si="2"/>
        <v>Huỳnh Phước Yên</v>
      </c>
      <c r="D164" s="183">
        <f t="shared" ca="1" si="3"/>
        <v>918611919</v>
      </c>
      <c r="E164" s="63" t="str">
        <f t="shared" ca="1" si="4"/>
        <v>yenhp.lan@vnpt.vn</v>
      </c>
      <c r="F164" s="64" t="str">
        <f t="shared" ca="1" si="5"/>
        <v>Lần 14</v>
      </c>
      <c r="G164" s="89"/>
      <c r="H164" s="53"/>
      <c r="I164" s="53"/>
      <c r="J164" s="54"/>
      <c r="K164" s="54"/>
      <c r="L164" s="270" t="s">
        <v>279</v>
      </c>
      <c r="M164" s="184">
        <f t="shared" ca="1" si="12"/>
        <v>0</v>
      </c>
      <c r="N164" s="67">
        <f t="shared" ca="1" si="11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182" t="str">
        <f t="shared" ca="1" si="9"/>
        <v>Tổ Hạ tầng Tân An</v>
      </c>
      <c r="C165" s="61" t="str">
        <f t="shared" ca="1" si="2"/>
        <v>Huỳnh Phước Yên</v>
      </c>
      <c r="D165" s="183">
        <f t="shared" ca="1" si="3"/>
        <v>918611919</v>
      </c>
      <c r="E165" s="63" t="str">
        <f t="shared" ca="1" si="4"/>
        <v>yenhp.lan@vnpt.vn</v>
      </c>
      <c r="F165" s="64" t="str">
        <f t="shared" ca="1" si="5"/>
        <v>Lần 15</v>
      </c>
      <c r="G165" s="89"/>
      <c r="H165" s="53"/>
      <c r="I165" s="53"/>
      <c r="J165" s="54"/>
      <c r="K165" s="54"/>
      <c r="L165" s="270" t="s">
        <v>279</v>
      </c>
      <c r="M165" s="184">
        <f t="shared" ca="1" si="12"/>
        <v>0</v>
      </c>
      <c r="N165" s="67">
        <f t="shared" ca="1" si="11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96" t="str">
        <f t="shared" ca="1" si="9"/>
        <v>Tổ Hạ tầng Tân An</v>
      </c>
      <c r="C166" s="102" t="str">
        <f t="shared" ca="1" si="2"/>
        <v>Huỳnh Phước Yên</v>
      </c>
      <c r="D166" s="197">
        <f t="shared" ca="1" si="3"/>
        <v>918611919</v>
      </c>
      <c r="E166" s="104" t="str">
        <f t="shared" ca="1" si="4"/>
        <v>yenhp.lan@vnpt.vn</v>
      </c>
      <c r="F166" s="105" t="str">
        <f t="shared" ca="1" si="5"/>
        <v>Lần 16</v>
      </c>
      <c r="G166" s="304"/>
      <c r="H166" s="289"/>
      <c r="I166" s="289"/>
      <c r="J166" s="290"/>
      <c r="K166" s="290"/>
      <c r="L166" s="270" t="s">
        <v>279</v>
      </c>
      <c r="M166" s="202">
        <f t="shared" ca="1" si="12"/>
        <v>0</v>
      </c>
      <c r="N166" s="203">
        <f t="shared" ca="1" si="11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204" t="str">
        <f t="shared" ca="1" si="9"/>
        <v>Tổ Hạ tầng Tân An</v>
      </c>
      <c r="C167" s="108" t="str">
        <f t="shared" ca="1" si="2"/>
        <v>Lê Xuân Tình</v>
      </c>
      <c r="D167" s="205">
        <f t="shared" ca="1" si="3"/>
        <v>918371799</v>
      </c>
      <c r="E167" s="110" t="str">
        <f t="shared" ca="1" si="4"/>
        <v>tinhlx.lan@vnpt.vn</v>
      </c>
      <c r="F167" s="111" t="str">
        <f t="shared" ca="1" si="5"/>
        <v>Lần 1</v>
      </c>
      <c r="G167" s="89">
        <v>46207</v>
      </c>
      <c r="H167" s="125">
        <v>62.9</v>
      </c>
      <c r="I167" s="125">
        <v>35.299999999999997</v>
      </c>
      <c r="J167" s="126">
        <v>67.099999999999994</v>
      </c>
      <c r="K167" s="126">
        <v>36.700000000000003</v>
      </c>
      <c r="L167" s="148" t="s">
        <v>357</v>
      </c>
      <c r="M167" s="56">
        <f t="shared" ca="1" si="12"/>
        <v>1</v>
      </c>
      <c r="N167" s="266">
        <f t="shared" ca="1" si="11"/>
        <v>1</v>
      </c>
      <c r="O167" s="68">
        <f t="shared" ca="1" si="8"/>
        <v>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182" t="str">
        <f t="shared" ca="1" si="9"/>
        <v>Tổ Hạ tầng Tân An</v>
      </c>
      <c r="C168" s="61" t="str">
        <f t="shared" ca="1" si="2"/>
        <v>Lê Xuân Tình</v>
      </c>
      <c r="D168" s="183">
        <f t="shared" ca="1" si="3"/>
        <v>918371799</v>
      </c>
      <c r="E168" s="63" t="str">
        <f t="shared" ca="1" si="4"/>
        <v>tinhlx.lan@vnpt.vn</v>
      </c>
      <c r="F168" s="64" t="str">
        <f t="shared" ca="1" si="5"/>
        <v>Lần 2</v>
      </c>
      <c r="G168" s="89">
        <v>46207</v>
      </c>
      <c r="H168" s="125">
        <v>48.2</v>
      </c>
      <c r="I168" s="125">
        <v>43.4</v>
      </c>
      <c r="J168" s="126">
        <v>76.900000000000006</v>
      </c>
      <c r="K168" s="126">
        <v>42.1</v>
      </c>
      <c r="L168" s="148" t="s">
        <v>357</v>
      </c>
      <c r="M168" s="66">
        <f t="shared" ca="1" si="12"/>
        <v>1</v>
      </c>
      <c r="N168" s="268">
        <f t="shared" ca="1" si="11"/>
        <v>1</v>
      </c>
      <c r="O168" s="68">
        <f t="shared" ca="1" si="8"/>
        <v>0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182" t="str">
        <f t="shared" ca="1" si="9"/>
        <v>Tổ Hạ tầng Tân An</v>
      </c>
      <c r="C169" s="61" t="str">
        <f t="shared" ca="1" si="2"/>
        <v>Lê Xuân Tình</v>
      </c>
      <c r="D169" s="183">
        <f t="shared" ca="1" si="3"/>
        <v>918371799</v>
      </c>
      <c r="E169" s="63" t="str">
        <f t="shared" ca="1" si="4"/>
        <v>tinhlx.lan@vnpt.vn</v>
      </c>
      <c r="F169" s="64" t="str">
        <f t="shared" ca="1" si="5"/>
        <v>Lần 3</v>
      </c>
      <c r="G169" s="89">
        <v>46207</v>
      </c>
      <c r="H169" s="125">
        <v>49.7</v>
      </c>
      <c r="I169" s="125">
        <v>24.5</v>
      </c>
      <c r="J169" s="126">
        <v>69.900000000000006</v>
      </c>
      <c r="K169" s="126">
        <v>36.5</v>
      </c>
      <c r="L169" s="148" t="s">
        <v>357</v>
      </c>
      <c r="M169" s="66">
        <f t="shared" ca="1" si="12"/>
        <v>1</v>
      </c>
      <c r="N169" s="268">
        <f t="shared" ca="1" si="11"/>
        <v>1</v>
      </c>
      <c r="O169" s="68">
        <f t="shared" ca="1" si="8"/>
        <v>0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182" t="str">
        <f t="shared" ca="1" si="9"/>
        <v>Tổ Hạ tầng Tân An</v>
      </c>
      <c r="C170" s="61" t="str">
        <f t="shared" ca="1" si="2"/>
        <v>Lê Xuân Tình</v>
      </c>
      <c r="D170" s="183">
        <f t="shared" ca="1" si="3"/>
        <v>918371799</v>
      </c>
      <c r="E170" s="63" t="str">
        <f t="shared" ca="1" si="4"/>
        <v>tinhlx.lan@vnpt.vn</v>
      </c>
      <c r="F170" s="64" t="str">
        <f t="shared" ca="1" si="5"/>
        <v>Lần 4</v>
      </c>
      <c r="G170" s="305">
        <v>46205</v>
      </c>
      <c r="H170" s="125">
        <v>51</v>
      </c>
      <c r="I170" s="125">
        <v>40.700000000000003</v>
      </c>
      <c r="J170" s="126">
        <v>60.8</v>
      </c>
      <c r="K170" s="126">
        <v>37.6</v>
      </c>
      <c r="L170" s="148" t="s">
        <v>357</v>
      </c>
      <c r="M170" s="66">
        <f t="shared" ca="1" si="12"/>
        <v>1</v>
      </c>
      <c r="N170" s="268">
        <f t="shared" ca="1" si="11"/>
        <v>1</v>
      </c>
      <c r="O170" s="68">
        <f t="shared" ca="1" si="8"/>
        <v>0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182" t="str">
        <f t="shared" ca="1" si="9"/>
        <v>Tổ Hạ tầng Tân An</v>
      </c>
      <c r="C171" s="61" t="str">
        <f t="shared" ca="1" si="2"/>
        <v>Lê Xuân Tình</v>
      </c>
      <c r="D171" s="183">
        <f t="shared" ca="1" si="3"/>
        <v>918371799</v>
      </c>
      <c r="E171" s="63" t="str">
        <f t="shared" ca="1" si="4"/>
        <v>tinhlx.lan@vnpt.vn</v>
      </c>
      <c r="F171" s="64" t="str">
        <f t="shared" ca="1" si="5"/>
        <v>Lần 5</v>
      </c>
      <c r="G171" s="306" t="s">
        <v>437</v>
      </c>
      <c r="H171" s="125">
        <v>64.5</v>
      </c>
      <c r="I171" s="125">
        <v>40.5</v>
      </c>
      <c r="J171" s="126">
        <v>79.099999999999994</v>
      </c>
      <c r="K171" s="126">
        <v>39.200000000000003</v>
      </c>
      <c r="L171" s="148" t="s">
        <v>357</v>
      </c>
      <c r="M171" s="66">
        <f t="shared" ca="1" si="12"/>
        <v>1</v>
      </c>
      <c r="N171" s="268">
        <f t="shared" ca="1" si="11"/>
        <v>1</v>
      </c>
      <c r="O171" s="68">
        <f t="shared" ca="1" si="8"/>
        <v>0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182" t="str">
        <f t="shared" ca="1" si="9"/>
        <v>Tổ Hạ tầng Tân An</v>
      </c>
      <c r="C172" s="61" t="str">
        <f t="shared" ca="1" si="2"/>
        <v>Lê Xuân Tình</v>
      </c>
      <c r="D172" s="183">
        <f t="shared" ca="1" si="3"/>
        <v>918371799</v>
      </c>
      <c r="E172" s="63" t="str">
        <f t="shared" ca="1" si="4"/>
        <v>tinhlx.lan@vnpt.vn</v>
      </c>
      <c r="F172" s="64" t="str">
        <f t="shared" ca="1" si="5"/>
        <v>Lần 6</v>
      </c>
      <c r="G172" s="306" t="s">
        <v>437</v>
      </c>
      <c r="H172" s="125">
        <v>88</v>
      </c>
      <c r="I172" s="125">
        <v>50.3</v>
      </c>
      <c r="J172" s="126">
        <v>73.2</v>
      </c>
      <c r="K172" s="126">
        <v>41.3</v>
      </c>
      <c r="L172" s="148" t="s">
        <v>357</v>
      </c>
      <c r="M172" s="66">
        <f t="shared" ca="1" si="12"/>
        <v>1</v>
      </c>
      <c r="N172" s="268">
        <f t="shared" ca="1" si="11"/>
        <v>1</v>
      </c>
      <c r="O172" s="68">
        <f t="shared" ca="1" si="8"/>
        <v>0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182" t="str">
        <f t="shared" ca="1" si="9"/>
        <v>Tổ Hạ tầng Tân An</v>
      </c>
      <c r="C173" s="61" t="str">
        <f t="shared" ca="1" si="2"/>
        <v>Lê Xuân Tình</v>
      </c>
      <c r="D173" s="183">
        <f t="shared" ca="1" si="3"/>
        <v>918371799</v>
      </c>
      <c r="E173" s="63" t="str">
        <f t="shared" ca="1" si="4"/>
        <v>tinhlx.lan@vnpt.vn</v>
      </c>
      <c r="F173" s="64" t="str">
        <f t="shared" ca="1" si="5"/>
        <v>Lần 7</v>
      </c>
      <c r="G173" s="306" t="s">
        <v>437</v>
      </c>
      <c r="H173" s="125">
        <v>86.3</v>
      </c>
      <c r="I173" s="125">
        <v>46.9</v>
      </c>
      <c r="J173" s="126">
        <v>99.1</v>
      </c>
      <c r="K173" s="126">
        <v>44.7</v>
      </c>
      <c r="L173" s="148" t="s">
        <v>357</v>
      </c>
      <c r="M173" s="66">
        <f t="shared" ca="1" si="12"/>
        <v>1</v>
      </c>
      <c r="N173" s="268">
        <f t="shared" ca="1" si="11"/>
        <v>1</v>
      </c>
      <c r="O173" s="68">
        <f t="shared" ca="1" si="8"/>
        <v>0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182" t="str">
        <f t="shared" ca="1" si="9"/>
        <v>Tổ Hạ tầng Tân An</v>
      </c>
      <c r="C174" s="61" t="str">
        <f t="shared" ca="1" si="2"/>
        <v>Lê Xuân Tình</v>
      </c>
      <c r="D174" s="183">
        <f t="shared" ca="1" si="3"/>
        <v>918371799</v>
      </c>
      <c r="E174" s="63" t="str">
        <f t="shared" ca="1" si="4"/>
        <v>tinhlx.lan@vnpt.vn</v>
      </c>
      <c r="F174" s="64" t="str">
        <f t="shared" ca="1" si="5"/>
        <v>Lần 8</v>
      </c>
      <c r="G174" s="306" t="s">
        <v>437</v>
      </c>
      <c r="H174" s="125">
        <v>68.900000000000006</v>
      </c>
      <c r="I174" s="125">
        <v>46.9</v>
      </c>
      <c r="J174" s="126">
        <v>105</v>
      </c>
      <c r="K174" s="126">
        <v>43.7</v>
      </c>
      <c r="L174" s="148" t="s">
        <v>357</v>
      </c>
      <c r="M174" s="66">
        <f t="shared" ca="1" si="12"/>
        <v>1</v>
      </c>
      <c r="N174" s="268">
        <f t="shared" ca="1" si="11"/>
        <v>1</v>
      </c>
      <c r="O174" s="68">
        <f t="shared" ca="1" si="8"/>
        <v>0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182" t="str">
        <f t="shared" ca="1" si="9"/>
        <v>Tổ Hạ tầng Tân An</v>
      </c>
      <c r="C175" s="61" t="str">
        <f t="shared" ca="1" si="2"/>
        <v>Lê Xuân Tình</v>
      </c>
      <c r="D175" s="183">
        <f t="shared" ca="1" si="3"/>
        <v>918371799</v>
      </c>
      <c r="E175" s="63" t="str">
        <f t="shared" ca="1" si="4"/>
        <v>tinhlx.lan@vnpt.vn</v>
      </c>
      <c r="F175" s="64" t="str">
        <f t="shared" ca="1" si="5"/>
        <v>Lần 9</v>
      </c>
      <c r="G175" s="89"/>
      <c r="H175" s="125"/>
      <c r="I175" s="125"/>
      <c r="J175" s="126"/>
      <c r="K175" s="126"/>
      <c r="L175" s="148"/>
      <c r="M175" s="66">
        <f t="shared" ca="1" si="12"/>
        <v>0</v>
      </c>
      <c r="N175" s="268">
        <f t="shared" ca="1" si="11"/>
        <v>0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182" t="str">
        <f t="shared" ca="1" si="9"/>
        <v>Tổ Hạ tầng Tân An</v>
      </c>
      <c r="C176" s="61" t="str">
        <f t="shared" ca="1" si="2"/>
        <v>Lê Xuân Tình</v>
      </c>
      <c r="D176" s="183">
        <f t="shared" ca="1" si="3"/>
        <v>918371799</v>
      </c>
      <c r="E176" s="63" t="str">
        <f t="shared" ca="1" si="4"/>
        <v>tinhlx.lan@vnpt.vn</v>
      </c>
      <c r="F176" s="64" t="str">
        <f t="shared" ca="1" si="5"/>
        <v>Lần 10</v>
      </c>
      <c r="G176" s="89"/>
      <c r="H176" s="125"/>
      <c r="I176" s="125"/>
      <c r="J176" s="126"/>
      <c r="K176" s="126"/>
      <c r="L176" s="148"/>
      <c r="M176" s="66">
        <f t="shared" ca="1" si="12"/>
        <v>0</v>
      </c>
      <c r="N176" s="268">
        <f t="shared" ca="1" si="11"/>
        <v>0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182" t="str">
        <f t="shared" ca="1" si="9"/>
        <v>Tổ Hạ tầng Tân An</v>
      </c>
      <c r="C177" s="61" t="str">
        <f t="shared" ca="1" si="2"/>
        <v>Lê Xuân Tình</v>
      </c>
      <c r="D177" s="183">
        <f t="shared" ca="1" si="3"/>
        <v>918371799</v>
      </c>
      <c r="E177" s="63" t="str">
        <f t="shared" ca="1" si="4"/>
        <v>tinhlx.lan@vnpt.vn</v>
      </c>
      <c r="F177" s="64" t="str">
        <f t="shared" ca="1" si="5"/>
        <v>Lần 11</v>
      </c>
      <c r="G177" s="89"/>
      <c r="H177" s="125"/>
      <c r="I177" s="125"/>
      <c r="J177" s="126"/>
      <c r="K177" s="126"/>
      <c r="L177" s="148"/>
      <c r="M177" s="66">
        <f t="shared" ca="1" si="12"/>
        <v>0</v>
      </c>
      <c r="N177" s="268">
        <f t="shared" ca="1" si="11"/>
        <v>0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182" t="str">
        <f t="shared" ca="1" si="9"/>
        <v>Tổ Hạ tầng Tân An</v>
      </c>
      <c r="C178" s="61" t="str">
        <f t="shared" ca="1" si="2"/>
        <v>Lê Xuân Tình</v>
      </c>
      <c r="D178" s="183">
        <f t="shared" ca="1" si="3"/>
        <v>918371799</v>
      </c>
      <c r="E178" s="63" t="str">
        <f t="shared" ca="1" si="4"/>
        <v>tinhlx.lan@vnpt.vn</v>
      </c>
      <c r="F178" s="64" t="str">
        <f t="shared" ca="1" si="5"/>
        <v>Lần 12</v>
      </c>
      <c r="G178" s="89"/>
      <c r="H178" s="125"/>
      <c r="I178" s="125"/>
      <c r="J178" s="126"/>
      <c r="K178" s="126"/>
      <c r="L178" s="148"/>
      <c r="M178" s="66">
        <f t="shared" ca="1" si="12"/>
        <v>0</v>
      </c>
      <c r="N178" s="268">
        <f t="shared" ca="1" si="11"/>
        <v>0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182" t="str">
        <f t="shared" ca="1" si="9"/>
        <v>Tổ Hạ tầng Tân An</v>
      </c>
      <c r="C179" s="61" t="str">
        <f t="shared" ca="1" si="2"/>
        <v>Lê Xuân Tình</v>
      </c>
      <c r="D179" s="183">
        <f t="shared" ca="1" si="3"/>
        <v>918371799</v>
      </c>
      <c r="E179" s="63" t="str">
        <f t="shared" ca="1" si="4"/>
        <v>tinhlx.lan@vnpt.vn</v>
      </c>
      <c r="F179" s="64" t="str">
        <f t="shared" ca="1" si="5"/>
        <v>Lần 13</v>
      </c>
      <c r="G179" s="89"/>
      <c r="H179" s="125"/>
      <c r="I179" s="125"/>
      <c r="J179" s="126"/>
      <c r="K179" s="126"/>
      <c r="L179" s="148"/>
      <c r="M179" s="66">
        <f t="shared" ca="1" si="12"/>
        <v>0</v>
      </c>
      <c r="N179" s="268">
        <f t="shared" ca="1" si="11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182" t="str">
        <f t="shared" ca="1" si="9"/>
        <v>Tổ Hạ tầng Tân An</v>
      </c>
      <c r="C180" s="61" t="str">
        <f t="shared" ca="1" si="2"/>
        <v>Lê Xuân Tình</v>
      </c>
      <c r="D180" s="183">
        <f t="shared" ca="1" si="3"/>
        <v>918371799</v>
      </c>
      <c r="E180" s="63" t="str">
        <f t="shared" ca="1" si="4"/>
        <v>tinhlx.lan@vnpt.vn</v>
      </c>
      <c r="F180" s="64" t="str">
        <f t="shared" ca="1" si="5"/>
        <v>Lần 14</v>
      </c>
      <c r="G180" s="89"/>
      <c r="H180" s="125"/>
      <c r="I180" s="125"/>
      <c r="J180" s="126"/>
      <c r="K180" s="126"/>
      <c r="L180" s="148"/>
      <c r="M180" s="66">
        <f t="shared" ca="1" si="12"/>
        <v>0</v>
      </c>
      <c r="N180" s="268">
        <f t="shared" ca="1" si="11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182" t="str">
        <f t="shared" ca="1" si="9"/>
        <v>Tổ Hạ tầng Tân An</v>
      </c>
      <c r="C181" s="61" t="str">
        <f t="shared" ca="1" si="2"/>
        <v>Lê Xuân Tình</v>
      </c>
      <c r="D181" s="183">
        <f t="shared" ca="1" si="3"/>
        <v>918371799</v>
      </c>
      <c r="E181" s="63" t="str">
        <f t="shared" ca="1" si="4"/>
        <v>tinhlx.lan@vnpt.vn</v>
      </c>
      <c r="F181" s="64" t="str">
        <f t="shared" ca="1" si="5"/>
        <v>Lần 15</v>
      </c>
      <c r="G181" s="89"/>
      <c r="H181" s="125"/>
      <c r="I181" s="125"/>
      <c r="J181" s="126"/>
      <c r="K181" s="126"/>
      <c r="L181" s="148"/>
      <c r="M181" s="66">
        <f t="shared" ca="1" si="12"/>
        <v>0</v>
      </c>
      <c r="N181" s="268">
        <f t="shared" ca="1" si="11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185" t="str">
        <f t="shared" ca="1" si="9"/>
        <v>Tổ Hạ tầng Tân An</v>
      </c>
      <c r="C182" s="82" t="str">
        <f t="shared" ca="1" si="2"/>
        <v>Lê Xuân Tình</v>
      </c>
      <c r="D182" s="186">
        <f t="shared" ca="1" si="3"/>
        <v>918371799</v>
      </c>
      <c r="E182" s="84" t="str">
        <f t="shared" ca="1" si="4"/>
        <v>tinhlx.lan@vnpt.vn</v>
      </c>
      <c r="F182" s="85" t="str">
        <f t="shared" ca="1" si="5"/>
        <v>Lần 16</v>
      </c>
      <c r="G182" s="89"/>
      <c r="H182" s="300"/>
      <c r="I182" s="300"/>
      <c r="J182" s="301"/>
      <c r="K182" s="301"/>
      <c r="L182" s="148"/>
      <c r="M182" s="170">
        <f t="shared" ca="1" si="12"/>
        <v>0</v>
      </c>
      <c r="N182" s="269">
        <f t="shared" ca="1" si="11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190" t="str">
        <f t="shared" ca="1" si="9"/>
        <v>Tổ Hạ tầng Tân An</v>
      </c>
      <c r="C183" s="48" t="str">
        <f t="shared" ca="1" si="2"/>
        <v>Phù Hoàng Thành</v>
      </c>
      <c r="D183" s="191">
        <f t="shared" ca="1" si="3"/>
        <v>832428439</v>
      </c>
      <c r="E183" s="50" t="str">
        <f t="shared" ca="1" si="4"/>
        <v>thanhhp.lan@vnpt.vn</v>
      </c>
      <c r="F183" s="51" t="str">
        <f t="shared" ca="1" si="5"/>
        <v>Lần 1</v>
      </c>
      <c r="G183" s="52"/>
      <c r="H183" s="292"/>
      <c r="I183" s="292"/>
      <c r="J183" s="293"/>
      <c r="K183" s="293"/>
      <c r="L183" s="193"/>
      <c r="M183" s="194">
        <f t="shared" ca="1" si="12"/>
        <v>0</v>
      </c>
      <c r="N183" s="195">
        <f t="shared" ca="1" si="11"/>
        <v>0</v>
      </c>
      <c r="O183" s="68">
        <f t="shared" ca="1" si="8"/>
        <v>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182" t="str">
        <f t="shared" ca="1" si="9"/>
        <v>Tổ Hạ tầng Tân An</v>
      </c>
      <c r="C184" s="61" t="str">
        <f t="shared" ca="1" si="2"/>
        <v>Phù Hoàng Thành</v>
      </c>
      <c r="D184" s="183">
        <f t="shared" ca="1" si="3"/>
        <v>832428439</v>
      </c>
      <c r="E184" s="63" t="str">
        <f t="shared" ca="1" si="4"/>
        <v>thanhhp.lan@vnpt.vn</v>
      </c>
      <c r="F184" s="64" t="str">
        <f t="shared" ca="1" si="5"/>
        <v>Lần 2</v>
      </c>
      <c r="G184" s="89"/>
      <c r="H184" s="125"/>
      <c r="I184" s="125"/>
      <c r="J184" s="126"/>
      <c r="K184" s="125"/>
      <c r="L184" s="95"/>
      <c r="M184" s="184">
        <f t="shared" ca="1" si="12"/>
        <v>0</v>
      </c>
      <c r="N184" s="67">
        <f t="shared" ca="1" si="11"/>
        <v>0</v>
      </c>
      <c r="O184" s="68">
        <f t="shared" ca="1" si="8"/>
        <v>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182" t="str">
        <f t="shared" ca="1" si="9"/>
        <v>Tổ Hạ tầng Tân An</v>
      </c>
      <c r="C185" s="61" t="str">
        <f t="shared" ca="1" si="2"/>
        <v>Phù Hoàng Thành</v>
      </c>
      <c r="D185" s="183">
        <f t="shared" ca="1" si="3"/>
        <v>832428439</v>
      </c>
      <c r="E185" s="63" t="str">
        <f t="shared" ca="1" si="4"/>
        <v>thanhhp.lan@vnpt.vn</v>
      </c>
      <c r="F185" s="64" t="str">
        <f t="shared" ca="1" si="5"/>
        <v>Lần 3</v>
      </c>
      <c r="G185" s="89"/>
      <c r="H185" s="125"/>
      <c r="I185" s="125"/>
      <c r="J185" s="126"/>
      <c r="K185" s="126"/>
      <c r="L185" s="95"/>
      <c r="M185" s="184">
        <f t="shared" ca="1" si="12"/>
        <v>0</v>
      </c>
      <c r="N185" s="67">
        <f t="shared" ca="1" si="11"/>
        <v>0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182" t="str">
        <f t="shared" ca="1" si="9"/>
        <v>Tổ Hạ tầng Tân An</v>
      </c>
      <c r="C186" s="61" t="str">
        <f t="shared" ca="1" si="2"/>
        <v>Phù Hoàng Thành</v>
      </c>
      <c r="D186" s="183">
        <f t="shared" ca="1" si="3"/>
        <v>832428439</v>
      </c>
      <c r="E186" s="63" t="str">
        <f t="shared" ca="1" si="4"/>
        <v>thanhhp.lan@vnpt.vn</v>
      </c>
      <c r="F186" s="64" t="str">
        <f t="shared" ca="1" si="5"/>
        <v>Lần 4</v>
      </c>
      <c r="G186" s="89"/>
      <c r="H186" s="125"/>
      <c r="I186" s="125"/>
      <c r="J186" s="126"/>
      <c r="K186" s="125"/>
      <c r="L186" s="95"/>
      <c r="M186" s="184">
        <f t="shared" ca="1" si="12"/>
        <v>0</v>
      </c>
      <c r="N186" s="67">
        <f t="shared" ca="1" si="11"/>
        <v>0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182" t="str">
        <f t="shared" ca="1" si="9"/>
        <v>Tổ Hạ tầng Tân An</v>
      </c>
      <c r="C187" s="61" t="str">
        <f t="shared" ca="1" si="2"/>
        <v>Phù Hoàng Thành</v>
      </c>
      <c r="D187" s="183">
        <f t="shared" ca="1" si="3"/>
        <v>832428439</v>
      </c>
      <c r="E187" s="63" t="str">
        <f t="shared" ca="1" si="4"/>
        <v>thanhhp.lan@vnpt.vn</v>
      </c>
      <c r="F187" s="64" t="str">
        <f t="shared" ca="1" si="5"/>
        <v>Lần 5</v>
      </c>
      <c r="G187" s="89"/>
      <c r="H187" s="125"/>
      <c r="I187" s="125"/>
      <c r="J187" s="126"/>
      <c r="K187" s="126"/>
      <c r="L187" s="95"/>
      <c r="M187" s="184">
        <f t="shared" ca="1" si="12"/>
        <v>0</v>
      </c>
      <c r="N187" s="67">
        <f t="shared" ca="1" si="11"/>
        <v>0</v>
      </c>
      <c r="O187" s="68">
        <f t="shared" ca="1" si="8"/>
        <v>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182" t="str">
        <f t="shared" ca="1" si="9"/>
        <v>Tổ Hạ tầng Tân An</v>
      </c>
      <c r="C188" s="61" t="str">
        <f t="shared" ca="1" si="2"/>
        <v>Phù Hoàng Thành</v>
      </c>
      <c r="D188" s="183">
        <f t="shared" ca="1" si="3"/>
        <v>832428439</v>
      </c>
      <c r="E188" s="63" t="str">
        <f t="shared" ca="1" si="4"/>
        <v>thanhhp.lan@vnpt.vn</v>
      </c>
      <c r="F188" s="64" t="str">
        <f t="shared" ca="1" si="5"/>
        <v>Lần 6</v>
      </c>
      <c r="G188" s="89"/>
      <c r="H188" s="125"/>
      <c r="I188" s="125"/>
      <c r="J188" s="126"/>
      <c r="K188" s="126"/>
      <c r="L188" s="95"/>
      <c r="M188" s="184">
        <f t="shared" ca="1" si="12"/>
        <v>0</v>
      </c>
      <c r="N188" s="67">
        <f t="shared" ca="1" si="11"/>
        <v>0</v>
      </c>
      <c r="O188" s="68">
        <f t="shared" ca="1" si="8"/>
        <v>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182" t="str">
        <f t="shared" ca="1" si="9"/>
        <v>Tổ Hạ tầng Tân An</v>
      </c>
      <c r="C189" s="61" t="str">
        <f t="shared" ca="1" si="2"/>
        <v>Phù Hoàng Thành</v>
      </c>
      <c r="D189" s="183">
        <f t="shared" ca="1" si="3"/>
        <v>832428439</v>
      </c>
      <c r="E189" s="63" t="str">
        <f t="shared" ca="1" si="4"/>
        <v>thanhhp.lan@vnpt.vn</v>
      </c>
      <c r="F189" s="64" t="str">
        <f t="shared" ca="1" si="5"/>
        <v>Lần 7</v>
      </c>
      <c r="G189" s="89"/>
      <c r="H189" s="125"/>
      <c r="I189" s="125"/>
      <c r="J189" s="126"/>
      <c r="K189" s="126"/>
      <c r="L189" s="95"/>
      <c r="M189" s="184">
        <f t="shared" ca="1" si="12"/>
        <v>0</v>
      </c>
      <c r="N189" s="67">
        <f t="shared" ca="1" si="11"/>
        <v>0</v>
      </c>
      <c r="O189" s="68">
        <f t="shared" ca="1" si="8"/>
        <v>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182" t="str">
        <f t="shared" ca="1" si="9"/>
        <v>Tổ Hạ tầng Tân An</v>
      </c>
      <c r="C190" s="61" t="str">
        <f t="shared" ca="1" si="2"/>
        <v>Phù Hoàng Thành</v>
      </c>
      <c r="D190" s="183">
        <f t="shared" ca="1" si="3"/>
        <v>832428439</v>
      </c>
      <c r="E190" s="63" t="str">
        <f t="shared" ca="1" si="4"/>
        <v>thanhhp.lan@vnpt.vn</v>
      </c>
      <c r="F190" s="64" t="str">
        <f t="shared" ca="1" si="5"/>
        <v>Lần 8</v>
      </c>
      <c r="G190" s="89"/>
      <c r="H190" s="125"/>
      <c r="I190" s="125"/>
      <c r="J190" s="126"/>
      <c r="K190" s="126"/>
      <c r="L190" s="95"/>
      <c r="M190" s="184">
        <f t="shared" ca="1" si="12"/>
        <v>0</v>
      </c>
      <c r="N190" s="67">
        <f t="shared" ca="1" si="11"/>
        <v>0</v>
      </c>
      <c r="O190" s="68">
        <f t="shared" ca="1" si="8"/>
        <v>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182" t="str">
        <f t="shared" ca="1" si="9"/>
        <v>Tổ Hạ tầng Tân An</v>
      </c>
      <c r="C191" s="61" t="str">
        <f t="shared" ca="1" si="2"/>
        <v>Phù Hoàng Thành</v>
      </c>
      <c r="D191" s="183">
        <f t="shared" ca="1" si="3"/>
        <v>832428439</v>
      </c>
      <c r="E191" s="63" t="str">
        <f t="shared" ca="1" si="4"/>
        <v>thanhhp.lan@vnpt.vn</v>
      </c>
      <c r="F191" s="64" t="str">
        <f t="shared" ca="1" si="5"/>
        <v>Lần 9</v>
      </c>
      <c r="G191" s="89"/>
      <c r="H191" s="125"/>
      <c r="I191" s="125"/>
      <c r="J191" s="126"/>
      <c r="K191" s="126"/>
      <c r="L191" s="95"/>
      <c r="M191" s="184">
        <f t="shared" ca="1" si="12"/>
        <v>0</v>
      </c>
      <c r="N191" s="67">
        <f t="shared" ca="1" si="11"/>
        <v>0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182" t="str">
        <f t="shared" ca="1" si="9"/>
        <v>Tổ Hạ tầng Tân An</v>
      </c>
      <c r="C192" s="61" t="str">
        <f t="shared" ca="1" si="2"/>
        <v>Phù Hoàng Thành</v>
      </c>
      <c r="D192" s="183">
        <f t="shared" ca="1" si="3"/>
        <v>832428439</v>
      </c>
      <c r="E192" s="63" t="str">
        <f t="shared" ca="1" si="4"/>
        <v>thanhhp.lan@vnpt.vn</v>
      </c>
      <c r="F192" s="64" t="str">
        <f t="shared" ca="1" si="5"/>
        <v>Lần 10</v>
      </c>
      <c r="G192" s="89"/>
      <c r="H192" s="125"/>
      <c r="I192" s="125"/>
      <c r="J192" s="126"/>
      <c r="K192" s="126"/>
      <c r="L192" s="95"/>
      <c r="M192" s="184">
        <f t="shared" ca="1" si="12"/>
        <v>0</v>
      </c>
      <c r="N192" s="67">
        <f t="shared" ca="1" si="11"/>
        <v>0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182" t="str">
        <f t="shared" ca="1" si="9"/>
        <v>Tổ Hạ tầng Tân An</v>
      </c>
      <c r="C193" s="61" t="str">
        <f t="shared" ca="1" si="2"/>
        <v>Phù Hoàng Thành</v>
      </c>
      <c r="D193" s="183">
        <f t="shared" ca="1" si="3"/>
        <v>832428439</v>
      </c>
      <c r="E193" s="63" t="str">
        <f t="shared" ca="1" si="4"/>
        <v>thanhhp.lan@vnpt.vn</v>
      </c>
      <c r="F193" s="64" t="str">
        <f t="shared" ca="1" si="5"/>
        <v>Lần 11</v>
      </c>
      <c r="G193" s="89"/>
      <c r="H193" s="125"/>
      <c r="I193" s="125"/>
      <c r="J193" s="126"/>
      <c r="K193" s="126"/>
      <c r="L193" s="95"/>
      <c r="M193" s="184">
        <f t="shared" ca="1" si="12"/>
        <v>0</v>
      </c>
      <c r="N193" s="67">
        <f t="shared" ca="1" si="11"/>
        <v>0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182" t="str">
        <f t="shared" ca="1" si="9"/>
        <v>Tổ Hạ tầng Tân An</v>
      </c>
      <c r="C194" s="61" t="str">
        <f t="shared" ca="1" si="2"/>
        <v>Phù Hoàng Thành</v>
      </c>
      <c r="D194" s="183">
        <f t="shared" ca="1" si="3"/>
        <v>832428439</v>
      </c>
      <c r="E194" s="63" t="str">
        <f t="shared" ca="1" si="4"/>
        <v>thanhhp.lan@vnpt.vn</v>
      </c>
      <c r="F194" s="64" t="str">
        <f t="shared" ca="1" si="5"/>
        <v>Lần 12</v>
      </c>
      <c r="G194" s="89"/>
      <c r="H194" s="125"/>
      <c r="I194" s="125"/>
      <c r="J194" s="126"/>
      <c r="K194" s="126"/>
      <c r="L194" s="95"/>
      <c r="M194" s="184">
        <f t="shared" ca="1" si="12"/>
        <v>0</v>
      </c>
      <c r="N194" s="67">
        <f t="shared" ca="1" si="11"/>
        <v>0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182" t="str">
        <f t="shared" ca="1" si="9"/>
        <v>Tổ Hạ tầng Tân An</v>
      </c>
      <c r="C195" s="61" t="str">
        <f t="shared" ca="1" si="2"/>
        <v>Phù Hoàng Thành</v>
      </c>
      <c r="D195" s="183">
        <f t="shared" ca="1" si="3"/>
        <v>832428439</v>
      </c>
      <c r="E195" s="63" t="str">
        <f t="shared" ca="1" si="4"/>
        <v>thanhhp.lan@vnpt.vn</v>
      </c>
      <c r="F195" s="64" t="str">
        <f t="shared" ca="1" si="5"/>
        <v>Lần 13</v>
      </c>
      <c r="G195" s="306"/>
      <c r="H195" s="125"/>
      <c r="I195" s="125"/>
      <c r="J195" s="126"/>
      <c r="K195" s="126"/>
      <c r="L195" s="95"/>
      <c r="M195" s="184">
        <f t="shared" ca="1" si="12"/>
        <v>0</v>
      </c>
      <c r="N195" s="67">
        <f t="shared" ca="1" si="11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182" t="str">
        <f t="shared" ca="1" si="9"/>
        <v>Tổ Hạ tầng Tân An</v>
      </c>
      <c r="C196" s="61" t="str">
        <f t="shared" ca="1" si="2"/>
        <v>Phù Hoàng Thành</v>
      </c>
      <c r="D196" s="183">
        <f t="shared" ca="1" si="3"/>
        <v>832428439</v>
      </c>
      <c r="E196" s="63" t="str">
        <f t="shared" ca="1" si="4"/>
        <v>thanhhp.lan@vnpt.vn</v>
      </c>
      <c r="F196" s="64" t="str">
        <f t="shared" ca="1" si="5"/>
        <v>Lần 14</v>
      </c>
      <c r="G196" s="89"/>
      <c r="H196" s="125"/>
      <c r="I196" s="125"/>
      <c r="J196" s="126"/>
      <c r="K196" s="126"/>
      <c r="L196" s="95"/>
      <c r="M196" s="184">
        <f t="shared" ca="1" si="12"/>
        <v>0</v>
      </c>
      <c r="N196" s="67">
        <f t="shared" ca="1" si="11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182" t="str">
        <f t="shared" ca="1" si="9"/>
        <v>Tổ Hạ tầng Tân An</v>
      </c>
      <c r="C197" s="61" t="str">
        <f t="shared" ca="1" si="2"/>
        <v>Phù Hoàng Thành</v>
      </c>
      <c r="D197" s="183">
        <f t="shared" ca="1" si="3"/>
        <v>832428439</v>
      </c>
      <c r="E197" s="63" t="str">
        <f t="shared" ca="1" si="4"/>
        <v>thanhhp.lan@vnpt.vn</v>
      </c>
      <c r="F197" s="64" t="str">
        <f t="shared" ca="1" si="5"/>
        <v>Lần 15</v>
      </c>
      <c r="G197" s="89"/>
      <c r="H197" s="125"/>
      <c r="I197" s="125"/>
      <c r="J197" s="126"/>
      <c r="K197" s="126"/>
      <c r="L197" s="95"/>
      <c r="M197" s="184">
        <f t="shared" ca="1" si="12"/>
        <v>0</v>
      </c>
      <c r="N197" s="67">
        <f t="shared" ca="1" si="11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96" t="str">
        <f t="shared" ca="1" si="9"/>
        <v>Tổ Hạ tầng Tân An</v>
      </c>
      <c r="C198" s="102" t="str">
        <f t="shared" ca="1" si="2"/>
        <v>Phù Hoàng Thành</v>
      </c>
      <c r="D198" s="197">
        <f t="shared" ca="1" si="3"/>
        <v>832428439</v>
      </c>
      <c r="E198" s="104" t="str">
        <f t="shared" ca="1" si="4"/>
        <v>thanhhp.lan@vnpt.vn</v>
      </c>
      <c r="F198" s="105" t="str">
        <f t="shared" ca="1" si="5"/>
        <v>Lần 16</v>
      </c>
      <c r="G198" s="283"/>
      <c r="H198" s="284"/>
      <c r="I198" s="284"/>
      <c r="J198" s="285"/>
      <c r="K198" s="285"/>
      <c r="L198" s="212"/>
      <c r="M198" s="202">
        <f t="shared" ca="1" si="12"/>
        <v>0</v>
      </c>
      <c r="N198" s="203">
        <f t="shared" ca="1" si="11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106">
        <f t="shared" ca="1" si="1"/>
        <v>193</v>
      </c>
      <c r="B199" s="204" t="str">
        <f t="shared" ca="1" si="9"/>
        <v>Tổ Hạ tầng Tân An</v>
      </c>
      <c r="C199" s="108" t="str">
        <f t="shared" ca="1" si="2"/>
        <v>Nguyễn Thành Chí</v>
      </c>
      <c r="D199" s="205">
        <f t="shared" ca="1" si="3"/>
        <v>837012768</v>
      </c>
      <c r="E199" s="110" t="str">
        <f t="shared" ca="1" si="4"/>
        <v>chint.lan@vnpt.vn</v>
      </c>
      <c r="F199" s="111" t="str">
        <f t="shared" ca="1" si="5"/>
        <v>Lần 1</v>
      </c>
      <c r="G199" s="89">
        <v>46205</v>
      </c>
      <c r="H199" s="69">
        <v>311.10000000000002</v>
      </c>
      <c r="I199" s="69">
        <v>72.3</v>
      </c>
      <c r="J199" s="90">
        <v>753</v>
      </c>
      <c r="K199" s="90">
        <v>79.099999999999994</v>
      </c>
      <c r="L199" s="213"/>
      <c r="M199" s="56">
        <f t="shared" ca="1" si="12"/>
        <v>1</v>
      </c>
      <c r="N199" s="266">
        <f t="shared" ca="1" si="11"/>
        <v>1</v>
      </c>
      <c r="O199" s="68">
        <f t="shared" ca="1" si="8"/>
        <v>1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182" t="str">
        <f t="shared" ca="1" si="9"/>
        <v>Tổ Hạ tầng Tân An</v>
      </c>
      <c r="C200" s="61" t="str">
        <f t="shared" ca="1" si="2"/>
        <v>Nguyễn Thành Chí</v>
      </c>
      <c r="D200" s="183">
        <f t="shared" ca="1" si="3"/>
        <v>837012768</v>
      </c>
      <c r="E200" s="63" t="str">
        <f t="shared" ca="1" si="4"/>
        <v>chint.lan@vnpt.vn</v>
      </c>
      <c r="F200" s="64" t="str">
        <f t="shared" ca="1" si="5"/>
        <v>Lần 2</v>
      </c>
      <c r="G200" s="89">
        <v>46205</v>
      </c>
      <c r="H200" s="69">
        <v>246</v>
      </c>
      <c r="I200" s="69">
        <v>76</v>
      </c>
      <c r="J200" s="90">
        <v>777</v>
      </c>
      <c r="K200" s="90">
        <v>97.9</v>
      </c>
      <c r="L200" s="88"/>
      <c r="M200" s="66">
        <f t="shared" ca="1" si="12"/>
        <v>1</v>
      </c>
      <c r="N200" s="268">
        <f t="shared" ca="1" si="11"/>
        <v>1</v>
      </c>
      <c r="O200" s="68">
        <f t="shared" ca="1" si="8"/>
        <v>1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182" t="str">
        <f t="shared" ca="1" si="9"/>
        <v>Tổ Hạ tầng Tân An</v>
      </c>
      <c r="C201" s="61" t="str">
        <f t="shared" ca="1" si="2"/>
        <v>Nguyễn Thành Chí</v>
      </c>
      <c r="D201" s="183">
        <f t="shared" ca="1" si="3"/>
        <v>837012768</v>
      </c>
      <c r="E201" s="63" t="str">
        <f t="shared" ca="1" si="4"/>
        <v>chint.lan@vnpt.vn</v>
      </c>
      <c r="F201" s="64" t="str">
        <f t="shared" ca="1" si="5"/>
        <v>Lần 3</v>
      </c>
      <c r="G201" s="89">
        <v>46205</v>
      </c>
      <c r="H201" s="53">
        <v>264.60000000000002</v>
      </c>
      <c r="I201" s="53">
        <v>76.7</v>
      </c>
      <c r="J201" s="90">
        <v>410</v>
      </c>
      <c r="K201" s="90">
        <v>95.2</v>
      </c>
      <c r="L201" s="88"/>
      <c r="M201" s="66">
        <f t="shared" ca="1" si="12"/>
        <v>1</v>
      </c>
      <c r="N201" s="268">
        <f t="shared" ca="1" si="11"/>
        <v>1</v>
      </c>
      <c r="O201" s="68">
        <f t="shared" ca="1" si="8"/>
        <v>1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182" t="str">
        <f t="shared" ca="1" si="9"/>
        <v>Tổ Hạ tầng Tân An</v>
      </c>
      <c r="C202" s="61" t="str">
        <f t="shared" ca="1" si="2"/>
        <v>Nguyễn Thành Chí</v>
      </c>
      <c r="D202" s="183">
        <f t="shared" ca="1" si="3"/>
        <v>837012768</v>
      </c>
      <c r="E202" s="63" t="str">
        <f t="shared" ca="1" si="4"/>
        <v>chint.lan@vnpt.vn</v>
      </c>
      <c r="F202" s="64" t="str">
        <f t="shared" ca="1" si="5"/>
        <v>Lần 4</v>
      </c>
      <c r="G202" s="89">
        <v>46205</v>
      </c>
      <c r="H202" s="53">
        <v>289.60000000000002</v>
      </c>
      <c r="I202" s="53">
        <v>74</v>
      </c>
      <c r="J202" s="90">
        <v>667</v>
      </c>
      <c r="K202" s="90">
        <v>97.3</v>
      </c>
      <c r="L202" s="88"/>
      <c r="M202" s="66">
        <f t="shared" ca="1" si="12"/>
        <v>1</v>
      </c>
      <c r="N202" s="268">
        <f t="shared" ca="1" si="11"/>
        <v>1</v>
      </c>
      <c r="O202" s="68">
        <f t="shared" ca="1" si="8"/>
        <v>1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182" t="str">
        <f t="shared" ca="1" si="9"/>
        <v>Tổ Hạ tầng Tân An</v>
      </c>
      <c r="C203" s="61" t="str">
        <f t="shared" ca="1" si="2"/>
        <v>Nguyễn Thành Chí</v>
      </c>
      <c r="D203" s="183">
        <f t="shared" ca="1" si="3"/>
        <v>837012768</v>
      </c>
      <c r="E203" s="63" t="str">
        <f t="shared" ca="1" si="4"/>
        <v>chint.lan@vnpt.vn</v>
      </c>
      <c r="F203" s="64" t="str">
        <f t="shared" ca="1" si="5"/>
        <v>Lần 5</v>
      </c>
      <c r="G203" s="89">
        <v>46206</v>
      </c>
      <c r="H203" s="53">
        <v>333.1</v>
      </c>
      <c r="I203" s="53">
        <v>94.3</v>
      </c>
      <c r="J203" s="54">
        <v>928</v>
      </c>
      <c r="K203" s="54">
        <v>110</v>
      </c>
      <c r="L203" s="88"/>
      <c r="M203" s="66">
        <f t="shared" ca="1" si="12"/>
        <v>1</v>
      </c>
      <c r="N203" s="268">
        <f t="shared" ca="1" si="11"/>
        <v>1</v>
      </c>
      <c r="O203" s="68">
        <f t="shared" ca="1" si="8"/>
        <v>1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182" t="str">
        <f t="shared" ca="1" si="9"/>
        <v>Tổ Hạ tầng Tân An</v>
      </c>
      <c r="C204" s="61" t="str">
        <f t="shared" ca="1" si="2"/>
        <v>Nguyễn Thành Chí</v>
      </c>
      <c r="D204" s="183">
        <f t="shared" ca="1" si="3"/>
        <v>837012768</v>
      </c>
      <c r="E204" s="63" t="str">
        <f t="shared" ca="1" si="4"/>
        <v>chint.lan@vnpt.vn</v>
      </c>
      <c r="F204" s="64" t="str">
        <f t="shared" ca="1" si="5"/>
        <v>Lần 6</v>
      </c>
      <c r="G204" s="89">
        <v>46206</v>
      </c>
      <c r="H204" s="53">
        <v>280.7</v>
      </c>
      <c r="I204" s="53">
        <v>88.7</v>
      </c>
      <c r="J204" s="54">
        <v>1009</v>
      </c>
      <c r="K204" s="54">
        <v>49.7</v>
      </c>
      <c r="L204" s="88"/>
      <c r="M204" s="66">
        <f t="shared" ca="1" si="12"/>
        <v>1</v>
      </c>
      <c r="N204" s="268">
        <f t="shared" ca="1" si="11"/>
        <v>1</v>
      </c>
      <c r="O204" s="68">
        <f t="shared" ca="1" si="8"/>
        <v>1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182" t="str">
        <f t="shared" ca="1" si="9"/>
        <v>Tổ Hạ tầng Tân An</v>
      </c>
      <c r="C205" s="61" t="str">
        <f t="shared" ca="1" si="2"/>
        <v>Nguyễn Thành Chí</v>
      </c>
      <c r="D205" s="183">
        <f t="shared" ca="1" si="3"/>
        <v>837012768</v>
      </c>
      <c r="E205" s="63" t="str">
        <f t="shared" ca="1" si="4"/>
        <v>chint.lan@vnpt.vn</v>
      </c>
      <c r="F205" s="64" t="str">
        <f t="shared" ca="1" si="5"/>
        <v>Lần 7</v>
      </c>
      <c r="G205" s="89">
        <v>46206</v>
      </c>
      <c r="H205" s="53">
        <v>248.3</v>
      </c>
      <c r="I205" s="53">
        <v>97</v>
      </c>
      <c r="J205" s="54">
        <v>908</v>
      </c>
      <c r="K205" s="54">
        <v>116</v>
      </c>
      <c r="L205" s="88"/>
      <c r="M205" s="66">
        <f t="shared" ca="1" si="12"/>
        <v>1</v>
      </c>
      <c r="N205" s="268">
        <f t="shared" ca="1" si="11"/>
        <v>1</v>
      </c>
      <c r="O205" s="68">
        <f t="shared" ca="1" si="8"/>
        <v>1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182" t="str">
        <f t="shared" ca="1" si="9"/>
        <v>Tổ Hạ tầng Tân An</v>
      </c>
      <c r="C206" s="61" t="str">
        <f t="shared" ca="1" si="2"/>
        <v>Nguyễn Thành Chí</v>
      </c>
      <c r="D206" s="183">
        <f t="shared" ca="1" si="3"/>
        <v>837012768</v>
      </c>
      <c r="E206" s="63" t="str">
        <f t="shared" ca="1" si="4"/>
        <v>chint.lan@vnpt.vn</v>
      </c>
      <c r="F206" s="64" t="str">
        <f t="shared" ca="1" si="5"/>
        <v>Lần 8</v>
      </c>
      <c r="G206" s="89">
        <v>46206</v>
      </c>
      <c r="H206" s="53">
        <v>270.8</v>
      </c>
      <c r="I206" s="53">
        <v>91.6</v>
      </c>
      <c r="J206" s="54">
        <v>890</v>
      </c>
      <c r="K206" s="54">
        <v>115</v>
      </c>
      <c r="L206" s="88"/>
      <c r="M206" s="66">
        <f t="shared" ca="1" si="12"/>
        <v>1</v>
      </c>
      <c r="N206" s="268">
        <f t="shared" ca="1" si="11"/>
        <v>1</v>
      </c>
      <c r="O206" s="68">
        <f t="shared" ca="1" si="8"/>
        <v>1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182" t="str">
        <f t="shared" ca="1" si="9"/>
        <v>Tổ Hạ tầng Tân An</v>
      </c>
      <c r="C207" s="61" t="str">
        <f t="shared" ca="1" si="2"/>
        <v>Nguyễn Thành Chí</v>
      </c>
      <c r="D207" s="183">
        <f t="shared" ca="1" si="3"/>
        <v>837012768</v>
      </c>
      <c r="E207" s="63" t="str">
        <f t="shared" ca="1" si="4"/>
        <v>chint.lan@vnpt.vn</v>
      </c>
      <c r="F207" s="64" t="str">
        <f t="shared" ca="1" si="5"/>
        <v>Lần 9</v>
      </c>
      <c r="G207" s="89">
        <v>46209</v>
      </c>
      <c r="H207" s="53">
        <v>226.1</v>
      </c>
      <c r="I207" s="53">
        <v>50.6</v>
      </c>
      <c r="J207" s="54">
        <v>223</v>
      </c>
      <c r="K207" s="54">
        <v>48.1</v>
      </c>
      <c r="L207" s="88"/>
      <c r="M207" s="66">
        <f t="shared" ca="1" si="12"/>
        <v>1</v>
      </c>
      <c r="N207" s="268">
        <f t="shared" ca="1" si="11"/>
        <v>1</v>
      </c>
      <c r="O207" s="68">
        <f t="shared" ca="1" si="8"/>
        <v>1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182" t="str">
        <f t="shared" ca="1" si="9"/>
        <v>Tổ Hạ tầng Tân An</v>
      </c>
      <c r="C208" s="61" t="str">
        <f t="shared" ca="1" si="2"/>
        <v>Nguyễn Thành Chí</v>
      </c>
      <c r="D208" s="183">
        <f t="shared" ca="1" si="3"/>
        <v>837012768</v>
      </c>
      <c r="E208" s="63" t="str">
        <f t="shared" ca="1" si="4"/>
        <v>chint.lan@vnpt.vn</v>
      </c>
      <c r="F208" s="64" t="str">
        <f t="shared" ca="1" si="5"/>
        <v>Lần 10</v>
      </c>
      <c r="G208" s="89">
        <v>46209</v>
      </c>
      <c r="H208" s="53">
        <v>164</v>
      </c>
      <c r="I208" s="53">
        <v>33</v>
      </c>
      <c r="J208" s="54">
        <v>235</v>
      </c>
      <c r="K208" s="54">
        <v>45.5</v>
      </c>
      <c r="L208" s="88"/>
      <c r="M208" s="66">
        <f t="shared" ca="1" si="12"/>
        <v>1</v>
      </c>
      <c r="N208" s="268">
        <f t="shared" ca="1" si="11"/>
        <v>1</v>
      </c>
      <c r="O208" s="68">
        <f t="shared" ca="1" si="8"/>
        <v>1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182" t="str">
        <f t="shared" ca="1" si="9"/>
        <v>Tổ Hạ tầng Tân An</v>
      </c>
      <c r="C209" s="61" t="str">
        <f t="shared" ca="1" si="2"/>
        <v>Nguyễn Thành Chí</v>
      </c>
      <c r="D209" s="183">
        <f t="shared" ca="1" si="3"/>
        <v>837012768</v>
      </c>
      <c r="E209" s="63" t="str">
        <f t="shared" ca="1" si="4"/>
        <v>chint.lan@vnpt.vn</v>
      </c>
      <c r="F209" s="64" t="str">
        <f t="shared" ca="1" si="5"/>
        <v>Lần 11</v>
      </c>
      <c r="G209" s="89">
        <v>46217</v>
      </c>
      <c r="H209" s="53">
        <v>292.3</v>
      </c>
      <c r="I209" s="53">
        <v>12.8</v>
      </c>
      <c r="J209" s="54">
        <v>728</v>
      </c>
      <c r="K209" s="54">
        <v>73.400000000000006</v>
      </c>
      <c r="L209" s="88"/>
      <c r="M209" s="66">
        <f t="shared" ca="1" si="12"/>
        <v>1</v>
      </c>
      <c r="N209" s="268">
        <f t="shared" ca="1" si="11"/>
        <v>1</v>
      </c>
      <c r="O209" s="68">
        <f t="shared" ca="1" si="8"/>
        <v>1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182" t="str">
        <f t="shared" ca="1" si="9"/>
        <v>Tổ Hạ tầng Tân An</v>
      </c>
      <c r="C210" s="61" t="str">
        <f t="shared" ca="1" si="2"/>
        <v>Nguyễn Thành Chí</v>
      </c>
      <c r="D210" s="183">
        <f t="shared" ca="1" si="3"/>
        <v>837012768</v>
      </c>
      <c r="E210" s="63" t="str">
        <f t="shared" ca="1" si="4"/>
        <v>chint.lan@vnpt.vn</v>
      </c>
      <c r="F210" s="64" t="str">
        <f t="shared" ca="1" si="5"/>
        <v>Lần 12</v>
      </c>
      <c r="G210" s="89">
        <v>46217</v>
      </c>
      <c r="H210" s="53">
        <v>203.2</v>
      </c>
      <c r="I210" s="53">
        <v>55.1</v>
      </c>
      <c r="J210" s="54">
        <v>796</v>
      </c>
      <c r="K210" s="54">
        <v>83.8</v>
      </c>
      <c r="L210" s="88"/>
      <c r="M210" s="66">
        <f t="shared" ca="1" si="12"/>
        <v>1</v>
      </c>
      <c r="N210" s="268">
        <f t="shared" ca="1" si="11"/>
        <v>1</v>
      </c>
      <c r="O210" s="68">
        <f t="shared" ca="1" si="8"/>
        <v>1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182" t="str">
        <f t="shared" ca="1" si="9"/>
        <v>Tổ Hạ tầng Tân An</v>
      </c>
      <c r="C211" s="61" t="str">
        <f t="shared" ca="1" si="2"/>
        <v>Nguyễn Thành Chí</v>
      </c>
      <c r="D211" s="183">
        <f t="shared" ca="1" si="3"/>
        <v>837012768</v>
      </c>
      <c r="E211" s="63" t="str">
        <f t="shared" ca="1" si="4"/>
        <v>chint.lan@vnpt.vn</v>
      </c>
      <c r="F211" s="64" t="str">
        <f t="shared" ca="1" si="5"/>
        <v>Lần 13</v>
      </c>
      <c r="G211" s="89">
        <v>46217</v>
      </c>
      <c r="H211" s="53">
        <v>259.39999999999998</v>
      </c>
      <c r="I211" s="53">
        <v>60.3</v>
      </c>
      <c r="J211" s="54">
        <v>772</v>
      </c>
      <c r="K211" s="54">
        <v>87.9</v>
      </c>
      <c r="L211" s="88"/>
      <c r="M211" s="66">
        <f t="shared" ca="1" si="12"/>
        <v>1</v>
      </c>
      <c r="N211" s="268">
        <f t="shared" ca="1" si="11"/>
        <v>1</v>
      </c>
      <c r="O211" s="68">
        <f t="shared" ca="1" si="8"/>
        <v>1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182" t="str">
        <f t="shared" ca="1" si="9"/>
        <v>Tổ Hạ tầng Tân An</v>
      </c>
      <c r="C212" s="61" t="str">
        <f t="shared" ca="1" si="2"/>
        <v>Nguyễn Thành Chí</v>
      </c>
      <c r="D212" s="183">
        <f t="shared" ca="1" si="3"/>
        <v>837012768</v>
      </c>
      <c r="E212" s="63" t="str">
        <f t="shared" ca="1" si="4"/>
        <v>chint.lan@vnpt.vn</v>
      </c>
      <c r="F212" s="64" t="str">
        <f t="shared" ca="1" si="5"/>
        <v>Lần 14</v>
      </c>
      <c r="G212" s="89">
        <v>46217</v>
      </c>
      <c r="H212" s="53">
        <v>239</v>
      </c>
      <c r="I212" s="53">
        <v>54.7</v>
      </c>
      <c r="J212" s="54">
        <v>709</v>
      </c>
      <c r="K212" s="54">
        <v>62.4</v>
      </c>
      <c r="L212" s="88"/>
      <c r="M212" s="66">
        <f t="shared" ca="1" si="12"/>
        <v>1</v>
      </c>
      <c r="N212" s="268">
        <f t="shared" ca="1" si="11"/>
        <v>1</v>
      </c>
      <c r="O212" s="68">
        <f t="shared" ca="1" si="8"/>
        <v>1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182" t="str">
        <f t="shared" ca="1" si="9"/>
        <v>Tổ Hạ tầng Tân An</v>
      </c>
      <c r="C213" s="61" t="str">
        <f t="shared" ca="1" si="2"/>
        <v>Nguyễn Thành Chí</v>
      </c>
      <c r="D213" s="183">
        <f t="shared" ca="1" si="3"/>
        <v>837012768</v>
      </c>
      <c r="E213" s="63" t="str">
        <f t="shared" ca="1" si="4"/>
        <v>chint.lan@vnpt.vn</v>
      </c>
      <c r="F213" s="64" t="str">
        <f t="shared" ca="1" si="5"/>
        <v>Lần 15</v>
      </c>
      <c r="G213" s="89">
        <v>46217</v>
      </c>
      <c r="H213" s="53">
        <v>174.7</v>
      </c>
      <c r="I213" s="53">
        <v>59</v>
      </c>
      <c r="J213" s="54">
        <v>828</v>
      </c>
      <c r="K213" s="54">
        <v>71.599999999999994</v>
      </c>
      <c r="L213" s="88"/>
      <c r="M213" s="66">
        <f t="shared" ca="1" si="12"/>
        <v>1</v>
      </c>
      <c r="N213" s="268">
        <f t="shared" ca="1" si="11"/>
        <v>1</v>
      </c>
      <c r="O213" s="68">
        <f t="shared" ca="1" si="8"/>
        <v>1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80">
        <f t="shared" ca="1" si="1"/>
        <v>208</v>
      </c>
      <c r="B214" s="185" t="str">
        <f t="shared" ca="1" si="9"/>
        <v>Tổ Hạ tầng Tân An</v>
      </c>
      <c r="C214" s="82" t="str">
        <f t="shared" ca="1" si="2"/>
        <v>Nguyễn Thành Chí</v>
      </c>
      <c r="D214" s="186">
        <f t="shared" ca="1" si="3"/>
        <v>837012768</v>
      </c>
      <c r="E214" s="84" t="str">
        <f t="shared" ca="1" si="4"/>
        <v>chint.lan@vnpt.vn</v>
      </c>
      <c r="F214" s="85" t="str">
        <f t="shared" ca="1" si="5"/>
        <v>Lần 16</v>
      </c>
      <c r="G214" s="89">
        <v>46217</v>
      </c>
      <c r="H214" s="286">
        <v>232.7</v>
      </c>
      <c r="I214" s="286">
        <v>39.1</v>
      </c>
      <c r="J214" s="287">
        <v>837</v>
      </c>
      <c r="K214" s="287">
        <v>62.7</v>
      </c>
      <c r="L214" s="218"/>
      <c r="M214" s="170">
        <f t="shared" ca="1" si="12"/>
        <v>1</v>
      </c>
      <c r="N214" s="269">
        <f t="shared" ca="1" si="11"/>
        <v>1</v>
      </c>
      <c r="O214" s="68">
        <f t="shared" ca="1" si="8"/>
        <v>1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46">
        <f t="shared" ca="1" si="1"/>
        <v>209</v>
      </c>
      <c r="B215" s="190" t="str">
        <f t="shared" ca="1" si="9"/>
        <v>Tổ Hạ tầng Tân An</v>
      </c>
      <c r="C215" s="48" t="str">
        <f t="shared" ca="1" si="2"/>
        <v>Bùi Thanh Sương</v>
      </c>
      <c r="D215" s="191">
        <f t="shared" ca="1" si="3"/>
        <v>817385078</v>
      </c>
      <c r="E215" s="50" t="str">
        <f t="shared" ca="1" si="4"/>
        <v>btsuong.lan@vnpt.vn</v>
      </c>
      <c r="F215" s="51" t="str">
        <f t="shared" ca="1" si="5"/>
        <v>Lần 1</v>
      </c>
      <c r="G215" s="89">
        <v>46204</v>
      </c>
      <c r="H215" s="86">
        <v>561</v>
      </c>
      <c r="I215" s="86">
        <v>100</v>
      </c>
      <c r="J215" s="87">
        <v>886</v>
      </c>
      <c r="K215" s="86">
        <v>90</v>
      </c>
      <c r="L215" s="193"/>
      <c r="M215" s="194">
        <f t="shared" ca="1" si="12"/>
        <v>1</v>
      </c>
      <c r="N215" s="195">
        <f t="shared" ca="1" si="11"/>
        <v>1</v>
      </c>
      <c r="O215" s="68">
        <f t="shared" ca="1" si="8"/>
        <v>1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182" t="str">
        <f t="shared" ca="1" si="9"/>
        <v>Tổ Hạ tầng Tân An</v>
      </c>
      <c r="C216" s="61" t="str">
        <f t="shared" ca="1" si="2"/>
        <v>Bùi Thanh Sương</v>
      </c>
      <c r="D216" s="183">
        <f t="shared" ca="1" si="3"/>
        <v>817385078</v>
      </c>
      <c r="E216" s="63" t="str">
        <f t="shared" ca="1" si="4"/>
        <v>btsuong.lan@vnpt.vn</v>
      </c>
      <c r="F216" s="64" t="str">
        <f t="shared" ca="1" si="5"/>
        <v>Lần 2</v>
      </c>
      <c r="G216" s="89">
        <v>46204</v>
      </c>
      <c r="H216" s="69">
        <v>574</v>
      </c>
      <c r="I216" s="69">
        <v>84</v>
      </c>
      <c r="J216" s="54">
        <v>618</v>
      </c>
      <c r="K216" s="69">
        <v>96</v>
      </c>
      <c r="L216" s="95"/>
      <c r="M216" s="184">
        <f t="shared" ca="1" si="12"/>
        <v>1</v>
      </c>
      <c r="N216" s="67">
        <f t="shared" ca="1" si="11"/>
        <v>1</v>
      </c>
      <c r="O216" s="68">
        <f t="shared" ca="1" si="8"/>
        <v>1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182" t="str">
        <f t="shared" ca="1" si="9"/>
        <v>Tổ Hạ tầng Tân An</v>
      </c>
      <c r="C217" s="61" t="str">
        <f t="shared" ca="1" si="2"/>
        <v>Bùi Thanh Sương</v>
      </c>
      <c r="D217" s="183">
        <f t="shared" ca="1" si="3"/>
        <v>817385078</v>
      </c>
      <c r="E217" s="63" t="str">
        <f t="shared" ca="1" si="4"/>
        <v>btsuong.lan@vnpt.vn</v>
      </c>
      <c r="F217" s="64" t="str">
        <f t="shared" ca="1" si="5"/>
        <v>Lần 3</v>
      </c>
      <c r="G217" s="89">
        <v>46205</v>
      </c>
      <c r="H217" s="53">
        <v>292</v>
      </c>
      <c r="I217" s="53">
        <v>50</v>
      </c>
      <c r="J217" s="90">
        <v>1074</v>
      </c>
      <c r="K217" s="53">
        <v>99</v>
      </c>
      <c r="L217" s="95"/>
      <c r="M217" s="184">
        <f t="shared" ca="1" si="12"/>
        <v>1</v>
      </c>
      <c r="N217" s="67">
        <f t="shared" ca="1" si="11"/>
        <v>1</v>
      </c>
      <c r="O217" s="68">
        <f t="shared" ca="1" si="8"/>
        <v>1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182" t="str">
        <f t="shared" ca="1" si="9"/>
        <v>Tổ Hạ tầng Tân An</v>
      </c>
      <c r="C218" s="61" t="str">
        <f t="shared" ca="1" si="2"/>
        <v>Bùi Thanh Sương</v>
      </c>
      <c r="D218" s="183">
        <f t="shared" ca="1" si="3"/>
        <v>817385078</v>
      </c>
      <c r="E218" s="63" t="str">
        <f t="shared" ca="1" si="4"/>
        <v>btsuong.lan@vnpt.vn</v>
      </c>
      <c r="F218" s="64" t="str">
        <f t="shared" ca="1" si="5"/>
        <v>Lần 4</v>
      </c>
      <c r="G218" s="89">
        <v>46205</v>
      </c>
      <c r="H218" s="53">
        <v>146</v>
      </c>
      <c r="I218" s="53">
        <v>40</v>
      </c>
      <c r="J218" s="90">
        <v>998</v>
      </c>
      <c r="K218" s="90">
        <v>110</v>
      </c>
      <c r="L218" s="95"/>
      <c r="M218" s="184">
        <f t="shared" ca="1" si="12"/>
        <v>1</v>
      </c>
      <c r="N218" s="67">
        <f t="shared" ca="1" si="11"/>
        <v>1</v>
      </c>
      <c r="O218" s="68">
        <f t="shared" ca="1" si="8"/>
        <v>1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182" t="str">
        <f t="shared" ca="1" si="9"/>
        <v>Tổ Hạ tầng Tân An</v>
      </c>
      <c r="C219" s="61" t="str">
        <f t="shared" ca="1" si="2"/>
        <v>Bùi Thanh Sương</v>
      </c>
      <c r="D219" s="183">
        <f t="shared" ca="1" si="3"/>
        <v>817385078</v>
      </c>
      <c r="E219" s="63" t="str">
        <f t="shared" ca="1" si="4"/>
        <v>btsuong.lan@vnpt.vn</v>
      </c>
      <c r="F219" s="64" t="str">
        <f t="shared" ca="1" si="5"/>
        <v>Lần 5</v>
      </c>
      <c r="G219" s="89">
        <v>59354</v>
      </c>
      <c r="H219" s="53">
        <v>155</v>
      </c>
      <c r="I219" s="53">
        <v>36</v>
      </c>
      <c r="J219" s="54">
        <v>1013</v>
      </c>
      <c r="K219" s="54">
        <v>109</v>
      </c>
      <c r="L219" s="95"/>
      <c r="M219" s="184">
        <f t="shared" ca="1" si="12"/>
        <v>1</v>
      </c>
      <c r="N219" s="67">
        <f t="shared" ca="1" si="11"/>
        <v>1</v>
      </c>
      <c r="O219" s="68">
        <f t="shared" ca="1" si="8"/>
        <v>1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182" t="str">
        <f t="shared" ca="1" si="9"/>
        <v>Tổ Hạ tầng Tân An</v>
      </c>
      <c r="C220" s="61" t="str">
        <f t="shared" ca="1" si="2"/>
        <v>Bùi Thanh Sương</v>
      </c>
      <c r="D220" s="183">
        <f t="shared" ca="1" si="3"/>
        <v>817385078</v>
      </c>
      <c r="E220" s="63" t="str">
        <f t="shared" ca="1" si="4"/>
        <v>btsuong.lan@vnpt.vn</v>
      </c>
      <c r="F220" s="64" t="str">
        <f t="shared" ca="1" si="5"/>
        <v>Lần 6</v>
      </c>
      <c r="G220" s="89">
        <v>46209</v>
      </c>
      <c r="H220" s="53">
        <v>281</v>
      </c>
      <c r="I220" s="53">
        <v>86</v>
      </c>
      <c r="J220" s="54">
        <v>571</v>
      </c>
      <c r="K220" s="54">
        <v>128</v>
      </c>
      <c r="L220" s="143"/>
      <c r="M220" s="184">
        <f t="shared" ref="M220:M221" ca="1" si="13">IF(B220="","",IF(OR(G221="",H220="",I220=""),0,1))</f>
        <v>1</v>
      </c>
      <c r="N220" s="67">
        <f t="shared" ref="N220:N221" ca="1" si="14">IF(B220="","",IF(OR(G221="",J220="",K220=""),0,1))</f>
        <v>1</v>
      </c>
      <c r="O220" s="68">
        <f t="shared" ca="1" si="8"/>
        <v>1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182" t="str">
        <f t="shared" ca="1" si="9"/>
        <v>Tổ Hạ tầng Tân An</v>
      </c>
      <c r="C221" s="61" t="str">
        <f t="shared" ca="1" si="2"/>
        <v>Bùi Thanh Sương</v>
      </c>
      <c r="D221" s="183">
        <f t="shared" ca="1" si="3"/>
        <v>817385078</v>
      </c>
      <c r="E221" s="63" t="str">
        <f t="shared" ca="1" si="4"/>
        <v>btsuong.lan@vnpt.vn</v>
      </c>
      <c r="F221" s="64" t="str">
        <f t="shared" ca="1" si="5"/>
        <v>Lần 7</v>
      </c>
      <c r="G221" s="89">
        <v>46209</v>
      </c>
      <c r="H221" s="53">
        <v>208</v>
      </c>
      <c r="I221" s="53">
        <v>107</v>
      </c>
      <c r="J221" s="54">
        <v>803</v>
      </c>
      <c r="K221" s="54">
        <v>133</v>
      </c>
      <c r="L221" s="143"/>
      <c r="M221" s="184">
        <f t="shared" ca="1" si="13"/>
        <v>1</v>
      </c>
      <c r="N221" s="67">
        <f t="shared" ca="1" si="14"/>
        <v>1</v>
      </c>
      <c r="O221" s="68">
        <f t="shared" ca="1" si="8"/>
        <v>1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182" t="str">
        <f t="shared" ca="1" si="9"/>
        <v>Tổ Hạ tầng Tân An</v>
      </c>
      <c r="C222" s="61" t="str">
        <f t="shared" ca="1" si="2"/>
        <v>Bùi Thanh Sương</v>
      </c>
      <c r="D222" s="183">
        <f t="shared" ca="1" si="3"/>
        <v>817385078</v>
      </c>
      <c r="E222" s="63" t="str">
        <f t="shared" ca="1" si="4"/>
        <v>btsuong.lan@vnpt.vn</v>
      </c>
      <c r="F222" s="64" t="str">
        <f t="shared" ca="1" si="5"/>
        <v>Lần 8</v>
      </c>
      <c r="G222" s="89">
        <v>46209</v>
      </c>
      <c r="H222" s="53">
        <v>285</v>
      </c>
      <c r="I222" s="53">
        <v>93</v>
      </c>
      <c r="J222" s="54">
        <v>760</v>
      </c>
      <c r="K222" s="54">
        <v>136</v>
      </c>
      <c r="L222" s="143"/>
      <c r="M222" s="184">
        <f t="shared" ref="M222:M294" ca="1" si="15">IF(B222="","",IF(OR(G222="",H222="",I222=""),0,1))</f>
        <v>1</v>
      </c>
      <c r="N222" s="67">
        <f t="shared" ref="N222:N294" ca="1" si="16">IF(B222="","",IF(OR(G222="",J222="",K222=""),0,1))</f>
        <v>1</v>
      </c>
      <c r="O222" s="68">
        <f t="shared" ca="1" si="8"/>
        <v>1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182" t="str">
        <f t="shared" ca="1" si="9"/>
        <v>Tổ Hạ tầng Tân An</v>
      </c>
      <c r="C223" s="61" t="str">
        <f t="shared" ca="1" si="2"/>
        <v>Bùi Thanh Sương</v>
      </c>
      <c r="D223" s="183">
        <f t="shared" ca="1" si="3"/>
        <v>817385078</v>
      </c>
      <c r="E223" s="63" t="str">
        <f t="shared" ca="1" si="4"/>
        <v>btsuong.lan@vnpt.vn</v>
      </c>
      <c r="F223" s="64" t="str">
        <f t="shared" ca="1" si="5"/>
        <v>Lần 9</v>
      </c>
      <c r="G223" s="89">
        <v>46215</v>
      </c>
      <c r="H223" s="53">
        <v>351</v>
      </c>
      <c r="I223" s="53">
        <v>81</v>
      </c>
      <c r="J223" s="54">
        <v>737</v>
      </c>
      <c r="K223" s="54">
        <v>81</v>
      </c>
      <c r="L223" s="143"/>
      <c r="M223" s="184">
        <f t="shared" ca="1" si="15"/>
        <v>1</v>
      </c>
      <c r="N223" s="67">
        <f t="shared" ca="1" si="16"/>
        <v>1</v>
      </c>
      <c r="O223" s="68">
        <f t="shared" ca="1" si="8"/>
        <v>1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182" t="str">
        <f t="shared" ca="1" si="9"/>
        <v>Tổ Hạ tầng Tân An</v>
      </c>
      <c r="C224" s="61" t="str">
        <f t="shared" ca="1" si="2"/>
        <v>Bùi Thanh Sương</v>
      </c>
      <c r="D224" s="183">
        <f t="shared" ca="1" si="3"/>
        <v>817385078</v>
      </c>
      <c r="E224" s="63" t="str">
        <f t="shared" ca="1" si="4"/>
        <v>btsuong.lan@vnpt.vn</v>
      </c>
      <c r="F224" s="64" t="str">
        <f t="shared" ca="1" si="5"/>
        <v>Lần 10</v>
      </c>
      <c r="G224" s="89">
        <v>46215</v>
      </c>
      <c r="H224" s="53">
        <v>257</v>
      </c>
      <c r="I224" s="53">
        <v>81</v>
      </c>
      <c r="J224" s="54">
        <v>635</v>
      </c>
      <c r="K224" s="54">
        <v>134</v>
      </c>
      <c r="L224" s="143"/>
      <c r="M224" s="184">
        <f t="shared" ca="1" si="15"/>
        <v>1</v>
      </c>
      <c r="N224" s="67">
        <f t="shared" ca="1" si="16"/>
        <v>1</v>
      </c>
      <c r="O224" s="68">
        <f t="shared" ca="1" si="8"/>
        <v>1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182" t="str">
        <f t="shared" ca="1" si="9"/>
        <v>Tổ Hạ tầng Tân An</v>
      </c>
      <c r="C225" s="61" t="str">
        <f t="shared" ca="1" si="2"/>
        <v>Bùi Thanh Sương</v>
      </c>
      <c r="D225" s="183">
        <f t="shared" ca="1" si="3"/>
        <v>817385078</v>
      </c>
      <c r="E225" s="63" t="str">
        <f t="shared" ca="1" si="4"/>
        <v>btsuong.lan@vnpt.vn</v>
      </c>
      <c r="F225" s="64" t="str">
        <f t="shared" ca="1" si="5"/>
        <v>Lần 11</v>
      </c>
      <c r="G225" s="89">
        <v>46215</v>
      </c>
      <c r="H225" s="53">
        <v>324</v>
      </c>
      <c r="I225" s="53">
        <v>72</v>
      </c>
      <c r="J225" s="54">
        <v>660</v>
      </c>
      <c r="K225" s="54">
        <v>128</v>
      </c>
      <c r="L225" s="143"/>
      <c r="M225" s="184">
        <f t="shared" ca="1" si="15"/>
        <v>1</v>
      </c>
      <c r="N225" s="67">
        <f t="shared" ca="1" si="16"/>
        <v>1</v>
      </c>
      <c r="O225" s="68">
        <f t="shared" ca="1" si="8"/>
        <v>1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182" t="str">
        <f t="shared" ca="1" si="9"/>
        <v>Tổ Hạ tầng Tân An</v>
      </c>
      <c r="C226" s="61" t="str">
        <f t="shared" ca="1" si="2"/>
        <v>Bùi Thanh Sương</v>
      </c>
      <c r="D226" s="183">
        <f t="shared" ca="1" si="3"/>
        <v>817385078</v>
      </c>
      <c r="E226" s="63" t="str">
        <f t="shared" ca="1" si="4"/>
        <v>btsuong.lan@vnpt.vn</v>
      </c>
      <c r="F226" s="64" t="str">
        <f t="shared" ca="1" si="5"/>
        <v>Lần 12</v>
      </c>
      <c r="G226" s="89">
        <v>46215</v>
      </c>
      <c r="H226" s="53">
        <v>209</v>
      </c>
      <c r="I226" s="53">
        <v>89</v>
      </c>
      <c r="J226" s="54">
        <v>755</v>
      </c>
      <c r="K226" s="54">
        <v>123</v>
      </c>
      <c r="L226" s="143"/>
      <c r="M226" s="184">
        <f t="shared" ca="1" si="15"/>
        <v>1</v>
      </c>
      <c r="N226" s="67">
        <f t="shared" ca="1" si="16"/>
        <v>1</v>
      </c>
      <c r="O226" s="68">
        <f t="shared" ca="1" si="8"/>
        <v>1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182" t="str">
        <f t="shared" ca="1" si="9"/>
        <v>Tổ Hạ tầng Tân An</v>
      </c>
      <c r="C227" s="61" t="str">
        <f t="shared" ca="1" si="2"/>
        <v>Bùi Thanh Sương</v>
      </c>
      <c r="D227" s="183">
        <f t="shared" ca="1" si="3"/>
        <v>817385078</v>
      </c>
      <c r="E227" s="63" t="str">
        <f t="shared" ca="1" si="4"/>
        <v>btsuong.lan@vnpt.vn</v>
      </c>
      <c r="F227" s="64" t="str">
        <f t="shared" ca="1" si="5"/>
        <v>Lần 13</v>
      </c>
      <c r="G227" s="89">
        <v>46215</v>
      </c>
      <c r="H227" s="53">
        <v>297</v>
      </c>
      <c r="I227" s="53">
        <v>121</v>
      </c>
      <c r="J227" s="54">
        <v>693</v>
      </c>
      <c r="K227" s="54">
        <v>129</v>
      </c>
      <c r="L227" s="143"/>
      <c r="M227" s="184">
        <f t="shared" ca="1" si="15"/>
        <v>1</v>
      </c>
      <c r="N227" s="67">
        <f t="shared" ca="1" si="16"/>
        <v>1</v>
      </c>
      <c r="O227" s="68">
        <f t="shared" ca="1" si="8"/>
        <v>1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182" t="str">
        <f t="shared" ca="1" si="9"/>
        <v>Tổ Hạ tầng Tân An</v>
      </c>
      <c r="C228" s="61" t="str">
        <f t="shared" ca="1" si="2"/>
        <v>Bùi Thanh Sương</v>
      </c>
      <c r="D228" s="183">
        <f t="shared" ca="1" si="3"/>
        <v>817385078</v>
      </c>
      <c r="E228" s="63" t="str">
        <f t="shared" ca="1" si="4"/>
        <v>btsuong.lan@vnpt.vn</v>
      </c>
      <c r="F228" s="64" t="str">
        <f t="shared" ca="1" si="5"/>
        <v>Lần 14</v>
      </c>
      <c r="G228" s="89"/>
      <c r="H228" s="53"/>
      <c r="I228" s="53"/>
      <c r="J228" s="54"/>
      <c r="K228" s="54"/>
      <c r="L228" s="143"/>
      <c r="M228" s="184">
        <f t="shared" ca="1" si="15"/>
        <v>0</v>
      </c>
      <c r="N228" s="67">
        <f t="shared" ca="1" si="16"/>
        <v>0</v>
      </c>
      <c r="O228" s="68">
        <f t="shared" ca="1" si="8"/>
        <v>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182" t="str">
        <f t="shared" ca="1" si="9"/>
        <v>Tổ Hạ tầng Tân An</v>
      </c>
      <c r="C229" s="61" t="str">
        <f t="shared" ca="1" si="2"/>
        <v>Bùi Thanh Sương</v>
      </c>
      <c r="D229" s="183">
        <f t="shared" ca="1" si="3"/>
        <v>817385078</v>
      </c>
      <c r="E229" s="63" t="str">
        <f t="shared" ca="1" si="4"/>
        <v>btsuong.lan@vnpt.vn</v>
      </c>
      <c r="F229" s="64" t="str">
        <f t="shared" ca="1" si="5"/>
        <v>Lần 15</v>
      </c>
      <c r="G229" s="89"/>
      <c r="H229" s="53"/>
      <c r="I229" s="53"/>
      <c r="J229" s="54"/>
      <c r="K229" s="54"/>
      <c r="L229" s="143"/>
      <c r="M229" s="184">
        <f t="shared" ca="1" si="15"/>
        <v>0</v>
      </c>
      <c r="N229" s="67">
        <f t="shared" ca="1" si="16"/>
        <v>0</v>
      </c>
      <c r="O229" s="68">
        <f t="shared" ca="1" si="8"/>
        <v>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100">
        <f t="shared" ca="1" si="1"/>
        <v>224</v>
      </c>
      <c r="B230" s="196" t="str">
        <f t="shared" ca="1" si="9"/>
        <v>Tổ Hạ tầng Tân An</v>
      </c>
      <c r="C230" s="102" t="str">
        <f t="shared" ca="1" si="2"/>
        <v>Bùi Thanh Sương</v>
      </c>
      <c r="D230" s="197">
        <f t="shared" ca="1" si="3"/>
        <v>817385078</v>
      </c>
      <c r="E230" s="104" t="str">
        <f t="shared" ca="1" si="4"/>
        <v>btsuong.lan@vnpt.vn</v>
      </c>
      <c r="F230" s="105" t="str">
        <f t="shared" ca="1" si="5"/>
        <v>Lần 16</v>
      </c>
      <c r="G230" s="283"/>
      <c r="H230" s="289"/>
      <c r="I230" s="289"/>
      <c r="J230" s="290"/>
      <c r="K230" s="290"/>
      <c r="L230" s="144"/>
      <c r="M230" s="202">
        <f t="shared" ca="1" si="15"/>
        <v>0</v>
      </c>
      <c r="N230" s="203">
        <f t="shared" ca="1" si="16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106" t="str">
        <f t="shared" ca="1" si="1"/>
        <v/>
      </c>
      <c r="B231" s="204" t="str">
        <f t="shared" ca="1" si="9"/>
        <v/>
      </c>
      <c r="C231" s="108" t="str">
        <f t="shared" ca="1" si="2"/>
        <v/>
      </c>
      <c r="D231" s="205" t="str">
        <f t="shared" ca="1" si="3"/>
        <v/>
      </c>
      <c r="E231" s="110" t="str">
        <f t="shared" ca="1" si="4"/>
        <v/>
      </c>
      <c r="F231" s="111" t="str">
        <f t="shared" ca="1" si="5"/>
        <v/>
      </c>
      <c r="G231" s="89"/>
      <c r="H231" s="125"/>
      <c r="I231" s="125"/>
      <c r="J231" s="125"/>
      <c r="K231" s="125"/>
      <c r="L231" s="148"/>
      <c r="M231" s="56" t="str">
        <f t="shared" ca="1" si="15"/>
        <v/>
      </c>
      <c r="N231" s="266" t="str">
        <f t="shared" ca="1" si="16"/>
        <v/>
      </c>
      <c r="O231" s="68" t="str">
        <f t="shared" ca="1" si="8"/>
        <v/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 t="str">
        <f t="shared" ca="1" si="1"/>
        <v/>
      </c>
      <c r="B232" s="182" t="str">
        <f t="shared" ca="1" si="9"/>
        <v/>
      </c>
      <c r="C232" s="61" t="str">
        <f t="shared" ca="1" si="2"/>
        <v/>
      </c>
      <c r="D232" s="183" t="str">
        <f t="shared" ca="1" si="3"/>
        <v/>
      </c>
      <c r="E232" s="63" t="str">
        <f t="shared" ca="1" si="4"/>
        <v/>
      </c>
      <c r="F232" s="64" t="str">
        <f t="shared" ca="1" si="5"/>
        <v/>
      </c>
      <c r="G232" s="89"/>
      <c r="H232" s="125"/>
      <c r="I232" s="125"/>
      <c r="J232" s="125"/>
      <c r="K232" s="125"/>
      <c r="L232" s="91"/>
      <c r="M232" s="66" t="str">
        <f t="shared" ca="1" si="15"/>
        <v/>
      </c>
      <c r="N232" s="268" t="str">
        <f t="shared" ca="1" si="16"/>
        <v/>
      </c>
      <c r="O232" s="68" t="str">
        <f t="shared" ca="1" si="8"/>
        <v/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 t="str">
        <f t="shared" ca="1" si="1"/>
        <v/>
      </c>
      <c r="B233" s="182" t="str">
        <f t="shared" ca="1" si="9"/>
        <v/>
      </c>
      <c r="C233" s="61" t="str">
        <f t="shared" ca="1" si="2"/>
        <v/>
      </c>
      <c r="D233" s="183" t="str">
        <f t="shared" ca="1" si="3"/>
        <v/>
      </c>
      <c r="E233" s="63" t="str">
        <f t="shared" ca="1" si="4"/>
        <v/>
      </c>
      <c r="F233" s="64" t="str">
        <f t="shared" ca="1" si="5"/>
        <v/>
      </c>
      <c r="G233" s="89"/>
      <c r="H233" s="125"/>
      <c r="I233" s="125"/>
      <c r="J233" s="125"/>
      <c r="K233" s="125"/>
      <c r="L233" s="91"/>
      <c r="M233" s="66" t="str">
        <f t="shared" ca="1" si="15"/>
        <v/>
      </c>
      <c r="N233" s="268" t="str">
        <f t="shared" ca="1" si="16"/>
        <v/>
      </c>
      <c r="O233" s="68" t="str">
        <f t="shared" ca="1" si="8"/>
        <v/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 t="str">
        <f t="shared" ca="1" si="1"/>
        <v/>
      </c>
      <c r="B234" s="182" t="str">
        <f t="shared" ca="1" si="9"/>
        <v/>
      </c>
      <c r="C234" s="61" t="str">
        <f t="shared" ca="1" si="2"/>
        <v/>
      </c>
      <c r="D234" s="183" t="str">
        <f t="shared" ca="1" si="3"/>
        <v/>
      </c>
      <c r="E234" s="63" t="str">
        <f t="shared" ca="1" si="4"/>
        <v/>
      </c>
      <c r="F234" s="64" t="str">
        <f t="shared" ca="1" si="5"/>
        <v/>
      </c>
      <c r="G234" s="89"/>
      <c r="H234" s="125"/>
      <c r="I234" s="125"/>
      <c r="J234" s="125"/>
      <c r="K234" s="125"/>
      <c r="L234" s="91"/>
      <c r="M234" s="66" t="str">
        <f t="shared" ca="1" si="15"/>
        <v/>
      </c>
      <c r="N234" s="268" t="str">
        <f t="shared" ca="1" si="16"/>
        <v/>
      </c>
      <c r="O234" s="68" t="str">
        <f t="shared" ca="1" si="8"/>
        <v/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 t="str">
        <f t="shared" ca="1" si="1"/>
        <v/>
      </c>
      <c r="B235" s="182" t="str">
        <f t="shared" ca="1" si="9"/>
        <v/>
      </c>
      <c r="C235" s="61" t="str">
        <f t="shared" ca="1" si="2"/>
        <v/>
      </c>
      <c r="D235" s="183" t="str">
        <f t="shared" ca="1" si="3"/>
        <v/>
      </c>
      <c r="E235" s="63" t="str">
        <f t="shared" ca="1" si="4"/>
        <v/>
      </c>
      <c r="F235" s="64" t="str">
        <f t="shared" ca="1" si="5"/>
        <v/>
      </c>
      <c r="G235" s="89"/>
      <c r="H235" s="125"/>
      <c r="I235" s="125"/>
      <c r="J235" s="125"/>
      <c r="K235" s="125"/>
      <c r="L235" s="91"/>
      <c r="M235" s="66" t="str">
        <f t="shared" ca="1" si="15"/>
        <v/>
      </c>
      <c r="N235" s="268" t="str">
        <f t="shared" ca="1" si="16"/>
        <v/>
      </c>
      <c r="O235" s="68" t="str">
        <f t="shared" ca="1" si="8"/>
        <v/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 t="str">
        <f t="shared" ca="1" si="1"/>
        <v/>
      </c>
      <c r="B236" s="182" t="str">
        <f t="shared" ca="1" si="9"/>
        <v/>
      </c>
      <c r="C236" s="61" t="str">
        <f t="shared" ca="1" si="2"/>
        <v/>
      </c>
      <c r="D236" s="183" t="str">
        <f t="shared" ca="1" si="3"/>
        <v/>
      </c>
      <c r="E236" s="63" t="str">
        <f t="shared" ca="1" si="4"/>
        <v/>
      </c>
      <c r="F236" s="64" t="str">
        <f t="shared" ca="1" si="5"/>
        <v/>
      </c>
      <c r="G236" s="89"/>
      <c r="H236" s="125"/>
      <c r="I236" s="125"/>
      <c r="J236" s="125"/>
      <c r="K236" s="125"/>
      <c r="L236" s="91"/>
      <c r="M236" s="66" t="str">
        <f t="shared" ca="1" si="15"/>
        <v/>
      </c>
      <c r="N236" s="268" t="str">
        <f t="shared" ca="1" si="16"/>
        <v/>
      </c>
      <c r="O236" s="68" t="str">
        <f t="shared" ca="1" si="8"/>
        <v/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 t="str">
        <f t="shared" ca="1" si="1"/>
        <v/>
      </c>
      <c r="B237" s="182" t="str">
        <f t="shared" ca="1" si="9"/>
        <v/>
      </c>
      <c r="C237" s="61" t="str">
        <f t="shared" ca="1" si="2"/>
        <v/>
      </c>
      <c r="D237" s="183" t="str">
        <f t="shared" ca="1" si="3"/>
        <v/>
      </c>
      <c r="E237" s="63" t="str">
        <f t="shared" ca="1" si="4"/>
        <v/>
      </c>
      <c r="F237" s="64" t="str">
        <f t="shared" ca="1" si="5"/>
        <v/>
      </c>
      <c r="G237" s="89"/>
      <c r="H237" s="125"/>
      <c r="I237" s="125"/>
      <c r="J237" s="125"/>
      <c r="K237" s="125"/>
      <c r="L237" s="91"/>
      <c r="M237" s="66" t="str">
        <f t="shared" ca="1" si="15"/>
        <v/>
      </c>
      <c r="N237" s="268" t="str">
        <f t="shared" ca="1" si="16"/>
        <v/>
      </c>
      <c r="O237" s="68" t="str">
        <f t="shared" ca="1" si="8"/>
        <v/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 t="str">
        <f t="shared" ca="1" si="1"/>
        <v/>
      </c>
      <c r="B238" s="182" t="str">
        <f t="shared" ca="1" si="9"/>
        <v/>
      </c>
      <c r="C238" s="61" t="str">
        <f t="shared" ca="1" si="2"/>
        <v/>
      </c>
      <c r="D238" s="183" t="str">
        <f t="shared" ca="1" si="3"/>
        <v/>
      </c>
      <c r="E238" s="63" t="str">
        <f t="shared" ca="1" si="4"/>
        <v/>
      </c>
      <c r="F238" s="64" t="str">
        <f t="shared" ca="1" si="5"/>
        <v/>
      </c>
      <c r="G238" s="89"/>
      <c r="H238" s="125"/>
      <c r="I238" s="125"/>
      <c r="J238" s="125"/>
      <c r="K238" s="125"/>
      <c r="L238" s="91"/>
      <c r="M238" s="66" t="str">
        <f t="shared" ca="1" si="15"/>
        <v/>
      </c>
      <c r="N238" s="268" t="str">
        <f t="shared" ca="1" si="16"/>
        <v/>
      </c>
      <c r="O238" s="68" t="str">
        <f t="shared" ca="1" si="8"/>
        <v/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 t="str">
        <f t="shared" ca="1" si="1"/>
        <v/>
      </c>
      <c r="B239" s="182" t="str">
        <f t="shared" ca="1" si="9"/>
        <v/>
      </c>
      <c r="C239" s="61" t="str">
        <f t="shared" ca="1" si="2"/>
        <v/>
      </c>
      <c r="D239" s="183" t="str">
        <f t="shared" ca="1" si="3"/>
        <v/>
      </c>
      <c r="E239" s="63" t="str">
        <f t="shared" ca="1" si="4"/>
        <v/>
      </c>
      <c r="F239" s="64" t="str">
        <f t="shared" ca="1" si="5"/>
        <v/>
      </c>
      <c r="G239" s="89"/>
      <c r="H239" s="125"/>
      <c r="I239" s="125"/>
      <c r="J239" s="125"/>
      <c r="K239" s="125"/>
      <c r="L239" s="91"/>
      <c r="M239" s="66" t="str">
        <f t="shared" ca="1" si="15"/>
        <v/>
      </c>
      <c r="N239" s="268" t="str">
        <f t="shared" ca="1" si="16"/>
        <v/>
      </c>
      <c r="O239" s="68" t="str">
        <f t="shared" ca="1" si="8"/>
        <v/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 t="str">
        <f t="shared" ca="1" si="1"/>
        <v/>
      </c>
      <c r="B240" s="182" t="str">
        <f t="shared" ca="1" si="9"/>
        <v/>
      </c>
      <c r="C240" s="61" t="str">
        <f t="shared" ca="1" si="2"/>
        <v/>
      </c>
      <c r="D240" s="183" t="str">
        <f t="shared" ca="1" si="3"/>
        <v/>
      </c>
      <c r="E240" s="63" t="str">
        <f t="shared" ca="1" si="4"/>
        <v/>
      </c>
      <c r="F240" s="64" t="str">
        <f t="shared" ca="1" si="5"/>
        <v/>
      </c>
      <c r="G240" s="89"/>
      <c r="H240" s="125"/>
      <c r="I240" s="125"/>
      <c r="J240" s="125"/>
      <c r="K240" s="125"/>
      <c r="L240" s="91"/>
      <c r="M240" s="66" t="str">
        <f t="shared" ca="1" si="15"/>
        <v/>
      </c>
      <c r="N240" s="268" t="str">
        <f t="shared" ca="1" si="16"/>
        <v/>
      </c>
      <c r="O240" s="68" t="str">
        <f t="shared" ca="1" si="8"/>
        <v/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 t="str">
        <f t="shared" ca="1" si="1"/>
        <v/>
      </c>
      <c r="B241" s="182" t="str">
        <f t="shared" ca="1" si="9"/>
        <v/>
      </c>
      <c r="C241" s="61" t="str">
        <f t="shared" ca="1" si="2"/>
        <v/>
      </c>
      <c r="D241" s="183" t="str">
        <f t="shared" ca="1" si="3"/>
        <v/>
      </c>
      <c r="E241" s="63" t="str">
        <f t="shared" ca="1" si="4"/>
        <v/>
      </c>
      <c r="F241" s="64" t="str">
        <f t="shared" ca="1" si="5"/>
        <v/>
      </c>
      <c r="G241" s="89"/>
      <c r="H241" s="125"/>
      <c r="I241" s="125"/>
      <c r="J241" s="125"/>
      <c r="K241" s="125"/>
      <c r="L241" s="91"/>
      <c r="M241" s="66" t="str">
        <f t="shared" ca="1" si="15"/>
        <v/>
      </c>
      <c r="N241" s="268" t="str">
        <f t="shared" ca="1" si="16"/>
        <v/>
      </c>
      <c r="O241" s="68" t="str">
        <f t="shared" ca="1" si="8"/>
        <v/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 t="str">
        <f t="shared" ca="1" si="1"/>
        <v/>
      </c>
      <c r="B242" s="182" t="str">
        <f t="shared" ca="1" si="9"/>
        <v/>
      </c>
      <c r="C242" s="61" t="str">
        <f t="shared" ca="1" si="2"/>
        <v/>
      </c>
      <c r="D242" s="183" t="str">
        <f t="shared" ca="1" si="3"/>
        <v/>
      </c>
      <c r="E242" s="63" t="str">
        <f t="shared" ca="1" si="4"/>
        <v/>
      </c>
      <c r="F242" s="64" t="str">
        <f t="shared" ca="1" si="5"/>
        <v/>
      </c>
      <c r="G242" s="89"/>
      <c r="H242" s="125"/>
      <c r="I242" s="125"/>
      <c r="J242" s="125"/>
      <c r="K242" s="125"/>
      <c r="L242" s="91"/>
      <c r="M242" s="66" t="str">
        <f t="shared" ca="1" si="15"/>
        <v/>
      </c>
      <c r="N242" s="268" t="str">
        <f t="shared" ca="1" si="16"/>
        <v/>
      </c>
      <c r="O242" s="68" t="str">
        <f t="shared" ca="1" si="8"/>
        <v/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 t="str">
        <f t="shared" ca="1" si="1"/>
        <v/>
      </c>
      <c r="B243" s="182" t="str">
        <f t="shared" ca="1" si="9"/>
        <v/>
      </c>
      <c r="C243" s="61" t="str">
        <f t="shared" ca="1" si="2"/>
        <v/>
      </c>
      <c r="D243" s="183" t="str">
        <f t="shared" ca="1" si="3"/>
        <v/>
      </c>
      <c r="E243" s="63" t="str">
        <f t="shared" ca="1" si="4"/>
        <v/>
      </c>
      <c r="F243" s="64" t="str">
        <f t="shared" ca="1" si="5"/>
        <v/>
      </c>
      <c r="G243" s="89"/>
      <c r="H243" s="125"/>
      <c r="I243" s="125"/>
      <c r="J243" s="125"/>
      <c r="K243" s="125"/>
      <c r="L243" s="91"/>
      <c r="M243" s="66" t="str">
        <f t="shared" ca="1" si="15"/>
        <v/>
      </c>
      <c r="N243" s="268" t="str">
        <f t="shared" ca="1" si="16"/>
        <v/>
      </c>
      <c r="O243" s="68" t="str">
        <f t="shared" ca="1" si="8"/>
        <v/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 t="str">
        <f t="shared" ca="1" si="1"/>
        <v/>
      </c>
      <c r="B244" s="182" t="str">
        <f t="shared" ca="1" si="9"/>
        <v/>
      </c>
      <c r="C244" s="61" t="str">
        <f t="shared" ca="1" si="2"/>
        <v/>
      </c>
      <c r="D244" s="183" t="str">
        <f t="shared" ca="1" si="3"/>
        <v/>
      </c>
      <c r="E244" s="63" t="str">
        <f t="shared" ca="1" si="4"/>
        <v/>
      </c>
      <c r="F244" s="64" t="str">
        <f t="shared" ca="1" si="5"/>
        <v/>
      </c>
      <c r="G244" s="89"/>
      <c r="H244" s="125"/>
      <c r="I244" s="125"/>
      <c r="J244" s="125"/>
      <c r="K244" s="125"/>
      <c r="L244" s="91"/>
      <c r="M244" s="66" t="str">
        <f t="shared" ca="1" si="15"/>
        <v/>
      </c>
      <c r="N244" s="268" t="str">
        <f t="shared" ca="1" si="16"/>
        <v/>
      </c>
      <c r="O244" s="68" t="str">
        <f t="shared" ca="1" si="8"/>
        <v/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 t="str">
        <f t="shared" ca="1" si="1"/>
        <v/>
      </c>
      <c r="B245" s="182" t="str">
        <f t="shared" ca="1" si="9"/>
        <v/>
      </c>
      <c r="C245" s="61" t="str">
        <f t="shared" ca="1" si="2"/>
        <v/>
      </c>
      <c r="D245" s="183" t="str">
        <f t="shared" ca="1" si="3"/>
        <v/>
      </c>
      <c r="E245" s="63" t="str">
        <f t="shared" ca="1" si="4"/>
        <v/>
      </c>
      <c r="F245" s="64" t="str">
        <f t="shared" ca="1" si="5"/>
        <v/>
      </c>
      <c r="G245" s="89"/>
      <c r="H245" s="125"/>
      <c r="I245" s="125"/>
      <c r="J245" s="125"/>
      <c r="K245" s="125"/>
      <c r="L245" s="91"/>
      <c r="M245" s="66" t="str">
        <f t="shared" ca="1" si="15"/>
        <v/>
      </c>
      <c r="N245" s="268" t="str">
        <f t="shared" ca="1" si="16"/>
        <v/>
      </c>
      <c r="O245" s="68" t="str">
        <f t="shared" ca="1" si="8"/>
        <v/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80" t="str">
        <f t="shared" ca="1" si="1"/>
        <v/>
      </c>
      <c r="B246" s="185" t="str">
        <f t="shared" ca="1" si="9"/>
        <v/>
      </c>
      <c r="C246" s="82" t="str">
        <f t="shared" ca="1" si="2"/>
        <v/>
      </c>
      <c r="D246" s="186" t="str">
        <f t="shared" ca="1" si="3"/>
        <v/>
      </c>
      <c r="E246" s="84" t="str">
        <f t="shared" ca="1" si="4"/>
        <v/>
      </c>
      <c r="F246" s="85" t="str">
        <f t="shared" ca="1" si="5"/>
        <v/>
      </c>
      <c r="G246" s="291"/>
      <c r="H246" s="300"/>
      <c r="I246" s="300"/>
      <c r="J246" s="300"/>
      <c r="K246" s="300"/>
      <c r="L246" s="152"/>
      <c r="M246" s="170" t="str">
        <f t="shared" ca="1" si="15"/>
        <v/>
      </c>
      <c r="N246" s="269" t="str">
        <f t="shared" ca="1" si="16"/>
        <v/>
      </c>
      <c r="O246" s="68" t="str">
        <f t="shared" ca="1" si="8"/>
        <v/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46" t="str">
        <f t="shared" ca="1" si="1"/>
        <v/>
      </c>
      <c r="B247" s="190" t="str">
        <f t="shared" ca="1" si="9"/>
        <v/>
      </c>
      <c r="C247" s="48" t="str">
        <f t="shared" ca="1" si="2"/>
        <v/>
      </c>
      <c r="D247" s="191" t="str">
        <f t="shared" ca="1" si="3"/>
        <v/>
      </c>
      <c r="E247" s="50" t="str">
        <f t="shared" ca="1" si="4"/>
        <v/>
      </c>
      <c r="F247" s="51" t="str">
        <f t="shared" ca="1" si="5"/>
        <v/>
      </c>
      <c r="G247" s="52"/>
      <c r="H247" s="292"/>
      <c r="I247" s="292"/>
      <c r="J247" s="292"/>
      <c r="K247" s="292"/>
      <c r="L247" s="155"/>
      <c r="M247" s="194" t="str">
        <f t="shared" ca="1" si="15"/>
        <v/>
      </c>
      <c r="N247" s="195" t="str">
        <f t="shared" ca="1" si="16"/>
        <v/>
      </c>
      <c r="O247" s="68" t="str">
        <f t="shared" ca="1" si="8"/>
        <v/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 t="str">
        <f t="shared" ca="1" si="1"/>
        <v/>
      </c>
      <c r="B248" s="182" t="str">
        <f t="shared" ca="1" si="9"/>
        <v/>
      </c>
      <c r="C248" s="61" t="str">
        <f t="shared" ca="1" si="2"/>
        <v/>
      </c>
      <c r="D248" s="183" t="str">
        <f t="shared" ca="1" si="3"/>
        <v/>
      </c>
      <c r="E248" s="63" t="str">
        <f t="shared" ca="1" si="4"/>
        <v/>
      </c>
      <c r="F248" s="64" t="str">
        <f t="shared" ca="1" si="5"/>
        <v/>
      </c>
      <c r="G248" s="89"/>
      <c r="H248" s="125"/>
      <c r="I248" s="125"/>
      <c r="J248" s="125"/>
      <c r="K248" s="125"/>
      <c r="L248" s="158"/>
      <c r="M248" s="184" t="str">
        <f t="shared" ca="1" si="15"/>
        <v/>
      </c>
      <c r="N248" s="67" t="str">
        <f t="shared" ca="1" si="16"/>
        <v/>
      </c>
      <c r="O248" s="68" t="str">
        <f t="shared" ca="1" si="8"/>
        <v/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 t="str">
        <f t="shared" ca="1" si="1"/>
        <v/>
      </c>
      <c r="B249" s="182" t="str">
        <f t="shared" ca="1" si="9"/>
        <v/>
      </c>
      <c r="C249" s="61" t="str">
        <f t="shared" ca="1" si="2"/>
        <v/>
      </c>
      <c r="D249" s="183" t="str">
        <f t="shared" ca="1" si="3"/>
        <v/>
      </c>
      <c r="E249" s="63" t="str">
        <f t="shared" ca="1" si="4"/>
        <v/>
      </c>
      <c r="F249" s="64" t="str">
        <f t="shared" ca="1" si="5"/>
        <v/>
      </c>
      <c r="G249" s="89"/>
      <c r="H249" s="125"/>
      <c r="I249" s="125"/>
      <c r="J249" s="125"/>
      <c r="K249" s="125"/>
      <c r="L249" s="158"/>
      <c r="M249" s="184" t="str">
        <f t="shared" ca="1" si="15"/>
        <v/>
      </c>
      <c r="N249" s="67" t="str">
        <f t="shared" ca="1" si="16"/>
        <v/>
      </c>
      <c r="O249" s="68" t="str">
        <f t="shared" ca="1" si="8"/>
        <v/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 t="str">
        <f t="shared" ca="1" si="1"/>
        <v/>
      </c>
      <c r="B250" s="182" t="str">
        <f t="shared" ca="1" si="9"/>
        <v/>
      </c>
      <c r="C250" s="61" t="str">
        <f t="shared" ca="1" si="2"/>
        <v/>
      </c>
      <c r="D250" s="183" t="str">
        <f t="shared" ca="1" si="3"/>
        <v/>
      </c>
      <c r="E250" s="63" t="str">
        <f t="shared" ca="1" si="4"/>
        <v/>
      </c>
      <c r="F250" s="64" t="str">
        <f t="shared" ca="1" si="5"/>
        <v/>
      </c>
      <c r="G250" s="89"/>
      <c r="H250" s="125"/>
      <c r="I250" s="125"/>
      <c r="J250" s="125"/>
      <c r="K250" s="125"/>
      <c r="L250" s="158"/>
      <c r="M250" s="184" t="str">
        <f t="shared" ca="1" si="15"/>
        <v/>
      </c>
      <c r="N250" s="67" t="str">
        <f t="shared" ca="1" si="16"/>
        <v/>
      </c>
      <c r="O250" s="68" t="str">
        <f t="shared" ca="1" si="8"/>
        <v/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 t="str">
        <f t="shared" ca="1" si="1"/>
        <v/>
      </c>
      <c r="B251" s="182" t="str">
        <f t="shared" ca="1" si="9"/>
        <v/>
      </c>
      <c r="C251" s="61" t="str">
        <f t="shared" ca="1" si="2"/>
        <v/>
      </c>
      <c r="D251" s="183" t="str">
        <f t="shared" ca="1" si="3"/>
        <v/>
      </c>
      <c r="E251" s="63" t="str">
        <f t="shared" ca="1" si="4"/>
        <v/>
      </c>
      <c r="F251" s="64" t="str">
        <f t="shared" ca="1" si="5"/>
        <v/>
      </c>
      <c r="G251" s="89"/>
      <c r="H251" s="125"/>
      <c r="I251" s="125"/>
      <c r="J251" s="125"/>
      <c r="K251" s="125"/>
      <c r="L251" s="158"/>
      <c r="M251" s="184" t="str">
        <f t="shared" ca="1" si="15"/>
        <v/>
      </c>
      <c r="N251" s="67" t="str">
        <f t="shared" ca="1" si="16"/>
        <v/>
      </c>
      <c r="O251" s="68" t="str">
        <f t="shared" ca="1" si="8"/>
        <v/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 t="str">
        <f t="shared" ca="1" si="1"/>
        <v/>
      </c>
      <c r="B252" s="182" t="str">
        <f t="shared" ca="1" si="9"/>
        <v/>
      </c>
      <c r="C252" s="61" t="str">
        <f t="shared" ca="1" si="2"/>
        <v/>
      </c>
      <c r="D252" s="183" t="str">
        <f t="shared" ca="1" si="3"/>
        <v/>
      </c>
      <c r="E252" s="63" t="str">
        <f t="shared" ca="1" si="4"/>
        <v/>
      </c>
      <c r="F252" s="64" t="str">
        <f t="shared" ca="1" si="5"/>
        <v/>
      </c>
      <c r="G252" s="89"/>
      <c r="H252" s="125"/>
      <c r="I252" s="125"/>
      <c r="J252" s="125"/>
      <c r="K252" s="125"/>
      <c r="L252" s="158"/>
      <c r="M252" s="184" t="str">
        <f t="shared" ca="1" si="15"/>
        <v/>
      </c>
      <c r="N252" s="67" t="str">
        <f t="shared" ca="1" si="16"/>
        <v/>
      </c>
      <c r="O252" s="68" t="str">
        <f t="shared" ca="1" si="8"/>
        <v/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 t="str">
        <f t="shared" ca="1" si="1"/>
        <v/>
      </c>
      <c r="B253" s="182" t="str">
        <f t="shared" ca="1" si="9"/>
        <v/>
      </c>
      <c r="C253" s="61" t="str">
        <f t="shared" ca="1" si="2"/>
        <v/>
      </c>
      <c r="D253" s="183" t="str">
        <f t="shared" ca="1" si="3"/>
        <v/>
      </c>
      <c r="E253" s="63" t="str">
        <f t="shared" ca="1" si="4"/>
        <v/>
      </c>
      <c r="F253" s="64" t="str">
        <f t="shared" ca="1" si="5"/>
        <v/>
      </c>
      <c r="G253" s="89"/>
      <c r="H253" s="122"/>
      <c r="I253" s="122"/>
      <c r="J253" s="122"/>
      <c r="K253" s="122"/>
      <c r="L253" s="158"/>
      <c r="M253" s="184" t="str">
        <f t="shared" ca="1" si="15"/>
        <v/>
      </c>
      <c r="N253" s="67" t="str">
        <f t="shared" ca="1" si="16"/>
        <v/>
      </c>
      <c r="O253" s="68" t="str">
        <f t="shared" ca="1" si="8"/>
        <v/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 t="str">
        <f t="shared" ca="1" si="1"/>
        <v/>
      </c>
      <c r="B254" s="182" t="str">
        <f t="shared" ca="1" si="9"/>
        <v/>
      </c>
      <c r="C254" s="61" t="str">
        <f t="shared" ca="1" si="2"/>
        <v/>
      </c>
      <c r="D254" s="183" t="str">
        <f t="shared" ca="1" si="3"/>
        <v/>
      </c>
      <c r="E254" s="63" t="str">
        <f t="shared" ca="1" si="4"/>
        <v/>
      </c>
      <c r="F254" s="64" t="str">
        <f t="shared" ca="1" si="5"/>
        <v/>
      </c>
      <c r="G254" s="89"/>
      <c r="H254" s="122"/>
      <c r="I254" s="122"/>
      <c r="J254" s="122"/>
      <c r="K254" s="122"/>
      <c r="L254" s="158"/>
      <c r="M254" s="184" t="str">
        <f t="shared" ca="1" si="15"/>
        <v/>
      </c>
      <c r="N254" s="67" t="str">
        <f t="shared" ca="1" si="16"/>
        <v/>
      </c>
      <c r="O254" s="68" t="str">
        <f t="shared" ca="1" si="8"/>
        <v/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 t="str">
        <f t="shared" ca="1" si="1"/>
        <v/>
      </c>
      <c r="B255" s="182" t="str">
        <f t="shared" ca="1" si="9"/>
        <v/>
      </c>
      <c r="C255" s="61" t="str">
        <f t="shared" ca="1" si="2"/>
        <v/>
      </c>
      <c r="D255" s="183" t="str">
        <f t="shared" ca="1" si="3"/>
        <v/>
      </c>
      <c r="E255" s="63" t="str">
        <f t="shared" ca="1" si="4"/>
        <v/>
      </c>
      <c r="F255" s="64" t="str">
        <f t="shared" ca="1" si="5"/>
        <v/>
      </c>
      <c r="G255" s="89"/>
      <c r="H255" s="125"/>
      <c r="I255" s="125"/>
      <c r="J255" s="125"/>
      <c r="K255" s="125"/>
      <c r="L255" s="158"/>
      <c r="M255" s="184" t="str">
        <f t="shared" ca="1" si="15"/>
        <v/>
      </c>
      <c r="N255" s="67" t="str">
        <f t="shared" ca="1" si="16"/>
        <v/>
      </c>
      <c r="O255" s="68" t="str">
        <f t="shared" ca="1" si="8"/>
        <v/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 t="str">
        <f t="shared" ca="1" si="1"/>
        <v/>
      </c>
      <c r="B256" s="182" t="str">
        <f t="shared" ca="1" si="9"/>
        <v/>
      </c>
      <c r="C256" s="61" t="str">
        <f t="shared" ca="1" si="2"/>
        <v/>
      </c>
      <c r="D256" s="183" t="str">
        <f t="shared" ca="1" si="3"/>
        <v/>
      </c>
      <c r="E256" s="63" t="str">
        <f t="shared" ca="1" si="4"/>
        <v/>
      </c>
      <c r="F256" s="64" t="str">
        <f t="shared" ca="1" si="5"/>
        <v/>
      </c>
      <c r="G256" s="89"/>
      <c r="H256" s="125"/>
      <c r="I256" s="125"/>
      <c r="J256" s="125"/>
      <c r="K256" s="125"/>
      <c r="L256" s="158"/>
      <c r="M256" s="184" t="str">
        <f t="shared" ca="1" si="15"/>
        <v/>
      </c>
      <c r="N256" s="67" t="str">
        <f t="shared" ca="1" si="16"/>
        <v/>
      </c>
      <c r="O256" s="68" t="str">
        <f t="shared" ca="1" si="8"/>
        <v/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 t="str">
        <f t="shared" ca="1" si="1"/>
        <v/>
      </c>
      <c r="B257" s="182" t="str">
        <f t="shared" ca="1" si="9"/>
        <v/>
      </c>
      <c r="C257" s="61" t="str">
        <f t="shared" ca="1" si="2"/>
        <v/>
      </c>
      <c r="D257" s="183" t="str">
        <f t="shared" ca="1" si="3"/>
        <v/>
      </c>
      <c r="E257" s="63" t="str">
        <f t="shared" ca="1" si="4"/>
        <v/>
      </c>
      <c r="F257" s="64" t="str">
        <f t="shared" ca="1" si="5"/>
        <v/>
      </c>
      <c r="G257" s="89"/>
      <c r="H257" s="125"/>
      <c r="I257" s="125"/>
      <c r="J257" s="125"/>
      <c r="K257" s="125"/>
      <c r="L257" s="158"/>
      <c r="M257" s="184" t="str">
        <f t="shared" ca="1" si="15"/>
        <v/>
      </c>
      <c r="N257" s="67" t="str">
        <f t="shared" ca="1" si="16"/>
        <v/>
      </c>
      <c r="O257" s="68" t="str">
        <f t="shared" ca="1" si="8"/>
        <v/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 t="str">
        <f t="shared" ca="1" si="1"/>
        <v/>
      </c>
      <c r="B258" s="182" t="str">
        <f t="shared" ca="1" si="9"/>
        <v/>
      </c>
      <c r="C258" s="61" t="str">
        <f t="shared" ca="1" si="2"/>
        <v/>
      </c>
      <c r="D258" s="183" t="str">
        <f t="shared" ca="1" si="3"/>
        <v/>
      </c>
      <c r="E258" s="63" t="str">
        <f t="shared" ca="1" si="4"/>
        <v/>
      </c>
      <c r="F258" s="64" t="str">
        <f t="shared" ca="1" si="5"/>
        <v/>
      </c>
      <c r="G258" s="89"/>
      <c r="H258" s="125"/>
      <c r="I258" s="125"/>
      <c r="J258" s="125"/>
      <c r="K258" s="125"/>
      <c r="L258" s="158"/>
      <c r="M258" s="184" t="str">
        <f t="shared" ca="1" si="15"/>
        <v/>
      </c>
      <c r="N258" s="67" t="str">
        <f t="shared" ca="1" si="16"/>
        <v/>
      </c>
      <c r="O258" s="68" t="str">
        <f t="shared" ca="1" si="8"/>
        <v/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 t="str">
        <f t="shared" ca="1" si="1"/>
        <v/>
      </c>
      <c r="B259" s="182" t="str">
        <f t="shared" ca="1" si="9"/>
        <v/>
      </c>
      <c r="C259" s="61" t="str">
        <f t="shared" ca="1" si="2"/>
        <v/>
      </c>
      <c r="D259" s="183" t="str">
        <f t="shared" ca="1" si="3"/>
        <v/>
      </c>
      <c r="E259" s="63" t="str">
        <f t="shared" ca="1" si="4"/>
        <v/>
      </c>
      <c r="F259" s="64" t="str">
        <f t="shared" ca="1" si="5"/>
        <v/>
      </c>
      <c r="G259" s="89"/>
      <c r="H259" s="125"/>
      <c r="I259" s="125"/>
      <c r="J259" s="125"/>
      <c r="K259" s="125"/>
      <c r="L259" s="158"/>
      <c r="M259" s="184" t="str">
        <f t="shared" ca="1" si="15"/>
        <v/>
      </c>
      <c r="N259" s="67" t="str">
        <f t="shared" ca="1" si="16"/>
        <v/>
      </c>
      <c r="O259" s="68" t="str">
        <f t="shared" ca="1" si="8"/>
        <v/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 t="str">
        <f t="shared" ca="1" si="1"/>
        <v/>
      </c>
      <c r="B260" s="182" t="str">
        <f t="shared" ca="1" si="9"/>
        <v/>
      </c>
      <c r="C260" s="61" t="str">
        <f t="shared" ca="1" si="2"/>
        <v/>
      </c>
      <c r="D260" s="183" t="str">
        <f t="shared" ca="1" si="3"/>
        <v/>
      </c>
      <c r="E260" s="63" t="str">
        <f t="shared" ca="1" si="4"/>
        <v/>
      </c>
      <c r="F260" s="64" t="str">
        <f t="shared" ca="1" si="5"/>
        <v/>
      </c>
      <c r="G260" s="89"/>
      <c r="H260" s="125"/>
      <c r="I260" s="125"/>
      <c r="J260" s="125"/>
      <c r="K260" s="125"/>
      <c r="L260" s="158"/>
      <c r="M260" s="184" t="str">
        <f t="shared" ca="1" si="15"/>
        <v/>
      </c>
      <c r="N260" s="67" t="str">
        <f t="shared" ca="1" si="16"/>
        <v/>
      </c>
      <c r="O260" s="68" t="str">
        <f t="shared" ca="1" si="8"/>
        <v/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 t="str">
        <f t="shared" ca="1" si="1"/>
        <v/>
      </c>
      <c r="B261" s="182" t="str">
        <f t="shared" ca="1" si="9"/>
        <v/>
      </c>
      <c r="C261" s="61" t="str">
        <f t="shared" ca="1" si="2"/>
        <v/>
      </c>
      <c r="D261" s="183" t="str">
        <f t="shared" ca="1" si="3"/>
        <v/>
      </c>
      <c r="E261" s="63" t="str">
        <f t="shared" ca="1" si="4"/>
        <v/>
      </c>
      <c r="F261" s="64" t="str">
        <f t="shared" ca="1" si="5"/>
        <v/>
      </c>
      <c r="G261" s="89"/>
      <c r="H261" s="125"/>
      <c r="I261" s="125"/>
      <c r="J261" s="125"/>
      <c r="K261" s="125"/>
      <c r="L261" s="158"/>
      <c r="M261" s="184" t="str">
        <f t="shared" ca="1" si="15"/>
        <v/>
      </c>
      <c r="N261" s="67" t="str">
        <f t="shared" ca="1" si="16"/>
        <v/>
      </c>
      <c r="O261" s="68" t="str">
        <f t="shared" ca="1" si="8"/>
        <v/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100" t="str">
        <f t="shared" ref="A262:A294" ca="1" si="17">IF(INDIRECT("'DS nhân viên Speedtest'!B"&amp; (76+QUOTIENT(ROW()-ROW($A$7),16)))="","",ROW()-ROW($A$7)+1)</f>
        <v/>
      </c>
      <c r="B262" s="196" t="str">
        <f t="shared" ca="1" si="9"/>
        <v/>
      </c>
      <c r="C262" s="102" t="str">
        <f t="shared" ref="C262:C294" ca="1" si="18">IF(A262="","",INDIRECT("'DS nhân viên Speedtest'!B"&amp; (76+QUOTIENT(A262-1,16))))</f>
        <v/>
      </c>
      <c r="D262" s="197" t="str">
        <f t="shared" ref="D262:D294" ca="1" si="19">IF(A262="","",INDIRECT("'DS nhân viên Speedtest'!C"&amp; (76+QUOTIENT(A262-1,16))))</f>
        <v/>
      </c>
      <c r="E262" s="104" t="str">
        <f t="shared" ref="E262:E294" ca="1" si="20">IF(A262="","",INDIRECT("'DS nhân viên Speedtest'!D"&amp; (76+QUOTIENT(A262-1,16))))</f>
        <v/>
      </c>
      <c r="F262" s="105" t="str">
        <f t="shared" ref="F262:F294" ca="1" si="21">IF(A262="","","Lần "&amp;(MOD(ROW()-ROW($A$7),16)+1))</f>
        <v/>
      </c>
      <c r="G262" s="283"/>
      <c r="H262" s="284"/>
      <c r="I262" s="284"/>
      <c r="J262" s="284"/>
      <c r="K262" s="284"/>
      <c r="L262" s="162"/>
      <c r="M262" s="202" t="str">
        <f t="shared" ca="1" si="15"/>
        <v/>
      </c>
      <c r="N262" s="203" t="str">
        <f t="shared" ca="1" si="16"/>
        <v/>
      </c>
      <c r="O262" s="68" t="str">
        <f t="shared" ref="O262:O294" ca="1" si="22">IF(B262="","",IF((J262-0)&gt;200,1,0))</f>
        <v/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106" t="str">
        <f t="shared" ca="1" si="17"/>
        <v/>
      </c>
      <c r="B263" s="204" t="str">
        <f t="shared" ref="B263:B294" ca="1" si="23">IF(A263="","",B262)</f>
        <v/>
      </c>
      <c r="C263" s="108" t="str">
        <f t="shared" ca="1" si="18"/>
        <v/>
      </c>
      <c r="D263" s="205" t="str">
        <f t="shared" ca="1" si="19"/>
        <v/>
      </c>
      <c r="E263" s="110" t="str">
        <f t="shared" ca="1" si="20"/>
        <v/>
      </c>
      <c r="F263" s="111" t="str">
        <f t="shared" ca="1" si="21"/>
        <v/>
      </c>
      <c r="G263" s="163"/>
      <c r="H263" s="164"/>
      <c r="I263" s="164"/>
      <c r="J263" s="146"/>
      <c r="K263" s="146"/>
      <c r="L263" s="165"/>
      <c r="M263" s="56" t="str">
        <f t="shared" ca="1" si="15"/>
        <v/>
      </c>
      <c r="N263" s="266" t="str">
        <f t="shared" ca="1" si="16"/>
        <v/>
      </c>
      <c r="O263" s="68" t="str">
        <f t="shared" ca="1" si="22"/>
        <v/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59" t="str">
        <f t="shared" ca="1" si="17"/>
        <v/>
      </c>
      <c r="B264" s="182" t="str">
        <f t="shared" ca="1" si="23"/>
        <v/>
      </c>
      <c r="C264" s="61" t="str">
        <f t="shared" ca="1" si="18"/>
        <v/>
      </c>
      <c r="D264" s="183" t="str">
        <f t="shared" ca="1" si="19"/>
        <v/>
      </c>
      <c r="E264" s="63" t="str">
        <f t="shared" ca="1" si="20"/>
        <v/>
      </c>
      <c r="F264" s="64" t="str">
        <f t="shared" ca="1" si="21"/>
        <v/>
      </c>
      <c r="G264" s="156"/>
      <c r="H264" s="157"/>
      <c r="I264" s="157"/>
      <c r="J264" s="122"/>
      <c r="K264" s="122"/>
      <c r="L264" s="158"/>
      <c r="M264" s="66" t="str">
        <f t="shared" ca="1" si="15"/>
        <v/>
      </c>
      <c r="N264" s="268" t="str">
        <f t="shared" ca="1" si="16"/>
        <v/>
      </c>
      <c r="O264" s="68" t="str">
        <f t="shared" ca="1" si="22"/>
        <v/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59" t="str">
        <f t="shared" ca="1" si="17"/>
        <v/>
      </c>
      <c r="B265" s="182" t="str">
        <f t="shared" ca="1" si="23"/>
        <v/>
      </c>
      <c r="C265" s="61" t="str">
        <f t="shared" ca="1" si="18"/>
        <v/>
      </c>
      <c r="D265" s="183" t="str">
        <f t="shared" ca="1" si="19"/>
        <v/>
      </c>
      <c r="E265" s="63" t="str">
        <f t="shared" ca="1" si="20"/>
        <v/>
      </c>
      <c r="F265" s="64" t="str">
        <f t="shared" ca="1" si="21"/>
        <v/>
      </c>
      <c r="G265" s="156"/>
      <c r="H265" s="157"/>
      <c r="I265" s="157"/>
      <c r="J265" s="122"/>
      <c r="K265" s="122"/>
      <c r="L265" s="158"/>
      <c r="M265" s="66" t="str">
        <f t="shared" ca="1" si="15"/>
        <v/>
      </c>
      <c r="N265" s="268" t="str">
        <f t="shared" ca="1" si="16"/>
        <v/>
      </c>
      <c r="O265" s="68" t="str">
        <f t="shared" ca="1" si="22"/>
        <v/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59" t="str">
        <f t="shared" ca="1" si="17"/>
        <v/>
      </c>
      <c r="B266" s="182" t="str">
        <f t="shared" ca="1" si="23"/>
        <v/>
      </c>
      <c r="C266" s="61" t="str">
        <f t="shared" ca="1" si="18"/>
        <v/>
      </c>
      <c r="D266" s="183" t="str">
        <f t="shared" ca="1" si="19"/>
        <v/>
      </c>
      <c r="E266" s="63" t="str">
        <f t="shared" ca="1" si="20"/>
        <v/>
      </c>
      <c r="F266" s="64" t="str">
        <f t="shared" ca="1" si="21"/>
        <v/>
      </c>
      <c r="G266" s="156"/>
      <c r="H266" s="157"/>
      <c r="I266" s="157"/>
      <c r="J266" s="122"/>
      <c r="K266" s="122"/>
      <c r="L266" s="158"/>
      <c r="M266" s="66" t="str">
        <f t="shared" ca="1" si="15"/>
        <v/>
      </c>
      <c r="N266" s="268" t="str">
        <f t="shared" ca="1" si="16"/>
        <v/>
      </c>
      <c r="O266" s="68" t="str">
        <f t="shared" ca="1" si="22"/>
        <v/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59" t="str">
        <f t="shared" ca="1" si="17"/>
        <v/>
      </c>
      <c r="B267" s="182" t="str">
        <f t="shared" ca="1" si="23"/>
        <v/>
      </c>
      <c r="C267" s="61" t="str">
        <f t="shared" ca="1" si="18"/>
        <v/>
      </c>
      <c r="D267" s="183" t="str">
        <f t="shared" ca="1" si="19"/>
        <v/>
      </c>
      <c r="E267" s="63" t="str">
        <f t="shared" ca="1" si="20"/>
        <v/>
      </c>
      <c r="F267" s="64" t="str">
        <f t="shared" ca="1" si="21"/>
        <v/>
      </c>
      <c r="G267" s="156"/>
      <c r="H267" s="157"/>
      <c r="I267" s="157"/>
      <c r="J267" s="122"/>
      <c r="K267" s="122"/>
      <c r="L267" s="158"/>
      <c r="M267" s="66" t="str">
        <f t="shared" ca="1" si="15"/>
        <v/>
      </c>
      <c r="N267" s="268" t="str">
        <f t="shared" ca="1" si="16"/>
        <v/>
      </c>
      <c r="O267" s="68" t="str">
        <f t="shared" ca="1" si="22"/>
        <v/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59" t="str">
        <f t="shared" ca="1" si="17"/>
        <v/>
      </c>
      <c r="B268" s="182" t="str">
        <f t="shared" ca="1" si="23"/>
        <v/>
      </c>
      <c r="C268" s="61" t="str">
        <f t="shared" ca="1" si="18"/>
        <v/>
      </c>
      <c r="D268" s="183" t="str">
        <f t="shared" ca="1" si="19"/>
        <v/>
      </c>
      <c r="E268" s="63" t="str">
        <f t="shared" ca="1" si="20"/>
        <v/>
      </c>
      <c r="F268" s="64" t="str">
        <f t="shared" ca="1" si="21"/>
        <v/>
      </c>
      <c r="G268" s="156"/>
      <c r="H268" s="157"/>
      <c r="I268" s="157"/>
      <c r="J268" s="122"/>
      <c r="K268" s="122"/>
      <c r="L268" s="158"/>
      <c r="M268" s="66" t="str">
        <f t="shared" ca="1" si="15"/>
        <v/>
      </c>
      <c r="N268" s="268" t="str">
        <f t="shared" ca="1" si="16"/>
        <v/>
      </c>
      <c r="O268" s="68" t="str">
        <f t="shared" ca="1" si="22"/>
        <v/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59" t="str">
        <f t="shared" ca="1" si="17"/>
        <v/>
      </c>
      <c r="B269" s="182" t="str">
        <f t="shared" ca="1" si="23"/>
        <v/>
      </c>
      <c r="C269" s="61" t="str">
        <f t="shared" ca="1" si="18"/>
        <v/>
      </c>
      <c r="D269" s="183" t="str">
        <f t="shared" ca="1" si="19"/>
        <v/>
      </c>
      <c r="E269" s="63" t="str">
        <f t="shared" ca="1" si="20"/>
        <v/>
      </c>
      <c r="F269" s="64" t="str">
        <f t="shared" ca="1" si="21"/>
        <v/>
      </c>
      <c r="G269" s="156"/>
      <c r="H269" s="157"/>
      <c r="I269" s="157"/>
      <c r="J269" s="122"/>
      <c r="K269" s="122"/>
      <c r="L269" s="158"/>
      <c r="M269" s="66" t="str">
        <f t="shared" ca="1" si="15"/>
        <v/>
      </c>
      <c r="N269" s="268" t="str">
        <f t="shared" ca="1" si="16"/>
        <v/>
      </c>
      <c r="O269" s="68" t="str">
        <f t="shared" ca="1" si="22"/>
        <v/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59" t="str">
        <f t="shared" ca="1" si="17"/>
        <v/>
      </c>
      <c r="B270" s="182" t="str">
        <f t="shared" ca="1" si="23"/>
        <v/>
      </c>
      <c r="C270" s="61" t="str">
        <f t="shared" ca="1" si="18"/>
        <v/>
      </c>
      <c r="D270" s="183" t="str">
        <f t="shared" ca="1" si="19"/>
        <v/>
      </c>
      <c r="E270" s="63" t="str">
        <f t="shared" ca="1" si="20"/>
        <v/>
      </c>
      <c r="F270" s="64" t="str">
        <f t="shared" ca="1" si="21"/>
        <v/>
      </c>
      <c r="G270" s="156"/>
      <c r="H270" s="157"/>
      <c r="I270" s="157"/>
      <c r="J270" s="122"/>
      <c r="K270" s="122"/>
      <c r="L270" s="158"/>
      <c r="M270" s="66" t="str">
        <f t="shared" ca="1" si="15"/>
        <v/>
      </c>
      <c r="N270" s="268" t="str">
        <f t="shared" ca="1" si="16"/>
        <v/>
      </c>
      <c r="O270" s="68" t="str">
        <f t="shared" ca="1" si="22"/>
        <v/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59" t="str">
        <f t="shared" ca="1" si="17"/>
        <v/>
      </c>
      <c r="B271" s="182" t="str">
        <f t="shared" ca="1" si="23"/>
        <v/>
      </c>
      <c r="C271" s="61" t="str">
        <f t="shared" ca="1" si="18"/>
        <v/>
      </c>
      <c r="D271" s="183" t="str">
        <f t="shared" ca="1" si="19"/>
        <v/>
      </c>
      <c r="E271" s="63" t="str">
        <f t="shared" ca="1" si="20"/>
        <v/>
      </c>
      <c r="F271" s="64" t="str">
        <f t="shared" ca="1" si="21"/>
        <v/>
      </c>
      <c r="G271" s="156"/>
      <c r="H271" s="157"/>
      <c r="I271" s="157"/>
      <c r="J271" s="122"/>
      <c r="K271" s="122"/>
      <c r="L271" s="158"/>
      <c r="M271" s="66" t="str">
        <f t="shared" ca="1" si="15"/>
        <v/>
      </c>
      <c r="N271" s="268" t="str">
        <f t="shared" ca="1" si="16"/>
        <v/>
      </c>
      <c r="O271" s="68" t="str">
        <f t="shared" ca="1" si="22"/>
        <v/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59" t="str">
        <f t="shared" ca="1" si="17"/>
        <v/>
      </c>
      <c r="B272" s="182" t="str">
        <f t="shared" ca="1" si="23"/>
        <v/>
      </c>
      <c r="C272" s="61" t="str">
        <f t="shared" ca="1" si="18"/>
        <v/>
      </c>
      <c r="D272" s="183" t="str">
        <f t="shared" ca="1" si="19"/>
        <v/>
      </c>
      <c r="E272" s="63" t="str">
        <f t="shared" ca="1" si="20"/>
        <v/>
      </c>
      <c r="F272" s="64" t="str">
        <f t="shared" ca="1" si="21"/>
        <v/>
      </c>
      <c r="G272" s="156"/>
      <c r="H272" s="157"/>
      <c r="I272" s="157"/>
      <c r="J272" s="122"/>
      <c r="K272" s="122"/>
      <c r="L272" s="158"/>
      <c r="M272" s="66" t="str">
        <f t="shared" ca="1" si="15"/>
        <v/>
      </c>
      <c r="N272" s="268" t="str">
        <f t="shared" ca="1" si="16"/>
        <v/>
      </c>
      <c r="O272" s="68" t="str">
        <f t="shared" ca="1" si="22"/>
        <v/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59" t="str">
        <f t="shared" ca="1" si="17"/>
        <v/>
      </c>
      <c r="B273" s="182" t="str">
        <f t="shared" ca="1" si="23"/>
        <v/>
      </c>
      <c r="C273" s="61" t="str">
        <f t="shared" ca="1" si="18"/>
        <v/>
      </c>
      <c r="D273" s="183" t="str">
        <f t="shared" ca="1" si="19"/>
        <v/>
      </c>
      <c r="E273" s="63" t="str">
        <f t="shared" ca="1" si="20"/>
        <v/>
      </c>
      <c r="F273" s="64" t="str">
        <f t="shared" ca="1" si="21"/>
        <v/>
      </c>
      <c r="G273" s="156"/>
      <c r="H273" s="157"/>
      <c r="I273" s="157"/>
      <c r="J273" s="122"/>
      <c r="K273" s="122"/>
      <c r="L273" s="158"/>
      <c r="M273" s="66" t="str">
        <f t="shared" ca="1" si="15"/>
        <v/>
      </c>
      <c r="N273" s="268" t="str">
        <f t="shared" ca="1" si="16"/>
        <v/>
      </c>
      <c r="O273" s="68" t="str">
        <f t="shared" ca="1" si="22"/>
        <v/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59" t="str">
        <f t="shared" ca="1" si="17"/>
        <v/>
      </c>
      <c r="B274" s="182" t="str">
        <f t="shared" ca="1" si="23"/>
        <v/>
      </c>
      <c r="C274" s="61" t="str">
        <f t="shared" ca="1" si="18"/>
        <v/>
      </c>
      <c r="D274" s="183" t="str">
        <f t="shared" ca="1" si="19"/>
        <v/>
      </c>
      <c r="E274" s="63" t="str">
        <f t="shared" ca="1" si="20"/>
        <v/>
      </c>
      <c r="F274" s="64" t="str">
        <f t="shared" ca="1" si="21"/>
        <v/>
      </c>
      <c r="G274" s="156"/>
      <c r="H274" s="157"/>
      <c r="I274" s="157"/>
      <c r="J274" s="122"/>
      <c r="K274" s="122"/>
      <c r="L274" s="158"/>
      <c r="M274" s="66" t="str">
        <f t="shared" ca="1" si="15"/>
        <v/>
      </c>
      <c r="N274" s="268" t="str">
        <f t="shared" ca="1" si="16"/>
        <v/>
      </c>
      <c r="O274" s="68" t="str">
        <f t="shared" ca="1" si="22"/>
        <v/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59" t="str">
        <f t="shared" ca="1" si="17"/>
        <v/>
      </c>
      <c r="B275" s="182" t="str">
        <f t="shared" ca="1" si="23"/>
        <v/>
      </c>
      <c r="C275" s="61" t="str">
        <f t="shared" ca="1" si="18"/>
        <v/>
      </c>
      <c r="D275" s="183" t="str">
        <f t="shared" ca="1" si="19"/>
        <v/>
      </c>
      <c r="E275" s="63" t="str">
        <f t="shared" ca="1" si="20"/>
        <v/>
      </c>
      <c r="F275" s="64" t="str">
        <f t="shared" ca="1" si="21"/>
        <v/>
      </c>
      <c r="G275" s="156"/>
      <c r="H275" s="157"/>
      <c r="I275" s="157"/>
      <c r="J275" s="122"/>
      <c r="K275" s="122"/>
      <c r="L275" s="158"/>
      <c r="M275" s="66" t="str">
        <f t="shared" ca="1" si="15"/>
        <v/>
      </c>
      <c r="N275" s="268" t="str">
        <f t="shared" ca="1" si="16"/>
        <v/>
      </c>
      <c r="O275" s="68" t="str">
        <f t="shared" ca="1" si="22"/>
        <v/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59" t="str">
        <f t="shared" ca="1" si="17"/>
        <v/>
      </c>
      <c r="B276" s="182" t="str">
        <f t="shared" ca="1" si="23"/>
        <v/>
      </c>
      <c r="C276" s="61" t="str">
        <f t="shared" ca="1" si="18"/>
        <v/>
      </c>
      <c r="D276" s="183" t="str">
        <f t="shared" ca="1" si="19"/>
        <v/>
      </c>
      <c r="E276" s="63" t="str">
        <f t="shared" ca="1" si="20"/>
        <v/>
      </c>
      <c r="F276" s="64" t="str">
        <f t="shared" ca="1" si="21"/>
        <v/>
      </c>
      <c r="G276" s="156"/>
      <c r="H276" s="157"/>
      <c r="I276" s="157"/>
      <c r="J276" s="122"/>
      <c r="K276" s="122"/>
      <c r="L276" s="158"/>
      <c r="M276" s="66" t="str">
        <f t="shared" ca="1" si="15"/>
        <v/>
      </c>
      <c r="N276" s="268" t="str">
        <f t="shared" ca="1" si="16"/>
        <v/>
      </c>
      <c r="O276" s="68" t="str">
        <f t="shared" ca="1" si="22"/>
        <v/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59" t="str">
        <f t="shared" ca="1" si="17"/>
        <v/>
      </c>
      <c r="B277" s="182" t="str">
        <f t="shared" ca="1" si="23"/>
        <v/>
      </c>
      <c r="C277" s="61" t="str">
        <f t="shared" ca="1" si="18"/>
        <v/>
      </c>
      <c r="D277" s="183" t="str">
        <f t="shared" ca="1" si="19"/>
        <v/>
      </c>
      <c r="E277" s="63" t="str">
        <f t="shared" ca="1" si="20"/>
        <v/>
      </c>
      <c r="F277" s="64" t="str">
        <f t="shared" ca="1" si="21"/>
        <v/>
      </c>
      <c r="G277" s="156"/>
      <c r="H277" s="157"/>
      <c r="I277" s="157"/>
      <c r="J277" s="122"/>
      <c r="K277" s="122"/>
      <c r="L277" s="158"/>
      <c r="M277" s="66" t="str">
        <f t="shared" ca="1" si="15"/>
        <v/>
      </c>
      <c r="N277" s="268" t="str">
        <f t="shared" ca="1" si="16"/>
        <v/>
      </c>
      <c r="O277" s="68" t="str">
        <f t="shared" ca="1" si="22"/>
        <v/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80" t="str">
        <f t="shared" ca="1" si="17"/>
        <v/>
      </c>
      <c r="B278" s="185" t="str">
        <f t="shared" ca="1" si="23"/>
        <v/>
      </c>
      <c r="C278" s="82" t="str">
        <f t="shared" ca="1" si="18"/>
        <v/>
      </c>
      <c r="D278" s="186" t="str">
        <f t="shared" ca="1" si="19"/>
        <v/>
      </c>
      <c r="E278" s="84" t="str">
        <f t="shared" ca="1" si="20"/>
        <v/>
      </c>
      <c r="F278" s="85" t="str">
        <f t="shared" ca="1" si="21"/>
        <v/>
      </c>
      <c r="G278" s="166"/>
      <c r="H278" s="167"/>
      <c r="I278" s="167"/>
      <c r="J278" s="150"/>
      <c r="K278" s="150"/>
      <c r="L278" s="168"/>
      <c r="M278" s="170" t="str">
        <f t="shared" ca="1" si="15"/>
        <v/>
      </c>
      <c r="N278" s="269" t="str">
        <f t="shared" ca="1" si="16"/>
        <v/>
      </c>
      <c r="O278" s="68" t="str">
        <f t="shared" ca="1" si="22"/>
        <v/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46" t="str">
        <f t="shared" ca="1" si="17"/>
        <v/>
      </c>
      <c r="B279" s="190" t="str">
        <f t="shared" ca="1" si="23"/>
        <v/>
      </c>
      <c r="C279" s="48" t="str">
        <f t="shared" ca="1" si="18"/>
        <v/>
      </c>
      <c r="D279" s="191" t="str">
        <f t="shared" ca="1" si="19"/>
        <v/>
      </c>
      <c r="E279" s="50" t="str">
        <f t="shared" ca="1" si="20"/>
        <v/>
      </c>
      <c r="F279" s="51" t="str">
        <f t="shared" ca="1" si="21"/>
        <v/>
      </c>
      <c r="G279" s="153"/>
      <c r="H279" s="154"/>
      <c r="I279" s="154"/>
      <c r="J279" s="169"/>
      <c r="K279" s="169"/>
      <c r="L279" s="155"/>
      <c r="M279" s="181" t="str">
        <f t="shared" ca="1" si="15"/>
        <v/>
      </c>
      <c r="N279" s="195" t="str">
        <f t="shared" ca="1" si="16"/>
        <v/>
      </c>
      <c r="O279" s="68" t="str">
        <f t="shared" ca="1" si="22"/>
        <v/>
      </c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59" t="str">
        <f t="shared" ca="1" si="17"/>
        <v/>
      </c>
      <c r="B280" s="182" t="str">
        <f t="shared" ca="1" si="23"/>
        <v/>
      </c>
      <c r="C280" s="61" t="str">
        <f t="shared" ca="1" si="18"/>
        <v/>
      </c>
      <c r="D280" s="183" t="str">
        <f t="shared" ca="1" si="19"/>
        <v/>
      </c>
      <c r="E280" s="63" t="str">
        <f t="shared" ca="1" si="20"/>
        <v/>
      </c>
      <c r="F280" s="64" t="str">
        <f t="shared" ca="1" si="21"/>
        <v/>
      </c>
      <c r="G280" s="156"/>
      <c r="H280" s="157"/>
      <c r="I280" s="157"/>
      <c r="J280" s="122"/>
      <c r="K280" s="122"/>
      <c r="L280" s="158"/>
      <c r="M280" s="184" t="str">
        <f t="shared" ca="1" si="15"/>
        <v/>
      </c>
      <c r="N280" s="67" t="str">
        <f t="shared" ca="1" si="16"/>
        <v/>
      </c>
      <c r="O280" s="68" t="str">
        <f t="shared" ca="1" si="22"/>
        <v/>
      </c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59" t="str">
        <f t="shared" ca="1" si="17"/>
        <v/>
      </c>
      <c r="B281" s="182" t="str">
        <f t="shared" ca="1" si="23"/>
        <v/>
      </c>
      <c r="C281" s="61" t="str">
        <f t="shared" ca="1" si="18"/>
        <v/>
      </c>
      <c r="D281" s="183" t="str">
        <f t="shared" ca="1" si="19"/>
        <v/>
      </c>
      <c r="E281" s="63" t="str">
        <f t="shared" ca="1" si="20"/>
        <v/>
      </c>
      <c r="F281" s="64" t="str">
        <f t="shared" ca="1" si="21"/>
        <v/>
      </c>
      <c r="G281" s="156"/>
      <c r="H281" s="157"/>
      <c r="I281" s="157"/>
      <c r="J281" s="122"/>
      <c r="K281" s="122"/>
      <c r="L281" s="158"/>
      <c r="M281" s="184" t="str">
        <f t="shared" ca="1" si="15"/>
        <v/>
      </c>
      <c r="N281" s="67" t="str">
        <f t="shared" ca="1" si="16"/>
        <v/>
      </c>
      <c r="O281" s="68" t="str">
        <f t="shared" ca="1" si="22"/>
        <v/>
      </c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59" t="str">
        <f t="shared" ca="1" si="17"/>
        <v/>
      </c>
      <c r="B282" s="182" t="str">
        <f t="shared" ca="1" si="23"/>
        <v/>
      </c>
      <c r="C282" s="61" t="str">
        <f t="shared" ca="1" si="18"/>
        <v/>
      </c>
      <c r="D282" s="183" t="str">
        <f t="shared" ca="1" si="19"/>
        <v/>
      </c>
      <c r="E282" s="63" t="str">
        <f t="shared" ca="1" si="20"/>
        <v/>
      </c>
      <c r="F282" s="64" t="str">
        <f t="shared" ca="1" si="21"/>
        <v/>
      </c>
      <c r="G282" s="156"/>
      <c r="H282" s="157"/>
      <c r="I282" s="157"/>
      <c r="J282" s="122"/>
      <c r="K282" s="122"/>
      <c r="L282" s="158"/>
      <c r="M282" s="184" t="str">
        <f t="shared" ca="1" si="15"/>
        <v/>
      </c>
      <c r="N282" s="67" t="str">
        <f t="shared" ca="1" si="16"/>
        <v/>
      </c>
      <c r="O282" s="68" t="str">
        <f t="shared" ca="1" si="22"/>
        <v/>
      </c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59" t="str">
        <f t="shared" ca="1" si="17"/>
        <v/>
      </c>
      <c r="B283" s="182" t="str">
        <f t="shared" ca="1" si="23"/>
        <v/>
      </c>
      <c r="C283" s="61" t="str">
        <f t="shared" ca="1" si="18"/>
        <v/>
      </c>
      <c r="D283" s="183" t="str">
        <f t="shared" ca="1" si="19"/>
        <v/>
      </c>
      <c r="E283" s="63" t="str">
        <f t="shared" ca="1" si="20"/>
        <v/>
      </c>
      <c r="F283" s="64" t="str">
        <f t="shared" ca="1" si="21"/>
        <v/>
      </c>
      <c r="G283" s="156"/>
      <c r="H283" s="157"/>
      <c r="I283" s="157"/>
      <c r="J283" s="122"/>
      <c r="K283" s="122"/>
      <c r="L283" s="158"/>
      <c r="M283" s="184" t="str">
        <f t="shared" ca="1" si="15"/>
        <v/>
      </c>
      <c r="N283" s="67" t="str">
        <f t="shared" ca="1" si="16"/>
        <v/>
      </c>
      <c r="O283" s="68" t="str">
        <f t="shared" ca="1" si="22"/>
        <v/>
      </c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59" t="str">
        <f t="shared" ca="1" si="17"/>
        <v/>
      </c>
      <c r="B284" s="182" t="str">
        <f t="shared" ca="1" si="23"/>
        <v/>
      </c>
      <c r="C284" s="61" t="str">
        <f t="shared" ca="1" si="18"/>
        <v/>
      </c>
      <c r="D284" s="183" t="str">
        <f t="shared" ca="1" si="19"/>
        <v/>
      </c>
      <c r="E284" s="63" t="str">
        <f t="shared" ca="1" si="20"/>
        <v/>
      </c>
      <c r="F284" s="64" t="str">
        <f t="shared" ca="1" si="21"/>
        <v/>
      </c>
      <c r="G284" s="156"/>
      <c r="H284" s="157"/>
      <c r="I284" s="157"/>
      <c r="J284" s="122"/>
      <c r="K284" s="122"/>
      <c r="L284" s="158"/>
      <c r="M284" s="184" t="str">
        <f t="shared" ca="1" si="15"/>
        <v/>
      </c>
      <c r="N284" s="67" t="str">
        <f t="shared" ca="1" si="16"/>
        <v/>
      </c>
      <c r="O284" s="68" t="str">
        <f t="shared" ca="1" si="22"/>
        <v/>
      </c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59" t="str">
        <f t="shared" ca="1" si="17"/>
        <v/>
      </c>
      <c r="B285" s="182" t="str">
        <f t="shared" ca="1" si="23"/>
        <v/>
      </c>
      <c r="C285" s="61" t="str">
        <f t="shared" ca="1" si="18"/>
        <v/>
      </c>
      <c r="D285" s="183" t="str">
        <f t="shared" ca="1" si="19"/>
        <v/>
      </c>
      <c r="E285" s="63" t="str">
        <f t="shared" ca="1" si="20"/>
        <v/>
      </c>
      <c r="F285" s="64" t="str">
        <f t="shared" ca="1" si="21"/>
        <v/>
      </c>
      <c r="G285" s="156"/>
      <c r="H285" s="157"/>
      <c r="I285" s="157"/>
      <c r="J285" s="122"/>
      <c r="K285" s="122"/>
      <c r="L285" s="158"/>
      <c r="M285" s="184" t="str">
        <f t="shared" ca="1" si="15"/>
        <v/>
      </c>
      <c r="N285" s="67" t="str">
        <f t="shared" ca="1" si="16"/>
        <v/>
      </c>
      <c r="O285" s="68" t="str">
        <f t="shared" ca="1" si="22"/>
        <v/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59" t="str">
        <f t="shared" ca="1" si="17"/>
        <v/>
      </c>
      <c r="B286" s="182" t="str">
        <f t="shared" ca="1" si="23"/>
        <v/>
      </c>
      <c r="C286" s="61" t="str">
        <f t="shared" ca="1" si="18"/>
        <v/>
      </c>
      <c r="D286" s="183" t="str">
        <f t="shared" ca="1" si="19"/>
        <v/>
      </c>
      <c r="E286" s="63" t="str">
        <f t="shared" ca="1" si="20"/>
        <v/>
      </c>
      <c r="F286" s="64" t="str">
        <f t="shared" ca="1" si="21"/>
        <v/>
      </c>
      <c r="G286" s="156"/>
      <c r="H286" s="157"/>
      <c r="I286" s="157"/>
      <c r="J286" s="122"/>
      <c r="K286" s="122"/>
      <c r="L286" s="158"/>
      <c r="M286" s="184" t="str">
        <f t="shared" ca="1" si="15"/>
        <v/>
      </c>
      <c r="N286" s="67" t="str">
        <f t="shared" ca="1" si="16"/>
        <v/>
      </c>
      <c r="O286" s="68" t="str">
        <f t="shared" ca="1" si="22"/>
        <v/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59" t="str">
        <f t="shared" ca="1" si="17"/>
        <v/>
      </c>
      <c r="B287" s="182" t="str">
        <f t="shared" ca="1" si="23"/>
        <v/>
      </c>
      <c r="C287" s="61" t="str">
        <f t="shared" ca="1" si="18"/>
        <v/>
      </c>
      <c r="D287" s="183" t="str">
        <f t="shared" ca="1" si="19"/>
        <v/>
      </c>
      <c r="E287" s="63" t="str">
        <f t="shared" ca="1" si="20"/>
        <v/>
      </c>
      <c r="F287" s="64" t="str">
        <f t="shared" ca="1" si="21"/>
        <v/>
      </c>
      <c r="G287" s="156"/>
      <c r="H287" s="157"/>
      <c r="I287" s="157"/>
      <c r="J287" s="122"/>
      <c r="K287" s="122"/>
      <c r="L287" s="158"/>
      <c r="M287" s="184" t="str">
        <f t="shared" ca="1" si="15"/>
        <v/>
      </c>
      <c r="N287" s="67" t="str">
        <f t="shared" ca="1" si="16"/>
        <v/>
      </c>
      <c r="O287" s="68" t="str">
        <f t="shared" ca="1" si="22"/>
        <v/>
      </c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59" t="str">
        <f t="shared" ca="1" si="17"/>
        <v/>
      </c>
      <c r="B288" s="182" t="str">
        <f t="shared" ca="1" si="23"/>
        <v/>
      </c>
      <c r="C288" s="61" t="str">
        <f t="shared" ca="1" si="18"/>
        <v/>
      </c>
      <c r="D288" s="183" t="str">
        <f t="shared" ca="1" si="19"/>
        <v/>
      </c>
      <c r="E288" s="63" t="str">
        <f t="shared" ca="1" si="20"/>
        <v/>
      </c>
      <c r="F288" s="64" t="str">
        <f t="shared" ca="1" si="21"/>
        <v/>
      </c>
      <c r="G288" s="156"/>
      <c r="H288" s="157"/>
      <c r="I288" s="157"/>
      <c r="J288" s="122"/>
      <c r="K288" s="122"/>
      <c r="L288" s="158"/>
      <c r="M288" s="184" t="str">
        <f t="shared" ca="1" si="15"/>
        <v/>
      </c>
      <c r="N288" s="67" t="str">
        <f t="shared" ca="1" si="16"/>
        <v/>
      </c>
      <c r="O288" s="68" t="str">
        <f t="shared" ca="1" si="22"/>
        <v/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59" t="str">
        <f t="shared" ca="1" si="17"/>
        <v/>
      </c>
      <c r="B289" s="182" t="str">
        <f t="shared" ca="1" si="23"/>
        <v/>
      </c>
      <c r="C289" s="61" t="str">
        <f t="shared" ca="1" si="18"/>
        <v/>
      </c>
      <c r="D289" s="183" t="str">
        <f t="shared" ca="1" si="19"/>
        <v/>
      </c>
      <c r="E289" s="63" t="str">
        <f t="shared" ca="1" si="20"/>
        <v/>
      </c>
      <c r="F289" s="64" t="str">
        <f t="shared" ca="1" si="21"/>
        <v/>
      </c>
      <c r="G289" s="156"/>
      <c r="H289" s="157"/>
      <c r="I289" s="157"/>
      <c r="J289" s="122"/>
      <c r="K289" s="122"/>
      <c r="L289" s="158"/>
      <c r="M289" s="184" t="str">
        <f t="shared" ca="1" si="15"/>
        <v/>
      </c>
      <c r="N289" s="67" t="str">
        <f t="shared" ca="1" si="16"/>
        <v/>
      </c>
      <c r="O289" s="68" t="str">
        <f t="shared" ca="1" si="22"/>
        <v/>
      </c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59" t="str">
        <f t="shared" ca="1" si="17"/>
        <v/>
      </c>
      <c r="B290" s="182" t="str">
        <f t="shared" ca="1" si="23"/>
        <v/>
      </c>
      <c r="C290" s="61" t="str">
        <f t="shared" ca="1" si="18"/>
        <v/>
      </c>
      <c r="D290" s="183" t="str">
        <f t="shared" ca="1" si="19"/>
        <v/>
      </c>
      <c r="E290" s="63" t="str">
        <f t="shared" ca="1" si="20"/>
        <v/>
      </c>
      <c r="F290" s="64" t="str">
        <f t="shared" ca="1" si="21"/>
        <v/>
      </c>
      <c r="G290" s="156"/>
      <c r="H290" s="157"/>
      <c r="I290" s="157"/>
      <c r="J290" s="122"/>
      <c r="K290" s="122"/>
      <c r="L290" s="158"/>
      <c r="M290" s="184" t="str">
        <f t="shared" ca="1" si="15"/>
        <v/>
      </c>
      <c r="N290" s="67" t="str">
        <f t="shared" ca="1" si="16"/>
        <v/>
      </c>
      <c r="O290" s="68" t="str">
        <f t="shared" ca="1" si="22"/>
        <v/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59" t="str">
        <f t="shared" ca="1" si="17"/>
        <v/>
      </c>
      <c r="B291" s="182" t="str">
        <f t="shared" ca="1" si="23"/>
        <v/>
      </c>
      <c r="C291" s="61" t="str">
        <f t="shared" ca="1" si="18"/>
        <v/>
      </c>
      <c r="D291" s="183" t="str">
        <f t="shared" ca="1" si="19"/>
        <v/>
      </c>
      <c r="E291" s="63" t="str">
        <f t="shared" ca="1" si="20"/>
        <v/>
      </c>
      <c r="F291" s="64" t="str">
        <f t="shared" ca="1" si="21"/>
        <v/>
      </c>
      <c r="G291" s="156"/>
      <c r="H291" s="157"/>
      <c r="I291" s="157"/>
      <c r="J291" s="122"/>
      <c r="K291" s="122"/>
      <c r="L291" s="158"/>
      <c r="M291" s="184" t="str">
        <f t="shared" ca="1" si="15"/>
        <v/>
      </c>
      <c r="N291" s="67" t="str">
        <f t="shared" ca="1" si="16"/>
        <v/>
      </c>
      <c r="O291" s="68" t="str">
        <f t="shared" ca="1" si="22"/>
        <v/>
      </c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59" t="str">
        <f t="shared" ca="1" si="17"/>
        <v/>
      </c>
      <c r="B292" s="182" t="str">
        <f t="shared" ca="1" si="23"/>
        <v/>
      </c>
      <c r="C292" s="61" t="str">
        <f t="shared" ca="1" si="18"/>
        <v/>
      </c>
      <c r="D292" s="183" t="str">
        <f t="shared" ca="1" si="19"/>
        <v/>
      </c>
      <c r="E292" s="63" t="str">
        <f t="shared" ca="1" si="20"/>
        <v/>
      </c>
      <c r="F292" s="64" t="str">
        <f t="shared" ca="1" si="21"/>
        <v/>
      </c>
      <c r="G292" s="156"/>
      <c r="H292" s="157"/>
      <c r="I292" s="157"/>
      <c r="J292" s="122"/>
      <c r="K292" s="122"/>
      <c r="L292" s="158"/>
      <c r="M292" s="184" t="str">
        <f t="shared" ca="1" si="15"/>
        <v/>
      </c>
      <c r="N292" s="67" t="str">
        <f t="shared" ca="1" si="16"/>
        <v/>
      </c>
      <c r="O292" s="68" t="str">
        <f t="shared" ca="1" si="22"/>
        <v/>
      </c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59" t="str">
        <f t="shared" ca="1" si="17"/>
        <v/>
      </c>
      <c r="B293" s="182" t="str">
        <f t="shared" ca="1" si="23"/>
        <v/>
      </c>
      <c r="C293" s="61" t="str">
        <f t="shared" ca="1" si="18"/>
        <v/>
      </c>
      <c r="D293" s="183" t="str">
        <f t="shared" ca="1" si="19"/>
        <v/>
      </c>
      <c r="E293" s="63" t="str">
        <f t="shared" ca="1" si="20"/>
        <v/>
      </c>
      <c r="F293" s="64" t="str">
        <f t="shared" ca="1" si="21"/>
        <v/>
      </c>
      <c r="G293" s="156"/>
      <c r="H293" s="157"/>
      <c r="I293" s="157"/>
      <c r="J293" s="122"/>
      <c r="K293" s="122"/>
      <c r="L293" s="158"/>
      <c r="M293" s="184" t="str">
        <f t="shared" ca="1" si="15"/>
        <v/>
      </c>
      <c r="N293" s="67" t="str">
        <f t="shared" ca="1" si="16"/>
        <v/>
      </c>
      <c r="O293" s="68" t="str">
        <f t="shared" ca="1" si="22"/>
        <v/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100" t="str">
        <f t="shared" ca="1" si="17"/>
        <v/>
      </c>
      <c r="B294" s="196" t="str">
        <f t="shared" ca="1" si="23"/>
        <v/>
      </c>
      <c r="C294" s="102" t="str">
        <f t="shared" ca="1" si="18"/>
        <v/>
      </c>
      <c r="D294" s="197" t="str">
        <f t="shared" ca="1" si="19"/>
        <v/>
      </c>
      <c r="E294" s="104" t="str">
        <f t="shared" ca="1" si="20"/>
        <v/>
      </c>
      <c r="F294" s="105" t="str">
        <f t="shared" ca="1" si="21"/>
        <v/>
      </c>
      <c r="G294" s="159"/>
      <c r="H294" s="160"/>
      <c r="I294" s="160"/>
      <c r="J294" s="161"/>
      <c r="K294" s="161"/>
      <c r="L294" s="162"/>
      <c r="M294" s="189" t="str">
        <f t="shared" ca="1" si="15"/>
        <v/>
      </c>
      <c r="N294" s="171" t="str">
        <f t="shared" ca="1" si="16"/>
        <v/>
      </c>
      <c r="O294" s="172" t="str">
        <f t="shared" ca="1" si="22"/>
        <v/>
      </c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175"/>
      <c r="K400" s="175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175"/>
      <c r="K401" s="175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175"/>
      <c r="K402" s="175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175"/>
      <c r="K403" s="175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175"/>
      <c r="K404" s="175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175"/>
      <c r="K405" s="175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175"/>
      <c r="K406" s="175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175"/>
      <c r="K407" s="175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175"/>
      <c r="K408" s="175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175"/>
      <c r="K409" s="175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175"/>
      <c r="K410" s="175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175"/>
      <c r="K411" s="175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175"/>
      <c r="K412" s="175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175"/>
      <c r="K413" s="175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175"/>
      <c r="K414" s="175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175"/>
      <c r="K415" s="175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175"/>
      <c r="K416" s="175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175"/>
      <c r="K417" s="175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175"/>
      <c r="K418" s="175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175"/>
      <c r="K419" s="175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175"/>
      <c r="K420" s="175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175"/>
      <c r="K421" s="175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174"/>
      <c r="H422" s="174"/>
      <c r="I422" s="174"/>
      <c r="J422" s="175"/>
      <c r="K422" s="175"/>
      <c r="L422" s="174"/>
      <c r="M422" s="174"/>
      <c r="N422" s="174"/>
      <c r="O422" s="174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174"/>
      <c r="H423" s="174"/>
      <c r="I423" s="174"/>
      <c r="J423" s="175"/>
      <c r="K423" s="175"/>
      <c r="L423" s="174"/>
      <c r="M423" s="174"/>
      <c r="N423" s="174"/>
      <c r="O423" s="174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174"/>
      <c r="H424" s="174"/>
      <c r="I424" s="174"/>
      <c r="J424" s="175"/>
      <c r="K424" s="175"/>
      <c r="L424" s="174"/>
      <c r="M424" s="174"/>
      <c r="N424" s="174"/>
      <c r="O424" s="174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174"/>
      <c r="H425" s="174"/>
      <c r="I425" s="174"/>
      <c r="J425" s="175"/>
      <c r="K425" s="175"/>
      <c r="L425" s="174"/>
      <c r="M425" s="174"/>
      <c r="N425" s="174"/>
      <c r="O425" s="174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174"/>
      <c r="H426" s="174"/>
      <c r="I426" s="174"/>
      <c r="J426" s="175"/>
      <c r="K426" s="175"/>
      <c r="L426" s="174"/>
      <c r="M426" s="174"/>
      <c r="N426" s="174"/>
      <c r="O426" s="174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174"/>
      <c r="H427" s="174"/>
      <c r="I427" s="174"/>
      <c r="J427" s="175"/>
      <c r="K427" s="175"/>
      <c r="L427" s="174"/>
      <c r="M427" s="174"/>
      <c r="N427" s="174"/>
      <c r="O427" s="174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174"/>
      <c r="H428" s="174"/>
      <c r="I428" s="174"/>
      <c r="J428" s="175"/>
      <c r="K428" s="175"/>
      <c r="L428" s="174"/>
      <c r="M428" s="174"/>
      <c r="N428" s="174"/>
      <c r="O428" s="174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174"/>
      <c r="H429" s="174"/>
      <c r="I429" s="174"/>
      <c r="J429" s="175"/>
      <c r="K429" s="175"/>
      <c r="L429" s="174"/>
      <c r="M429" s="174"/>
      <c r="N429" s="174"/>
      <c r="O429" s="174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174"/>
      <c r="H430" s="174"/>
      <c r="I430" s="174"/>
      <c r="J430" s="175"/>
      <c r="K430" s="175"/>
      <c r="L430" s="174"/>
      <c r="M430" s="174"/>
      <c r="N430" s="174"/>
      <c r="O430" s="174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174"/>
      <c r="H431" s="174"/>
      <c r="I431" s="174"/>
      <c r="J431" s="175"/>
      <c r="K431" s="175"/>
      <c r="L431" s="174"/>
      <c r="M431" s="174"/>
      <c r="N431" s="174"/>
      <c r="O431" s="174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174"/>
      <c r="H432" s="174"/>
      <c r="I432" s="174"/>
      <c r="J432" s="37"/>
      <c r="K432" s="37"/>
      <c r="L432" s="174"/>
      <c r="M432" s="174"/>
      <c r="N432" s="174"/>
      <c r="O432" s="174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174"/>
      <c r="H433" s="174"/>
      <c r="I433" s="174"/>
      <c r="J433" s="37"/>
      <c r="K433" s="37"/>
      <c r="L433" s="174"/>
      <c r="M433" s="174"/>
      <c r="N433" s="174"/>
      <c r="O433" s="174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174"/>
      <c r="H434" s="174"/>
      <c r="I434" s="174"/>
      <c r="J434" s="37"/>
      <c r="K434" s="37"/>
      <c r="L434" s="174"/>
      <c r="M434" s="174"/>
      <c r="N434" s="174"/>
      <c r="O434" s="174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174"/>
      <c r="H435" s="174"/>
      <c r="I435" s="174"/>
      <c r="J435" s="37"/>
      <c r="K435" s="37"/>
      <c r="L435" s="174"/>
      <c r="M435" s="174"/>
      <c r="N435" s="174"/>
      <c r="O435" s="174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174"/>
      <c r="H436" s="174"/>
      <c r="I436" s="174"/>
      <c r="J436" s="37"/>
      <c r="K436" s="37"/>
      <c r="L436" s="174"/>
      <c r="M436" s="174"/>
      <c r="N436" s="174"/>
      <c r="O436" s="174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174"/>
      <c r="H437" s="174"/>
      <c r="I437" s="174"/>
      <c r="J437" s="37"/>
      <c r="K437" s="37"/>
      <c r="L437" s="174"/>
      <c r="M437" s="174"/>
      <c r="N437" s="174"/>
      <c r="O437" s="174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 ht="15.75" customHeight="1">
      <c r="A955" s="37"/>
      <c r="B955" s="37"/>
      <c r="C955" s="37"/>
      <c r="D955" s="37"/>
      <c r="E955" s="173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 ht="15.75" customHeight="1">
      <c r="A956" s="37"/>
      <c r="B956" s="37"/>
      <c r="C956" s="37"/>
      <c r="D956" s="37"/>
      <c r="E956" s="173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 ht="15.75" customHeight="1">
      <c r="A957" s="37"/>
      <c r="B957" s="37"/>
      <c r="C957" s="37"/>
      <c r="D957" s="37"/>
      <c r="E957" s="173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 ht="15.75" customHeight="1">
      <c r="A958" s="37"/>
      <c r="B958" s="37"/>
      <c r="C958" s="37"/>
      <c r="D958" s="37"/>
      <c r="E958" s="173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 ht="15.75" customHeight="1">
      <c r="A959" s="37"/>
      <c r="B959" s="37"/>
      <c r="C959" s="37"/>
      <c r="D959" s="37"/>
      <c r="E959" s="173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 ht="15.75" customHeight="1">
      <c r="A960" s="37"/>
      <c r="B960" s="37"/>
      <c r="C960" s="37"/>
      <c r="D960" s="37"/>
      <c r="E960" s="173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 ht="15.75" customHeight="1">
      <c r="A961" s="37"/>
      <c r="B961" s="37"/>
      <c r="C961" s="37"/>
      <c r="D961" s="37"/>
      <c r="E961" s="173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 ht="15.75" customHeight="1">
      <c r="A962" s="37"/>
      <c r="B962" s="37"/>
      <c r="C962" s="37"/>
      <c r="D962" s="37"/>
      <c r="E962" s="173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 ht="15.75" customHeight="1">
      <c r="A963" s="37"/>
      <c r="B963" s="37"/>
      <c r="C963" s="37"/>
      <c r="D963" s="37"/>
      <c r="E963" s="173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 ht="15.75" customHeight="1">
      <c r="A964" s="37"/>
      <c r="B964" s="37"/>
      <c r="C964" s="37"/>
      <c r="D964" s="37"/>
      <c r="E964" s="173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 ht="15.75" customHeight="1">
      <c r="A965" s="37"/>
      <c r="B965" s="37"/>
      <c r="C965" s="37"/>
      <c r="D965" s="37"/>
      <c r="E965" s="173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 ht="15.75" customHeight="1">
      <c r="A966" s="37"/>
      <c r="B966" s="37"/>
      <c r="C966" s="37"/>
      <c r="D966" s="37"/>
      <c r="E966" s="173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 ht="15.75" customHeight="1">
      <c r="A967" s="37"/>
      <c r="B967" s="37"/>
      <c r="C967" s="37"/>
      <c r="D967" s="37"/>
      <c r="E967" s="173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 ht="15.75" customHeight="1">
      <c r="A968" s="37"/>
      <c r="B968" s="37"/>
      <c r="C968" s="37"/>
      <c r="D968" s="37"/>
      <c r="E968" s="173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 ht="15.75" customHeight="1">
      <c r="A969" s="37"/>
      <c r="B969" s="37"/>
      <c r="C969" s="37"/>
      <c r="D969" s="37"/>
      <c r="E969" s="173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 ht="15.75" customHeight="1">
      <c r="A970" s="37"/>
      <c r="B970" s="37"/>
      <c r="C970" s="37"/>
      <c r="D970" s="37"/>
      <c r="E970" s="173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94">
    <cfRule type="expression" dxfId="21" priority="1">
      <formula>ISEVEN(QUOTIENT(ROW()-ROW($A$7),16))</formula>
    </cfRule>
  </conditionalFormatting>
  <conditionalFormatting sqref="A7:O294">
    <cfRule type="expression" dxfId="20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938"/>
  <sheetViews>
    <sheetView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1.7109375" customWidth="1"/>
    <col min="8" max="8" width="16" customWidth="1"/>
    <col min="9" max="9" width="15.7109375" customWidth="1"/>
    <col min="10" max="10" width="17.28515625" customWidth="1"/>
    <col min="11" max="11" width="13.7109375" customWidth="1"/>
    <col min="12" max="12" width="15.7109375" customWidth="1"/>
    <col min="13" max="13" width="7.42578125" customWidth="1"/>
    <col min="14" max="14" width="9.7109375" customWidth="1"/>
    <col min="15" max="15" width="18.710937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48" t="s">
        <v>438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68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0.3235294117647059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43" t="s">
        <v>280</v>
      </c>
      <c r="K6" s="44" t="s">
        <v>281</v>
      </c>
      <c r="L6" s="559"/>
      <c r="M6" s="45">
        <f t="shared" ref="M6:N6" ca="1" si="0">SUM(M7:M438)</f>
        <v>67</v>
      </c>
      <c r="N6" s="45">
        <f t="shared" ca="1" si="0"/>
        <v>68</v>
      </c>
      <c r="O6" s="45">
        <f ca="1">SUM(O7:O999)</f>
        <v>22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(95+QUOTIENT(ROW()-ROW($A$7),16)))="","",ROW()-ROW($A$7)+1)</f>
        <v>1</v>
      </c>
      <c r="B7" s="47" t="str">
        <f ca="1">IF(A7="","","Tổ Hạ tầng " &amp; 'Báo cáo'!B7)</f>
        <v>Tổ Hạ tầng Tân Châu</v>
      </c>
      <c r="C7" s="178" t="str">
        <f t="shared" ref="C7:C261" ca="1" si="2">IF(A7="","",INDIRECT("'DS nhân viên Speedtest'!B"&amp; (95+QUOTIENT(A7-1,16))))</f>
        <v>Trần Minh Tuấn</v>
      </c>
      <c r="D7" s="49">
        <f t="shared" ref="D7:D261" ca="1" si="3">IF(A7="","",INDIRECT("'DS nhân viên Speedtest'!C"&amp; (95+QUOTIENT(A7-1,16))))</f>
        <v>913858404</v>
      </c>
      <c r="E7" s="50" t="str">
        <f t="shared" ref="E7:E261" ca="1" si="4">IF(A7="","",INDIRECT("'DS nhân viên Speedtest'!D"&amp; (95+QUOTIENT(A7-1,16))))</f>
        <v>tuantm.tnh@vnpt.vn</v>
      </c>
      <c r="F7" s="307" t="str">
        <f t="shared" ref="F7:F261" ca="1" si="5">IF(A7="","","Lần "&amp;(MOD(ROW()-ROW($A$7),16)+1))</f>
        <v>Lần 1</v>
      </c>
      <c r="G7" s="308"/>
      <c r="H7" s="179"/>
      <c r="I7" s="179"/>
      <c r="J7" s="234"/>
      <c r="K7" s="234"/>
      <c r="L7" s="180"/>
      <c r="M7" s="181">
        <f t="shared" ref="M7:M87" ca="1" si="6">IF(B7="","",IF(OR(G7="",H7="",I7=""),0,1))</f>
        <v>0</v>
      </c>
      <c r="N7" s="57">
        <f t="shared" ref="N7:N87" ca="1" si="7">IF(B7="","",IF(OR(G7="",J7="",K7=""),0,1))</f>
        <v>0</v>
      </c>
      <c r="O7" s="58">
        <f t="shared" ref="O7:O261" ca="1" si="8">IF(B7="","",IF((J7-0)&gt;200,1,0))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Tân Châu</v>
      </c>
      <c r="C8" s="61" t="str">
        <f t="shared" ca="1" si="2"/>
        <v>Trần Minh Tuấn</v>
      </c>
      <c r="D8" s="183">
        <f t="shared" ca="1" si="3"/>
        <v>913858404</v>
      </c>
      <c r="E8" s="63" t="str">
        <f t="shared" ca="1" si="4"/>
        <v>tuantm.tnh@vnpt.vn</v>
      </c>
      <c r="F8" s="276" t="str">
        <f t="shared" ca="1" si="5"/>
        <v>Lần 2</v>
      </c>
      <c r="G8" s="112"/>
      <c r="H8" s="121"/>
      <c r="I8" s="121"/>
      <c r="J8" s="99"/>
      <c r="K8" s="99"/>
      <c r="L8" s="91"/>
      <c r="M8" s="184">
        <f t="shared" ca="1" si="6"/>
        <v>0</v>
      </c>
      <c r="N8" s="67">
        <f t="shared" ca="1" si="7"/>
        <v>0</v>
      </c>
      <c r="O8" s="68">
        <f t="shared" ca="1" si="8"/>
        <v>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182" t="str">
        <f t="shared" ca="1" si="9"/>
        <v>Tổ Hạ tầng Tân Châu</v>
      </c>
      <c r="C9" s="61" t="str">
        <f t="shared" ca="1" si="2"/>
        <v>Trần Minh Tuấn</v>
      </c>
      <c r="D9" s="183">
        <f t="shared" ca="1" si="3"/>
        <v>913858404</v>
      </c>
      <c r="E9" s="63" t="str">
        <f t="shared" ca="1" si="4"/>
        <v>tuantm.tnh@vnpt.vn</v>
      </c>
      <c r="F9" s="276" t="str">
        <f t="shared" ca="1" si="5"/>
        <v>Lần 3</v>
      </c>
      <c r="G9" s="112"/>
      <c r="H9" s="121"/>
      <c r="I9" s="121"/>
      <c r="J9" s="99"/>
      <c r="K9" s="99"/>
      <c r="L9" s="91"/>
      <c r="M9" s="184">
        <f t="shared" ca="1" si="6"/>
        <v>0</v>
      </c>
      <c r="N9" s="67">
        <f t="shared" ca="1" si="7"/>
        <v>0</v>
      </c>
      <c r="O9" s="68">
        <f t="shared" ca="1" si="8"/>
        <v>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182" t="str">
        <f t="shared" ca="1" si="9"/>
        <v>Tổ Hạ tầng Tân Châu</v>
      </c>
      <c r="C10" s="61" t="str">
        <f t="shared" ca="1" si="2"/>
        <v>Trần Minh Tuấn</v>
      </c>
      <c r="D10" s="183">
        <f t="shared" ca="1" si="3"/>
        <v>913858404</v>
      </c>
      <c r="E10" s="63" t="str">
        <f t="shared" ca="1" si="4"/>
        <v>tuantm.tnh@vnpt.vn</v>
      </c>
      <c r="F10" s="276" t="str">
        <f t="shared" ca="1" si="5"/>
        <v>Lần 4</v>
      </c>
      <c r="G10" s="112"/>
      <c r="H10" s="121"/>
      <c r="I10" s="121"/>
      <c r="J10" s="99"/>
      <c r="K10" s="99"/>
      <c r="L10" s="91"/>
      <c r="M10" s="184">
        <f t="shared" ca="1" si="6"/>
        <v>0</v>
      </c>
      <c r="N10" s="67">
        <f t="shared" ca="1" si="7"/>
        <v>0</v>
      </c>
      <c r="O10" s="68">
        <f t="shared" ca="1" si="8"/>
        <v>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182" t="str">
        <f t="shared" ca="1" si="9"/>
        <v>Tổ Hạ tầng Tân Châu</v>
      </c>
      <c r="C11" s="61" t="str">
        <f t="shared" ca="1" si="2"/>
        <v>Trần Minh Tuấn</v>
      </c>
      <c r="D11" s="183">
        <f t="shared" ca="1" si="3"/>
        <v>913858404</v>
      </c>
      <c r="E11" s="63" t="str">
        <f t="shared" ca="1" si="4"/>
        <v>tuantm.tnh@vnpt.vn</v>
      </c>
      <c r="F11" s="276" t="str">
        <f t="shared" ca="1" si="5"/>
        <v>Lần 5</v>
      </c>
      <c r="G11" s="112"/>
      <c r="H11" s="121"/>
      <c r="I11" s="121"/>
      <c r="J11" s="99"/>
      <c r="K11" s="99"/>
      <c r="L11" s="91"/>
      <c r="M11" s="184">
        <f t="shared" ca="1" si="6"/>
        <v>0</v>
      </c>
      <c r="N11" s="67">
        <f t="shared" ca="1" si="7"/>
        <v>0</v>
      </c>
      <c r="O11" s="68">
        <f t="shared" ca="1" si="8"/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182" t="str">
        <f t="shared" ca="1" si="9"/>
        <v>Tổ Hạ tầng Tân Châu</v>
      </c>
      <c r="C12" s="61" t="str">
        <f t="shared" ca="1" si="2"/>
        <v>Trần Minh Tuấn</v>
      </c>
      <c r="D12" s="183">
        <f t="shared" ca="1" si="3"/>
        <v>913858404</v>
      </c>
      <c r="E12" s="63" t="str">
        <f t="shared" ca="1" si="4"/>
        <v>tuantm.tnh@vnpt.vn</v>
      </c>
      <c r="F12" s="276" t="str">
        <f t="shared" ca="1" si="5"/>
        <v>Lần 6</v>
      </c>
      <c r="G12" s="112"/>
      <c r="H12" s="122"/>
      <c r="I12" s="122"/>
      <c r="J12" s="99"/>
      <c r="K12" s="99"/>
      <c r="L12" s="91"/>
      <c r="M12" s="184">
        <f t="shared" ca="1" si="6"/>
        <v>0</v>
      </c>
      <c r="N12" s="67">
        <f t="shared" ca="1" si="7"/>
        <v>0</v>
      </c>
      <c r="O12" s="68">
        <f t="shared" ca="1" si="8"/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182" t="str">
        <f t="shared" ca="1" si="9"/>
        <v>Tổ Hạ tầng Tân Châu</v>
      </c>
      <c r="C13" s="61" t="str">
        <f t="shared" ca="1" si="2"/>
        <v>Trần Minh Tuấn</v>
      </c>
      <c r="D13" s="183">
        <f t="shared" ca="1" si="3"/>
        <v>913858404</v>
      </c>
      <c r="E13" s="63" t="str">
        <f t="shared" ca="1" si="4"/>
        <v>tuantm.tnh@vnpt.vn</v>
      </c>
      <c r="F13" s="276" t="str">
        <f t="shared" ca="1" si="5"/>
        <v>Lần 7</v>
      </c>
      <c r="G13" s="112"/>
      <c r="H13" s="122"/>
      <c r="I13" s="122"/>
      <c r="J13" s="99"/>
      <c r="K13" s="99"/>
      <c r="L13" s="91"/>
      <c r="M13" s="184">
        <f t="shared" ca="1" si="6"/>
        <v>0</v>
      </c>
      <c r="N13" s="67">
        <f t="shared" ca="1" si="7"/>
        <v>0</v>
      </c>
      <c r="O13" s="68">
        <f t="shared" ca="1" si="8"/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182" t="str">
        <f t="shared" ca="1" si="9"/>
        <v>Tổ Hạ tầng Tân Châu</v>
      </c>
      <c r="C14" s="61" t="str">
        <f t="shared" ca="1" si="2"/>
        <v>Trần Minh Tuấn</v>
      </c>
      <c r="D14" s="183">
        <f t="shared" ca="1" si="3"/>
        <v>913858404</v>
      </c>
      <c r="E14" s="63" t="str">
        <f t="shared" ca="1" si="4"/>
        <v>tuantm.tnh@vnpt.vn</v>
      </c>
      <c r="F14" s="276" t="str">
        <f t="shared" ca="1" si="5"/>
        <v>Lần 8</v>
      </c>
      <c r="G14" s="112"/>
      <c r="H14" s="122"/>
      <c r="I14" s="122"/>
      <c r="J14" s="98"/>
      <c r="K14" s="98"/>
      <c r="L14" s="91"/>
      <c r="M14" s="184">
        <f t="shared" ca="1" si="6"/>
        <v>0</v>
      </c>
      <c r="N14" s="67">
        <f t="shared" ca="1" si="7"/>
        <v>0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182" t="str">
        <f t="shared" ca="1" si="9"/>
        <v>Tổ Hạ tầng Tân Châu</v>
      </c>
      <c r="C15" s="61" t="str">
        <f t="shared" ca="1" si="2"/>
        <v>Trần Minh Tuấn</v>
      </c>
      <c r="D15" s="183">
        <f t="shared" ca="1" si="3"/>
        <v>913858404</v>
      </c>
      <c r="E15" s="63" t="str">
        <f t="shared" ca="1" si="4"/>
        <v>tuantm.tnh@vnpt.vn</v>
      </c>
      <c r="F15" s="276" t="str">
        <f t="shared" ca="1" si="5"/>
        <v>Lần 9</v>
      </c>
      <c r="G15" s="112"/>
      <c r="H15" s="122"/>
      <c r="I15" s="122"/>
      <c r="J15" s="98"/>
      <c r="K15" s="98"/>
      <c r="L15" s="91"/>
      <c r="M15" s="184">
        <f t="shared" ca="1" si="6"/>
        <v>0</v>
      </c>
      <c r="N15" s="67">
        <f t="shared" ca="1" si="7"/>
        <v>0</v>
      </c>
      <c r="O15" s="68">
        <f t="shared" ca="1" si="8"/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182" t="str">
        <f t="shared" ca="1" si="9"/>
        <v>Tổ Hạ tầng Tân Châu</v>
      </c>
      <c r="C16" s="61" t="str">
        <f t="shared" ca="1" si="2"/>
        <v>Trần Minh Tuấn</v>
      </c>
      <c r="D16" s="183">
        <f t="shared" ca="1" si="3"/>
        <v>913858404</v>
      </c>
      <c r="E16" s="63" t="str">
        <f t="shared" ca="1" si="4"/>
        <v>tuantm.tnh@vnpt.vn</v>
      </c>
      <c r="F16" s="276" t="str">
        <f t="shared" ca="1" si="5"/>
        <v>Lần 10</v>
      </c>
      <c r="G16" s="112"/>
      <c r="H16" s="122"/>
      <c r="I16" s="122"/>
      <c r="J16" s="98"/>
      <c r="K16" s="98"/>
      <c r="L16" s="91"/>
      <c r="M16" s="184">
        <f t="shared" ca="1" si="6"/>
        <v>0</v>
      </c>
      <c r="N16" s="67">
        <f t="shared" ca="1" si="7"/>
        <v>0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182" t="str">
        <f t="shared" ca="1" si="9"/>
        <v>Tổ Hạ tầng Tân Châu</v>
      </c>
      <c r="C17" s="61" t="str">
        <f t="shared" ca="1" si="2"/>
        <v>Trần Minh Tuấn</v>
      </c>
      <c r="D17" s="183">
        <f t="shared" ca="1" si="3"/>
        <v>913858404</v>
      </c>
      <c r="E17" s="63" t="str">
        <f t="shared" ca="1" si="4"/>
        <v>tuantm.tnh@vnpt.vn</v>
      </c>
      <c r="F17" s="276" t="str">
        <f t="shared" ca="1" si="5"/>
        <v>Lần 11</v>
      </c>
      <c r="G17" s="112"/>
      <c r="H17" s="122"/>
      <c r="I17" s="122"/>
      <c r="J17" s="98"/>
      <c r="K17" s="98"/>
      <c r="L17" s="91"/>
      <c r="M17" s="184">
        <f t="shared" ca="1" si="6"/>
        <v>0</v>
      </c>
      <c r="N17" s="67">
        <f t="shared" ca="1" si="7"/>
        <v>0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182" t="str">
        <f t="shared" ca="1" si="9"/>
        <v>Tổ Hạ tầng Tân Châu</v>
      </c>
      <c r="C18" s="61" t="str">
        <f t="shared" ca="1" si="2"/>
        <v>Trần Minh Tuấn</v>
      </c>
      <c r="D18" s="183">
        <f t="shared" ca="1" si="3"/>
        <v>913858404</v>
      </c>
      <c r="E18" s="63" t="str">
        <f t="shared" ca="1" si="4"/>
        <v>tuantm.tnh@vnpt.vn</v>
      </c>
      <c r="F18" s="276" t="str">
        <f t="shared" ca="1" si="5"/>
        <v>Lần 12</v>
      </c>
      <c r="G18" s="112"/>
      <c r="H18" s="122"/>
      <c r="I18" s="122"/>
      <c r="J18" s="98"/>
      <c r="K18" s="98"/>
      <c r="L18" s="91"/>
      <c r="M18" s="184">
        <f t="shared" ca="1" si="6"/>
        <v>0</v>
      </c>
      <c r="N18" s="67">
        <f t="shared" ca="1" si="7"/>
        <v>0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182" t="str">
        <f t="shared" ca="1" si="9"/>
        <v>Tổ Hạ tầng Tân Châu</v>
      </c>
      <c r="C19" s="61" t="str">
        <f t="shared" ca="1" si="2"/>
        <v>Trần Minh Tuấn</v>
      </c>
      <c r="D19" s="183">
        <f t="shared" ca="1" si="3"/>
        <v>913858404</v>
      </c>
      <c r="E19" s="63" t="str">
        <f t="shared" ca="1" si="4"/>
        <v>tuantm.tnh@vnpt.vn</v>
      </c>
      <c r="F19" s="276" t="str">
        <f t="shared" ca="1" si="5"/>
        <v>Lần 13</v>
      </c>
      <c r="G19" s="112"/>
      <c r="H19" s="122"/>
      <c r="I19" s="122"/>
      <c r="J19" s="98"/>
      <c r="K19" s="98"/>
      <c r="L19" s="91"/>
      <c r="M19" s="184">
        <f t="shared" ca="1" si="6"/>
        <v>0</v>
      </c>
      <c r="N19" s="67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182" t="str">
        <f t="shared" ca="1" si="9"/>
        <v>Tổ Hạ tầng Tân Châu</v>
      </c>
      <c r="C20" s="61" t="str">
        <f t="shared" ca="1" si="2"/>
        <v>Trần Minh Tuấn</v>
      </c>
      <c r="D20" s="183">
        <f t="shared" ca="1" si="3"/>
        <v>913858404</v>
      </c>
      <c r="E20" s="63" t="str">
        <f t="shared" ca="1" si="4"/>
        <v>tuantm.tnh@vnpt.vn</v>
      </c>
      <c r="F20" s="276" t="str">
        <f t="shared" ca="1" si="5"/>
        <v>Lần 14</v>
      </c>
      <c r="G20" s="112"/>
      <c r="H20" s="122"/>
      <c r="I20" s="122"/>
      <c r="J20" s="98"/>
      <c r="K20" s="98"/>
      <c r="L20" s="91"/>
      <c r="M20" s="184">
        <f t="shared" ca="1" si="6"/>
        <v>0</v>
      </c>
      <c r="N20" s="67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182" t="str">
        <f t="shared" ca="1" si="9"/>
        <v>Tổ Hạ tầng Tân Châu</v>
      </c>
      <c r="C21" s="61" t="str">
        <f t="shared" ca="1" si="2"/>
        <v>Trần Minh Tuấn</v>
      </c>
      <c r="D21" s="183">
        <f t="shared" ca="1" si="3"/>
        <v>913858404</v>
      </c>
      <c r="E21" s="63" t="str">
        <f t="shared" ca="1" si="4"/>
        <v>tuantm.tnh@vnpt.vn</v>
      </c>
      <c r="F21" s="276" t="str">
        <f t="shared" ca="1" si="5"/>
        <v>Lần 15</v>
      </c>
      <c r="G21" s="112"/>
      <c r="H21" s="122"/>
      <c r="I21" s="122"/>
      <c r="J21" s="98"/>
      <c r="K21" s="98"/>
      <c r="L21" s="91"/>
      <c r="M21" s="184">
        <f t="shared" ca="1" si="6"/>
        <v>0</v>
      </c>
      <c r="N21" s="67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80">
        <f t="shared" ca="1" si="1"/>
        <v>16</v>
      </c>
      <c r="B22" s="185" t="str">
        <f t="shared" ca="1" si="9"/>
        <v>Tổ Hạ tầng Tân Châu</v>
      </c>
      <c r="C22" s="82" t="str">
        <f t="shared" ca="1" si="2"/>
        <v>Trần Minh Tuấn</v>
      </c>
      <c r="D22" s="186">
        <f t="shared" ca="1" si="3"/>
        <v>913858404</v>
      </c>
      <c r="E22" s="84" t="str">
        <f t="shared" ca="1" si="4"/>
        <v>tuantm.tnh@vnpt.vn</v>
      </c>
      <c r="F22" s="309" t="str">
        <f t="shared" ca="1" si="5"/>
        <v>Lần 16</v>
      </c>
      <c r="G22" s="112"/>
      <c r="H22" s="122"/>
      <c r="I22" s="122"/>
      <c r="J22" s="98"/>
      <c r="K22" s="99"/>
      <c r="L22" s="152"/>
      <c r="M22" s="189">
        <f t="shared" ca="1" si="6"/>
        <v>0</v>
      </c>
      <c r="N22" s="171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46">
        <f t="shared" ca="1" si="1"/>
        <v>17</v>
      </c>
      <c r="B23" s="190" t="str">
        <f t="shared" ca="1" si="9"/>
        <v>Tổ Hạ tầng Tân Châu</v>
      </c>
      <c r="C23" s="48" t="str">
        <f t="shared" ca="1" si="2"/>
        <v>Nguyễn Ngọc Thơ</v>
      </c>
      <c r="D23" s="191">
        <f t="shared" ca="1" si="3"/>
        <v>919619755</v>
      </c>
      <c r="E23" s="50" t="str">
        <f t="shared" ca="1" si="4"/>
        <v>thonn.tnh@vnpt.vn</v>
      </c>
      <c r="F23" s="307" t="str">
        <f t="shared" ca="1" si="5"/>
        <v>Lần 1</v>
      </c>
      <c r="G23" s="93">
        <v>46212</v>
      </c>
      <c r="H23" s="71">
        <v>81.3</v>
      </c>
      <c r="I23" s="71">
        <v>33.9</v>
      </c>
      <c r="J23" s="94">
        <v>85.3</v>
      </c>
      <c r="K23" s="94">
        <v>39.4</v>
      </c>
      <c r="L23" s="193"/>
      <c r="M23" s="194">
        <f t="shared" ca="1" si="6"/>
        <v>1</v>
      </c>
      <c r="N23" s="195">
        <f t="shared" ca="1" si="7"/>
        <v>1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182" t="str">
        <f t="shared" ca="1" si="9"/>
        <v>Tổ Hạ tầng Tân Châu</v>
      </c>
      <c r="C24" s="61" t="str">
        <f t="shared" ca="1" si="2"/>
        <v>Nguyễn Ngọc Thơ</v>
      </c>
      <c r="D24" s="183">
        <f t="shared" ca="1" si="3"/>
        <v>919619755</v>
      </c>
      <c r="E24" s="63" t="str">
        <f t="shared" ca="1" si="4"/>
        <v>thonn.tnh@vnpt.vn</v>
      </c>
      <c r="F24" s="276" t="str">
        <f t="shared" ca="1" si="5"/>
        <v>Lần 2</v>
      </c>
      <c r="G24" s="93">
        <v>46212</v>
      </c>
      <c r="H24" s="71">
        <v>71.2</v>
      </c>
      <c r="I24" s="71">
        <v>38.5</v>
      </c>
      <c r="J24" s="94">
        <v>78.5</v>
      </c>
      <c r="K24" s="94">
        <v>42.8</v>
      </c>
      <c r="L24" s="95"/>
      <c r="M24" s="184">
        <f t="shared" ca="1" si="6"/>
        <v>1</v>
      </c>
      <c r="N24" s="67">
        <f t="shared" ca="1" si="7"/>
        <v>1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182" t="str">
        <f t="shared" ca="1" si="9"/>
        <v>Tổ Hạ tầng Tân Châu</v>
      </c>
      <c r="C25" s="61" t="str">
        <f t="shared" ca="1" si="2"/>
        <v>Nguyễn Ngọc Thơ</v>
      </c>
      <c r="D25" s="183">
        <f t="shared" ca="1" si="3"/>
        <v>919619755</v>
      </c>
      <c r="E25" s="63" t="str">
        <f t="shared" ca="1" si="4"/>
        <v>thonn.tnh@vnpt.vn</v>
      </c>
      <c r="F25" s="276" t="str">
        <f t="shared" ca="1" si="5"/>
        <v>Lần 3</v>
      </c>
      <c r="G25" s="93">
        <v>46212</v>
      </c>
      <c r="H25" s="71">
        <v>89.1</v>
      </c>
      <c r="I25" s="71">
        <v>42.1</v>
      </c>
      <c r="J25" s="94">
        <v>96.9</v>
      </c>
      <c r="K25" s="94">
        <v>44.1</v>
      </c>
      <c r="L25" s="95"/>
      <c r="M25" s="184">
        <f t="shared" ca="1" si="6"/>
        <v>1</v>
      </c>
      <c r="N25" s="67">
        <f t="shared" ca="1" si="7"/>
        <v>1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182" t="str">
        <f t="shared" ca="1" si="9"/>
        <v>Tổ Hạ tầng Tân Châu</v>
      </c>
      <c r="C26" s="61" t="str">
        <f t="shared" ca="1" si="2"/>
        <v>Nguyễn Ngọc Thơ</v>
      </c>
      <c r="D26" s="183">
        <f t="shared" ca="1" si="3"/>
        <v>919619755</v>
      </c>
      <c r="E26" s="63" t="str">
        <f t="shared" ca="1" si="4"/>
        <v>thonn.tnh@vnpt.vn</v>
      </c>
      <c r="F26" s="276" t="str">
        <f t="shared" ca="1" si="5"/>
        <v>Lần 4</v>
      </c>
      <c r="G26" s="93">
        <v>46212</v>
      </c>
      <c r="H26" s="71">
        <v>97.3</v>
      </c>
      <c r="I26" s="71">
        <v>45.5</v>
      </c>
      <c r="J26" s="94">
        <v>72.8</v>
      </c>
      <c r="K26" s="94">
        <v>43.2</v>
      </c>
      <c r="L26" s="95"/>
      <c r="M26" s="184">
        <f t="shared" ca="1" si="6"/>
        <v>1</v>
      </c>
      <c r="N26" s="67">
        <f t="shared" ca="1" si="7"/>
        <v>1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182" t="str">
        <f t="shared" ca="1" si="9"/>
        <v>Tổ Hạ tầng Tân Châu</v>
      </c>
      <c r="C27" s="61" t="str">
        <f t="shared" ca="1" si="2"/>
        <v>Nguyễn Ngọc Thơ</v>
      </c>
      <c r="D27" s="183">
        <f t="shared" ca="1" si="3"/>
        <v>919619755</v>
      </c>
      <c r="E27" s="63" t="str">
        <f t="shared" ca="1" si="4"/>
        <v>thonn.tnh@vnpt.vn</v>
      </c>
      <c r="F27" s="276" t="str">
        <f t="shared" ca="1" si="5"/>
        <v>Lần 5</v>
      </c>
      <c r="G27" s="93">
        <v>46212</v>
      </c>
      <c r="H27" s="75">
        <v>87</v>
      </c>
      <c r="I27" s="75">
        <v>42.4</v>
      </c>
      <c r="J27" s="94">
        <v>91.4</v>
      </c>
      <c r="K27" s="94">
        <v>40.6</v>
      </c>
      <c r="L27" s="95"/>
      <c r="M27" s="184">
        <f t="shared" ca="1" si="6"/>
        <v>1</v>
      </c>
      <c r="N27" s="67">
        <f t="shared" ca="1" si="7"/>
        <v>1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182" t="str">
        <f t="shared" ca="1" si="9"/>
        <v>Tổ Hạ tầng Tân Châu</v>
      </c>
      <c r="C28" s="61" t="str">
        <f t="shared" ca="1" si="2"/>
        <v>Nguyễn Ngọc Thơ</v>
      </c>
      <c r="D28" s="183">
        <f t="shared" ca="1" si="3"/>
        <v>919619755</v>
      </c>
      <c r="E28" s="63" t="str">
        <f t="shared" ca="1" si="4"/>
        <v>thonn.tnh@vnpt.vn</v>
      </c>
      <c r="F28" s="276" t="str">
        <f t="shared" ca="1" si="5"/>
        <v>Lần 6</v>
      </c>
      <c r="G28" s="93">
        <v>46212</v>
      </c>
      <c r="H28" s="75">
        <v>80.8</v>
      </c>
      <c r="I28" s="75">
        <v>44.6</v>
      </c>
      <c r="J28" s="94">
        <v>92.2</v>
      </c>
      <c r="K28" s="94">
        <v>41.7</v>
      </c>
      <c r="L28" s="95"/>
      <c r="M28" s="184">
        <f t="shared" ca="1" si="6"/>
        <v>1</v>
      </c>
      <c r="N28" s="67">
        <f t="shared" ca="1" si="7"/>
        <v>1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182" t="str">
        <f t="shared" ca="1" si="9"/>
        <v>Tổ Hạ tầng Tân Châu</v>
      </c>
      <c r="C29" s="61" t="str">
        <f t="shared" ca="1" si="2"/>
        <v>Nguyễn Ngọc Thơ</v>
      </c>
      <c r="D29" s="183">
        <f t="shared" ca="1" si="3"/>
        <v>919619755</v>
      </c>
      <c r="E29" s="63" t="str">
        <f t="shared" ca="1" si="4"/>
        <v>thonn.tnh@vnpt.vn</v>
      </c>
      <c r="F29" s="276" t="str">
        <f t="shared" ca="1" si="5"/>
        <v>Lần 7</v>
      </c>
      <c r="G29" s="93">
        <v>46213</v>
      </c>
      <c r="H29" s="75">
        <v>351</v>
      </c>
      <c r="I29" s="75">
        <v>72.900000000000006</v>
      </c>
      <c r="J29" s="94">
        <v>659</v>
      </c>
      <c r="K29" s="94">
        <v>64.8</v>
      </c>
      <c r="L29" s="96"/>
      <c r="M29" s="184">
        <f t="shared" ca="1" si="6"/>
        <v>1</v>
      </c>
      <c r="N29" s="67">
        <f t="shared" ca="1" si="7"/>
        <v>1</v>
      </c>
      <c r="O29" s="68">
        <f t="shared" ca="1" si="8"/>
        <v>1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182" t="str">
        <f t="shared" ca="1" si="9"/>
        <v>Tổ Hạ tầng Tân Châu</v>
      </c>
      <c r="C30" s="61" t="str">
        <f t="shared" ca="1" si="2"/>
        <v>Nguyễn Ngọc Thơ</v>
      </c>
      <c r="D30" s="183">
        <f t="shared" ca="1" si="3"/>
        <v>919619755</v>
      </c>
      <c r="E30" s="63" t="str">
        <f t="shared" ca="1" si="4"/>
        <v>thonn.tnh@vnpt.vn</v>
      </c>
      <c r="F30" s="276" t="str">
        <f t="shared" ca="1" si="5"/>
        <v>Lần 8</v>
      </c>
      <c r="G30" s="93">
        <v>46213</v>
      </c>
      <c r="H30" s="75">
        <v>260</v>
      </c>
      <c r="I30" s="75">
        <v>67.900000000000006</v>
      </c>
      <c r="J30" s="94">
        <v>669</v>
      </c>
      <c r="K30" s="94">
        <v>67.3</v>
      </c>
      <c r="L30" s="96"/>
      <c r="M30" s="184">
        <f t="shared" ca="1" si="6"/>
        <v>1</v>
      </c>
      <c r="N30" s="67">
        <f t="shared" ca="1" si="7"/>
        <v>1</v>
      </c>
      <c r="O30" s="68">
        <f t="shared" ca="1" si="8"/>
        <v>1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182" t="str">
        <f t="shared" ca="1" si="9"/>
        <v>Tổ Hạ tầng Tân Châu</v>
      </c>
      <c r="C31" s="61" t="str">
        <f t="shared" ca="1" si="2"/>
        <v>Nguyễn Ngọc Thơ</v>
      </c>
      <c r="D31" s="183">
        <f t="shared" ca="1" si="3"/>
        <v>919619755</v>
      </c>
      <c r="E31" s="63" t="str">
        <f t="shared" ca="1" si="4"/>
        <v>thonn.tnh@vnpt.vn</v>
      </c>
      <c r="F31" s="276" t="str">
        <f t="shared" ca="1" si="5"/>
        <v>Lần 9</v>
      </c>
      <c r="G31" s="93">
        <v>46213</v>
      </c>
      <c r="H31" s="75">
        <v>268</v>
      </c>
      <c r="I31" s="75">
        <v>64.8</v>
      </c>
      <c r="J31" s="94">
        <v>623</v>
      </c>
      <c r="K31" s="94">
        <v>64.7</v>
      </c>
      <c r="L31" s="96"/>
      <c r="M31" s="184">
        <f t="shared" ca="1" si="6"/>
        <v>1</v>
      </c>
      <c r="N31" s="67">
        <f t="shared" ca="1" si="7"/>
        <v>1</v>
      </c>
      <c r="O31" s="68">
        <f t="shared" ca="1" si="8"/>
        <v>1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182" t="str">
        <f t="shared" ca="1" si="9"/>
        <v>Tổ Hạ tầng Tân Châu</v>
      </c>
      <c r="C32" s="61" t="str">
        <f t="shared" ca="1" si="2"/>
        <v>Nguyễn Ngọc Thơ</v>
      </c>
      <c r="D32" s="183">
        <f t="shared" ca="1" si="3"/>
        <v>919619755</v>
      </c>
      <c r="E32" s="63" t="str">
        <f t="shared" ca="1" si="4"/>
        <v>thonn.tnh@vnpt.vn</v>
      </c>
      <c r="F32" s="276" t="str">
        <f t="shared" ca="1" si="5"/>
        <v>Lần 10</v>
      </c>
      <c r="G32" s="93">
        <v>46213</v>
      </c>
      <c r="H32" s="75">
        <v>329</v>
      </c>
      <c r="I32" s="75">
        <v>73</v>
      </c>
      <c r="J32" s="94">
        <v>594</v>
      </c>
      <c r="K32" s="94">
        <v>64.599999999999994</v>
      </c>
      <c r="L32" s="95"/>
      <c r="M32" s="184">
        <f t="shared" ca="1" si="6"/>
        <v>1</v>
      </c>
      <c r="N32" s="67">
        <f t="shared" ca="1" si="7"/>
        <v>1</v>
      </c>
      <c r="O32" s="68">
        <f t="shared" ca="1" si="8"/>
        <v>1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182" t="str">
        <f t="shared" ca="1" si="9"/>
        <v>Tổ Hạ tầng Tân Châu</v>
      </c>
      <c r="C33" s="61" t="str">
        <f t="shared" ca="1" si="2"/>
        <v>Nguyễn Ngọc Thơ</v>
      </c>
      <c r="D33" s="183">
        <f t="shared" ca="1" si="3"/>
        <v>919619755</v>
      </c>
      <c r="E33" s="63" t="str">
        <f t="shared" ca="1" si="4"/>
        <v>thonn.tnh@vnpt.vn</v>
      </c>
      <c r="F33" s="276" t="str">
        <f t="shared" ca="1" si="5"/>
        <v>Lần 11</v>
      </c>
      <c r="G33" s="93">
        <v>46213</v>
      </c>
      <c r="H33" s="75">
        <v>302</v>
      </c>
      <c r="I33" s="75">
        <v>63.3</v>
      </c>
      <c r="J33" s="94">
        <v>550</v>
      </c>
      <c r="K33" s="94">
        <v>63.3</v>
      </c>
      <c r="L33" s="95"/>
      <c r="M33" s="184">
        <f t="shared" ca="1" si="6"/>
        <v>1</v>
      </c>
      <c r="N33" s="67">
        <f t="shared" ca="1" si="7"/>
        <v>1</v>
      </c>
      <c r="O33" s="68">
        <f t="shared" ca="1" si="8"/>
        <v>1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182" t="str">
        <f t="shared" ca="1" si="9"/>
        <v>Tổ Hạ tầng Tân Châu</v>
      </c>
      <c r="C34" s="61" t="str">
        <f t="shared" ca="1" si="2"/>
        <v>Nguyễn Ngọc Thơ</v>
      </c>
      <c r="D34" s="183">
        <f t="shared" ca="1" si="3"/>
        <v>919619755</v>
      </c>
      <c r="E34" s="63" t="str">
        <f t="shared" ca="1" si="4"/>
        <v>thonn.tnh@vnpt.vn</v>
      </c>
      <c r="F34" s="276" t="str">
        <f t="shared" ca="1" si="5"/>
        <v>Lần 12</v>
      </c>
      <c r="G34" s="93">
        <v>46213</v>
      </c>
      <c r="H34" s="75">
        <v>240</v>
      </c>
      <c r="I34" s="75">
        <v>56.2</v>
      </c>
      <c r="J34" s="94">
        <v>464</v>
      </c>
      <c r="K34" s="94">
        <v>60.4</v>
      </c>
      <c r="L34" s="96"/>
      <c r="M34" s="184">
        <f t="shared" ca="1" si="6"/>
        <v>1</v>
      </c>
      <c r="N34" s="67">
        <f t="shared" ca="1" si="7"/>
        <v>1</v>
      </c>
      <c r="O34" s="68">
        <f t="shared" ca="1" si="8"/>
        <v>1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182" t="str">
        <f t="shared" ca="1" si="9"/>
        <v>Tổ Hạ tầng Tân Châu</v>
      </c>
      <c r="C35" s="61" t="str">
        <f t="shared" ca="1" si="2"/>
        <v>Nguyễn Ngọc Thơ</v>
      </c>
      <c r="D35" s="183">
        <f t="shared" ca="1" si="3"/>
        <v>919619755</v>
      </c>
      <c r="E35" s="63" t="str">
        <f t="shared" ca="1" si="4"/>
        <v>thonn.tnh@vnpt.vn</v>
      </c>
      <c r="F35" s="276" t="str">
        <f t="shared" ca="1" si="5"/>
        <v>Lần 13</v>
      </c>
      <c r="G35" s="93">
        <v>46213</v>
      </c>
      <c r="H35" s="75">
        <v>269</v>
      </c>
      <c r="I35" s="75">
        <v>57</v>
      </c>
      <c r="J35" s="94">
        <v>633</v>
      </c>
      <c r="K35" s="94">
        <v>93.5</v>
      </c>
      <c r="L35" s="96"/>
      <c r="M35" s="184">
        <f t="shared" ca="1" si="6"/>
        <v>1</v>
      </c>
      <c r="N35" s="67">
        <f t="shared" ca="1" si="7"/>
        <v>1</v>
      </c>
      <c r="O35" s="68">
        <f t="shared" ca="1" si="8"/>
        <v>1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182" t="str">
        <f t="shared" ca="1" si="9"/>
        <v>Tổ Hạ tầng Tân Châu</v>
      </c>
      <c r="C36" s="61" t="str">
        <f t="shared" ca="1" si="2"/>
        <v>Nguyễn Ngọc Thơ</v>
      </c>
      <c r="D36" s="183">
        <f t="shared" ca="1" si="3"/>
        <v>919619755</v>
      </c>
      <c r="E36" s="63" t="str">
        <f t="shared" ca="1" si="4"/>
        <v>thonn.tnh@vnpt.vn</v>
      </c>
      <c r="F36" s="276" t="str">
        <f t="shared" ca="1" si="5"/>
        <v>Lần 14</v>
      </c>
      <c r="G36" s="93">
        <v>46213</v>
      </c>
      <c r="H36" s="75">
        <v>331</v>
      </c>
      <c r="I36" s="75">
        <v>70.8</v>
      </c>
      <c r="J36" s="94">
        <v>435</v>
      </c>
      <c r="K36" s="94">
        <v>63.7</v>
      </c>
      <c r="L36" s="96"/>
      <c r="M36" s="184">
        <f t="shared" ca="1" si="6"/>
        <v>1</v>
      </c>
      <c r="N36" s="67">
        <f t="shared" ca="1" si="7"/>
        <v>1</v>
      </c>
      <c r="O36" s="68">
        <f t="shared" ca="1" si="8"/>
        <v>1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182" t="str">
        <f t="shared" ca="1" si="9"/>
        <v>Tổ Hạ tầng Tân Châu</v>
      </c>
      <c r="C37" s="61" t="str">
        <f t="shared" ca="1" si="2"/>
        <v>Nguyễn Ngọc Thơ</v>
      </c>
      <c r="D37" s="183">
        <f t="shared" ca="1" si="3"/>
        <v>919619755</v>
      </c>
      <c r="E37" s="63" t="str">
        <f t="shared" ca="1" si="4"/>
        <v>thonn.tnh@vnpt.vn</v>
      </c>
      <c r="F37" s="276" t="str">
        <f t="shared" ca="1" si="5"/>
        <v>Lần 15</v>
      </c>
      <c r="G37" s="93">
        <v>46213</v>
      </c>
      <c r="H37" s="75">
        <v>356</v>
      </c>
      <c r="I37" s="75">
        <v>77.3</v>
      </c>
      <c r="J37" s="94">
        <v>750</v>
      </c>
      <c r="K37" s="94">
        <v>87</v>
      </c>
      <c r="L37" s="96"/>
      <c r="M37" s="184">
        <f t="shared" ca="1" si="6"/>
        <v>1</v>
      </c>
      <c r="N37" s="67">
        <f t="shared" ca="1" si="7"/>
        <v>1</v>
      </c>
      <c r="O37" s="68">
        <f t="shared" ca="1" si="8"/>
        <v>1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100">
        <f t="shared" ca="1" si="1"/>
        <v>32</v>
      </c>
      <c r="B38" s="196" t="str">
        <f t="shared" ca="1" si="9"/>
        <v>Tổ Hạ tầng Tân Châu</v>
      </c>
      <c r="C38" s="102" t="str">
        <f t="shared" ca="1" si="2"/>
        <v>Nguyễn Ngọc Thơ</v>
      </c>
      <c r="D38" s="197">
        <f t="shared" ca="1" si="3"/>
        <v>919619755</v>
      </c>
      <c r="E38" s="104" t="str">
        <f t="shared" ca="1" si="4"/>
        <v>thonn.tnh@vnpt.vn</v>
      </c>
      <c r="F38" s="310" t="str">
        <f t="shared" ca="1" si="5"/>
        <v>Lần 16</v>
      </c>
      <c r="G38" s="93">
        <v>46213</v>
      </c>
      <c r="H38" s="75">
        <v>74.599999999999994</v>
      </c>
      <c r="I38" s="75">
        <v>17.5</v>
      </c>
      <c r="J38" s="94">
        <v>506</v>
      </c>
      <c r="K38" s="94">
        <v>32.700000000000003</v>
      </c>
      <c r="L38" s="201"/>
      <c r="M38" s="202">
        <f t="shared" ca="1" si="6"/>
        <v>1</v>
      </c>
      <c r="N38" s="203">
        <f t="shared" ca="1" si="7"/>
        <v>1</v>
      </c>
      <c r="O38" s="68">
        <f t="shared" ca="1" si="8"/>
        <v>1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106">
        <f t="shared" ca="1" si="1"/>
        <v>33</v>
      </c>
      <c r="B39" s="204" t="str">
        <f t="shared" ca="1" si="9"/>
        <v>Tổ Hạ tầng Tân Châu</v>
      </c>
      <c r="C39" s="108" t="str">
        <f t="shared" ca="1" si="2"/>
        <v>Nguyễn Đông Triều</v>
      </c>
      <c r="D39" s="205">
        <f t="shared" ca="1" si="3"/>
        <v>914433557</v>
      </c>
      <c r="E39" s="110" t="str">
        <f t="shared" ca="1" si="4"/>
        <v>trieund.tnh@vnpt.vn</v>
      </c>
      <c r="F39" s="311" t="str">
        <f t="shared" ca="1" si="5"/>
        <v>Lần 1</v>
      </c>
      <c r="G39" s="112">
        <v>46213</v>
      </c>
      <c r="H39" s="71">
        <v>84</v>
      </c>
      <c r="I39" s="71">
        <v>58</v>
      </c>
      <c r="J39" s="71">
        <v>103</v>
      </c>
      <c r="K39" s="71">
        <v>29.8</v>
      </c>
      <c r="L39" s="132"/>
      <c r="M39" s="181">
        <f t="shared" ca="1" si="6"/>
        <v>1</v>
      </c>
      <c r="N39" s="57">
        <f t="shared" ca="1" si="7"/>
        <v>1</v>
      </c>
      <c r="O39" s="68">
        <f t="shared" ca="1" si="8"/>
        <v>0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182" t="str">
        <f t="shared" ca="1" si="9"/>
        <v>Tổ Hạ tầng Tân Châu</v>
      </c>
      <c r="C40" s="61" t="str">
        <f t="shared" ca="1" si="2"/>
        <v>Nguyễn Đông Triều</v>
      </c>
      <c r="D40" s="183">
        <f t="shared" ca="1" si="3"/>
        <v>914433557</v>
      </c>
      <c r="E40" s="63" t="str">
        <f t="shared" ca="1" si="4"/>
        <v>trieund.tnh@vnpt.vn</v>
      </c>
      <c r="F40" s="276" t="str">
        <f t="shared" ca="1" si="5"/>
        <v>Lần 2</v>
      </c>
      <c r="G40" s="112">
        <v>46213</v>
      </c>
      <c r="H40" s="71">
        <v>112</v>
      </c>
      <c r="I40" s="71">
        <v>52.3</v>
      </c>
      <c r="J40" s="71">
        <v>92.5</v>
      </c>
      <c r="K40" s="71">
        <v>14.7</v>
      </c>
      <c r="L40" s="116"/>
      <c r="M40" s="184">
        <f t="shared" ca="1" si="6"/>
        <v>1</v>
      </c>
      <c r="N40" s="67">
        <f t="shared" ca="1" si="7"/>
        <v>1</v>
      </c>
      <c r="O40" s="68">
        <f t="shared" ca="1" si="8"/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182" t="str">
        <f t="shared" ca="1" si="9"/>
        <v>Tổ Hạ tầng Tân Châu</v>
      </c>
      <c r="C41" s="61" t="str">
        <f t="shared" ca="1" si="2"/>
        <v>Nguyễn Đông Triều</v>
      </c>
      <c r="D41" s="183">
        <f t="shared" ca="1" si="3"/>
        <v>914433557</v>
      </c>
      <c r="E41" s="63" t="str">
        <f t="shared" ca="1" si="4"/>
        <v>trieund.tnh@vnpt.vn</v>
      </c>
      <c r="F41" s="276" t="str">
        <f t="shared" ca="1" si="5"/>
        <v>Lần 3</v>
      </c>
      <c r="G41" s="112">
        <v>46213</v>
      </c>
      <c r="H41" s="71">
        <v>106</v>
      </c>
      <c r="I41" s="71">
        <v>81</v>
      </c>
      <c r="J41" s="71">
        <v>92.6</v>
      </c>
      <c r="K41" s="71">
        <v>30.6</v>
      </c>
      <c r="L41" s="116"/>
      <c r="M41" s="184">
        <f t="shared" ca="1" si="6"/>
        <v>1</v>
      </c>
      <c r="N41" s="67">
        <f t="shared" ca="1" si="7"/>
        <v>1</v>
      </c>
      <c r="O41" s="68">
        <f t="shared" ca="1" si="8"/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182" t="str">
        <f t="shared" ca="1" si="9"/>
        <v>Tổ Hạ tầng Tân Châu</v>
      </c>
      <c r="C42" s="61" t="str">
        <f t="shared" ca="1" si="2"/>
        <v>Nguyễn Đông Triều</v>
      </c>
      <c r="D42" s="183">
        <f t="shared" ca="1" si="3"/>
        <v>914433557</v>
      </c>
      <c r="E42" s="63" t="str">
        <f t="shared" ca="1" si="4"/>
        <v>trieund.tnh@vnpt.vn</v>
      </c>
      <c r="F42" s="276" t="str">
        <f t="shared" ca="1" si="5"/>
        <v>Lần 4</v>
      </c>
      <c r="G42" s="112">
        <v>46213</v>
      </c>
      <c r="H42" s="71">
        <v>72.3</v>
      </c>
      <c r="I42" s="71">
        <v>61</v>
      </c>
      <c r="J42" s="71">
        <v>104</v>
      </c>
      <c r="K42" s="71">
        <v>44.2</v>
      </c>
      <c r="L42" s="208"/>
      <c r="M42" s="184">
        <f t="shared" ca="1" si="6"/>
        <v>1</v>
      </c>
      <c r="N42" s="67">
        <f t="shared" ca="1" si="7"/>
        <v>1</v>
      </c>
      <c r="O42" s="68">
        <f t="shared" ca="1" si="8"/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182" t="str">
        <f t="shared" ca="1" si="9"/>
        <v>Tổ Hạ tầng Tân Châu</v>
      </c>
      <c r="C43" s="61" t="str">
        <f t="shared" ca="1" si="2"/>
        <v>Nguyễn Đông Triều</v>
      </c>
      <c r="D43" s="183">
        <f t="shared" ca="1" si="3"/>
        <v>914433557</v>
      </c>
      <c r="E43" s="63" t="str">
        <f t="shared" ca="1" si="4"/>
        <v>trieund.tnh@vnpt.vn</v>
      </c>
      <c r="F43" s="276" t="str">
        <f t="shared" ca="1" si="5"/>
        <v>Lần 5</v>
      </c>
      <c r="G43" s="112">
        <v>46213</v>
      </c>
      <c r="H43" s="75">
        <v>108</v>
      </c>
      <c r="I43" s="75">
        <v>73.2</v>
      </c>
      <c r="J43" s="75">
        <v>82.8</v>
      </c>
      <c r="K43" s="75">
        <v>39</v>
      </c>
      <c r="L43" s="208"/>
      <c r="M43" s="184">
        <f t="shared" ca="1" si="6"/>
        <v>1</v>
      </c>
      <c r="N43" s="67">
        <f t="shared" ca="1" si="7"/>
        <v>1</v>
      </c>
      <c r="O43" s="68">
        <f t="shared" ca="1" si="8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182" t="str">
        <f t="shared" ca="1" si="9"/>
        <v>Tổ Hạ tầng Tân Châu</v>
      </c>
      <c r="C44" s="61" t="str">
        <f t="shared" ca="1" si="2"/>
        <v>Nguyễn Đông Triều</v>
      </c>
      <c r="D44" s="183">
        <f t="shared" ca="1" si="3"/>
        <v>914433557</v>
      </c>
      <c r="E44" s="63" t="str">
        <f t="shared" ca="1" si="4"/>
        <v>trieund.tnh@vnpt.vn</v>
      </c>
      <c r="F44" s="276" t="str">
        <f t="shared" ca="1" si="5"/>
        <v>Lần 6</v>
      </c>
      <c r="G44" s="112">
        <v>46213</v>
      </c>
      <c r="H44" s="75">
        <v>111.4</v>
      </c>
      <c r="I44" s="75">
        <v>39.200000000000003</v>
      </c>
      <c r="J44" s="75">
        <v>105</v>
      </c>
      <c r="K44" s="75">
        <v>41.8</v>
      </c>
      <c r="L44" s="208"/>
      <c r="M44" s="184">
        <f t="shared" ca="1" si="6"/>
        <v>1</v>
      </c>
      <c r="N44" s="67">
        <f t="shared" ca="1" si="7"/>
        <v>1</v>
      </c>
      <c r="O44" s="68">
        <f t="shared" ca="1" si="8"/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182" t="str">
        <f t="shared" ca="1" si="9"/>
        <v>Tổ Hạ tầng Tân Châu</v>
      </c>
      <c r="C45" s="61" t="str">
        <f t="shared" ca="1" si="2"/>
        <v>Nguyễn Đông Triều</v>
      </c>
      <c r="D45" s="183">
        <f t="shared" ca="1" si="3"/>
        <v>914433557</v>
      </c>
      <c r="E45" s="63" t="str">
        <f t="shared" ca="1" si="4"/>
        <v>trieund.tnh@vnpt.vn</v>
      </c>
      <c r="F45" s="276" t="str">
        <f t="shared" ca="1" si="5"/>
        <v>Lần 7</v>
      </c>
      <c r="G45" s="112">
        <v>46213</v>
      </c>
      <c r="H45" s="75">
        <v>87</v>
      </c>
      <c r="I45" s="75"/>
      <c r="J45" s="75">
        <v>94.2</v>
      </c>
      <c r="K45" s="75">
        <v>22.9</v>
      </c>
      <c r="L45" s="208"/>
      <c r="M45" s="184">
        <f t="shared" ca="1" si="6"/>
        <v>0</v>
      </c>
      <c r="N45" s="67">
        <f t="shared" ca="1" si="7"/>
        <v>1</v>
      </c>
      <c r="O45" s="68">
        <f t="shared" ca="1" si="8"/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182" t="str">
        <f t="shared" ca="1" si="9"/>
        <v>Tổ Hạ tầng Tân Châu</v>
      </c>
      <c r="C46" s="61" t="str">
        <f t="shared" ca="1" si="2"/>
        <v>Nguyễn Đông Triều</v>
      </c>
      <c r="D46" s="183">
        <f t="shared" ca="1" si="3"/>
        <v>914433557</v>
      </c>
      <c r="E46" s="63" t="str">
        <f t="shared" ca="1" si="4"/>
        <v>trieund.tnh@vnpt.vn</v>
      </c>
      <c r="F46" s="276" t="str">
        <f t="shared" ca="1" si="5"/>
        <v>Lần 8</v>
      </c>
      <c r="G46" s="112"/>
      <c r="H46" s="75"/>
      <c r="I46" s="75"/>
      <c r="J46" s="72"/>
      <c r="K46" s="72"/>
      <c r="L46" s="116"/>
      <c r="M46" s="184">
        <f t="shared" ca="1" si="6"/>
        <v>0</v>
      </c>
      <c r="N46" s="67">
        <f t="shared" ca="1" si="7"/>
        <v>0</v>
      </c>
      <c r="O46" s="68">
        <f t="shared" ca="1" si="8"/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182" t="str">
        <f t="shared" ca="1" si="9"/>
        <v>Tổ Hạ tầng Tân Châu</v>
      </c>
      <c r="C47" s="61" t="str">
        <f t="shared" ca="1" si="2"/>
        <v>Nguyễn Đông Triều</v>
      </c>
      <c r="D47" s="183">
        <f t="shared" ca="1" si="3"/>
        <v>914433557</v>
      </c>
      <c r="E47" s="63" t="str">
        <f t="shared" ca="1" si="4"/>
        <v>trieund.tnh@vnpt.vn</v>
      </c>
      <c r="F47" s="276" t="str">
        <f t="shared" ca="1" si="5"/>
        <v>Lần 9</v>
      </c>
      <c r="G47" s="112"/>
      <c r="H47" s="133"/>
      <c r="I47" s="133"/>
      <c r="J47" s="72"/>
      <c r="K47" s="72"/>
      <c r="L47" s="116"/>
      <c r="M47" s="184">
        <f t="shared" ca="1" si="6"/>
        <v>0</v>
      </c>
      <c r="N47" s="67">
        <f t="shared" ca="1" si="7"/>
        <v>0</v>
      </c>
      <c r="O47" s="68">
        <f t="shared" ca="1" si="8"/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182" t="str">
        <f t="shared" ca="1" si="9"/>
        <v>Tổ Hạ tầng Tân Châu</v>
      </c>
      <c r="C48" s="61" t="str">
        <f t="shared" ca="1" si="2"/>
        <v>Nguyễn Đông Triều</v>
      </c>
      <c r="D48" s="183">
        <f t="shared" ca="1" si="3"/>
        <v>914433557</v>
      </c>
      <c r="E48" s="63" t="str">
        <f t="shared" ca="1" si="4"/>
        <v>trieund.tnh@vnpt.vn</v>
      </c>
      <c r="F48" s="276" t="str">
        <f t="shared" ca="1" si="5"/>
        <v>Lần 10</v>
      </c>
      <c r="G48" s="112"/>
      <c r="H48" s="133"/>
      <c r="I48" s="133"/>
      <c r="J48" s="72"/>
      <c r="K48" s="72"/>
      <c r="L48" s="116"/>
      <c r="M48" s="184">
        <f t="shared" ca="1" si="6"/>
        <v>0</v>
      </c>
      <c r="N48" s="67">
        <f t="shared" ca="1" si="7"/>
        <v>0</v>
      </c>
      <c r="O48" s="68">
        <f t="shared" ca="1" si="8"/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182" t="str">
        <f t="shared" ca="1" si="9"/>
        <v>Tổ Hạ tầng Tân Châu</v>
      </c>
      <c r="C49" s="61" t="str">
        <f t="shared" ca="1" si="2"/>
        <v>Nguyễn Đông Triều</v>
      </c>
      <c r="D49" s="183">
        <f t="shared" ca="1" si="3"/>
        <v>914433557</v>
      </c>
      <c r="E49" s="63" t="str">
        <f t="shared" ca="1" si="4"/>
        <v>trieund.tnh@vnpt.vn</v>
      </c>
      <c r="F49" s="276" t="str">
        <f t="shared" ca="1" si="5"/>
        <v>Lần 11</v>
      </c>
      <c r="G49" s="112"/>
      <c r="H49" s="133"/>
      <c r="I49" s="133"/>
      <c r="J49" s="72"/>
      <c r="K49" s="72"/>
      <c r="L49" s="116"/>
      <c r="M49" s="184">
        <f t="shared" ca="1" si="6"/>
        <v>0</v>
      </c>
      <c r="N49" s="67">
        <f t="shared" ca="1" si="7"/>
        <v>0</v>
      </c>
      <c r="O49" s="68">
        <f t="shared" ca="1" si="8"/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182" t="str">
        <f t="shared" ca="1" si="9"/>
        <v>Tổ Hạ tầng Tân Châu</v>
      </c>
      <c r="C50" s="61" t="str">
        <f t="shared" ca="1" si="2"/>
        <v>Nguyễn Đông Triều</v>
      </c>
      <c r="D50" s="183">
        <f t="shared" ca="1" si="3"/>
        <v>914433557</v>
      </c>
      <c r="E50" s="63" t="str">
        <f t="shared" ca="1" si="4"/>
        <v>trieund.tnh@vnpt.vn</v>
      </c>
      <c r="F50" s="276" t="str">
        <f t="shared" ca="1" si="5"/>
        <v>Lần 12</v>
      </c>
      <c r="G50" s="312"/>
      <c r="H50" s="75"/>
      <c r="I50" s="75"/>
      <c r="J50" s="72"/>
      <c r="K50" s="72"/>
      <c r="L50" s="116"/>
      <c r="M50" s="184">
        <f t="shared" ca="1" si="6"/>
        <v>0</v>
      </c>
      <c r="N50" s="67">
        <f t="shared" ca="1" si="7"/>
        <v>0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182" t="str">
        <f t="shared" ca="1" si="9"/>
        <v>Tổ Hạ tầng Tân Châu</v>
      </c>
      <c r="C51" s="61" t="str">
        <f t="shared" ca="1" si="2"/>
        <v>Nguyễn Đông Triều</v>
      </c>
      <c r="D51" s="183">
        <f t="shared" ca="1" si="3"/>
        <v>914433557</v>
      </c>
      <c r="E51" s="63" t="str">
        <f t="shared" ca="1" si="4"/>
        <v>trieund.tnh@vnpt.vn</v>
      </c>
      <c r="F51" s="276" t="str">
        <f t="shared" ca="1" si="5"/>
        <v>Lần 13</v>
      </c>
      <c r="G51" s="312"/>
      <c r="H51" s="75"/>
      <c r="I51" s="75"/>
      <c r="J51" s="72"/>
      <c r="K51" s="72"/>
      <c r="L51" s="116"/>
      <c r="M51" s="184">
        <f t="shared" ca="1" si="6"/>
        <v>0</v>
      </c>
      <c r="N51" s="67">
        <f t="shared" ca="1" si="7"/>
        <v>0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182" t="str">
        <f t="shared" ca="1" si="9"/>
        <v>Tổ Hạ tầng Tân Châu</v>
      </c>
      <c r="C52" s="61" t="str">
        <f t="shared" ca="1" si="2"/>
        <v>Nguyễn Đông Triều</v>
      </c>
      <c r="D52" s="183">
        <f t="shared" ca="1" si="3"/>
        <v>914433557</v>
      </c>
      <c r="E52" s="63" t="str">
        <f t="shared" ca="1" si="4"/>
        <v>trieund.tnh@vnpt.vn</v>
      </c>
      <c r="F52" s="276" t="str">
        <f t="shared" ca="1" si="5"/>
        <v>Lần 14</v>
      </c>
      <c r="G52" s="312"/>
      <c r="H52" s="75"/>
      <c r="I52" s="75"/>
      <c r="J52" s="72"/>
      <c r="K52" s="72"/>
      <c r="L52" s="116"/>
      <c r="M52" s="184">
        <f t="shared" ca="1" si="6"/>
        <v>0</v>
      </c>
      <c r="N52" s="67">
        <f t="shared" ca="1" si="7"/>
        <v>0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182" t="str">
        <f t="shared" ca="1" si="9"/>
        <v>Tổ Hạ tầng Tân Châu</v>
      </c>
      <c r="C53" s="61" t="str">
        <f t="shared" ca="1" si="2"/>
        <v>Nguyễn Đông Triều</v>
      </c>
      <c r="D53" s="183">
        <f t="shared" ca="1" si="3"/>
        <v>914433557</v>
      </c>
      <c r="E53" s="63" t="str">
        <f t="shared" ca="1" si="4"/>
        <v>trieund.tnh@vnpt.vn</v>
      </c>
      <c r="F53" s="276" t="str">
        <f t="shared" ca="1" si="5"/>
        <v>Lần 15</v>
      </c>
      <c r="G53" s="312"/>
      <c r="H53" s="75"/>
      <c r="I53" s="75"/>
      <c r="J53" s="72"/>
      <c r="K53" s="72"/>
      <c r="L53" s="116"/>
      <c r="M53" s="184">
        <f t="shared" ca="1" si="6"/>
        <v>0</v>
      </c>
      <c r="N53" s="67">
        <f t="shared" ca="1" si="7"/>
        <v>0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80">
        <f t="shared" ca="1" si="1"/>
        <v>48</v>
      </c>
      <c r="B54" s="185" t="str">
        <f t="shared" ca="1" si="9"/>
        <v>Tổ Hạ tầng Tân Châu</v>
      </c>
      <c r="C54" s="82" t="str">
        <f t="shared" ca="1" si="2"/>
        <v>Nguyễn Đông Triều</v>
      </c>
      <c r="D54" s="186">
        <f t="shared" ca="1" si="3"/>
        <v>914433557</v>
      </c>
      <c r="E54" s="84" t="str">
        <f t="shared" ca="1" si="4"/>
        <v>trieund.tnh@vnpt.vn</v>
      </c>
      <c r="F54" s="309" t="str">
        <f t="shared" ca="1" si="5"/>
        <v>Lần 16</v>
      </c>
      <c r="G54" s="312"/>
      <c r="H54" s="75"/>
      <c r="I54" s="75"/>
      <c r="J54" s="72"/>
      <c r="K54" s="72"/>
      <c r="L54" s="211"/>
      <c r="M54" s="189">
        <f t="shared" ca="1" si="6"/>
        <v>0</v>
      </c>
      <c r="N54" s="171">
        <f t="shared" ca="1" si="7"/>
        <v>0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46">
        <f t="shared" ca="1" si="1"/>
        <v>49</v>
      </c>
      <c r="B55" s="190" t="str">
        <f t="shared" ca="1" si="9"/>
        <v>Tổ Hạ tầng Tân Châu</v>
      </c>
      <c r="C55" s="48" t="str">
        <f t="shared" ca="1" si="2"/>
        <v>Nguyễn Giê Nha</v>
      </c>
      <c r="D55" s="191">
        <f t="shared" ca="1" si="3"/>
        <v>918825152</v>
      </c>
      <c r="E55" s="50" t="str">
        <f t="shared" ca="1" si="4"/>
        <v>nhang.tnh@vnpt.vn</v>
      </c>
      <c r="F55" s="307" t="str">
        <f t="shared" ca="1" si="5"/>
        <v>Lần 1</v>
      </c>
      <c r="G55" s="93"/>
      <c r="H55" s="71"/>
      <c r="I55" s="71"/>
      <c r="J55" s="94"/>
      <c r="K55" s="94"/>
      <c r="L55" s="193"/>
      <c r="M55" s="194">
        <f t="shared" ca="1" si="6"/>
        <v>0</v>
      </c>
      <c r="N55" s="195">
        <f t="shared" ca="1" si="7"/>
        <v>0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182" t="str">
        <f t="shared" ca="1" si="9"/>
        <v>Tổ Hạ tầng Tân Châu</v>
      </c>
      <c r="C56" s="61" t="str">
        <f t="shared" ca="1" si="2"/>
        <v>Nguyễn Giê Nha</v>
      </c>
      <c r="D56" s="183">
        <f t="shared" ca="1" si="3"/>
        <v>918825152</v>
      </c>
      <c r="E56" s="63" t="str">
        <f t="shared" ca="1" si="4"/>
        <v>nhang.tnh@vnpt.vn</v>
      </c>
      <c r="F56" s="276" t="str">
        <f t="shared" ca="1" si="5"/>
        <v>Lần 2</v>
      </c>
      <c r="G56" s="93"/>
      <c r="H56" s="71"/>
      <c r="I56" s="71"/>
      <c r="J56" s="71"/>
      <c r="K56" s="71"/>
      <c r="L56" s="95"/>
      <c r="M56" s="184">
        <f t="shared" ca="1" si="6"/>
        <v>0</v>
      </c>
      <c r="N56" s="67">
        <f t="shared" ca="1" si="7"/>
        <v>0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182" t="str">
        <f t="shared" ca="1" si="9"/>
        <v>Tổ Hạ tầng Tân Châu</v>
      </c>
      <c r="C57" s="61" t="str">
        <f t="shared" ca="1" si="2"/>
        <v>Nguyễn Giê Nha</v>
      </c>
      <c r="D57" s="183">
        <f t="shared" ca="1" si="3"/>
        <v>918825152</v>
      </c>
      <c r="E57" s="63" t="str">
        <f t="shared" ca="1" si="4"/>
        <v>nhang.tnh@vnpt.vn</v>
      </c>
      <c r="F57" s="276" t="str">
        <f t="shared" ca="1" si="5"/>
        <v>Lần 3</v>
      </c>
      <c r="G57" s="93"/>
      <c r="H57" s="71"/>
      <c r="I57" s="71"/>
      <c r="J57" s="71"/>
      <c r="K57" s="71"/>
      <c r="L57" s="95"/>
      <c r="M57" s="184">
        <f t="shared" ca="1" si="6"/>
        <v>0</v>
      </c>
      <c r="N57" s="67">
        <f t="shared" ca="1" si="7"/>
        <v>0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182" t="str">
        <f t="shared" ca="1" si="9"/>
        <v>Tổ Hạ tầng Tân Châu</v>
      </c>
      <c r="C58" s="61" t="str">
        <f t="shared" ca="1" si="2"/>
        <v>Nguyễn Giê Nha</v>
      </c>
      <c r="D58" s="183">
        <f t="shared" ca="1" si="3"/>
        <v>918825152</v>
      </c>
      <c r="E58" s="63" t="str">
        <f t="shared" ca="1" si="4"/>
        <v>nhang.tnh@vnpt.vn</v>
      </c>
      <c r="F58" s="276" t="str">
        <f t="shared" ca="1" si="5"/>
        <v>Lần 4</v>
      </c>
      <c r="G58" s="93"/>
      <c r="H58" s="75"/>
      <c r="I58" s="75"/>
      <c r="J58" s="75"/>
      <c r="K58" s="75"/>
      <c r="L58" s="95"/>
      <c r="M58" s="184">
        <f t="shared" ca="1" si="6"/>
        <v>0</v>
      </c>
      <c r="N58" s="67">
        <f t="shared" ca="1" si="7"/>
        <v>0</v>
      </c>
      <c r="O58" s="68">
        <f t="shared" ca="1" si="8"/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182" t="str">
        <f t="shared" ca="1" si="9"/>
        <v>Tổ Hạ tầng Tân Châu</v>
      </c>
      <c r="C59" s="61" t="str">
        <f t="shared" ca="1" si="2"/>
        <v>Nguyễn Giê Nha</v>
      </c>
      <c r="D59" s="183">
        <f t="shared" ca="1" si="3"/>
        <v>918825152</v>
      </c>
      <c r="E59" s="63" t="str">
        <f t="shared" ca="1" si="4"/>
        <v>nhang.tnh@vnpt.vn</v>
      </c>
      <c r="F59" s="276" t="str">
        <f t="shared" ca="1" si="5"/>
        <v>Lần 5</v>
      </c>
      <c r="G59" s="93"/>
      <c r="H59" s="75"/>
      <c r="I59" s="75"/>
      <c r="J59" s="123"/>
      <c r="K59" s="123"/>
      <c r="L59" s="95"/>
      <c r="M59" s="184">
        <f t="shared" ca="1" si="6"/>
        <v>0</v>
      </c>
      <c r="N59" s="67">
        <f t="shared" ca="1" si="7"/>
        <v>0</v>
      </c>
      <c r="O59" s="68">
        <f t="shared" ca="1" si="8"/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182" t="str">
        <f t="shared" ca="1" si="9"/>
        <v>Tổ Hạ tầng Tân Châu</v>
      </c>
      <c r="C60" s="61" t="str">
        <f t="shared" ca="1" si="2"/>
        <v>Nguyễn Giê Nha</v>
      </c>
      <c r="D60" s="183">
        <f t="shared" ca="1" si="3"/>
        <v>918825152</v>
      </c>
      <c r="E60" s="63" t="str">
        <f t="shared" ca="1" si="4"/>
        <v>nhang.tnh@vnpt.vn</v>
      </c>
      <c r="F60" s="276" t="str">
        <f t="shared" ca="1" si="5"/>
        <v>Lần 6</v>
      </c>
      <c r="G60" s="93"/>
      <c r="H60" s="75"/>
      <c r="I60" s="75"/>
      <c r="J60" s="123"/>
      <c r="K60" s="123"/>
      <c r="L60" s="95"/>
      <c r="M60" s="184">
        <f t="shared" ca="1" si="6"/>
        <v>0</v>
      </c>
      <c r="N60" s="67">
        <f t="shared" ca="1" si="7"/>
        <v>0</v>
      </c>
      <c r="O60" s="68">
        <f t="shared" ca="1" si="8"/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182" t="str">
        <f t="shared" ca="1" si="9"/>
        <v>Tổ Hạ tầng Tân Châu</v>
      </c>
      <c r="C61" s="61" t="str">
        <f t="shared" ca="1" si="2"/>
        <v>Nguyễn Giê Nha</v>
      </c>
      <c r="D61" s="183">
        <f t="shared" ca="1" si="3"/>
        <v>918825152</v>
      </c>
      <c r="E61" s="63" t="str">
        <f t="shared" ca="1" si="4"/>
        <v>nhang.tnh@vnpt.vn</v>
      </c>
      <c r="F61" s="276" t="str">
        <f t="shared" ca="1" si="5"/>
        <v>Lần 7</v>
      </c>
      <c r="G61" s="93"/>
      <c r="H61" s="75"/>
      <c r="I61" s="75"/>
      <c r="J61" s="123"/>
      <c r="K61" s="123"/>
      <c r="L61" s="95"/>
      <c r="M61" s="184">
        <f t="shared" ca="1" si="6"/>
        <v>0</v>
      </c>
      <c r="N61" s="67">
        <f t="shared" ca="1" si="7"/>
        <v>0</v>
      </c>
      <c r="O61" s="68">
        <f t="shared" ca="1" si="8"/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182" t="str">
        <f t="shared" ca="1" si="9"/>
        <v>Tổ Hạ tầng Tân Châu</v>
      </c>
      <c r="C62" s="61" t="str">
        <f t="shared" ca="1" si="2"/>
        <v>Nguyễn Giê Nha</v>
      </c>
      <c r="D62" s="183">
        <f t="shared" ca="1" si="3"/>
        <v>918825152</v>
      </c>
      <c r="E62" s="63" t="str">
        <f t="shared" ca="1" si="4"/>
        <v>nhang.tnh@vnpt.vn</v>
      </c>
      <c r="F62" s="276" t="str">
        <f t="shared" ca="1" si="5"/>
        <v>Lần 8</v>
      </c>
      <c r="G62" s="93"/>
      <c r="H62" s="75"/>
      <c r="I62" s="75"/>
      <c r="J62" s="123"/>
      <c r="K62" s="123"/>
      <c r="L62" s="95"/>
      <c r="M62" s="184">
        <f t="shared" ca="1" si="6"/>
        <v>0</v>
      </c>
      <c r="N62" s="67">
        <f t="shared" ca="1" si="7"/>
        <v>0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182" t="str">
        <f t="shared" ca="1" si="9"/>
        <v>Tổ Hạ tầng Tân Châu</v>
      </c>
      <c r="C63" s="61" t="str">
        <f t="shared" ca="1" si="2"/>
        <v>Nguyễn Giê Nha</v>
      </c>
      <c r="D63" s="183">
        <f t="shared" ca="1" si="3"/>
        <v>918825152</v>
      </c>
      <c r="E63" s="63" t="str">
        <f t="shared" ca="1" si="4"/>
        <v>nhang.tnh@vnpt.vn</v>
      </c>
      <c r="F63" s="276" t="str">
        <f t="shared" ca="1" si="5"/>
        <v>Lần 9</v>
      </c>
      <c r="G63" s="93"/>
      <c r="H63" s="123"/>
      <c r="I63" s="123"/>
      <c r="J63" s="135"/>
      <c r="K63" s="135"/>
      <c r="L63" s="95"/>
      <c r="M63" s="184">
        <f t="shared" ca="1" si="6"/>
        <v>0</v>
      </c>
      <c r="N63" s="67">
        <f t="shared" ca="1" si="7"/>
        <v>0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182" t="str">
        <f t="shared" ca="1" si="9"/>
        <v>Tổ Hạ tầng Tân Châu</v>
      </c>
      <c r="C64" s="61" t="str">
        <f t="shared" ca="1" si="2"/>
        <v>Nguyễn Giê Nha</v>
      </c>
      <c r="D64" s="183">
        <f t="shared" ca="1" si="3"/>
        <v>918825152</v>
      </c>
      <c r="E64" s="63" t="str">
        <f t="shared" ca="1" si="4"/>
        <v>nhang.tnh@vnpt.vn</v>
      </c>
      <c r="F64" s="276" t="str">
        <f t="shared" ca="1" si="5"/>
        <v>Lần 10</v>
      </c>
      <c r="G64" s="93"/>
      <c r="H64" s="123"/>
      <c r="I64" s="123"/>
      <c r="J64" s="75"/>
      <c r="K64" s="75"/>
      <c r="L64" s="95"/>
      <c r="M64" s="184">
        <f t="shared" ca="1" si="6"/>
        <v>0</v>
      </c>
      <c r="N64" s="67">
        <f t="shared" ca="1" si="7"/>
        <v>0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182" t="str">
        <f t="shared" ca="1" si="9"/>
        <v>Tổ Hạ tầng Tân Châu</v>
      </c>
      <c r="C65" s="61" t="str">
        <f t="shared" ca="1" si="2"/>
        <v>Nguyễn Giê Nha</v>
      </c>
      <c r="D65" s="183">
        <f t="shared" ca="1" si="3"/>
        <v>918825152</v>
      </c>
      <c r="E65" s="63" t="str">
        <f t="shared" ca="1" si="4"/>
        <v>nhang.tnh@vnpt.vn</v>
      </c>
      <c r="F65" s="276" t="str">
        <f t="shared" ca="1" si="5"/>
        <v>Lần 11</v>
      </c>
      <c r="G65" s="93"/>
      <c r="H65" s="123"/>
      <c r="I65" s="123"/>
      <c r="J65" s="75"/>
      <c r="K65" s="240"/>
      <c r="L65" s="95"/>
      <c r="M65" s="184">
        <f t="shared" ca="1" si="6"/>
        <v>0</v>
      </c>
      <c r="N65" s="67">
        <f t="shared" ca="1" si="7"/>
        <v>0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182" t="str">
        <f t="shared" ca="1" si="9"/>
        <v>Tổ Hạ tầng Tân Châu</v>
      </c>
      <c r="C66" s="61" t="str">
        <f t="shared" ca="1" si="2"/>
        <v>Nguyễn Giê Nha</v>
      </c>
      <c r="D66" s="183">
        <f t="shared" ca="1" si="3"/>
        <v>918825152</v>
      </c>
      <c r="E66" s="63" t="str">
        <f t="shared" ca="1" si="4"/>
        <v>nhang.tnh@vnpt.vn</v>
      </c>
      <c r="F66" s="276" t="str">
        <f t="shared" ca="1" si="5"/>
        <v>Lần 12</v>
      </c>
      <c r="G66" s="93"/>
      <c r="H66" s="123"/>
      <c r="I66" s="123"/>
      <c r="J66" s="75"/>
      <c r="K66" s="240"/>
      <c r="L66" s="95"/>
      <c r="M66" s="184">
        <f t="shared" ca="1" si="6"/>
        <v>0</v>
      </c>
      <c r="N66" s="67">
        <f t="shared" ca="1" si="7"/>
        <v>0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182" t="str">
        <f t="shared" ca="1" si="9"/>
        <v>Tổ Hạ tầng Tân Châu</v>
      </c>
      <c r="C67" s="61" t="str">
        <f t="shared" ca="1" si="2"/>
        <v>Nguyễn Giê Nha</v>
      </c>
      <c r="D67" s="183">
        <f t="shared" ca="1" si="3"/>
        <v>918825152</v>
      </c>
      <c r="E67" s="63" t="str">
        <f t="shared" ca="1" si="4"/>
        <v>nhang.tnh@vnpt.vn</v>
      </c>
      <c r="F67" s="276" t="str">
        <f t="shared" ca="1" si="5"/>
        <v>Lần 13</v>
      </c>
      <c r="G67" s="93"/>
      <c r="H67" s="75"/>
      <c r="I67" s="75"/>
      <c r="J67" s="75"/>
      <c r="K67" s="240"/>
      <c r="L67" s="95"/>
      <c r="M67" s="184">
        <f t="shared" ca="1" si="6"/>
        <v>0</v>
      </c>
      <c r="N67" s="67">
        <f t="shared" ca="1" si="7"/>
        <v>0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182" t="str">
        <f t="shared" ca="1" si="9"/>
        <v>Tổ Hạ tầng Tân Châu</v>
      </c>
      <c r="C68" s="61" t="str">
        <f t="shared" ca="1" si="2"/>
        <v>Nguyễn Giê Nha</v>
      </c>
      <c r="D68" s="183">
        <f t="shared" ca="1" si="3"/>
        <v>918825152</v>
      </c>
      <c r="E68" s="63" t="str">
        <f t="shared" ca="1" si="4"/>
        <v>nhang.tnh@vnpt.vn</v>
      </c>
      <c r="F68" s="276" t="str">
        <f t="shared" ca="1" si="5"/>
        <v>Lần 14</v>
      </c>
      <c r="G68" s="93"/>
      <c r="H68" s="75"/>
      <c r="I68" s="75"/>
      <c r="J68" s="75"/>
      <c r="K68" s="240"/>
      <c r="L68" s="95"/>
      <c r="M68" s="184">
        <f t="shared" ca="1" si="6"/>
        <v>0</v>
      </c>
      <c r="N68" s="67">
        <f t="shared" ca="1" si="7"/>
        <v>0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182" t="str">
        <f t="shared" ca="1" si="9"/>
        <v>Tổ Hạ tầng Tân Châu</v>
      </c>
      <c r="C69" s="61" t="str">
        <f t="shared" ca="1" si="2"/>
        <v>Nguyễn Giê Nha</v>
      </c>
      <c r="D69" s="183">
        <f t="shared" ca="1" si="3"/>
        <v>918825152</v>
      </c>
      <c r="E69" s="63" t="str">
        <f t="shared" ca="1" si="4"/>
        <v>nhang.tnh@vnpt.vn</v>
      </c>
      <c r="F69" s="276" t="str">
        <f t="shared" ca="1" si="5"/>
        <v>Lần 15</v>
      </c>
      <c r="G69" s="93"/>
      <c r="H69" s="75"/>
      <c r="I69" s="75"/>
      <c r="J69" s="75"/>
      <c r="K69" s="240"/>
      <c r="L69" s="95"/>
      <c r="M69" s="184">
        <f t="shared" ca="1" si="6"/>
        <v>0</v>
      </c>
      <c r="N69" s="67">
        <f t="shared" ca="1" si="7"/>
        <v>0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100">
        <f t="shared" ca="1" si="1"/>
        <v>64</v>
      </c>
      <c r="B70" s="196" t="str">
        <f t="shared" ca="1" si="9"/>
        <v>Tổ Hạ tầng Tân Châu</v>
      </c>
      <c r="C70" s="102" t="str">
        <f t="shared" ca="1" si="2"/>
        <v>Nguyễn Giê Nha</v>
      </c>
      <c r="D70" s="197">
        <f t="shared" ca="1" si="3"/>
        <v>918825152</v>
      </c>
      <c r="E70" s="104" t="str">
        <f t="shared" ca="1" si="4"/>
        <v>nhang.tnh@vnpt.vn</v>
      </c>
      <c r="F70" s="310" t="str">
        <f t="shared" ca="1" si="5"/>
        <v>Lần 16</v>
      </c>
      <c r="G70" s="93"/>
      <c r="H70" s="75"/>
      <c r="I70" s="75"/>
      <c r="J70" s="75"/>
      <c r="K70" s="240"/>
      <c r="L70" s="212"/>
      <c r="M70" s="202">
        <f t="shared" ca="1" si="6"/>
        <v>0</v>
      </c>
      <c r="N70" s="203">
        <f t="shared" ca="1" si="7"/>
        <v>0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106">
        <f t="shared" ca="1" si="1"/>
        <v>65</v>
      </c>
      <c r="B71" s="204" t="str">
        <f t="shared" ca="1" si="9"/>
        <v>Tổ Hạ tầng Tân Châu</v>
      </c>
      <c r="C71" s="108" t="str">
        <f t="shared" ca="1" si="2"/>
        <v>Nguyễn Văn Long</v>
      </c>
      <c r="D71" s="205">
        <f t="shared" ca="1" si="3"/>
        <v>919669378</v>
      </c>
      <c r="E71" s="110" t="str">
        <f t="shared" ca="1" si="4"/>
        <v>longnv.tnh@vnpt.vn</v>
      </c>
      <c r="F71" s="311" t="str">
        <f t="shared" ca="1" si="5"/>
        <v>Lần 1</v>
      </c>
      <c r="G71" s="112">
        <v>46214</v>
      </c>
      <c r="H71" s="121" t="s">
        <v>382</v>
      </c>
      <c r="I71" s="121" t="s">
        <v>439</v>
      </c>
      <c r="J71" s="98">
        <v>78.900000000000006</v>
      </c>
      <c r="K71" s="98" t="s">
        <v>439</v>
      </c>
      <c r="L71" s="213"/>
      <c r="M71" s="181">
        <f t="shared" ca="1" si="6"/>
        <v>1</v>
      </c>
      <c r="N71" s="57">
        <f t="shared" ca="1" si="7"/>
        <v>1</v>
      </c>
      <c r="O71" s="68">
        <f t="shared" ca="1" si="8"/>
        <v>0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182" t="str">
        <f t="shared" ca="1" si="9"/>
        <v>Tổ Hạ tầng Tân Châu</v>
      </c>
      <c r="C72" s="61" t="str">
        <f t="shared" ca="1" si="2"/>
        <v>Nguyễn Văn Long</v>
      </c>
      <c r="D72" s="183">
        <f t="shared" ca="1" si="3"/>
        <v>919669378</v>
      </c>
      <c r="E72" s="63" t="str">
        <f t="shared" ca="1" si="4"/>
        <v>longnv.tnh@vnpt.vn</v>
      </c>
      <c r="F72" s="276" t="str">
        <f t="shared" ca="1" si="5"/>
        <v>Lần 2</v>
      </c>
      <c r="G72" s="112">
        <v>46214</v>
      </c>
      <c r="H72" s="121" t="s">
        <v>440</v>
      </c>
      <c r="I72" s="121" t="s">
        <v>441</v>
      </c>
      <c r="J72" s="99">
        <v>96.4</v>
      </c>
      <c r="K72" s="99" t="s">
        <v>442</v>
      </c>
      <c r="L72" s="88"/>
      <c r="M72" s="184">
        <f t="shared" ca="1" si="6"/>
        <v>1</v>
      </c>
      <c r="N72" s="67">
        <f t="shared" ca="1" si="7"/>
        <v>1</v>
      </c>
      <c r="O72" s="68">
        <f t="shared" ca="1" si="8"/>
        <v>0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182" t="str">
        <f t="shared" ca="1" si="9"/>
        <v>Tổ Hạ tầng Tân Châu</v>
      </c>
      <c r="C73" s="61" t="str">
        <f t="shared" ca="1" si="2"/>
        <v>Nguyễn Văn Long</v>
      </c>
      <c r="D73" s="183">
        <f t="shared" ca="1" si="3"/>
        <v>919669378</v>
      </c>
      <c r="E73" s="63" t="str">
        <f t="shared" ca="1" si="4"/>
        <v>longnv.tnh@vnpt.vn</v>
      </c>
      <c r="F73" s="276" t="str">
        <f t="shared" ca="1" si="5"/>
        <v>Lần 3</v>
      </c>
      <c r="G73" s="112">
        <v>46214</v>
      </c>
      <c r="H73" s="121" t="s">
        <v>443</v>
      </c>
      <c r="I73" s="121" t="s">
        <v>444</v>
      </c>
      <c r="J73" s="99">
        <v>85.8</v>
      </c>
      <c r="K73" s="99" t="s">
        <v>441</v>
      </c>
      <c r="L73" s="88"/>
      <c r="M73" s="184">
        <f t="shared" ca="1" si="6"/>
        <v>1</v>
      </c>
      <c r="N73" s="67">
        <f t="shared" ca="1" si="7"/>
        <v>1</v>
      </c>
      <c r="O73" s="68">
        <f t="shared" ca="1" si="8"/>
        <v>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182" t="str">
        <f t="shared" ca="1" si="9"/>
        <v>Tổ Hạ tầng Tân Châu</v>
      </c>
      <c r="C74" s="61" t="str">
        <f t="shared" ca="1" si="2"/>
        <v>Nguyễn Văn Long</v>
      </c>
      <c r="D74" s="183">
        <f t="shared" ca="1" si="3"/>
        <v>919669378</v>
      </c>
      <c r="E74" s="63" t="str">
        <f t="shared" ca="1" si="4"/>
        <v>longnv.tnh@vnpt.vn</v>
      </c>
      <c r="F74" s="276" t="str">
        <f t="shared" ca="1" si="5"/>
        <v>Lần 4</v>
      </c>
      <c r="G74" s="112">
        <v>46214</v>
      </c>
      <c r="H74" s="121" t="s">
        <v>445</v>
      </c>
      <c r="I74" s="121" t="s">
        <v>446</v>
      </c>
      <c r="J74" s="99">
        <v>70.7</v>
      </c>
      <c r="K74" s="99" t="s">
        <v>439</v>
      </c>
      <c r="L74" s="88"/>
      <c r="M74" s="184">
        <f t="shared" ca="1" si="6"/>
        <v>1</v>
      </c>
      <c r="N74" s="67">
        <f t="shared" ca="1" si="7"/>
        <v>1</v>
      </c>
      <c r="O74" s="68">
        <f t="shared" ca="1" si="8"/>
        <v>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182" t="str">
        <f t="shared" ca="1" si="9"/>
        <v>Tổ Hạ tầng Tân Châu</v>
      </c>
      <c r="C75" s="61" t="str">
        <f t="shared" ca="1" si="2"/>
        <v>Nguyễn Văn Long</v>
      </c>
      <c r="D75" s="183">
        <f t="shared" ca="1" si="3"/>
        <v>919669378</v>
      </c>
      <c r="E75" s="63" t="str">
        <f t="shared" ca="1" si="4"/>
        <v>longnv.tnh@vnpt.vn</v>
      </c>
      <c r="F75" s="276" t="str">
        <f t="shared" ca="1" si="5"/>
        <v>Lần 5</v>
      </c>
      <c r="G75" s="112">
        <v>46214</v>
      </c>
      <c r="H75" s="122" t="s">
        <v>377</v>
      </c>
      <c r="I75" s="122" t="s">
        <v>447</v>
      </c>
      <c r="J75" s="98">
        <v>106</v>
      </c>
      <c r="K75" s="98" t="s">
        <v>441</v>
      </c>
      <c r="L75" s="91"/>
      <c r="M75" s="184">
        <f t="shared" ca="1" si="6"/>
        <v>1</v>
      </c>
      <c r="N75" s="67">
        <f t="shared" ca="1" si="7"/>
        <v>1</v>
      </c>
      <c r="O75" s="68">
        <f t="shared" ca="1" si="8"/>
        <v>0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182" t="str">
        <f t="shared" ca="1" si="9"/>
        <v>Tổ Hạ tầng Tân Châu</v>
      </c>
      <c r="C76" s="61" t="str">
        <f t="shared" ca="1" si="2"/>
        <v>Nguyễn Văn Long</v>
      </c>
      <c r="D76" s="183">
        <f t="shared" ca="1" si="3"/>
        <v>919669378</v>
      </c>
      <c r="E76" s="63" t="str">
        <f t="shared" ca="1" si="4"/>
        <v>longnv.tnh@vnpt.vn</v>
      </c>
      <c r="F76" s="276" t="str">
        <f t="shared" ca="1" si="5"/>
        <v>Lần 6</v>
      </c>
      <c r="G76" s="112">
        <v>46214</v>
      </c>
      <c r="H76" s="122" t="s">
        <v>448</v>
      </c>
      <c r="I76" s="122" t="s">
        <v>449</v>
      </c>
      <c r="J76" s="98">
        <v>97</v>
      </c>
      <c r="K76" s="98" t="s">
        <v>450</v>
      </c>
      <c r="L76" s="91"/>
      <c r="M76" s="184">
        <f t="shared" ca="1" si="6"/>
        <v>1</v>
      </c>
      <c r="N76" s="67">
        <f t="shared" ca="1" si="7"/>
        <v>1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182" t="str">
        <f t="shared" ca="1" si="9"/>
        <v>Tổ Hạ tầng Tân Châu</v>
      </c>
      <c r="C77" s="61" t="str">
        <f t="shared" ca="1" si="2"/>
        <v>Nguyễn Văn Long</v>
      </c>
      <c r="D77" s="183">
        <f t="shared" ca="1" si="3"/>
        <v>919669378</v>
      </c>
      <c r="E77" s="63" t="str">
        <f t="shared" ca="1" si="4"/>
        <v>longnv.tnh@vnpt.vn</v>
      </c>
      <c r="F77" s="276" t="str">
        <f t="shared" ca="1" si="5"/>
        <v>Lần 7</v>
      </c>
      <c r="G77" s="313">
        <v>46214</v>
      </c>
      <c r="H77" s="122" t="s">
        <v>451</v>
      </c>
      <c r="I77" s="122" t="s">
        <v>452</v>
      </c>
      <c r="J77" s="98">
        <v>119</v>
      </c>
      <c r="K77" s="60" t="s">
        <v>453</v>
      </c>
      <c r="L77" s="91"/>
      <c r="M77" s="184">
        <f t="shared" ca="1" si="6"/>
        <v>1</v>
      </c>
      <c r="N77" s="67">
        <f t="shared" ca="1" si="7"/>
        <v>1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182" t="str">
        <f t="shared" ca="1" si="9"/>
        <v>Tổ Hạ tầng Tân Châu</v>
      </c>
      <c r="C78" s="61" t="str">
        <f t="shared" ca="1" si="2"/>
        <v>Nguyễn Văn Long</v>
      </c>
      <c r="D78" s="183">
        <f t="shared" ca="1" si="3"/>
        <v>919669378</v>
      </c>
      <c r="E78" s="63" t="str">
        <f t="shared" ca="1" si="4"/>
        <v>longnv.tnh@vnpt.vn</v>
      </c>
      <c r="F78" s="276" t="str">
        <f t="shared" ca="1" si="5"/>
        <v>Lần 8</v>
      </c>
      <c r="G78" s="313">
        <v>46214</v>
      </c>
      <c r="H78" s="122" t="s">
        <v>454</v>
      </c>
      <c r="I78" s="122" t="s">
        <v>350</v>
      </c>
      <c r="J78" s="98">
        <v>96</v>
      </c>
      <c r="K78" s="60" t="s">
        <v>342</v>
      </c>
      <c r="L78" s="91"/>
      <c r="M78" s="184">
        <f t="shared" ca="1" si="6"/>
        <v>1</v>
      </c>
      <c r="N78" s="67">
        <f t="shared" ca="1" si="7"/>
        <v>1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182" t="str">
        <f t="shared" ca="1" si="9"/>
        <v>Tổ Hạ tầng Tân Châu</v>
      </c>
      <c r="C79" s="61" t="str">
        <f t="shared" ca="1" si="2"/>
        <v>Nguyễn Văn Long</v>
      </c>
      <c r="D79" s="183">
        <f t="shared" ca="1" si="3"/>
        <v>919669378</v>
      </c>
      <c r="E79" s="63" t="str">
        <f t="shared" ca="1" si="4"/>
        <v>longnv.tnh@vnpt.vn</v>
      </c>
      <c r="F79" s="276" t="str">
        <f t="shared" ca="1" si="5"/>
        <v>Lần 9</v>
      </c>
      <c r="G79" s="313">
        <v>46214</v>
      </c>
      <c r="H79" s="122">
        <v>105</v>
      </c>
      <c r="I79" s="122" t="s">
        <v>455</v>
      </c>
      <c r="J79" s="98">
        <v>92.8</v>
      </c>
      <c r="K79" s="60" t="s">
        <v>256</v>
      </c>
      <c r="L79" s="91"/>
      <c r="M79" s="184">
        <f t="shared" ca="1" si="6"/>
        <v>1</v>
      </c>
      <c r="N79" s="67">
        <f t="shared" ca="1" si="7"/>
        <v>1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182" t="str">
        <f t="shared" ca="1" si="9"/>
        <v>Tổ Hạ tầng Tân Châu</v>
      </c>
      <c r="C80" s="61" t="str">
        <f t="shared" ca="1" si="2"/>
        <v>Nguyễn Văn Long</v>
      </c>
      <c r="D80" s="183">
        <f t="shared" ca="1" si="3"/>
        <v>919669378</v>
      </c>
      <c r="E80" s="63" t="str">
        <f t="shared" ca="1" si="4"/>
        <v>longnv.tnh@vnpt.vn</v>
      </c>
      <c r="F80" s="276" t="str">
        <f t="shared" ca="1" si="5"/>
        <v>Lần 10</v>
      </c>
      <c r="G80" s="313">
        <v>46214</v>
      </c>
      <c r="H80" s="122" t="s">
        <v>456</v>
      </c>
      <c r="I80" s="122">
        <v>55</v>
      </c>
      <c r="J80" s="98">
        <v>105</v>
      </c>
      <c r="K80" s="98" t="s">
        <v>283</v>
      </c>
      <c r="L80" s="91"/>
      <c r="M80" s="184">
        <f t="shared" ca="1" si="6"/>
        <v>1</v>
      </c>
      <c r="N80" s="67">
        <f t="shared" ca="1" si="7"/>
        <v>1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182" t="str">
        <f t="shared" ca="1" si="9"/>
        <v>Tổ Hạ tầng Tân Châu</v>
      </c>
      <c r="C81" s="61" t="str">
        <f t="shared" ca="1" si="2"/>
        <v>Nguyễn Văn Long</v>
      </c>
      <c r="D81" s="183">
        <f t="shared" ca="1" si="3"/>
        <v>919669378</v>
      </c>
      <c r="E81" s="63" t="str">
        <f t="shared" ca="1" si="4"/>
        <v>longnv.tnh@vnpt.vn</v>
      </c>
      <c r="F81" s="276" t="str">
        <f t="shared" ca="1" si="5"/>
        <v>Lần 11</v>
      </c>
      <c r="G81" s="313">
        <v>46214</v>
      </c>
      <c r="H81" s="122" t="s">
        <v>457</v>
      </c>
      <c r="I81" s="122" t="s">
        <v>340</v>
      </c>
      <c r="J81" s="98">
        <v>76.400000000000006</v>
      </c>
      <c r="K81" s="98" t="s">
        <v>458</v>
      </c>
      <c r="L81" s="91"/>
      <c r="M81" s="184">
        <f t="shared" ca="1" si="6"/>
        <v>1</v>
      </c>
      <c r="N81" s="67">
        <f t="shared" ca="1" si="7"/>
        <v>1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182" t="str">
        <f t="shared" ca="1" si="9"/>
        <v>Tổ Hạ tầng Tân Châu</v>
      </c>
      <c r="C82" s="61" t="str">
        <f t="shared" ca="1" si="2"/>
        <v>Nguyễn Văn Long</v>
      </c>
      <c r="D82" s="183">
        <f t="shared" ca="1" si="3"/>
        <v>919669378</v>
      </c>
      <c r="E82" s="63" t="str">
        <f t="shared" ca="1" si="4"/>
        <v>longnv.tnh@vnpt.vn</v>
      </c>
      <c r="F82" s="276" t="str">
        <f t="shared" ca="1" si="5"/>
        <v>Lần 12</v>
      </c>
      <c r="G82" s="313">
        <v>46214</v>
      </c>
      <c r="H82" s="122" t="s">
        <v>459</v>
      </c>
      <c r="I82" s="122" t="s">
        <v>460</v>
      </c>
      <c r="J82" s="98">
        <v>73.900000000000006</v>
      </c>
      <c r="K82" s="98" t="s">
        <v>461</v>
      </c>
      <c r="L82" s="91"/>
      <c r="M82" s="184">
        <f t="shared" ca="1" si="6"/>
        <v>1</v>
      </c>
      <c r="N82" s="67">
        <f t="shared" ca="1" si="7"/>
        <v>1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182" t="str">
        <f t="shared" ca="1" si="9"/>
        <v>Tổ Hạ tầng Tân Châu</v>
      </c>
      <c r="C83" s="61" t="str">
        <f t="shared" ca="1" si="2"/>
        <v>Nguyễn Văn Long</v>
      </c>
      <c r="D83" s="183">
        <f t="shared" ca="1" si="3"/>
        <v>919669378</v>
      </c>
      <c r="E83" s="63" t="str">
        <f t="shared" ca="1" si="4"/>
        <v>longnv.tnh@vnpt.vn</v>
      </c>
      <c r="F83" s="276" t="str">
        <f t="shared" ca="1" si="5"/>
        <v>Lần 13</v>
      </c>
      <c r="G83" s="313">
        <v>46214</v>
      </c>
      <c r="H83" s="122" t="s">
        <v>462</v>
      </c>
      <c r="I83" s="122" t="s">
        <v>463</v>
      </c>
      <c r="J83" s="98">
        <v>89.2</v>
      </c>
      <c r="K83" s="60" t="s">
        <v>427</v>
      </c>
      <c r="L83" s="91"/>
      <c r="M83" s="184">
        <f t="shared" ca="1" si="6"/>
        <v>1</v>
      </c>
      <c r="N83" s="67">
        <f t="shared" ca="1" si="7"/>
        <v>1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182" t="str">
        <f t="shared" ca="1" si="9"/>
        <v>Tổ Hạ tầng Tân Châu</v>
      </c>
      <c r="C84" s="61" t="str">
        <f t="shared" ca="1" si="2"/>
        <v>Nguyễn Văn Long</v>
      </c>
      <c r="D84" s="183">
        <f t="shared" ca="1" si="3"/>
        <v>919669378</v>
      </c>
      <c r="E84" s="63" t="str">
        <f t="shared" ca="1" si="4"/>
        <v>longnv.tnh@vnpt.vn</v>
      </c>
      <c r="F84" s="276" t="str">
        <f t="shared" ca="1" si="5"/>
        <v>Lần 14</v>
      </c>
      <c r="G84" s="313">
        <v>46214</v>
      </c>
      <c r="H84" s="122" t="s">
        <v>464</v>
      </c>
      <c r="I84" s="122" t="s">
        <v>178</v>
      </c>
      <c r="J84" s="98">
        <v>101</v>
      </c>
      <c r="K84" s="60" t="s">
        <v>460</v>
      </c>
      <c r="L84" s="91"/>
      <c r="M84" s="184">
        <f t="shared" ca="1" si="6"/>
        <v>1</v>
      </c>
      <c r="N84" s="67">
        <f t="shared" ca="1" si="7"/>
        <v>1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182" t="str">
        <f t="shared" ca="1" si="9"/>
        <v>Tổ Hạ tầng Tân Châu</v>
      </c>
      <c r="C85" s="61" t="str">
        <f t="shared" ca="1" si="2"/>
        <v>Nguyễn Văn Long</v>
      </c>
      <c r="D85" s="183">
        <f t="shared" ca="1" si="3"/>
        <v>919669378</v>
      </c>
      <c r="E85" s="63" t="str">
        <f t="shared" ca="1" si="4"/>
        <v>longnv.tnh@vnpt.vn</v>
      </c>
      <c r="F85" s="276" t="str">
        <f t="shared" ca="1" si="5"/>
        <v>Lần 15</v>
      </c>
      <c r="G85" s="313">
        <v>46214</v>
      </c>
      <c r="H85" s="122" t="s">
        <v>465</v>
      </c>
      <c r="I85" s="122" t="s">
        <v>466</v>
      </c>
      <c r="J85" s="98">
        <v>86.8</v>
      </c>
      <c r="K85" s="98" t="s">
        <v>467</v>
      </c>
      <c r="L85" s="91"/>
      <c r="M85" s="184">
        <f t="shared" ca="1" si="6"/>
        <v>1</v>
      </c>
      <c r="N85" s="67">
        <f t="shared" ca="1" si="7"/>
        <v>1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80">
        <f t="shared" ca="1" si="1"/>
        <v>80</v>
      </c>
      <c r="B86" s="185" t="str">
        <f t="shared" ca="1" si="9"/>
        <v>Tổ Hạ tầng Tân Châu</v>
      </c>
      <c r="C86" s="82" t="str">
        <f t="shared" ca="1" si="2"/>
        <v>Nguyễn Văn Long</v>
      </c>
      <c r="D86" s="186">
        <f t="shared" ca="1" si="3"/>
        <v>919669378</v>
      </c>
      <c r="E86" s="84" t="str">
        <f t="shared" ca="1" si="4"/>
        <v>longnv.tnh@vnpt.vn</v>
      </c>
      <c r="F86" s="309" t="str">
        <f t="shared" ca="1" si="5"/>
        <v>Lần 16</v>
      </c>
      <c r="G86" s="313">
        <v>46214</v>
      </c>
      <c r="H86" s="122" t="s">
        <v>468</v>
      </c>
      <c r="I86" s="122" t="s">
        <v>469</v>
      </c>
      <c r="J86" s="98">
        <v>76</v>
      </c>
      <c r="K86" s="98" t="s">
        <v>466</v>
      </c>
      <c r="L86" s="152"/>
      <c r="M86" s="189">
        <f t="shared" ca="1" si="6"/>
        <v>1</v>
      </c>
      <c r="N86" s="171">
        <f t="shared" ca="1" si="7"/>
        <v>1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46">
        <f t="shared" ca="1" si="1"/>
        <v>81</v>
      </c>
      <c r="B87" s="190" t="str">
        <f t="shared" ca="1" si="9"/>
        <v>Tổ Hạ tầng Tân Châu</v>
      </c>
      <c r="C87" s="48" t="str">
        <f t="shared" ca="1" si="2"/>
        <v>Phạm Minh Thật</v>
      </c>
      <c r="D87" s="238" t="str">
        <f t="shared" ca="1" si="3"/>
        <v>0911203792</v>
      </c>
      <c r="E87" s="50">
        <f t="shared" ca="1" si="4"/>
        <v>0</v>
      </c>
      <c r="F87" s="307" t="str">
        <f t="shared" ca="1" si="5"/>
        <v>Lần 1</v>
      </c>
      <c r="G87" s="93">
        <v>46216</v>
      </c>
      <c r="H87" s="71">
        <v>115</v>
      </c>
      <c r="I87" s="71" t="s">
        <v>470</v>
      </c>
      <c r="J87" s="94">
        <v>101</v>
      </c>
      <c r="K87" s="94" t="s">
        <v>471</v>
      </c>
      <c r="L87" s="216"/>
      <c r="M87" s="194">
        <f t="shared" ca="1" si="6"/>
        <v>1</v>
      </c>
      <c r="N87" s="195">
        <f t="shared" ca="1" si="7"/>
        <v>1</v>
      </c>
      <c r="O87" s="68">
        <f t="shared" ca="1" si="8"/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182" t="str">
        <f t="shared" ca="1" si="9"/>
        <v>Tổ Hạ tầng Tân Châu</v>
      </c>
      <c r="C88" s="61" t="str">
        <f t="shared" ca="1" si="2"/>
        <v>Phạm Minh Thật</v>
      </c>
      <c r="D88" s="239" t="str">
        <f t="shared" ca="1" si="3"/>
        <v>0911203792</v>
      </c>
      <c r="E88" s="63">
        <f t="shared" ca="1" si="4"/>
        <v>0</v>
      </c>
      <c r="F88" s="276" t="str">
        <f t="shared" ca="1" si="5"/>
        <v>Lần 2</v>
      </c>
      <c r="G88" s="93">
        <v>46216</v>
      </c>
      <c r="H88" s="71">
        <v>125</v>
      </c>
      <c r="I88" s="71">
        <v>57</v>
      </c>
      <c r="J88" s="94">
        <v>114</v>
      </c>
      <c r="K88" s="94">
        <v>49</v>
      </c>
      <c r="L88" s="96"/>
      <c r="M88" s="184">
        <f ca="1">IF(B88="","",IF(OR(G102="",H88="",I88=""),0,1))</f>
        <v>1</v>
      </c>
      <c r="N88" s="67">
        <f ca="1">IF(B88="","",IF(OR(G102="",J88="",K88=""),0,1))</f>
        <v>1</v>
      </c>
      <c r="O88" s="68">
        <f t="shared" ca="1" si="8"/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182" t="str">
        <f t="shared" ca="1" si="9"/>
        <v>Tổ Hạ tầng Tân Châu</v>
      </c>
      <c r="C89" s="61" t="str">
        <f t="shared" ca="1" si="2"/>
        <v>Phạm Minh Thật</v>
      </c>
      <c r="D89" s="239" t="str">
        <f t="shared" ca="1" si="3"/>
        <v>0911203792</v>
      </c>
      <c r="E89" s="63">
        <f t="shared" ca="1" si="4"/>
        <v>0</v>
      </c>
      <c r="F89" s="276" t="str">
        <f t="shared" ca="1" si="5"/>
        <v>Lần 3</v>
      </c>
      <c r="G89" s="93">
        <v>46216</v>
      </c>
      <c r="H89" s="71" t="s">
        <v>454</v>
      </c>
      <c r="I89" s="71">
        <v>47</v>
      </c>
      <c r="J89" s="94">
        <v>95</v>
      </c>
      <c r="K89" s="94">
        <v>54</v>
      </c>
      <c r="L89" s="96"/>
      <c r="M89" s="184">
        <f t="shared" ref="M89:M168" ca="1" si="10">IF(B89="","",IF(OR(G89="",H89="",I89=""),0,1))</f>
        <v>1</v>
      </c>
      <c r="N89" s="67">
        <f t="shared" ref="N89:N168" ca="1" si="11">IF(B89="","",IF(OR(G89="",J89="",K89=""),0,1))</f>
        <v>1</v>
      </c>
      <c r="O89" s="68">
        <f t="shared" ca="1" si="8"/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182" t="str">
        <f t="shared" ca="1" si="9"/>
        <v>Tổ Hạ tầng Tân Châu</v>
      </c>
      <c r="C90" s="61" t="str">
        <f t="shared" ca="1" si="2"/>
        <v>Phạm Minh Thật</v>
      </c>
      <c r="D90" s="239" t="str">
        <f t="shared" ca="1" si="3"/>
        <v>0911203792</v>
      </c>
      <c r="E90" s="63">
        <f t="shared" ca="1" si="4"/>
        <v>0</v>
      </c>
      <c r="F90" s="276" t="str">
        <f t="shared" ca="1" si="5"/>
        <v>Lần 4</v>
      </c>
      <c r="G90" s="93">
        <v>46216</v>
      </c>
      <c r="H90" s="71">
        <v>101</v>
      </c>
      <c r="I90" s="71">
        <v>43</v>
      </c>
      <c r="J90" s="94">
        <v>98.4</v>
      </c>
      <c r="K90" s="94">
        <v>39</v>
      </c>
      <c r="L90" s="95"/>
      <c r="M90" s="184">
        <f t="shared" ca="1" si="10"/>
        <v>1</v>
      </c>
      <c r="N90" s="67">
        <f t="shared" ca="1" si="11"/>
        <v>1</v>
      </c>
      <c r="O90" s="68">
        <f t="shared" ca="1" si="8"/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182" t="str">
        <f t="shared" ca="1" si="9"/>
        <v>Tổ Hạ tầng Tân Châu</v>
      </c>
      <c r="C91" s="61" t="str">
        <f t="shared" ca="1" si="2"/>
        <v>Phạm Minh Thật</v>
      </c>
      <c r="D91" s="239" t="str">
        <f t="shared" ca="1" si="3"/>
        <v>0911203792</v>
      </c>
      <c r="E91" s="63">
        <f t="shared" ca="1" si="4"/>
        <v>0</v>
      </c>
      <c r="F91" s="276" t="str">
        <f t="shared" ca="1" si="5"/>
        <v>Lần 5</v>
      </c>
      <c r="G91" s="93">
        <v>46216</v>
      </c>
      <c r="H91" s="314" t="s">
        <v>358</v>
      </c>
      <c r="I91" s="75">
        <v>50</v>
      </c>
      <c r="J91" s="94">
        <v>83</v>
      </c>
      <c r="K91" s="94" t="s">
        <v>472</v>
      </c>
      <c r="L91" s="95"/>
      <c r="M91" s="184">
        <f t="shared" ca="1" si="10"/>
        <v>1</v>
      </c>
      <c r="N91" s="67">
        <f t="shared" ca="1" si="11"/>
        <v>1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182" t="str">
        <f t="shared" ca="1" si="9"/>
        <v>Tổ Hạ tầng Tân Châu</v>
      </c>
      <c r="C92" s="61" t="str">
        <f t="shared" ca="1" si="2"/>
        <v>Phạm Minh Thật</v>
      </c>
      <c r="D92" s="239" t="str">
        <f t="shared" ca="1" si="3"/>
        <v>0911203792</v>
      </c>
      <c r="E92" s="63">
        <f t="shared" ca="1" si="4"/>
        <v>0</v>
      </c>
      <c r="F92" s="276" t="str">
        <f t="shared" ca="1" si="5"/>
        <v>Lần 6</v>
      </c>
      <c r="G92" s="93">
        <v>46216</v>
      </c>
      <c r="H92" s="75" t="s">
        <v>473</v>
      </c>
      <c r="I92" s="75" t="s">
        <v>363</v>
      </c>
      <c r="J92" s="94">
        <v>86.5</v>
      </c>
      <c r="K92" s="94">
        <v>41</v>
      </c>
      <c r="L92" s="95"/>
      <c r="M92" s="184">
        <f t="shared" ca="1" si="10"/>
        <v>1</v>
      </c>
      <c r="N92" s="67">
        <f t="shared" ca="1" si="11"/>
        <v>1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182" t="str">
        <f t="shared" ca="1" si="9"/>
        <v>Tổ Hạ tầng Tân Châu</v>
      </c>
      <c r="C93" s="61" t="str">
        <f t="shared" ca="1" si="2"/>
        <v>Phạm Minh Thật</v>
      </c>
      <c r="D93" s="239" t="str">
        <f t="shared" ca="1" si="3"/>
        <v>0911203792</v>
      </c>
      <c r="E93" s="63">
        <f t="shared" ca="1" si="4"/>
        <v>0</v>
      </c>
      <c r="F93" s="276" t="str">
        <f t="shared" ca="1" si="5"/>
        <v>Lần 7</v>
      </c>
      <c r="G93" s="93">
        <v>46216</v>
      </c>
      <c r="H93" s="75">
        <v>105</v>
      </c>
      <c r="I93" s="75" t="s">
        <v>128</v>
      </c>
      <c r="J93" s="94">
        <v>117</v>
      </c>
      <c r="K93" s="94">
        <v>39</v>
      </c>
      <c r="L93" s="95"/>
      <c r="M93" s="184">
        <f t="shared" ca="1" si="10"/>
        <v>1</v>
      </c>
      <c r="N93" s="67">
        <f t="shared" ca="1" si="11"/>
        <v>1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182" t="str">
        <f t="shared" ca="1" si="9"/>
        <v>Tổ Hạ tầng Tân Châu</v>
      </c>
      <c r="C94" s="61" t="str">
        <f t="shared" ca="1" si="2"/>
        <v>Phạm Minh Thật</v>
      </c>
      <c r="D94" s="239" t="str">
        <f t="shared" ca="1" si="3"/>
        <v>0911203792</v>
      </c>
      <c r="E94" s="63">
        <f t="shared" ca="1" si="4"/>
        <v>0</v>
      </c>
      <c r="F94" s="276" t="str">
        <f t="shared" ca="1" si="5"/>
        <v>Lần 8</v>
      </c>
      <c r="G94" s="93">
        <v>46216</v>
      </c>
      <c r="H94" s="75" t="s">
        <v>474</v>
      </c>
      <c r="I94" s="75" t="s">
        <v>475</v>
      </c>
      <c r="J94" s="94">
        <v>115</v>
      </c>
      <c r="K94" s="94">
        <v>40</v>
      </c>
      <c r="L94" s="95"/>
      <c r="M94" s="184">
        <f t="shared" ca="1" si="10"/>
        <v>1</v>
      </c>
      <c r="N94" s="67">
        <f t="shared" ca="1" si="11"/>
        <v>1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182" t="str">
        <f t="shared" ca="1" si="9"/>
        <v>Tổ Hạ tầng Tân Châu</v>
      </c>
      <c r="C95" s="61" t="str">
        <f t="shared" ca="1" si="2"/>
        <v>Phạm Minh Thật</v>
      </c>
      <c r="D95" s="239" t="str">
        <f t="shared" ca="1" si="3"/>
        <v>0911203792</v>
      </c>
      <c r="E95" s="63">
        <f t="shared" ca="1" si="4"/>
        <v>0</v>
      </c>
      <c r="F95" s="276" t="str">
        <f t="shared" ca="1" si="5"/>
        <v>Lần 9</v>
      </c>
      <c r="G95" s="93">
        <v>46216</v>
      </c>
      <c r="H95" s="75">
        <v>120</v>
      </c>
      <c r="I95" s="75" t="s">
        <v>298</v>
      </c>
      <c r="J95" s="94">
        <v>109</v>
      </c>
      <c r="K95" s="94" t="s">
        <v>476</v>
      </c>
      <c r="L95" s="95"/>
      <c r="M95" s="184">
        <f t="shared" ca="1" si="10"/>
        <v>1</v>
      </c>
      <c r="N95" s="67">
        <f t="shared" ca="1" si="11"/>
        <v>1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182" t="str">
        <f t="shared" ca="1" si="9"/>
        <v>Tổ Hạ tầng Tân Châu</v>
      </c>
      <c r="C96" s="61" t="str">
        <f t="shared" ca="1" si="2"/>
        <v>Phạm Minh Thật</v>
      </c>
      <c r="D96" s="239" t="str">
        <f t="shared" ca="1" si="3"/>
        <v>0911203792</v>
      </c>
      <c r="E96" s="63">
        <f t="shared" ca="1" si="4"/>
        <v>0</v>
      </c>
      <c r="F96" s="276" t="str">
        <f t="shared" ca="1" si="5"/>
        <v>Lần 10</v>
      </c>
      <c r="G96" s="93">
        <v>46216</v>
      </c>
      <c r="H96" s="75">
        <v>98</v>
      </c>
      <c r="I96" s="75">
        <v>41</v>
      </c>
      <c r="J96" s="94">
        <v>115</v>
      </c>
      <c r="K96" s="94" t="s">
        <v>477</v>
      </c>
      <c r="L96" s="95"/>
      <c r="M96" s="184">
        <f t="shared" ca="1" si="10"/>
        <v>1</v>
      </c>
      <c r="N96" s="67">
        <f t="shared" ca="1" si="11"/>
        <v>1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182" t="str">
        <f t="shared" ca="1" si="9"/>
        <v>Tổ Hạ tầng Tân Châu</v>
      </c>
      <c r="C97" s="61" t="str">
        <f t="shared" ca="1" si="2"/>
        <v>Phạm Minh Thật</v>
      </c>
      <c r="D97" s="239" t="str">
        <f t="shared" ca="1" si="3"/>
        <v>0911203792</v>
      </c>
      <c r="E97" s="63">
        <f t="shared" ca="1" si="4"/>
        <v>0</v>
      </c>
      <c r="F97" s="276" t="str">
        <f t="shared" ca="1" si="5"/>
        <v>Lần 11</v>
      </c>
      <c r="G97" s="93">
        <v>46216</v>
      </c>
      <c r="H97" s="75">
        <v>101</v>
      </c>
      <c r="I97" s="75">
        <v>56.3</v>
      </c>
      <c r="J97" s="75">
        <v>122</v>
      </c>
      <c r="K97" s="75">
        <v>54.6</v>
      </c>
      <c r="L97" s="95"/>
      <c r="M97" s="184">
        <f t="shared" ca="1" si="10"/>
        <v>1</v>
      </c>
      <c r="N97" s="67">
        <f t="shared" ca="1" si="11"/>
        <v>1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182" t="str">
        <f t="shared" ca="1" si="9"/>
        <v>Tổ Hạ tầng Tân Châu</v>
      </c>
      <c r="C98" s="61" t="str">
        <f t="shared" ca="1" si="2"/>
        <v>Phạm Minh Thật</v>
      </c>
      <c r="D98" s="239" t="str">
        <f t="shared" ca="1" si="3"/>
        <v>0911203792</v>
      </c>
      <c r="E98" s="63">
        <f t="shared" ca="1" si="4"/>
        <v>0</v>
      </c>
      <c r="F98" s="276" t="str">
        <f t="shared" ca="1" si="5"/>
        <v>Lần 12</v>
      </c>
      <c r="G98" s="93">
        <v>46216</v>
      </c>
      <c r="H98" s="75">
        <v>101</v>
      </c>
      <c r="I98" s="75">
        <v>53.6</v>
      </c>
      <c r="J98" s="75">
        <v>70.8</v>
      </c>
      <c r="K98" s="75">
        <v>37.9</v>
      </c>
      <c r="L98" s="96"/>
      <c r="M98" s="184">
        <f t="shared" ca="1" si="10"/>
        <v>1</v>
      </c>
      <c r="N98" s="67">
        <f t="shared" ca="1" si="11"/>
        <v>1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182" t="str">
        <f t="shared" ca="1" si="9"/>
        <v>Tổ Hạ tầng Tân Châu</v>
      </c>
      <c r="C99" s="61" t="str">
        <f t="shared" ca="1" si="2"/>
        <v>Phạm Minh Thật</v>
      </c>
      <c r="D99" s="239" t="str">
        <f t="shared" ca="1" si="3"/>
        <v>0911203792</v>
      </c>
      <c r="E99" s="63">
        <f t="shared" ca="1" si="4"/>
        <v>0</v>
      </c>
      <c r="F99" s="276" t="str">
        <f t="shared" ca="1" si="5"/>
        <v>Lần 13</v>
      </c>
      <c r="G99" s="93">
        <v>46216</v>
      </c>
      <c r="H99" s="75">
        <v>107</v>
      </c>
      <c r="I99" s="75">
        <v>51.6</v>
      </c>
      <c r="J99" s="75">
        <v>102</v>
      </c>
      <c r="K99" s="75">
        <v>57.7</v>
      </c>
      <c r="L99" s="96"/>
      <c r="M99" s="184">
        <f t="shared" ca="1" si="10"/>
        <v>1</v>
      </c>
      <c r="N99" s="67">
        <f t="shared" ca="1" si="11"/>
        <v>1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182" t="str">
        <f t="shared" ca="1" si="9"/>
        <v>Tổ Hạ tầng Tân Châu</v>
      </c>
      <c r="C100" s="61" t="str">
        <f t="shared" ca="1" si="2"/>
        <v>Phạm Minh Thật</v>
      </c>
      <c r="D100" s="239" t="str">
        <f t="shared" ca="1" si="3"/>
        <v>0911203792</v>
      </c>
      <c r="E100" s="63">
        <f t="shared" ca="1" si="4"/>
        <v>0</v>
      </c>
      <c r="F100" s="276" t="str">
        <f t="shared" ca="1" si="5"/>
        <v>Lần 14</v>
      </c>
      <c r="G100" s="93">
        <v>46216</v>
      </c>
      <c r="H100" s="75">
        <v>121</v>
      </c>
      <c r="I100" s="75" t="s">
        <v>478</v>
      </c>
      <c r="J100" s="94">
        <v>130</v>
      </c>
      <c r="K100" s="94" t="s">
        <v>351</v>
      </c>
      <c r="L100" s="96"/>
      <c r="M100" s="184">
        <f t="shared" ca="1" si="10"/>
        <v>1</v>
      </c>
      <c r="N100" s="67">
        <f t="shared" ca="1" si="11"/>
        <v>1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182" t="str">
        <f t="shared" ca="1" si="9"/>
        <v>Tổ Hạ tầng Tân Châu</v>
      </c>
      <c r="C101" s="61" t="str">
        <f t="shared" ca="1" si="2"/>
        <v>Phạm Minh Thật</v>
      </c>
      <c r="D101" s="239" t="str">
        <f t="shared" ca="1" si="3"/>
        <v>0911203792</v>
      </c>
      <c r="E101" s="63">
        <f t="shared" ca="1" si="4"/>
        <v>0</v>
      </c>
      <c r="F101" s="276" t="str">
        <f t="shared" ca="1" si="5"/>
        <v>Lần 15</v>
      </c>
      <c r="G101" s="93">
        <v>46216</v>
      </c>
      <c r="H101" s="75" t="s">
        <v>457</v>
      </c>
      <c r="I101" s="75" t="s">
        <v>351</v>
      </c>
      <c r="J101" s="94">
        <v>89.6</v>
      </c>
      <c r="K101" s="94" t="s">
        <v>479</v>
      </c>
      <c r="L101" s="96"/>
      <c r="M101" s="184">
        <f t="shared" ca="1" si="10"/>
        <v>1</v>
      </c>
      <c r="N101" s="67">
        <f t="shared" ca="1" si="11"/>
        <v>1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100">
        <f t="shared" ca="1" si="1"/>
        <v>96</v>
      </c>
      <c r="B102" s="196" t="str">
        <f t="shared" ca="1" si="9"/>
        <v>Tổ Hạ tầng Tân Châu</v>
      </c>
      <c r="C102" s="102" t="str">
        <f t="shared" ca="1" si="2"/>
        <v>Phạm Minh Thật</v>
      </c>
      <c r="D102" s="241" t="str">
        <f t="shared" ca="1" si="3"/>
        <v>0911203792</v>
      </c>
      <c r="E102" s="104">
        <f t="shared" ca="1" si="4"/>
        <v>0</v>
      </c>
      <c r="F102" s="310" t="str">
        <f t="shared" ca="1" si="5"/>
        <v>Lần 16</v>
      </c>
      <c r="G102" s="93">
        <v>46216</v>
      </c>
      <c r="H102" s="75">
        <v>117</v>
      </c>
      <c r="I102" s="75">
        <v>56</v>
      </c>
      <c r="J102" s="94">
        <v>96.7</v>
      </c>
      <c r="K102" s="94">
        <v>43</v>
      </c>
      <c r="L102" s="201"/>
      <c r="M102" s="184">
        <f t="shared" ca="1" si="10"/>
        <v>1</v>
      </c>
      <c r="N102" s="67">
        <f t="shared" ca="1" si="11"/>
        <v>1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106">
        <f t="shared" ca="1" si="1"/>
        <v>97</v>
      </c>
      <c r="B103" s="204" t="str">
        <f t="shared" ca="1" si="9"/>
        <v>Tổ Hạ tầng Tân Châu</v>
      </c>
      <c r="C103" s="108" t="str">
        <f t="shared" ca="1" si="2"/>
        <v>Nguyễn Thành Vương</v>
      </c>
      <c r="D103" s="205">
        <f t="shared" ca="1" si="3"/>
        <v>914776772</v>
      </c>
      <c r="E103" s="110" t="str">
        <f t="shared" ca="1" si="4"/>
        <v>vuongnt.tnh@vnpt.vn</v>
      </c>
      <c r="F103" s="311" t="str">
        <f t="shared" ca="1" si="5"/>
        <v>Lần 1</v>
      </c>
      <c r="G103" s="112"/>
      <c r="H103" s="121"/>
      <c r="I103" s="121"/>
      <c r="J103" s="99"/>
      <c r="K103" s="99"/>
      <c r="L103" s="213"/>
      <c r="M103" s="181">
        <f t="shared" ca="1" si="10"/>
        <v>0</v>
      </c>
      <c r="N103" s="57">
        <f t="shared" ca="1" si="11"/>
        <v>0</v>
      </c>
      <c r="O103" s="68">
        <f t="shared" ca="1" si="8"/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182" t="str">
        <f t="shared" ca="1" si="9"/>
        <v>Tổ Hạ tầng Tân Châu</v>
      </c>
      <c r="C104" s="61" t="str">
        <f t="shared" ca="1" si="2"/>
        <v>Nguyễn Thành Vương</v>
      </c>
      <c r="D104" s="183">
        <f t="shared" ca="1" si="3"/>
        <v>914776772</v>
      </c>
      <c r="E104" s="63" t="str">
        <f t="shared" ca="1" si="4"/>
        <v>vuongnt.tnh@vnpt.vn</v>
      </c>
      <c r="F104" s="276" t="str">
        <f t="shared" ca="1" si="5"/>
        <v>Lần 2</v>
      </c>
      <c r="G104" s="112"/>
      <c r="H104" s="121"/>
      <c r="I104" s="121"/>
      <c r="J104" s="98"/>
      <c r="K104" s="98"/>
      <c r="L104" s="88"/>
      <c r="M104" s="184">
        <f t="shared" ca="1" si="10"/>
        <v>0</v>
      </c>
      <c r="N104" s="67">
        <f t="shared" ca="1" si="11"/>
        <v>0</v>
      </c>
      <c r="O104" s="68">
        <f t="shared" ca="1" si="8"/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182" t="str">
        <f t="shared" ca="1" si="9"/>
        <v>Tổ Hạ tầng Tân Châu</v>
      </c>
      <c r="C105" s="61" t="str">
        <f t="shared" ca="1" si="2"/>
        <v>Nguyễn Thành Vương</v>
      </c>
      <c r="D105" s="183">
        <f t="shared" ca="1" si="3"/>
        <v>914776772</v>
      </c>
      <c r="E105" s="63" t="str">
        <f t="shared" ca="1" si="4"/>
        <v>vuongnt.tnh@vnpt.vn</v>
      </c>
      <c r="F105" s="276" t="str">
        <f t="shared" ca="1" si="5"/>
        <v>Lần 3</v>
      </c>
      <c r="G105" s="112"/>
      <c r="H105" s="121"/>
      <c r="I105" s="121"/>
      <c r="J105" s="99"/>
      <c r="K105" s="99"/>
      <c r="L105" s="88"/>
      <c r="M105" s="184">
        <f t="shared" ca="1" si="10"/>
        <v>0</v>
      </c>
      <c r="N105" s="67">
        <f t="shared" ca="1" si="11"/>
        <v>0</v>
      </c>
      <c r="O105" s="68">
        <f t="shared" ca="1" si="8"/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182" t="str">
        <f t="shared" ca="1" si="9"/>
        <v>Tổ Hạ tầng Tân Châu</v>
      </c>
      <c r="C106" s="61" t="str">
        <f t="shared" ca="1" si="2"/>
        <v>Nguyễn Thành Vương</v>
      </c>
      <c r="D106" s="183">
        <f t="shared" ca="1" si="3"/>
        <v>914776772</v>
      </c>
      <c r="E106" s="63" t="str">
        <f t="shared" ca="1" si="4"/>
        <v>vuongnt.tnh@vnpt.vn</v>
      </c>
      <c r="F106" s="276" t="str">
        <f t="shared" ca="1" si="5"/>
        <v>Lần 4</v>
      </c>
      <c r="G106" s="112"/>
      <c r="H106" s="121"/>
      <c r="I106" s="121"/>
      <c r="J106" s="99"/>
      <c r="K106" s="99"/>
      <c r="L106" s="88"/>
      <c r="M106" s="184">
        <f t="shared" ca="1" si="10"/>
        <v>0</v>
      </c>
      <c r="N106" s="67">
        <f t="shared" ca="1" si="11"/>
        <v>0</v>
      </c>
      <c r="O106" s="68">
        <f t="shared" ca="1" si="8"/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182" t="str">
        <f t="shared" ca="1" si="9"/>
        <v>Tổ Hạ tầng Tân Châu</v>
      </c>
      <c r="C107" s="61" t="str">
        <f t="shared" ca="1" si="2"/>
        <v>Nguyễn Thành Vương</v>
      </c>
      <c r="D107" s="183">
        <f t="shared" ca="1" si="3"/>
        <v>914776772</v>
      </c>
      <c r="E107" s="63" t="str">
        <f t="shared" ca="1" si="4"/>
        <v>vuongnt.tnh@vnpt.vn</v>
      </c>
      <c r="F107" s="276" t="str">
        <f t="shared" ca="1" si="5"/>
        <v>Lần 5</v>
      </c>
      <c r="G107" s="112"/>
      <c r="H107" s="122"/>
      <c r="I107" s="122"/>
      <c r="J107" s="98"/>
      <c r="K107" s="98"/>
      <c r="L107" s="88"/>
      <c r="M107" s="184">
        <f t="shared" ca="1" si="10"/>
        <v>0</v>
      </c>
      <c r="N107" s="67">
        <f t="shared" ca="1" si="11"/>
        <v>0</v>
      </c>
      <c r="O107" s="68">
        <f t="shared" ca="1" si="8"/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182" t="str">
        <f t="shared" ca="1" si="9"/>
        <v>Tổ Hạ tầng Tân Châu</v>
      </c>
      <c r="C108" s="61" t="str">
        <f t="shared" ca="1" si="2"/>
        <v>Nguyễn Thành Vương</v>
      </c>
      <c r="D108" s="183">
        <f t="shared" ca="1" si="3"/>
        <v>914776772</v>
      </c>
      <c r="E108" s="63" t="str">
        <f t="shared" ca="1" si="4"/>
        <v>vuongnt.tnh@vnpt.vn</v>
      </c>
      <c r="F108" s="276" t="str">
        <f t="shared" ca="1" si="5"/>
        <v>Lần 6</v>
      </c>
      <c r="G108" s="112"/>
      <c r="H108" s="122"/>
      <c r="I108" s="122"/>
      <c r="J108" s="98"/>
      <c r="K108" s="98"/>
      <c r="L108" s="88"/>
      <c r="M108" s="184">
        <f t="shared" ca="1" si="10"/>
        <v>0</v>
      </c>
      <c r="N108" s="67">
        <f t="shared" ca="1" si="11"/>
        <v>0</v>
      </c>
      <c r="O108" s="68">
        <f t="shared" ca="1" si="8"/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182" t="str">
        <f t="shared" ca="1" si="9"/>
        <v>Tổ Hạ tầng Tân Châu</v>
      </c>
      <c r="C109" s="61" t="str">
        <f t="shared" ca="1" si="2"/>
        <v>Nguyễn Thành Vương</v>
      </c>
      <c r="D109" s="183">
        <f t="shared" ca="1" si="3"/>
        <v>914776772</v>
      </c>
      <c r="E109" s="63" t="str">
        <f t="shared" ca="1" si="4"/>
        <v>vuongnt.tnh@vnpt.vn</v>
      </c>
      <c r="F109" s="276" t="str">
        <f t="shared" ca="1" si="5"/>
        <v>Lần 7</v>
      </c>
      <c r="G109" s="112"/>
      <c r="H109" s="122"/>
      <c r="I109" s="122"/>
      <c r="J109" s="98"/>
      <c r="K109" s="98"/>
      <c r="L109" s="88"/>
      <c r="M109" s="184">
        <f t="shared" ca="1" si="10"/>
        <v>0</v>
      </c>
      <c r="N109" s="67">
        <f t="shared" ca="1" si="11"/>
        <v>0</v>
      </c>
      <c r="O109" s="68">
        <f t="shared" ca="1" si="8"/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182" t="str">
        <f t="shared" ca="1" si="9"/>
        <v>Tổ Hạ tầng Tân Châu</v>
      </c>
      <c r="C110" s="61" t="str">
        <f t="shared" ca="1" si="2"/>
        <v>Nguyễn Thành Vương</v>
      </c>
      <c r="D110" s="183">
        <f t="shared" ca="1" si="3"/>
        <v>914776772</v>
      </c>
      <c r="E110" s="63" t="str">
        <f t="shared" ca="1" si="4"/>
        <v>vuongnt.tnh@vnpt.vn</v>
      </c>
      <c r="F110" s="276" t="str">
        <f t="shared" ca="1" si="5"/>
        <v>Lần 8</v>
      </c>
      <c r="G110" s="112"/>
      <c r="H110" s="71"/>
      <c r="I110" s="71"/>
      <c r="J110" s="98"/>
      <c r="K110" s="98"/>
      <c r="L110" s="88"/>
      <c r="M110" s="184">
        <f t="shared" ca="1" si="10"/>
        <v>0</v>
      </c>
      <c r="N110" s="67">
        <f t="shared" ca="1" si="11"/>
        <v>0</v>
      </c>
      <c r="O110" s="68">
        <f t="shared" ca="1" si="8"/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182" t="str">
        <f t="shared" ca="1" si="9"/>
        <v>Tổ Hạ tầng Tân Châu</v>
      </c>
      <c r="C111" s="61" t="str">
        <f t="shared" ca="1" si="2"/>
        <v>Nguyễn Thành Vương</v>
      </c>
      <c r="D111" s="183">
        <f t="shared" ca="1" si="3"/>
        <v>914776772</v>
      </c>
      <c r="E111" s="63" t="str">
        <f t="shared" ca="1" si="4"/>
        <v>vuongnt.tnh@vnpt.vn</v>
      </c>
      <c r="F111" s="276" t="str">
        <f t="shared" ca="1" si="5"/>
        <v>Lần 9</v>
      </c>
      <c r="G111" s="112"/>
      <c r="H111" s="71"/>
      <c r="I111" s="71"/>
      <c r="J111" s="98"/>
      <c r="K111" s="98"/>
      <c r="L111" s="88"/>
      <c r="M111" s="184">
        <f t="shared" ca="1" si="10"/>
        <v>0</v>
      </c>
      <c r="N111" s="67">
        <f t="shared" ca="1" si="11"/>
        <v>0</v>
      </c>
      <c r="O111" s="68">
        <f t="shared" ca="1" si="8"/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182" t="str">
        <f t="shared" ca="1" si="9"/>
        <v>Tổ Hạ tầng Tân Châu</v>
      </c>
      <c r="C112" s="61" t="str">
        <f t="shared" ca="1" si="2"/>
        <v>Nguyễn Thành Vương</v>
      </c>
      <c r="D112" s="183">
        <f t="shared" ca="1" si="3"/>
        <v>914776772</v>
      </c>
      <c r="E112" s="63" t="str">
        <f t="shared" ca="1" si="4"/>
        <v>vuongnt.tnh@vnpt.vn</v>
      </c>
      <c r="F112" s="276" t="str">
        <f t="shared" ca="1" si="5"/>
        <v>Lần 10</v>
      </c>
      <c r="G112" s="112"/>
      <c r="H112" s="71"/>
      <c r="I112" s="71"/>
      <c r="J112" s="98"/>
      <c r="K112" s="98"/>
      <c r="L112" s="88"/>
      <c r="M112" s="184">
        <f t="shared" ca="1" si="10"/>
        <v>0</v>
      </c>
      <c r="N112" s="67">
        <f t="shared" ca="1" si="11"/>
        <v>0</v>
      </c>
      <c r="O112" s="68">
        <f t="shared" ca="1" si="8"/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182" t="str">
        <f t="shared" ca="1" si="9"/>
        <v>Tổ Hạ tầng Tân Châu</v>
      </c>
      <c r="C113" s="61" t="str">
        <f t="shared" ca="1" si="2"/>
        <v>Nguyễn Thành Vương</v>
      </c>
      <c r="D113" s="183">
        <f t="shared" ca="1" si="3"/>
        <v>914776772</v>
      </c>
      <c r="E113" s="63" t="str">
        <f t="shared" ca="1" si="4"/>
        <v>vuongnt.tnh@vnpt.vn</v>
      </c>
      <c r="F113" s="276" t="str">
        <f t="shared" ca="1" si="5"/>
        <v>Lần 11</v>
      </c>
      <c r="G113" s="112"/>
      <c r="H113" s="75"/>
      <c r="I113" s="75"/>
      <c r="J113" s="98"/>
      <c r="K113" s="98"/>
      <c r="L113" s="88"/>
      <c r="M113" s="184">
        <f t="shared" ca="1" si="10"/>
        <v>0</v>
      </c>
      <c r="N113" s="67">
        <f t="shared" ca="1" si="11"/>
        <v>0</v>
      </c>
      <c r="O113" s="68">
        <f t="shared" ca="1" si="8"/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182" t="str">
        <f t="shared" ca="1" si="9"/>
        <v>Tổ Hạ tầng Tân Châu</v>
      </c>
      <c r="C114" s="61" t="str">
        <f t="shared" ca="1" si="2"/>
        <v>Nguyễn Thành Vương</v>
      </c>
      <c r="D114" s="183">
        <f t="shared" ca="1" si="3"/>
        <v>914776772</v>
      </c>
      <c r="E114" s="63" t="str">
        <f t="shared" ca="1" si="4"/>
        <v>vuongnt.tnh@vnpt.vn</v>
      </c>
      <c r="F114" s="276" t="str">
        <f t="shared" ca="1" si="5"/>
        <v>Lần 12</v>
      </c>
      <c r="G114" s="112"/>
      <c r="H114" s="122"/>
      <c r="I114" s="122"/>
      <c r="J114" s="98"/>
      <c r="K114" s="98"/>
      <c r="L114" s="88"/>
      <c r="M114" s="184">
        <f t="shared" ca="1" si="10"/>
        <v>0</v>
      </c>
      <c r="N114" s="67">
        <f t="shared" ca="1" si="11"/>
        <v>0</v>
      </c>
      <c r="O114" s="68">
        <f t="shared" ca="1" si="8"/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182" t="str">
        <f t="shared" ca="1" si="9"/>
        <v>Tổ Hạ tầng Tân Châu</v>
      </c>
      <c r="C115" s="61" t="str">
        <f t="shared" ca="1" si="2"/>
        <v>Nguyễn Thành Vương</v>
      </c>
      <c r="D115" s="183">
        <f t="shared" ca="1" si="3"/>
        <v>914776772</v>
      </c>
      <c r="E115" s="63" t="str">
        <f t="shared" ca="1" si="4"/>
        <v>vuongnt.tnh@vnpt.vn</v>
      </c>
      <c r="F115" s="276" t="str">
        <f t="shared" ca="1" si="5"/>
        <v>Lần 13</v>
      </c>
      <c r="G115" s="112"/>
      <c r="H115" s="122"/>
      <c r="I115" s="122"/>
      <c r="J115" s="98"/>
      <c r="K115" s="98"/>
      <c r="L115" s="88"/>
      <c r="M115" s="184">
        <f t="shared" ca="1" si="10"/>
        <v>0</v>
      </c>
      <c r="N115" s="67">
        <f t="shared" ca="1" si="11"/>
        <v>0</v>
      </c>
      <c r="O115" s="68">
        <f t="shared" ca="1" si="8"/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182" t="str">
        <f t="shared" ca="1" si="9"/>
        <v>Tổ Hạ tầng Tân Châu</v>
      </c>
      <c r="C116" s="61" t="str">
        <f t="shared" ca="1" si="2"/>
        <v>Nguyễn Thành Vương</v>
      </c>
      <c r="D116" s="183">
        <f t="shared" ca="1" si="3"/>
        <v>914776772</v>
      </c>
      <c r="E116" s="63" t="str">
        <f t="shared" ca="1" si="4"/>
        <v>vuongnt.tnh@vnpt.vn</v>
      </c>
      <c r="F116" s="276" t="str">
        <f t="shared" ca="1" si="5"/>
        <v>Lần 14</v>
      </c>
      <c r="G116" s="112"/>
      <c r="H116" s="122"/>
      <c r="I116" s="122"/>
      <c r="J116" s="98"/>
      <c r="K116" s="98"/>
      <c r="L116" s="88"/>
      <c r="M116" s="184">
        <f t="shared" ca="1" si="10"/>
        <v>0</v>
      </c>
      <c r="N116" s="67">
        <f t="shared" ca="1" si="11"/>
        <v>0</v>
      </c>
      <c r="O116" s="68">
        <f t="shared" ca="1" si="8"/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182" t="str">
        <f t="shared" ca="1" si="9"/>
        <v>Tổ Hạ tầng Tân Châu</v>
      </c>
      <c r="C117" s="61" t="str">
        <f t="shared" ca="1" si="2"/>
        <v>Nguyễn Thành Vương</v>
      </c>
      <c r="D117" s="183">
        <f t="shared" ca="1" si="3"/>
        <v>914776772</v>
      </c>
      <c r="E117" s="63" t="str">
        <f t="shared" ca="1" si="4"/>
        <v>vuongnt.tnh@vnpt.vn</v>
      </c>
      <c r="F117" s="276" t="str">
        <f t="shared" ca="1" si="5"/>
        <v>Lần 15</v>
      </c>
      <c r="G117" s="112"/>
      <c r="H117" s="122"/>
      <c r="I117" s="122"/>
      <c r="J117" s="98"/>
      <c r="K117" s="98"/>
      <c r="L117" s="88"/>
      <c r="M117" s="184">
        <f t="shared" ca="1" si="10"/>
        <v>0</v>
      </c>
      <c r="N117" s="67">
        <f t="shared" ca="1" si="11"/>
        <v>0</v>
      </c>
      <c r="O117" s="68">
        <f t="shared" ca="1" si="8"/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80">
        <f t="shared" ca="1" si="1"/>
        <v>112</v>
      </c>
      <c r="B118" s="185" t="str">
        <f t="shared" ca="1" si="9"/>
        <v>Tổ Hạ tầng Tân Châu</v>
      </c>
      <c r="C118" s="82" t="str">
        <f t="shared" ca="1" si="2"/>
        <v>Nguyễn Thành Vương</v>
      </c>
      <c r="D118" s="186">
        <f t="shared" ca="1" si="3"/>
        <v>914776772</v>
      </c>
      <c r="E118" s="84" t="str">
        <f t="shared" ca="1" si="4"/>
        <v>vuongnt.tnh@vnpt.vn</v>
      </c>
      <c r="F118" s="309" t="str">
        <f t="shared" ca="1" si="5"/>
        <v>Lần 16</v>
      </c>
      <c r="G118" s="112"/>
      <c r="H118" s="122"/>
      <c r="I118" s="122"/>
      <c r="J118" s="98"/>
      <c r="K118" s="98"/>
      <c r="L118" s="218"/>
      <c r="M118" s="189">
        <f t="shared" ca="1" si="10"/>
        <v>0</v>
      </c>
      <c r="N118" s="171">
        <f t="shared" ca="1" si="11"/>
        <v>0</v>
      </c>
      <c r="O118" s="68">
        <f t="shared" ca="1" si="8"/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46">
        <f t="shared" ca="1" si="1"/>
        <v>113</v>
      </c>
      <c r="B119" s="190" t="str">
        <f t="shared" ca="1" si="9"/>
        <v>Tổ Hạ tầng Tân Châu</v>
      </c>
      <c r="C119" s="48" t="str">
        <f t="shared" ca="1" si="2"/>
        <v>Trần Hoài Vũ</v>
      </c>
      <c r="D119" s="191">
        <f t="shared" ca="1" si="3"/>
        <v>917675757</v>
      </c>
      <c r="E119" s="50" t="str">
        <f t="shared" ca="1" si="4"/>
        <v>vuth.tnh@vnpt.vn</v>
      </c>
      <c r="F119" s="307" t="str">
        <f t="shared" ca="1" si="5"/>
        <v>Lần 1</v>
      </c>
      <c r="G119" s="93"/>
      <c r="H119" s="71"/>
      <c r="I119" s="71"/>
      <c r="J119" s="94"/>
      <c r="K119" s="94"/>
      <c r="L119" s="193"/>
      <c r="M119" s="194">
        <f t="shared" ca="1" si="10"/>
        <v>0</v>
      </c>
      <c r="N119" s="195">
        <f t="shared" ca="1" si="11"/>
        <v>0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182" t="str">
        <f t="shared" ca="1" si="9"/>
        <v>Tổ Hạ tầng Tân Châu</v>
      </c>
      <c r="C120" s="61" t="str">
        <f t="shared" ca="1" si="2"/>
        <v>Trần Hoài Vũ</v>
      </c>
      <c r="D120" s="183">
        <f t="shared" ca="1" si="3"/>
        <v>917675757</v>
      </c>
      <c r="E120" s="63" t="str">
        <f t="shared" ca="1" si="4"/>
        <v>vuth.tnh@vnpt.vn</v>
      </c>
      <c r="F120" s="276" t="str">
        <f t="shared" ca="1" si="5"/>
        <v>Lần 2</v>
      </c>
      <c r="G120" s="93"/>
      <c r="H120" s="71"/>
      <c r="I120" s="71"/>
      <c r="J120" s="94"/>
      <c r="K120" s="94"/>
      <c r="L120" s="96"/>
      <c r="M120" s="184">
        <f t="shared" ca="1" si="10"/>
        <v>0</v>
      </c>
      <c r="N120" s="67">
        <f t="shared" ca="1" si="11"/>
        <v>0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182" t="str">
        <f t="shared" ca="1" si="9"/>
        <v>Tổ Hạ tầng Tân Châu</v>
      </c>
      <c r="C121" s="61" t="str">
        <f t="shared" ca="1" si="2"/>
        <v>Trần Hoài Vũ</v>
      </c>
      <c r="D121" s="183">
        <f t="shared" ca="1" si="3"/>
        <v>917675757</v>
      </c>
      <c r="E121" s="63" t="str">
        <f t="shared" ca="1" si="4"/>
        <v>vuth.tnh@vnpt.vn</v>
      </c>
      <c r="F121" s="276" t="str">
        <f t="shared" ca="1" si="5"/>
        <v>Lần 3</v>
      </c>
      <c r="G121" s="93"/>
      <c r="H121" s="71"/>
      <c r="I121" s="71"/>
      <c r="J121" s="94"/>
      <c r="K121" s="94"/>
      <c r="L121" s="96"/>
      <c r="M121" s="184">
        <f t="shared" ca="1" si="10"/>
        <v>0</v>
      </c>
      <c r="N121" s="67">
        <f t="shared" ca="1" si="11"/>
        <v>0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182" t="str">
        <f t="shared" ca="1" si="9"/>
        <v>Tổ Hạ tầng Tân Châu</v>
      </c>
      <c r="C122" s="61" t="str">
        <f t="shared" ca="1" si="2"/>
        <v>Trần Hoài Vũ</v>
      </c>
      <c r="D122" s="183">
        <f t="shared" ca="1" si="3"/>
        <v>917675757</v>
      </c>
      <c r="E122" s="63" t="str">
        <f t="shared" ca="1" si="4"/>
        <v>vuth.tnh@vnpt.vn</v>
      </c>
      <c r="F122" s="276" t="str">
        <f t="shared" ca="1" si="5"/>
        <v>Lần 4</v>
      </c>
      <c r="G122" s="93"/>
      <c r="H122" s="71"/>
      <c r="I122" s="71"/>
      <c r="J122" s="94"/>
      <c r="K122" s="94"/>
      <c r="L122" s="95"/>
      <c r="M122" s="184">
        <f t="shared" ca="1" si="10"/>
        <v>0</v>
      </c>
      <c r="N122" s="67">
        <f t="shared" ca="1" si="11"/>
        <v>0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182" t="str">
        <f t="shared" ca="1" si="9"/>
        <v>Tổ Hạ tầng Tân Châu</v>
      </c>
      <c r="C123" s="61" t="str">
        <f t="shared" ca="1" si="2"/>
        <v>Trần Hoài Vũ</v>
      </c>
      <c r="D123" s="183">
        <f t="shared" ca="1" si="3"/>
        <v>917675757</v>
      </c>
      <c r="E123" s="63" t="str">
        <f t="shared" ca="1" si="4"/>
        <v>vuth.tnh@vnpt.vn</v>
      </c>
      <c r="F123" s="276" t="str">
        <f t="shared" ca="1" si="5"/>
        <v>Lần 5</v>
      </c>
      <c r="G123" s="93"/>
      <c r="H123" s="75"/>
      <c r="I123" s="75"/>
      <c r="J123" s="94"/>
      <c r="K123" s="94"/>
      <c r="L123" s="96"/>
      <c r="M123" s="184">
        <f t="shared" ca="1" si="10"/>
        <v>0</v>
      </c>
      <c r="N123" s="67">
        <f t="shared" ca="1" si="11"/>
        <v>0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182" t="str">
        <f t="shared" ca="1" si="9"/>
        <v>Tổ Hạ tầng Tân Châu</v>
      </c>
      <c r="C124" s="61" t="str">
        <f t="shared" ca="1" si="2"/>
        <v>Trần Hoài Vũ</v>
      </c>
      <c r="D124" s="183">
        <f t="shared" ca="1" si="3"/>
        <v>917675757</v>
      </c>
      <c r="E124" s="63" t="str">
        <f t="shared" ca="1" si="4"/>
        <v>vuth.tnh@vnpt.vn</v>
      </c>
      <c r="F124" s="276" t="str">
        <f t="shared" ca="1" si="5"/>
        <v>Lần 6</v>
      </c>
      <c r="G124" s="93"/>
      <c r="H124" s="75"/>
      <c r="I124" s="75"/>
      <c r="J124" s="94"/>
      <c r="K124" s="94"/>
      <c r="L124" s="95"/>
      <c r="M124" s="184">
        <f t="shared" ca="1" si="10"/>
        <v>0</v>
      </c>
      <c r="N124" s="67">
        <f t="shared" ca="1" si="11"/>
        <v>0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182" t="str">
        <f t="shared" ca="1" si="9"/>
        <v>Tổ Hạ tầng Tân Châu</v>
      </c>
      <c r="C125" s="61" t="str">
        <f t="shared" ca="1" si="2"/>
        <v>Trần Hoài Vũ</v>
      </c>
      <c r="D125" s="183">
        <f t="shared" ca="1" si="3"/>
        <v>917675757</v>
      </c>
      <c r="E125" s="63" t="str">
        <f t="shared" ca="1" si="4"/>
        <v>vuth.tnh@vnpt.vn</v>
      </c>
      <c r="F125" s="276" t="str">
        <f t="shared" ca="1" si="5"/>
        <v>Lần 7</v>
      </c>
      <c r="G125" s="93"/>
      <c r="H125" s="75"/>
      <c r="I125" s="75"/>
      <c r="J125" s="94"/>
      <c r="K125" s="94"/>
      <c r="L125" s="95"/>
      <c r="M125" s="184">
        <f t="shared" ca="1" si="10"/>
        <v>0</v>
      </c>
      <c r="N125" s="67">
        <f t="shared" ca="1" si="11"/>
        <v>0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182" t="str">
        <f t="shared" ca="1" si="9"/>
        <v>Tổ Hạ tầng Tân Châu</v>
      </c>
      <c r="C126" s="61" t="str">
        <f t="shared" ca="1" si="2"/>
        <v>Trần Hoài Vũ</v>
      </c>
      <c r="D126" s="183">
        <f t="shared" ca="1" si="3"/>
        <v>917675757</v>
      </c>
      <c r="E126" s="63" t="str">
        <f t="shared" ca="1" si="4"/>
        <v>vuth.tnh@vnpt.vn</v>
      </c>
      <c r="F126" s="276" t="str">
        <f t="shared" ca="1" si="5"/>
        <v>Lần 8</v>
      </c>
      <c r="G126" s="93"/>
      <c r="H126" s="75"/>
      <c r="I126" s="75"/>
      <c r="J126" s="94"/>
      <c r="K126" s="94"/>
      <c r="L126" s="95"/>
      <c r="M126" s="184">
        <f t="shared" ca="1" si="10"/>
        <v>0</v>
      </c>
      <c r="N126" s="67">
        <f t="shared" ca="1" si="11"/>
        <v>0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182" t="str">
        <f t="shared" ca="1" si="9"/>
        <v>Tổ Hạ tầng Tân Châu</v>
      </c>
      <c r="C127" s="61" t="str">
        <f t="shared" ca="1" si="2"/>
        <v>Trần Hoài Vũ</v>
      </c>
      <c r="D127" s="183">
        <f t="shared" ca="1" si="3"/>
        <v>917675757</v>
      </c>
      <c r="E127" s="63" t="str">
        <f t="shared" ca="1" si="4"/>
        <v>vuth.tnh@vnpt.vn</v>
      </c>
      <c r="F127" s="276" t="str">
        <f t="shared" ca="1" si="5"/>
        <v>Lần 9</v>
      </c>
      <c r="G127" s="93"/>
      <c r="H127" s="75"/>
      <c r="I127" s="75"/>
      <c r="J127" s="94"/>
      <c r="K127" s="94"/>
      <c r="L127" s="96"/>
      <c r="M127" s="184">
        <f t="shared" ca="1" si="10"/>
        <v>0</v>
      </c>
      <c r="N127" s="67">
        <f t="shared" ca="1" si="11"/>
        <v>0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182" t="str">
        <f t="shared" ca="1" si="9"/>
        <v>Tổ Hạ tầng Tân Châu</v>
      </c>
      <c r="C128" s="61" t="str">
        <f t="shared" ca="1" si="2"/>
        <v>Trần Hoài Vũ</v>
      </c>
      <c r="D128" s="183">
        <f t="shared" ca="1" si="3"/>
        <v>917675757</v>
      </c>
      <c r="E128" s="63" t="str">
        <f t="shared" ca="1" si="4"/>
        <v>vuth.tnh@vnpt.vn</v>
      </c>
      <c r="F128" s="276" t="str">
        <f t="shared" ca="1" si="5"/>
        <v>Lần 10</v>
      </c>
      <c r="G128" s="93"/>
      <c r="H128" s="75"/>
      <c r="I128" s="75"/>
      <c r="J128" s="94"/>
      <c r="K128" s="94"/>
      <c r="L128" s="95"/>
      <c r="M128" s="184">
        <f t="shared" ca="1" si="10"/>
        <v>0</v>
      </c>
      <c r="N128" s="67">
        <f t="shared" ca="1" si="11"/>
        <v>0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182" t="str">
        <f t="shared" ca="1" si="9"/>
        <v>Tổ Hạ tầng Tân Châu</v>
      </c>
      <c r="C129" s="61" t="str">
        <f t="shared" ca="1" si="2"/>
        <v>Trần Hoài Vũ</v>
      </c>
      <c r="D129" s="183">
        <f t="shared" ca="1" si="3"/>
        <v>917675757</v>
      </c>
      <c r="E129" s="63" t="str">
        <f t="shared" ca="1" si="4"/>
        <v>vuth.tnh@vnpt.vn</v>
      </c>
      <c r="F129" s="276" t="str">
        <f t="shared" ca="1" si="5"/>
        <v>Lần 11</v>
      </c>
      <c r="G129" s="93"/>
      <c r="H129" s="75"/>
      <c r="I129" s="75"/>
      <c r="J129" s="94"/>
      <c r="K129" s="94"/>
      <c r="L129" s="95"/>
      <c r="M129" s="184">
        <f t="shared" ca="1" si="10"/>
        <v>0</v>
      </c>
      <c r="N129" s="67">
        <f t="shared" ca="1" si="11"/>
        <v>0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182" t="str">
        <f t="shared" ca="1" si="9"/>
        <v>Tổ Hạ tầng Tân Châu</v>
      </c>
      <c r="C130" s="61" t="str">
        <f t="shared" ca="1" si="2"/>
        <v>Trần Hoài Vũ</v>
      </c>
      <c r="D130" s="183">
        <f t="shared" ca="1" si="3"/>
        <v>917675757</v>
      </c>
      <c r="E130" s="63" t="str">
        <f t="shared" ca="1" si="4"/>
        <v>vuth.tnh@vnpt.vn</v>
      </c>
      <c r="F130" s="276" t="str">
        <f t="shared" ca="1" si="5"/>
        <v>Lần 12</v>
      </c>
      <c r="G130" s="93"/>
      <c r="H130" s="75"/>
      <c r="I130" s="75"/>
      <c r="J130" s="94"/>
      <c r="K130" s="94"/>
      <c r="L130" s="95"/>
      <c r="M130" s="184">
        <f t="shared" ca="1" si="10"/>
        <v>0</v>
      </c>
      <c r="N130" s="67">
        <f t="shared" ca="1" si="11"/>
        <v>0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182" t="str">
        <f t="shared" ca="1" si="9"/>
        <v>Tổ Hạ tầng Tân Châu</v>
      </c>
      <c r="C131" s="61" t="str">
        <f t="shared" ca="1" si="2"/>
        <v>Trần Hoài Vũ</v>
      </c>
      <c r="D131" s="183">
        <f t="shared" ca="1" si="3"/>
        <v>917675757</v>
      </c>
      <c r="E131" s="63" t="str">
        <f t="shared" ca="1" si="4"/>
        <v>vuth.tnh@vnpt.vn</v>
      </c>
      <c r="F131" s="276" t="str">
        <f t="shared" ca="1" si="5"/>
        <v>Lần 13</v>
      </c>
      <c r="G131" s="93"/>
      <c r="H131" s="75"/>
      <c r="I131" s="75"/>
      <c r="J131" s="94"/>
      <c r="K131" s="94"/>
      <c r="L131" s="95"/>
      <c r="M131" s="184">
        <f t="shared" ca="1" si="10"/>
        <v>0</v>
      </c>
      <c r="N131" s="67">
        <f t="shared" ca="1" si="11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182" t="str">
        <f t="shared" ca="1" si="9"/>
        <v>Tổ Hạ tầng Tân Châu</v>
      </c>
      <c r="C132" s="61" t="str">
        <f t="shared" ca="1" si="2"/>
        <v>Trần Hoài Vũ</v>
      </c>
      <c r="D132" s="183">
        <f t="shared" ca="1" si="3"/>
        <v>917675757</v>
      </c>
      <c r="E132" s="63" t="str">
        <f t="shared" ca="1" si="4"/>
        <v>vuth.tnh@vnpt.vn</v>
      </c>
      <c r="F132" s="276" t="str">
        <f t="shared" ca="1" si="5"/>
        <v>Lần 14</v>
      </c>
      <c r="G132" s="93"/>
      <c r="H132" s="75"/>
      <c r="I132" s="75"/>
      <c r="J132" s="94"/>
      <c r="K132" s="94"/>
      <c r="L132" s="96"/>
      <c r="M132" s="184">
        <f t="shared" ca="1" si="10"/>
        <v>0</v>
      </c>
      <c r="N132" s="67">
        <f t="shared" ca="1" si="11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182" t="str">
        <f t="shared" ca="1" si="9"/>
        <v>Tổ Hạ tầng Tân Châu</v>
      </c>
      <c r="C133" s="61" t="str">
        <f t="shared" ca="1" si="2"/>
        <v>Trần Hoài Vũ</v>
      </c>
      <c r="D133" s="183">
        <f t="shared" ca="1" si="3"/>
        <v>917675757</v>
      </c>
      <c r="E133" s="63" t="str">
        <f t="shared" ca="1" si="4"/>
        <v>vuth.tnh@vnpt.vn</v>
      </c>
      <c r="F133" s="276" t="str">
        <f t="shared" ca="1" si="5"/>
        <v>Lần 15</v>
      </c>
      <c r="G133" s="93"/>
      <c r="H133" s="75"/>
      <c r="I133" s="75"/>
      <c r="J133" s="94"/>
      <c r="K133" s="94"/>
      <c r="L133" s="95"/>
      <c r="M133" s="184">
        <f t="shared" ca="1" si="10"/>
        <v>0</v>
      </c>
      <c r="N133" s="67">
        <f t="shared" ca="1" si="11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100">
        <f t="shared" ca="1" si="1"/>
        <v>128</v>
      </c>
      <c r="B134" s="196" t="str">
        <f t="shared" ca="1" si="9"/>
        <v>Tổ Hạ tầng Tân Châu</v>
      </c>
      <c r="C134" s="102" t="str">
        <f t="shared" ca="1" si="2"/>
        <v>Trần Hoài Vũ</v>
      </c>
      <c r="D134" s="197">
        <f t="shared" ca="1" si="3"/>
        <v>917675757</v>
      </c>
      <c r="E134" s="104" t="str">
        <f t="shared" ca="1" si="4"/>
        <v>vuth.tnh@vnpt.vn</v>
      </c>
      <c r="F134" s="310" t="str">
        <f t="shared" ca="1" si="5"/>
        <v>Lần 16</v>
      </c>
      <c r="G134" s="93"/>
      <c r="H134" s="75"/>
      <c r="I134" s="75"/>
      <c r="J134" s="94"/>
      <c r="K134" s="94"/>
      <c r="L134" s="201"/>
      <c r="M134" s="202">
        <f t="shared" ca="1" si="10"/>
        <v>0</v>
      </c>
      <c r="N134" s="203">
        <f t="shared" ca="1" si="11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106">
        <f t="shared" ca="1" si="1"/>
        <v>129</v>
      </c>
      <c r="B135" s="204" t="str">
        <f t="shared" ca="1" si="9"/>
        <v>Tổ Hạ tầng Tân Châu</v>
      </c>
      <c r="C135" s="108" t="str">
        <f t="shared" ca="1" si="2"/>
        <v>Hoàng Anh</v>
      </c>
      <c r="D135" s="315" t="str">
        <f t="shared" ca="1" si="3"/>
        <v>0917728470</v>
      </c>
      <c r="E135" s="110" t="str">
        <f t="shared" ca="1" si="4"/>
        <v>anhh.tnh@vnpt.vn</v>
      </c>
      <c r="F135" s="311" t="str">
        <f t="shared" ca="1" si="5"/>
        <v>Lần 1</v>
      </c>
      <c r="G135" s="112"/>
      <c r="H135" s="121"/>
      <c r="I135" s="121"/>
      <c r="J135" s="98"/>
      <c r="K135" s="98"/>
      <c r="L135" s="148"/>
      <c r="M135" s="181">
        <f t="shared" ca="1" si="10"/>
        <v>0</v>
      </c>
      <c r="N135" s="57">
        <f t="shared" ca="1" si="11"/>
        <v>0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182" t="str">
        <f t="shared" ca="1" si="9"/>
        <v>Tổ Hạ tầng Tân Châu</v>
      </c>
      <c r="C136" s="61" t="str">
        <f t="shared" ca="1" si="2"/>
        <v>Hoàng Anh</v>
      </c>
      <c r="D136" s="239" t="str">
        <f t="shared" ca="1" si="3"/>
        <v>0917728470</v>
      </c>
      <c r="E136" s="63" t="str">
        <f t="shared" ca="1" si="4"/>
        <v>anhh.tnh@vnpt.vn</v>
      </c>
      <c r="F136" s="276" t="str">
        <f t="shared" ca="1" si="5"/>
        <v>Lần 2</v>
      </c>
      <c r="G136" s="112"/>
      <c r="H136" s="121"/>
      <c r="I136" s="121"/>
      <c r="J136" s="98"/>
      <c r="K136" s="98"/>
      <c r="L136" s="91"/>
      <c r="M136" s="184">
        <f t="shared" ca="1" si="10"/>
        <v>0</v>
      </c>
      <c r="N136" s="67">
        <f t="shared" ca="1" si="11"/>
        <v>0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182" t="str">
        <f t="shared" ca="1" si="9"/>
        <v>Tổ Hạ tầng Tân Châu</v>
      </c>
      <c r="C137" s="61" t="str">
        <f t="shared" ca="1" si="2"/>
        <v>Hoàng Anh</v>
      </c>
      <c r="D137" s="239" t="str">
        <f t="shared" ca="1" si="3"/>
        <v>0917728470</v>
      </c>
      <c r="E137" s="63" t="str">
        <f t="shared" ca="1" si="4"/>
        <v>anhh.tnh@vnpt.vn</v>
      </c>
      <c r="F137" s="276" t="str">
        <f t="shared" ca="1" si="5"/>
        <v>Lần 3</v>
      </c>
      <c r="G137" s="112"/>
      <c r="H137" s="121"/>
      <c r="I137" s="121"/>
      <c r="J137" s="99"/>
      <c r="K137" s="99"/>
      <c r="L137" s="91"/>
      <c r="M137" s="184">
        <f t="shared" ca="1" si="10"/>
        <v>0</v>
      </c>
      <c r="N137" s="67">
        <f t="shared" ca="1" si="11"/>
        <v>0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182" t="str">
        <f t="shared" ca="1" si="9"/>
        <v>Tổ Hạ tầng Tân Châu</v>
      </c>
      <c r="C138" s="61" t="str">
        <f t="shared" ca="1" si="2"/>
        <v>Hoàng Anh</v>
      </c>
      <c r="D138" s="239" t="str">
        <f t="shared" ca="1" si="3"/>
        <v>0917728470</v>
      </c>
      <c r="E138" s="63" t="str">
        <f t="shared" ca="1" si="4"/>
        <v>anhh.tnh@vnpt.vn</v>
      </c>
      <c r="F138" s="276" t="str">
        <f t="shared" ca="1" si="5"/>
        <v>Lần 4</v>
      </c>
      <c r="G138" s="112"/>
      <c r="H138" s="121"/>
      <c r="I138" s="121"/>
      <c r="J138" s="99"/>
      <c r="K138" s="99"/>
      <c r="L138" s="91"/>
      <c r="M138" s="184">
        <f t="shared" ca="1" si="10"/>
        <v>0</v>
      </c>
      <c r="N138" s="67">
        <f t="shared" ca="1" si="11"/>
        <v>0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182" t="str">
        <f t="shared" ca="1" si="9"/>
        <v>Tổ Hạ tầng Tân Châu</v>
      </c>
      <c r="C139" s="61" t="str">
        <f t="shared" ca="1" si="2"/>
        <v>Hoàng Anh</v>
      </c>
      <c r="D139" s="239" t="str">
        <f t="shared" ca="1" si="3"/>
        <v>0917728470</v>
      </c>
      <c r="E139" s="63" t="str">
        <f t="shared" ca="1" si="4"/>
        <v>anhh.tnh@vnpt.vn</v>
      </c>
      <c r="F139" s="276" t="str">
        <f t="shared" ca="1" si="5"/>
        <v>Lần 5</v>
      </c>
      <c r="G139" s="112"/>
      <c r="H139" s="122"/>
      <c r="I139" s="122"/>
      <c r="J139" s="98"/>
      <c r="K139" s="98"/>
      <c r="L139" s="91"/>
      <c r="M139" s="184">
        <f t="shared" ca="1" si="10"/>
        <v>0</v>
      </c>
      <c r="N139" s="67">
        <f t="shared" ca="1" si="11"/>
        <v>0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182" t="str">
        <f t="shared" ca="1" si="9"/>
        <v>Tổ Hạ tầng Tân Châu</v>
      </c>
      <c r="C140" s="61" t="str">
        <f t="shared" ca="1" si="2"/>
        <v>Hoàng Anh</v>
      </c>
      <c r="D140" s="239" t="str">
        <f t="shared" ca="1" si="3"/>
        <v>0917728470</v>
      </c>
      <c r="E140" s="63" t="str">
        <f t="shared" ca="1" si="4"/>
        <v>anhh.tnh@vnpt.vn</v>
      </c>
      <c r="F140" s="276" t="str">
        <f t="shared" ca="1" si="5"/>
        <v>Lần 6</v>
      </c>
      <c r="G140" s="112"/>
      <c r="H140" s="75"/>
      <c r="I140" s="75"/>
      <c r="J140" s="98"/>
      <c r="K140" s="98"/>
      <c r="L140" s="91"/>
      <c r="M140" s="184">
        <f t="shared" ca="1" si="10"/>
        <v>0</v>
      </c>
      <c r="N140" s="67">
        <f t="shared" ca="1" si="11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182" t="str">
        <f t="shared" ca="1" si="9"/>
        <v>Tổ Hạ tầng Tân Châu</v>
      </c>
      <c r="C141" s="61" t="str">
        <f t="shared" ca="1" si="2"/>
        <v>Hoàng Anh</v>
      </c>
      <c r="D141" s="239" t="str">
        <f t="shared" ca="1" si="3"/>
        <v>0917728470</v>
      </c>
      <c r="E141" s="63" t="str">
        <f t="shared" ca="1" si="4"/>
        <v>anhh.tnh@vnpt.vn</v>
      </c>
      <c r="F141" s="276" t="str">
        <f t="shared" ca="1" si="5"/>
        <v>Lần 7</v>
      </c>
      <c r="G141" s="112"/>
      <c r="H141" s="122"/>
      <c r="I141" s="122"/>
      <c r="J141" s="98"/>
      <c r="K141" s="98"/>
      <c r="L141" s="91"/>
      <c r="M141" s="184">
        <f t="shared" ca="1" si="10"/>
        <v>0</v>
      </c>
      <c r="N141" s="67">
        <f t="shared" ca="1" si="11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182" t="str">
        <f t="shared" ca="1" si="9"/>
        <v>Tổ Hạ tầng Tân Châu</v>
      </c>
      <c r="C142" s="61" t="str">
        <f t="shared" ca="1" si="2"/>
        <v>Hoàng Anh</v>
      </c>
      <c r="D142" s="239" t="str">
        <f t="shared" ca="1" si="3"/>
        <v>0917728470</v>
      </c>
      <c r="E142" s="63" t="str">
        <f t="shared" ca="1" si="4"/>
        <v>anhh.tnh@vnpt.vn</v>
      </c>
      <c r="F142" s="276" t="str">
        <f t="shared" ca="1" si="5"/>
        <v>Lần 8</v>
      </c>
      <c r="G142" s="112"/>
      <c r="H142" s="122"/>
      <c r="I142" s="122"/>
      <c r="J142" s="98"/>
      <c r="K142" s="98"/>
      <c r="L142" s="91"/>
      <c r="M142" s="184">
        <f t="shared" ca="1" si="10"/>
        <v>0</v>
      </c>
      <c r="N142" s="67">
        <f t="shared" ca="1" si="11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182" t="str">
        <f t="shared" ca="1" si="9"/>
        <v>Tổ Hạ tầng Tân Châu</v>
      </c>
      <c r="C143" s="61" t="str">
        <f t="shared" ca="1" si="2"/>
        <v>Hoàng Anh</v>
      </c>
      <c r="D143" s="239" t="str">
        <f t="shared" ca="1" si="3"/>
        <v>0917728470</v>
      </c>
      <c r="E143" s="63" t="str">
        <f t="shared" ca="1" si="4"/>
        <v>anhh.tnh@vnpt.vn</v>
      </c>
      <c r="F143" s="276" t="str">
        <f t="shared" ca="1" si="5"/>
        <v>Lần 9</v>
      </c>
      <c r="G143" s="112"/>
      <c r="H143" s="122"/>
      <c r="I143" s="122"/>
      <c r="J143" s="98"/>
      <c r="K143" s="98"/>
      <c r="L143" s="91"/>
      <c r="M143" s="184">
        <f t="shared" ca="1" si="10"/>
        <v>0</v>
      </c>
      <c r="N143" s="67">
        <f t="shared" ca="1" si="11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182" t="str">
        <f t="shared" ca="1" si="9"/>
        <v>Tổ Hạ tầng Tân Châu</v>
      </c>
      <c r="C144" s="61" t="str">
        <f t="shared" ca="1" si="2"/>
        <v>Hoàng Anh</v>
      </c>
      <c r="D144" s="239" t="str">
        <f t="shared" ca="1" si="3"/>
        <v>0917728470</v>
      </c>
      <c r="E144" s="63" t="str">
        <f t="shared" ca="1" si="4"/>
        <v>anhh.tnh@vnpt.vn</v>
      </c>
      <c r="F144" s="276" t="str">
        <f t="shared" ca="1" si="5"/>
        <v>Lần 10</v>
      </c>
      <c r="G144" s="112"/>
      <c r="H144" s="122"/>
      <c r="I144" s="122"/>
      <c r="J144" s="98"/>
      <c r="K144" s="98"/>
      <c r="L144" s="91"/>
      <c r="M144" s="184">
        <f t="shared" ca="1" si="10"/>
        <v>0</v>
      </c>
      <c r="N144" s="67">
        <f t="shared" ca="1" si="11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182" t="str">
        <f t="shared" ca="1" si="9"/>
        <v>Tổ Hạ tầng Tân Châu</v>
      </c>
      <c r="C145" s="61" t="str">
        <f t="shared" ca="1" si="2"/>
        <v>Hoàng Anh</v>
      </c>
      <c r="D145" s="239" t="str">
        <f t="shared" ca="1" si="3"/>
        <v>0917728470</v>
      </c>
      <c r="E145" s="63" t="str">
        <f t="shared" ca="1" si="4"/>
        <v>anhh.tnh@vnpt.vn</v>
      </c>
      <c r="F145" s="276" t="str">
        <f t="shared" ca="1" si="5"/>
        <v>Lần 11</v>
      </c>
      <c r="G145" s="112"/>
      <c r="H145" s="122"/>
      <c r="I145" s="122"/>
      <c r="J145" s="98"/>
      <c r="K145" s="98"/>
      <c r="L145" s="91"/>
      <c r="M145" s="184">
        <f t="shared" ca="1" si="10"/>
        <v>0</v>
      </c>
      <c r="N145" s="67">
        <f t="shared" ca="1" si="11"/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182" t="str">
        <f t="shared" ca="1" si="9"/>
        <v>Tổ Hạ tầng Tân Châu</v>
      </c>
      <c r="C146" s="61" t="str">
        <f t="shared" ca="1" si="2"/>
        <v>Hoàng Anh</v>
      </c>
      <c r="D146" s="239" t="str">
        <f t="shared" ca="1" si="3"/>
        <v>0917728470</v>
      </c>
      <c r="E146" s="63" t="str">
        <f t="shared" ca="1" si="4"/>
        <v>anhh.tnh@vnpt.vn</v>
      </c>
      <c r="F146" s="276" t="str">
        <f t="shared" ca="1" si="5"/>
        <v>Lần 12</v>
      </c>
      <c r="G146" s="112"/>
      <c r="H146" s="122"/>
      <c r="I146" s="122"/>
      <c r="J146" s="98"/>
      <c r="K146" s="98"/>
      <c r="L146" s="91"/>
      <c r="M146" s="184">
        <f t="shared" ca="1" si="10"/>
        <v>0</v>
      </c>
      <c r="N146" s="67">
        <f t="shared" ca="1" si="11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182" t="str">
        <f t="shared" ca="1" si="9"/>
        <v>Tổ Hạ tầng Tân Châu</v>
      </c>
      <c r="C147" s="61" t="str">
        <f t="shared" ca="1" si="2"/>
        <v>Hoàng Anh</v>
      </c>
      <c r="D147" s="239" t="str">
        <f t="shared" ca="1" si="3"/>
        <v>0917728470</v>
      </c>
      <c r="E147" s="63" t="str">
        <f t="shared" ca="1" si="4"/>
        <v>anhh.tnh@vnpt.vn</v>
      </c>
      <c r="F147" s="276" t="str">
        <f t="shared" ca="1" si="5"/>
        <v>Lần 13</v>
      </c>
      <c r="G147" s="112"/>
      <c r="H147" s="122"/>
      <c r="I147" s="122"/>
      <c r="J147" s="98"/>
      <c r="K147" s="98"/>
      <c r="L147" s="91"/>
      <c r="M147" s="184">
        <f t="shared" ca="1" si="10"/>
        <v>0</v>
      </c>
      <c r="N147" s="67">
        <f t="shared" ca="1" si="11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182" t="str">
        <f t="shared" ca="1" si="9"/>
        <v>Tổ Hạ tầng Tân Châu</v>
      </c>
      <c r="C148" s="61" t="str">
        <f t="shared" ca="1" si="2"/>
        <v>Hoàng Anh</v>
      </c>
      <c r="D148" s="239" t="str">
        <f t="shared" ca="1" si="3"/>
        <v>0917728470</v>
      </c>
      <c r="E148" s="63" t="str">
        <f t="shared" ca="1" si="4"/>
        <v>anhh.tnh@vnpt.vn</v>
      </c>
      <c r="F148" s="276" t="str">
        <f t="shared" ca="1" si="5"/>
        <v>Lần 14</v>
      </c>
      <c r="G148" s="112"/>
      <c r="H148" s="122"/>
      <c r="I148" s="122"/>
      <c r="J148" s="98"/>
      <c r="K148" s="98"/>
      <c r="L148" s="91"/>
      <c r="M148" s="184">
        <f t="shared" ca="1" si="10"/>
        <v>0</v>
      </c>
      <c r="N148" s="67">
        <f t="shared" ca="1" si="11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182" t="str">
        <f t="shared" ca="1" si="9"/>
        <v>Tổ Hạ tầng Tân Châu</v>
      </c>
      <c r="C149" s="61" t="str">
        <f t="shared" ca="1" si="2"/>
        <v>Hoàng Anh</v>
      </c>
      <c r="D149" s="239" t="str">
        <f t="shared" ca="1" si="3"/>
        <v>0917728470</v>
      </c>
      <c r="E149" s="63" t="str">
        <f t="shared" ca="1" si="4"/>
        <v>anhh.tnh@vnpt.vn</v>
      </c>
      <c r="F149" s="276" t="str">
        <f t="shared" ca="1" si="5"/>
        <v>Lần 15</v>
      </c>
      <c r="G149" s="112"/>
      <c r="H149" s="122"/>
      <c r="I149" s="122"/>
      <c r="J149" s="98"/>
      <c r="K149" s="98"/>
      <c r="L149" s="91"/>
      <c r="M149" s="184">
        <f t="shared" ca="1" si="10"/>
        <v>0</v>
      </c>
      <c r="N149" s="67">
        <f t="shared" ca="1" si="11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80">
        <f t="shared" ca="1" si="1"/>
        <v>144</v>
      </c>
      <c r="B150" s="185" t="str">
        <f t="shared" ca="1" si="9"/>
        <v>Tổ Hạ tầng Tân Châu</v>
      </c>
      <c r="C150" s="82" t="str">
        <f t="shared" ca="1" si="2"/>
        <v>Hoàng Anh</v>
      </c>
      <c r="D150" s="316" t="str">
        <f t="shared" ca="1" si="3"/>
        <v>0917728470</v>
      </c>
      <c r="E150" s="84" t="str">
        <f t="shared" ca="1" si="4"/>
        <v>anhh.tnh@vnpt.vn</v>
      </c>
      <c r="F150" s="309" t="str">
        <f t="shared" ca="1" si="5"/>
        <v>Lần 16</v>
      </c>
      <c r="G150" s="112"/>
      <c r="H150" s="122"/>
      <c r="I150" s="122"/>
      <c r="J150" s="98"/>
      <c r="K150" s="98"/>
      <c r="L150" s="152"/>
      <c r="M150" s="189">
        <f t="shared" ca="1" si="10"/>
        <v>0</v>
      </c>
      <c r="N150" s="171">
        <f t="shared" ca="1" si="11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46">
        <f t="shared" ca="1" si="1"/>
        <v>145</v>
      </c>
      <c r="B151" s="190" t="str">
        <f t="shared" ca="1" si="9"/>
        <v>Tổ Hạ tầng Tân Châu</v>
      </c>
      <c r="C151" s="48" t="str">
        <f t="shared" ca="1" si="2"/>
        <v>Huỳnh Quốc Thông</v>
      </c>
      <c r="D151" s="191">
        <f t="shared" ca="1" si="3"/>
        <v>913814958</v>
      </c>
      <c r="E151" s="50" t="str">
        <f t="shared" ca="1" si="4"/>
        <v>thonghq.tnh@vnpt.vn</v>
      </c>
      <c r="F151" s="307" t="str">
        <f t="shared" ca="1" si="5"/>
        <v>Lần 1</v>
      </c>
      <c r="G151" s="93"/>
      <c r="H151" s="71"/>
      <c r="I151" s="71"/>
      <c r="J151" s="94"/>
      <c r="K151" s="94"/>
      <c r="L151" s="216"/>
      <c r="M151" s="194">
        <f t="shared" ca="1" si="10"/>
        <v>0</v>
      </c>
      <c r="N151" s="195">
        <f t="shared" ca="1" si="11"/>
        <v>0</v>
      </c>
      <c r="O151" s="68">
        <f t="shared" ca="1" si="8"/>
        <v>0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182" t="str">
        <f t="shared" ca="1" si="9"/>
        <v>Tổ Hạ tầng Tân Châu</v>
      </c>
      <c r="C152" s="61" t="str">
        <f t="shared" ca="1" si="2"/>
        <v>Huỳnh Quốc Thông</v>
      </c>
      <c r="D152" s="183">
        <f t="shared" ca="1" si="3"/>
        <v>913814958</v>
      </c>
      <c r="E152" s="63" t="str">
        <f t="shared" ca="1" si="4"/>
        <v>thonghq.tnh@vnpt.vn</v>
      </c>
      <c r="F152" s="276" t="str">
        <f t="shared" ca="1" si="5"/>
        <v>Lần 2</v>
      </c>
      <c r="G152" s="93"/>
      <c r="H152" s="71"/>
      <c r="I152" s="71"/>
      <c r="J152" s="94"/>
      <c r="K152" s="94"/>
      <c r="L152" s="96"/>
      <c r="M152" s="184">
        <f t="shared" ca="1" si="10"/>
        <v>0</v>
      </c>
      <c r="N152" s="67">
        <f t="shared" ca="1" si="11"/>
        <v>0</v>
      </c>
      <c r="O152" s="68">
        <f t="shared" ca="1" si="8"/>
        <v>0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182" t="str">
        <f t="shared" ca="1" si="9"/>
        <v>Tổ Hạ tầng Tân Châu</v>
      </c>
      <c r="C153" s="61" t="str">
        <f t="shared" ca="1" si="2"/>
        <v>Huỳnh Quốc Thông</v>
      </c>
      <c r="D153" s="183">
        <f t="shared" ca="1" si="3"/>
        <v>913814958</v>
      </c>
      <c r="E153" s="63" t="str">
        <f t="shared" ca="1" si="4"/>
        <v>thonghq.tnh@vnpt.vn</v>
      </c>
      <c r="F153" s="276" t="str">
        <f t="shared" ca="1" si="5"/>
        <v>Lần 3</v>
      </c>
      <c r="G153" s="93"/>
      <c r="H153" s="71"/>
      <c r="I153" s="71"/>
      <c r="J153" s="94"/>
      <c r="K153" s="94"/>
      <c r="L153" s="96"/>
      <c r="M153" s="184">
        <f t="shared" ca="1" si="10"/>
        <v>0</v>
      </c>
      <c r="N153" s="67">
        <f t="shared" ca="1" si="11"/>
        <v>0</v>
      </c>
      <c r="O153" s="68">
        <f t="shared" ca="1" si="8"/>
        <v>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182" t="str">
        <f t="shared" ca="1" si="9"/>
        <v>Tổ Hạ tầng Tân Châu</v>
      </c>
      <c r="C154" s="61" t="str">
        <f t="shared" ca="1" si="2"/>
        <v>Huỳnh Quốc Thông</v>
      </c>
      <c r="D154" s="183">
        <f t="shared" ca="1" si="3"/>
        <v>913814958</v>
      </c>
      <c r="E154" s="63" t="str">
        <f t="shared" ca="1" si="4"/>
        <v>thonghq.tnh@vnpt.vn</v>
      </c>
      <c r="F154" s="276" t="str">
        <f t="shared" ca="1" si="5"/>
        <v>Lần 4</v>
      </c>
      <c r="G154" s="93"/>
      <c r="H154" s="71"/>
      <c r="I154" s="267"/>
      <c r="J154" s="94"/>
      <c r="K154" s="94"/>
      <c r="L154" s="96"/>
      <c r="M154" s="184">
        <f t="shared" ca="1" si="10"/>
        <v>0</v>
      </c>
      <c r="N154" s="67">
        <f t="shared" ca="1" si="11"/>
        <v>0</v>
      </c>
      <c r="O154" s="68">
        <f t="shared" ca="1" si="8"/>
        <v>0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182" t="str">
        <f t="shared" ca="1" si="9"/>
        <v>Tổ Hạ tầng Tân Châu</v>
      </c>
      <c r="C155" s="61" t="str">
        <f t="shared" ca="1" si="2"/>
        <v>Huỳnh Quốc Thông</v>
      </c>
      <c r="D155" s="183">
        <f t="shared" ca="1" si="3"/>
        <v>913814958</v>
      </c>
      <c r="E155" s="63" t="str">
        <f t="shared" ca="1" si="4"/>
        <v>thonghq.tnh@vnpt.vn</v>
      </c>
      <c r="F155" s="276" t="str">
        <f t="shared" ca="1" si="5"/>
        <v>Lần 5</v>
      </c>
      <c r="G155" s="93"/>
      <c r="H155" s="75"/>
      <c r="I155" s="75"/>
      <c r="J155" s="94"/>
      <c r="K155" s="94"/>
      <c r="L155" s="96"/>
      <c r="M155" s="184">
        <f t="shared" ca="1" si="10"/>
        <v>0</v>
      </c>
      <c r="N155" s="67">
        <f t="shared" ca="1" si="11"/>
        <v>0</v>
      </c>
      <c r="O155" s="68">
        <f t="shared" ca="1" si="8"/>
        <v>0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182" t="str">
        <f t="shared" ca="1" si="9"/>
        <v>Tổ Hạ tầng Tân Châu</v>
      </c>
      <c r="C156" s="61" t="str">
        <f t="shared" ca="1" si="2"/>
        <v>Huỳnh Quốc Thông</v>
      </c>
      <c r="D156" s="183">
        <f t="shared" ca="1" si="3"/>
        <v>913814958</v>
      </c>
      <c r="E156" s="63" t="str">
        <f t="shared" ca="1" si="4"/>
        <v>thonghq.tnh@vnpt.vn</v>
      </c>
      <c r="F156" s="276" t="str">
        <f t="shared" ca="1" si="5"/>
        <v>Lần 6</v>
      </c>
      <c r="G156" s="93"/>
      <c r="H156" s="314"/>
      <c r="I156" s="75"/>
      <c r="J156" s="94"/>
      <c r="K156" s="71"/>
      <c r="L156" s="96"/>
      <c r="M156" s="184">
        <f t="shared" ca="1" si="10"/>
        <v>0</v>
      </c>
      <c r="N156" s="67">
        <f t="shared" ca="1" si="11"/>
        <v>0</v>
      </c>
      <c r="O156" s="68">
        <f t="shared" ca="1" si="8"/>
        <v>0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182" t="str">
        <f t="shared" ca="1" si="9"/>
        <v>Tổ Hạ tầng Tân Châu</v>
      </c>
      <c r="C157" s="61" t="str">
        <f t="shared" ca="1" si="2"/>
        <v>Huỳnh Quốc Thông</v>
      </c>
      <c r="D157" s="183">
        <f t="shared" ca="1" si="3"/>
        <v>913814958</v>
      </c>
      <c r="E157" s="63" t="str">
        <f t="shared" ca="1" si="4"/>
        <v>thonghq.tnh@vnpt.vn</v>
      </c>
      <c r="F157" s="276" t="str">
        <f t="shared" ca="1" si="5"/>
        <v>Lần 7</v>
      </c>
      <c r="G157" s="93"/>
      <c r="H157" s="75"/>
      <c r="I157" s="75"/>
      <c r="J157" s="94"/>
      <c r="K157" s="94"/>
      <c r="L157" s="96"/>
      <c r="M157" s="184">
        <f t="shared" ca="1" si="10"/>
        <v>0</v>
      </c>
      <c r="N157" s="67">
        <f t="shared" ca="1" si="11"/>
        <v>0</v>
      </c>
      <c r="O157" s="68">
        <f t="shared" ca="1" si="8"/>
        <v>0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182" t="str">
        <f t="shared" ca="1" si="9"/>
        <v>Tổ Hạ tầng Tân Châu</v>
      </c>
      <c r="C158" s="61" t="str">
        <f t="shared" ca="1" si="2"/>
        <v>Huỳnh Quốc Thông</v>
      </c>
      <c r="D158" s="183">
        <f t="shared" ca="1" si="3"/>
        <v>913814958</v>
      </c>
      <c r="E158" s="63" t="str">
        <f t="shared" ca="1" si="4"/>
        <v>thonghq.tnh@vnpt.vn</v>
      </c>
      <c r="F158" s="276" t="str">
        <f t="shared" ca="1" si="5"/>
        <v>Lần 8</v>
      </c>
      <c r="G158" s="93"/>
      <c r="H158" s="75"/>
      <c r="I158" s="75"/>
      <c r="J158" s="94"/>
      <c r="K158" s="94"/>
      <c r="L158" s="96"/>
      <c r="M158" s="184">
        <f t="shared" ca="1" si="10"/>
        <v>0</v>
      </c>
      <c r="N158" s="67">
        <f t="shared" ca="1" si="11"/>
        <v>0</v>
      </c>
      <c r="O158" s="68">
        <f t="shared" ca="1" si="8"/>
        <v>0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182" t="str">
        <f t="shared" ca="1" si="9"/>
        <v>Tổ Hạ tầng Tân Châu</v>
      </c>
      <c r="C159" s="61" t="str">
        <f t="shared" ca="1" si="2"/>
        <v>Huỳnh Quốc Thông</v>
      </c>
      <c r="D159" s="183">
        <f t="shared" ca="1" si="3"/>
        <v>913814958</v>
      </c>
      <c r="E159" s="63" t="str">
        <f t="shared" ca="1" si="4"/>
        <v>thonghq.tnh@vnpt.vn</v>
      </c>
      <c r="F159" s="276" t="str">
        <f t="shared" ca="1" si="5"/>
        <v>Lần 9</v>
      </c>
      <c r="G159" s="93"/>
      <c r="H159" s="75"/>
      <c r="I159" s="75"/>
      <c r="J159" s="94"/>
      <c r="K159" s="94"/>
      <c r="L159" s="96"/>
      <c r="M159" s="184">
        <f t="shared" ca="1" si="10"/>
        <v>0</v>
      </c>
      <c r="N159" s="67">
        <f t="shared" ca="1" si="11"/>
        <v>0</v>
      </c>
      <c r="O159" s="68">
        <f t="shared" ca="1" si="8"/>
        <v>0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182" t="str">
        <f t="shared" ca="1" si="9"/>
        <v>Tổ Hạ tầng Tân Châu</v>
      </c>
      <c r="C160" s="61" t="str">
        <f t="shared" ca="1" si="2"/>
        <v>Huỳnh Quốc Thông</v>
      </c>
      <c r="D160" s="183">
        <f t="shared" ca="1" si="3"/>
        <v>913814958</v>
      </c>
      <c r="E160" s="63" t="str">
        <f t="shared" ca="1" si="4"/>
        <v>thonghq.tnh@vnpt.vn</v>
      </c>
      <c r="F160" s="276" t="str">
        <f t="shared" ca="1" si="5"/>
        <v>Lần 10</v>
      </c>
      <c r="G160" s="93"/>
      <c r="H160" s="75"/>
      <c r="I160" s="75"/>
      <c r="J160" s="94"/>
      <c r="K160" s="94"/>
      <c r="L160" s="96"/>
      <c r="M160" s="184">
        <f t="shared" ca="1" si="10"/>
        <v>0</v>
      </c>
      <c r="N160" s="67">
        <f t="shared" ca="1" si="11"/>
        <v>0</v>
      </c>
      <c r="O160" s="68">
        <f t="shared" ca="1" si="8"/>
        <v>0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182" t="str">
        <f t="shared" ca="1" si="9"/>
        <v>Tổ Hạ tầng Tân Châu</v>
      </c>
      <c r="C161" s="61" t="str">
        <f t="shared" ca="1" si="2"/>
        <v>Huỳnh Quốc Thông</v>
      </c>
      <c r="D161" s="183">
        <f t="shared" ca="1" si="3"/>
        <v>913814958</v>
      </c>
      <c r="E161" s="63" t="str">
        <f t="shared" ca="1" si="4"/>
        <v>thonghq.tnh@vnpt.vn</v>
      </c>
      <c r="F161" s="276" t="str">
        <f t="shared" ca="1" si="5"/>
        <v>Lần 11</v>
      </c>
      <c r="G161" s="93"/>
      <c r="H161" s="75"/>
      <c r="I161" s="240"/>
      <c r="J161" s="94"/>
      <c r="K161" s="267"/>
      <c r="L161" s="96"/>
      <c r="M161" s="184">
        <f t="shared" ca="1" si="10"/>
        <v>0</v>
      </c>
      <c r="N161" s="67">
        <f t="shared" ca="1" si="11"/>
        <v>0</v>
      </c>
      <c r="O161" s="68">
        <f t="shared" ca="1" si="8"/>
        <v>0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182" t="str">
        <f t="shared" ca="1" si="9"/>
        <v>Tổ Hạ tầng Tân Châu</v>
      </c>
      <c r="C162" s="61" t="str">
        <f t="shared" ca="1" si="2"/>
        <v>Huỳnh Quốc Thông</v>
      </c>
      <c r="D162" s="183">
        <f t="shared" ca="1" si="3"/>
        <v>913814958</v>
      </c>
      <c r="E162" s="63" t="str">
        <f t="shared" ca="1" si="4"/>
        <v>thonghq.tnh@vnpt.vn</v>
      </c>
      <c r="F162" s="276" t="str">
        <f t="shared" ca="1" si="5"/>
        <v>Lần 12</v>
      </c>
      <c r="G162" s="93"/>
      <c r="H162" s="75"/>
      <c r="I162" s="240"/>
      <c r="J162" s="94"/>
      <c r="K162" s="267"/>
      <c r="L162" s="96"/>
      <c r="M162" s="184">
        <f t="shared" ca="1" si="10"/>
        <v>0</v>
      </c>
      <c r="N162" s="67">
        <f t="shared" ca="1" si="11"/>
        <v>0</v>
      </c>
      <c r="O162" s="68">
        <f t="shared" ca="1" si="8"/>
        <v>0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182" t="str">
        <f t="shared" ca="1" si="9"/>
        <v>Tổ Hạ tầng Tân Châu</v>
      </c>
      <c r="C163" s="61" t="str">
        <f t="shared" ca="1" si="2"/>
        <v>Huỳnh Quốc Thông</v>
      </c>
      <c r="D163" s="183">
        <f t="shared" ca="1" si="3"/>
        <v>913814958</v>
      </c>
      <c r="E163" s="63" t="str">
        <f t="shared" ca="1" si="4"/>
        <v>thonghq.tnh@vnpt.vn</v>
      </c>
      <c r="F163" s="276" t="str">
        <f t="shared" ca="1" si="5"/>
        <v>Lần 13</v>
      </c>
      <c r="G163" s="93"/>
      <c r="H163" s="75"/>
      <c r="I163" s="75"/>
      <c r="J163" s="94"/>
      <c r="K163" s="94"/>
      <c r="L163" s="96"/>
      <c r="M163" s="184">
        <f t="shared" ca="1" si="10"/>
        <v>0</v>
      </c>
      <c r="N163" s="67">
        <f t="shared" ca="1" si="11"/>
        <v>0</v>
      </c>
      <c r="O163" s="68">
        <f t="shared" ca="1" si="8"/>
        <v>0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182" t="str">
        <f t="shared" ca="1" si="9"/>
        <v>Tổ Hạ tầng Tân Châu</v>
      </c>
      <c r="C164" s="61" t="str">
        <f t="shared" ca="1" si="2"/>
        <v>Huỳnh Quốc Thông</v>
      </c>
      <c r="D164" s="183">
        <f t="shared" ca="1" si="3"/>
        <v>913814958</v>
      </c>
      <c r="E164" s="63" t="str">
        <f t="shared" ca="1" si="4"/>
        <v>thonghq.tnh@vnpt.vn</v>
      </c>
      <c r="F164" s="276" t="str">
        <f t="shared" ca="1" si="5"/>
        <v>Lần 14</v>
      </c>
      <c r="G164" s="93"/>
      <c r="H164" s="75"/>
      <c r="I164" s="75"/>
      <c r="J164" s="94"/>
      <c r="K164" s="94"/>
      <c r="L164" s="96"/>
      <c r="M164" s="184">
        <f t="shared" ca="1" si="10"/>
        <v>0</v>
      </c>
      <c r="N164" s="67">
        <f t="shared" ca="1" si="11"/>
        <v>0</v>
      </c>
      <c r="O164" s="68">
        <f t="shared" ca="1" si="8"/>
        <v>0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182" t="str">
        <f t="shared" ca="1" si="9"/>
        <v>Tổ Hạ tầng Tân Châu</v>
      </c>
      <c r="C165" s="61" t="str">
        <f t="shared" ca="1" si="2"/>
        <v>Huỳnh Quốc Thông</v>
      </c>
      <c r="D165" s="183">
        <f t="shared" ca="1" si="3"/>
        <v>913814958</v>
      </c>
      <c r="E165" s="63" t="str">
        <f t="shared" ca="1" si="4"/>
        <v>thonghq.tnh@vnpt.vn</v>
      </c>
      <c r="F165" s="276" t="str">
        <f t="shared" ca="1" si="5"/>
        <v>Lần 15</v>
      </c>
      <c r="G165" s="93"/>
      <c r="H165" s="75"/>
      <c r="I165" s="75"/>
      <c r="J165" s="94"/>
      <c r="K165" s="94"/>
      <c r="L165" s="96"/>
      <c r="M165" s="184">
        <f t="shared" ca="1" si="10"/>
        <v>0</v>
      </c>
      <c r="N165" s="67">
        <f t="shared" ca="1" si="11"/>
        <v>0</v>
      </c>
      <c r="O165" s="68">
        <f t="shared" ca="1" si="8"/>
        <v>0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100">
        <f t="shared" ca="1" si="1"/>
        <v>160</v>
      </c>
      <c r="B166" s="196" t="str">
        <f t="shared" ca="1" si="9"/>
        <v>Tổ Hạ tầng Tân Châu</v>
      </c>
      <c r="C166" s="102" t="str">
        <f t="shared" ca="1" si="2"/>
        <v>Huỳnh Quốc Thông</v>
      </c>
      <c r="D166" s="197">
        <f t="shared" ca="1" si="3"/>
        <v>913814958</v>
      </c>
      <c r="E166" s="104" t="str">
        <f t="shared" ca="1" si="4"/>
        <v>thonghq.tnh@vnpt.vn</v>
      </c>
      <c r="F166" s="310" t="str">
        <f t="shared" ca="1" si="5"/>
        <v>Lần 16</v>
      </c>
      <c r="G166" s="93"/>
      <c r="H166" s="75"/>
      <c r="I166" s="75"/>
      <c r="J166" s="94"/>
      <c r="K166" s="94"/>
      <c r="L166" s="201"/>
      <c r="M166" s="202">
        <f t="shared" ca="1" si="10"/>
        <v>0</v>
      </c>
      <c r="N166" s="203">
        <f t="shared" ca="1" si="11"/>
        <v>0</v>
      </c>
      <c r="O166" s="68">
        <f t="shared" ca="1" si="8"/>
        <v>0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106">
        <f t="shared" ca="1" si="1"/>
        <v>161</v>
      </c>
      <c r="B167" s="204" t="str">
        <f t="shared" ca="1" si="9"/>
        <v>Tổ Hạ tầng Tân Châu</v>
      </c>
      <c r="C167" s="108" t="str">
        <f t="shared" ca="1" si="2"/>
        <v>Nguyễn Hoài Tâm</v>
      </c>
      <c r="D167" s="205">
        <f t="shared" ca="1" si="3"/>
        <v>944911212</v>
      </c>
      <c r="E167" s="110" t="str">
        <f t="shared" ca="1" si="4"/>
        <v>tamnh.tnh@vnpt.vn</v>
      </c>
      <c r="F167" s="311" t="str">
        <f t="shared" ca="1" si="5"/>
        <v>Lần 1</v>
      </c>
      <c r="G167" s="112">
        <v>46213</v>
      </c>
      <c r="H167" s="121">
        <v>90</v>
      </c>
      <c r="I167" s="121">
        <v>40</v>
      </c>
      <c r="J167" s="98">
        <v>87</v>
      </c>
      <c r="K167" s="98">
        <v>35</v>
      </c>
      <c r="L167" s="148"/>
      <c r="M167" s="181">
        <f t="shared" ca="1" si="10"/>
        <v>1</v>
      </c>
      <c r="N167" s="57">
        <f t="shared" ca="1" si="11"/>
        <v>1</v>
      </c>
      <c r="O167" s="68">
        <f t="shared" ca="1" si="8"/>
        <v>0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182" t="str">
        <f t="shared" ca="1" si="9"/>
        <v>Tổ Hạ tầng Tân Châu</v>
      </c>
      <c r="C168" s="61" t="str">
        <f t="shared" ca="1" si="2"/>
        <v>Nguyễn Hoài Tâm</v>
      </c>
      <c r="D168" s="183">
        <f t="shared" ca="1" si="3"/>
        <v>944911212</v>
      </c>
      <c r="E168" s="63" t="str">
        <f t="shared" ca="1" si="4"/>
        <v>tamnh.tnh@vnpt.vn</v>
      </c>
      <c r="F168" s="276" t="str">
        <f t="shared" ca="1" si="5"/>
        <v>Lần 2</v>
      </c>
      <c r="G168" s="112">
        <v>46213</v>
      </c>
      <c r="H168" s="121">
        <v>213</v>
      </c>
      <c r="I168" s="121">
        <v>35</v>
      </c>
      <c r="J168" s="98">
        <v>209</v>
      </c>
      <c r="K168" s="98">
        <v>39</v>
      </c>
      <c r="L168" s="91"/>
      <c r="M168" s="181">
        <f t="shared" ca="1" si="10"/>
        <v>1</v>
      </c>
      <c r="N168" s="57">
        <f t="shared" ca="1" si="11"/>
        <v>1</v>
      </c>
      <c r="O168" s="68">
        <f t="shared" ca="1" si="8"/>
        <v>1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182" t="str">
        <f t="shared" ca="1" si="9"/>
        <v>Tổ Hạ tầng Tân Châu</v>
      </c>
      <c r="C169" s="61" t="str">
        <f t="shared" ca="1" si="2"/>
        <v>Nguyễn Hoài Tâm</v>
      </c>
      <c r="D169" s="183">
        <f t="shared" ca="1" si="3"/>
        <v>944911212</v>
      </c>
      <c r="E169" s="63" t="str">
        <f t="shared" ca="1" si="4"/>
        <v>tamnh.tnh@vnpt.vn</v>
      </c>
      <c r="F169" s="276" t="str">
        <f t="shared" ca="1" si="5"/>
        <v>Lần 3</v>
      </c>
      <c r="G169" s="112">
        <v>46213</v>
      </c>
      <c r="H169" s="121">
        <v>241</v>
      </c>
      <c r="I169" s="121">
        <v>37</v>
      </c>
      <c r="J169" s="99">
        <v>234</v>
      </c>
      <c r="K169" s="99">
        <v>25</v>
      </c>
      <c r="L169" s="91"/>
      <c r="M169" s="184">
        <f ca="1">IF(B169="","",IF(OR(G168="",H169="",I169=""),0,1))</f>
        <v>1</v>
      </c>
      <c r="N169" s="67">
        <f ca="1">IF(B169="","",IF(OR(G168="",J169="",K169=""),0,1))</f>
        <v>1</v>
      </c>
      <c r="O169" s="68">
        <f t="shared" ca="1" si="8"/>
        <v>1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182" t="str">
        <f t="shared" ca="1" si="9"/>
        <v>Tổ Hạ tầng Tân Châu</v>
      </c>
      <c r="C170" s="61" t="str">
        <f t="shared" ca="1" si="2"/>
        <v>Nguyễn Hoài Tâm</v>
      </c>
      <c r="D170" s="183">
        <f t="shared" ca="1" si="3"/>
        <v>944911212</v>
      </c>
      <c r="E170" s="63" t="str">
        <f t="shared" ca="1" si="4"/>
        <v>tamnh.tnh@vnpt.vn</v>
      </c>
      <c r="F170" s="276" t="str">
        <f t="shared" ca="1" si="5"/>
        <v>Lần 4</v>
      </c>
      <c r="G170" s="112">
        <v>46213</v>
      </c>
      <c r="H170" s="121">
        <v>215</v>
      </c>
      <c r="I170" s="121">
        <v>47</v>
      </c>
      <c r="J170" s="99">
        <v>213</v>
      </c>
      <c r="K170" s="99">
        <v>34</v>
      </c>
      <c r="L170" s="91"/>
      <c r="M170" s="184">
        <f t="shared" ref="M170:M262" ca="1" si="12">IF(B170="","",IF(OR(G170="",H170="",I170=""),0,1))</f>
        <v>1</v>
      </c>
      <c r="N170" s="67">
        <f t="shared" ref="N170:N262" ca="1" si="13">IF(B170="","",IF(OR(G170="",J170="",K170=""),0,1))</f>
        <v>1</v>
      </c>
      <c r="O170" s="68">
        <f t="shared" ca="1" si="8"/>
        <v>1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182" t="str">
        <f t="shared" ca="1" si="9"/>
        <v>Tổ Hạ tầng Tân Châu</v>
      </c>
      <c r="C171" s="61" t="str">
        <f t="shared" ca="1" si="2"/>
        <v>Nguyễn Hoài Tâm</v>
      </c>
      <c r="D171" s="183">
        <f t="shared" ca="1" si="3"/>
        <v>944911212</v>
      </c>
      <c r="E171" s="63" t="str">
        <f t="shared" ca="1" si="4"/>
        <v>tamnh.tnh@vnpt.vn</v>
      </c>
      <c r="F171" s="276" t="str">
        <f t="shared" ca="1" si="5"/>
        <v>Lần 5</v>
      </c>
      <c r="G171" s="112">
        <v>46213</v>
      </c>
      <c r="H171" s="122">
        <v>280</v>
      </c>
      <c r="I171" s="122">
        <v>50</v>
      </c>
      <c r="J171" s="98">
        <v>268</v>
      </c>
      <c r="K171" s="98">
        <v>53</v>
      </c>
      <c r="L171" s="91"/>
      <c r="M171" s="184">
        <f t="shared" ca="1" si="12"/>
        <v>1</v>
      </c>
      <c r="N171" s="67">
        <f t="shared" ca="1" si="13"/>
        <v>1</v>
      </c>
      <c r="O171" s="68">
        <f t="shared" ca="1" si="8"/>
        <v>1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182" t="str">
        <f t="shared" ca="1" si="9"/>
        <v>Tổ Hạ tầng Tân Châu</v>
      </c>
      <c r="C172" s="61" t="str">
        <f t="shared" ca="1" si="2"/>
        <v>Nguyễn Hoài Tâm</v>
      </c>
      <c r="D172" s="183">
        <f t="shared" ca="1" si="3"/>
        <v>944911212</v>
      </c>
      <c r="E172" s="63" t="str">
        <f t="shared" ca="1" si="4"/>
        <v>tamnh.tnh@vnpt.vn</v>
      </c>
      <c r="F172" s="276" t="str">
        <f t="shared" ca="1" si="5"/>
        <v>Lần 6</v>
      </c>
      <c r="G172" s="112">
        <v>46213</v>
      </c>
      <c r="H172" s="122">
        <v>242</v>
      </c>
      <c r="I172" s="122">
        <v>58</v>
      </c>
      <c r="J172" s="98">
        <v>251</v>
      </c>
      <c r="K172" s="98">
        <v>50</v>
      </c>
      <c r="L172" s="91"/>
      <c r="M172" s="184">
        <f t="shared" ca="1" si="12"/>
        <v>1</v>
      </c>
      <c r="N172" s="67">
        <f t="shared" ca="1" si="13"/>
        <v>1</v>
      </c>
      <c r="O172" s="68">
        <f t="shared" ca="1" si="8"/>
        <v>1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182" t="str">
        <f t="shared" ca="1" si="9"/>
        <v>Tổ Hạ tầng Tân Châu</v>
      </c>
      <c r="C173" s="61" t="str">
        <f t="shared" ca="1" si="2"/>
        <v>Nguyễn Hoài Tâm</v>
      </c>
      <c r="D173" s="183">
        <f t="shared" ca="1" si="3"/>
        <v>944911212</v>
      </c>
      <c r="E173" s="63" t="str">
        <f t="shared" ca="1" si="4"/>
        <v>tamnh.tnh@vnpt.vn</v>
      </c>
      <c r="F173" s="276" t="str">
        <f t="shared" ca="1" si="5"/>
        <v>Lần 7</v>
      </c>
      <c r="G173" s="112">
        <v>46213</v>
      </c>
      <c r="H173" s="122">
        <v>206</v>
      </c>
      <c r="I173" s="122">
        <v>59</v>
      </c>
      <c r="J173" s="98">
        <v>210</v>
      </c>
      <c r="K173" s="98">
        <v>57</v>
      </c>
      <c r="L173" s="91"/>
      <c r="M173" s="184">
        <f t="shared" ca="1" si="12"/>
        <v>1</v>
      </c>
      <c r="N173" s="67">
        <f t="shared" ca="1" si="13"/>
        <v>1</v>
      </c>
      <c r="O173" s="68">
        <f t="shared" ca="1" si="8"/>
        <v>1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182" t="str">
        <f t="shared" ca="1" si="9"/>
        <v>Tổ Hạ tầng Tân Châu</v>
      </c>
      <c r="C174" s="61" t="str">
        <f t="shared" ca="1" si="2"/>
        <v>Nguyễn Hoài Tâm</v>
      </c>
      <c r="D174" s="183">
        <f t="shared" ca="1" si="3"/>
        <v>944911212</v>
      </c>
      <c r="E174" s="63" t="str">
        <f t="shared" ca="1" si="4"/>
        <v>tamnh.tnh@vnpt.vn</v>
      </c>
      <c r="F174" s="276" t="str">
        <f t="shared" ca="1" si="5"/>
        <v>Lần 8</v>
      </c>
      <c r="G174" s="112">
        <v>46213</v>
      </c>
      <c r="H174" s="122">
        <v>215</v>
      </c>
      <c r="I174" s="122">
        <v>63</v>
      </c>
      <c r="J174" s="98">
        <v>222</v>
      </c>
      <c r="K174" s="98">
        <v>51</v>
      </c>
      <c r="L174" s="91"/>
      <c r="M174" s="184">
        <f t="shared" ca="1" si="12"/>
        <v>1</v>
      </c>
      <c r="N174" s="67">
        <f t="shared" ca="1" si="13"/>
        <v>1</v>
      </c>
      <c r="O174" s="68">
        <f t="shared" ca="1" si="8"/>
        <v>1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182" t="str">
        <f t="shared" ca="1" si="9"/>
        <v>Tổ Hạ tầng Tân Châu</v>
      </c>
      <c r="C175" s="61" t="str">
        <f t="shared" ca="1" si="2"/>
        <v>Nguyễn Hoài Tâm</v>
      </c>
      <c r="D175" s="183">
        <f t="shared" ca="1" si="3"/>
        <v>944911212</v>
      </c>
      <c r="E175" s="63" t="str">
        <f t="shared" ca="1" si="4"/>
        <v>tamnh.tnh@vnpt.vn</v>
      </c>
      <c r="F175" s="276" t="str">
        <f t="shared" ca="1" si="5"/>
        <v>Lần 9</v>
      </c>
      <c r="G175" s="112"/>
      <c r="H175" s="122"/>
      <c r="I175" s="122"/>
      <c r="J175" s="98"/>
      <c r="K175" s="98"/>
      <c r="L175" s="91"/>
      <c r="M175" s="184">
        <f t="shared" ca="1" si="12"/>
        <v>0</v>
      </c>
      <c r="N175" s="67">
        <f t="shared" ca="1" si="13"/>
        <v>0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182" t="str">
        <f t="shared" ca="1" si="9"/>
        <v>Tổ Hạ tầng Tân Châu</v>
      </c>
      <c r="C176" s="61" t="str">
        <f t="shared" ca="1" si="2"/>
        <v>Nguyễn Hoài Tâm</v>
      </c>
      <c r="D176" s="183">
        <f t="shared" ca="1" si="3"/>
        <v>944911212</v>
      </c>
      <c r="E176" s="63" t="str">
        <f t="shared" ca="1" si="4"/>
        <v>tamnh.tnh@vnpt.vn</v>
      </c>
      <c r="F176" s="276" t="str">
        <f t="shared" ca="1" si="5"/>
        <v>Lần 10</v>
      </c>
      <c r="G176" s="112"/>
      <c r="H176" s="122"/>
      <c r="I176" s="122"/>
      <c r="J176" s="98"/>
      <c r="K176" s="98"/>
      <c r="L176" s="91"/>
      <c r="M176" s="184">
        <f t="shared" ca="1" si="12"/>
        <v>0</v>
      </c>
      <c r="N176" s="67">
        <f t="shared" ca="1" si="13"/>
        <v>0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182" t="str">
        <f t="shared" ca="1" si="9"/>
        <v>Tổ Hạ tầng Tân Châu</v>
      </c>
      <c r="C177" s="61" t="str">
        <f t="shared" ca="1" si="2"/>
        <v>Nguyễn Hoài Tâm</v>
      </c>
      <c r="D177" s="183">
        <f t="shared" ca="1" si="3"/>
        <v>944911212</v>
      </c>
      <c r="E177" s="63" t="str">
        <f t="shared" ca="1" si="4"/>
        <v>tamnh.tnh@vnpt.vn</v>
      </c>
      <c r="F177" s="276" t="str">
        <f t="shared" ca="1" si="5"/>
        <v>Lần 11</v>
      </c>
      <c r="G177" s="112"/>
      <c r="H177" s="122"/>
      <c r="I177" s="122"/>
      <c r="J177" s="98"/>
      <c r="K177" s="98"/>
      <c r="L177" s="91"/>
      <c r="M177" s="184">
        <f t="shared" ca="1" si="12"/>
        <v>0</v>
      </c>
      <c r="N177" s="67">
        <f t="shared" ca="1" si="13"/>
        <v>0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182" t="str">
        <f t="shared" ca="1" si="9"/>
        <v>Tổ Hạ tầng Tân Châu</v>
      </c>
      <c r="C178" s="61" t="str">
        <f t="shared" ca="1" si="2"/>
        <v>Nguyễn Hoài Tâm</v>
      </c>
      <c r="D178" s="183">
        <f t="shared" ca="1" si="3"/>
        <v>944911212</v>
      </c>
      <c r="E178" s="63" t="str">
        <f t="shared" ca="1" si="4"/>
        <v>tamnh.tnh@vnpt.vn</v>
      </c>
      <c r="F178" s="276" t="str">
        <f t="shared" ca="1" si="5"/>
        <v>Lần 12</v>
      </c>
      <c r="G178" s="112"/>
      <c r="H178" s="122"/>
      <c r="I178" s="122"/>
      <c r="J178" s="98"/>
      <c r="K178" s="98"/>
      <c r="L178" s="91"/>
      <c r="M178" s="184">
        <f t="shared" ca="1" si="12"/>
        <v>0</v>
      </c>
      <c r="N178" s="67">
        <f t="shared" ca="1" si="13"/>
        <v>0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182" t="str">
        <f t="shared" ca="1" si="9"/>
        <v>Tổ Hạ tầng Tân Châu</v>
      </c>
      <c r="C179" s="61" t="str">
        <f t="shared" ca="1" si="2"/>
        <v>Nguyễn Hoài Tâm</v>
      </c>
      <c r="D179" s="183">
        <f t="shared" ca="1" si="3"/>
        <v>944911212</v>
      </c>
      <c r="E179" s="63" t="str">
        <f t="shared" ca="1" si="4"/>
        <v>tamnh.tnh@vnpt.vn</v>
      </c>
      <c r="F179" s="276" t="str">
        <f t="shared" ca="1" si="5"/>
        <v>Lần 13</v>
      </c>
      <c r="G179" s="112"/>
      <c r="H179" s="122"/>
      <c r="I179" s="122"/>
      <c r="J179" s="98"/>
      <c r="K179" s="98"/>
      <c r="L179" s="91"/>
      <c r="M179" s="184">
        <f t="shared" ca="1" si="12"/>
        <v>0</v>
      </c>
      <c r="N179" s="67">
        <f t="shared" ca="1" si="13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182" t="str">
        <f t="shared" ca="1" si="9"/>
        <v>Tổ Hạ tầng Tân Châu</v>
      </c>
      <c r="C180" s="61" t="str">
        <f t="shared" ca="1" si="2"/>
        <v>Nguyễn Hoài Tâm</v>
      </c>
      <c r="D180" s="183">
        <f t="shared" ca="1" si="3"/>
        <v>944911212</v>
      </c>
      <c r="E180" s="63" t="str">
        <f t="shared" ca="1" si="4"/>
        <v>tamnh.tnh@vnpt.vn</v>
      </c>
      <c r="F180" s="276" t="str">
        <f t="shared" ca="1" si="5"/>
        <v>Lần 14</v>
      </c>
      <c r="G180" s="112"/>
      <c r="H180" s="122"/>
      <c r="I180" s="122"/>
      <c r="J180" s="98"/>
      <c r="K180" s="98"/>
      <c r="L180" s="91"/>
      <c r="M180" s="184">
        <f t="shared" ca="1" si="12"/>
        <v>0</v>
      </c>
      <c r="N180" s="67">
        <f t="shared" ca="1" si="13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182" t="str">
        <f t="shared" ca="1" si="9"/>
        <v>Tổ Hạ tầng Tân Châu</v>
      </c>
      <c r="C181" s="61" t="str">
        <f t="shared" ca="1" si="2"/>
        <v>Nguyễn Hoài Tâm</v>
      </c>
      <c r="D181" s="183">
        <f t="shared" ca="1" si="3"/>
        <v>944911212</v>
      </c>
      <c r="E181" s="63" t="str">
        <f t="shared" ca="1" si="4"/>
        <v>tamnh.tnh@vnpt.vn</v>
      </c>
      <c r="F181" s="276" t="str">
        <f t="shared" ca="1" si="5"/>
        <v>Lần 15</v>
      </c>
      <c r="G181" s="112"/>
      <c r="H181" s="122"/>
      <c r="I181" s="122"/>
      <c r="J181" s="98"/>
      <c r="K181" s="98"/>
      <c r="L181" s="91"/>
      <c r="M181" s="184">
        <f t="shared" ca="1" si="12"/>
        <v>0</v>
      </c>
      <c r="N181" s="67">
        <f t="shared" ca="1" si="13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80">
        <f t="shared" ca="1" si="1"/>
        <v>176</v>
      </c>
      <c r="B182" s="185" t="str">
        <f t="shared" ca="1" si="9"/>
        <v>Tổ Hạ tầng Tân Châu</v>
      </c>
      <c r="C182" s="82" t="str">
        <f t="shared" ca="1" si="2"/>
        <v>Nguyễn Hoài Tâm</v>
      </c>
      <c r="D182" s="186">
        <f t="shared" ca="1" si="3"/>
        <v>944911212</v>
      </c>
      <c r="E182" s="84" t="str">
        <f t="shared" ca="1" si="4"/>
        <v>tamnh.tnh@vnpt.vn</v>
      </c>
      <c r="F182" s="309" t="str">
        <f t="shared" ca="1" si="5"/>
        <v>Lần 16</v>
      </c>
      <c r="G182" s="112"/>
      <c r="H182" s="122"/>
      <c r="I182" s="122"/>
      <c r="J182" s="98"/>
      <c r="K182" s="98"/>
      <c r="L182" s="152"/>
      <c r="M182" s="189">
        <f t="shared" ca="1" si="12"/>
        <v>0</v>
      </c>
      <c r="N182" s="171">
        <f t="shared" ca="1" si="13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46">
        <f t="shared" ca="1" si="1"/>
        <v>177</v>
      </c>
      <c r="B183" s="190" t="str">
        <f t="shared" ca="1" si="9"/>
        <v>Tổ Hạ tầng Tân Châu</v>
      </c>
      <c r="C183" s="48" t="str">
        <f t="shared" ca="1" si="2"/>
        <v>Phạm Đức Nguyên</v>
      </c>
      <c r="D183" s="191">
        <f t="shared" ca="1" si="3"/>
        <v>916014541</v>
      </c>
      <c r="E183" s="50" t="str">
        <f t="shared" ca="1" si="4"/>
        <v>nguyenpd.tnh@vnpt.vn</v>
      </c>
      <c r="F183" s="307" t="str">
        <f t="shared" ca="1" si="5"/>
        <v>Lần 1</v>
      </c>
      <c r="G183" s="93"/>
      <c r="H183" s="71"/>
      <c r="I183" s="71"/>
      <c r="J183" s="71"/>
      <c r="K183" s="71"/>
      <c r="L183" s="193"/>
      <c r="M183" s="194">
        <f t="shared" ca="1" si="12"/>
        <v>0</v>
      </c>
      <c r="N183" s="195">
        <f t="shared" ca="1" si="13"/>
        <v>0</v>
      </c>
      <c r="O183" s="68">
        <f t="shared" ca="1" si="8"/>
        <v>0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182" t="str">
        <f t="shared" ca="1" si="9"/>
        <v>Tổ Hạ tầng Tân Châu</v>
      </c>
      <c r="C184" s="61" t="str">
        <f t="shared" ca="1" si="2"/>
        <v>Phạm Đức Nguyên</v>
      </c>
      <c r="D184" s="183">
        <f t="shared" ca="1" si="3"/>
        <v>916014541</v>
      </c>
      <c r="E184" s="63" t="str">
        <f t="shared" ca="1" si="4"/>
        <v>nguyenpd.tnh@vnpt.vn</v>
      </c>
      <c r="F184" s="276" t="str">
        <f t="shared" ca="1" si="5"/>
        <v>Lần 2</v>
      </c>
      <c r="G184" s="93"/>
      <c r="H184" s="71"/>
      <c r="I184" s="71"/>
      <c r="J184" s="71"/>
      <c r="K184" s="71"/>
      <c r="L184" s="95"/>
      <c r="M184" s="184">
        <f t="shared" ca="1" si="12"/>
        <v>0</v>
      </c>
      <c r="N184" s="67">
        <f t="shared" ca="1" si="13"/>
        <v>0</v>
      </c>
      <c r="O184" s="68">
        <f t="shared" ca="1" si="8"/>
        <v>0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182" t="str">
        <f t="shared" ca="1" si="9"/>
        <v>Tổ Hạ tầng Tân Châu</v>
      </c>
      <c r="C185" s="61" t="str">
        <f t="shared" ca="1" si="2"/>
        <v>Phạm Đức Nguyên</v>
      </c>
      <c r="D185" s="183">
        <f t="shared" ca="1" si="3"/>
        <v>916014541</v>
      </c>
      <c r="E185" s="63" t="str">
        <f t="shared" ca="1" si="4"/>
        <v>nguyenpd.tnh@vnpt.vn</v>
      </c>
      <c r="F185" s="276" t="str">
        <f t="shared" ca="1" si="5"/>
        <v>Lần 3</v>
      </c>
      <c r="G185" s="93"/>
      <c r="H185" s="71"/>
      <c r="I185" s="71"/>
      <c r="J185" s="94"/>
      <c r="K185" s="94"/>
      <c r="L185" s="95"/>
      <c r="M185" s="184">
        <f t="shared" ca="1" si="12"/>
        <v>0</v>
      </c>
      <c r="N185" s="67">
        <f t="shared" ca="1" si="13"/>
        <v>0</v>
      </c>
      <c r="O185" s="68">
        <f t="shared" ca="1" si="8"/>
        <v>0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182" t="str">
        <f t="shared" ca="1" si="9"/>
        <v>Tổ Hạ tầng Tân Châu</v>
      </c>
      <c r="C186" s="61" t="str">
        <f t="shared" ca="1" si="2"/>
        <v>Phạm Đức Nguyên</v>
      </c>
      <c r="D186" s="183">
        <f t="shared" ca="1" si="3"/>
        <v>916014541</v>
      </c>
      <c r="E186" s="63" t="str">
        <f t="shared" ca="1" si="4"/>
        <v>nguyenpd.tnh@vnpt.vn</v>
      </c>
      <c r="F186" s="276" t="str">
        <f t="shared" ca="1" si="5"/>
        <v>Lần 4</v>
      </c>
      <c r="G186" s="93"/>
      <c r="H186" s="71"/>
      <c r="I186" s="71"/>
      <c r="J186" s="71"/>
      <c r="K186" s="71"/>
      <c r="L186" s="95"/>
      <c r="M186" s="184">
        <f t="shared" ca="1" si="12"/>
        <v>0</v>
      </c>
      <c r="N186" s="67">
        <f t="shared" ca="1" si="13"/>
        <v>0</v>
      </c>
      <c r="O186" s="68">
        <f t="shared" ca="1" si="8"/>
        <v>0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182" t="str">
        <f t="shared" ca="1" si="9"/>
        <v>Tổ Hạ tầng Tân Châu</v>
      </c>
      <c r="C187" s="61" t="str">
        <f t="shared" ca="1" si="2"/>
        <v>Phạm Đức Nguyên</v>
      </c>
      <c r="D187" s="183">
        <f t="shared" ca="1" si="3"/>
        <v>916014541</v>
      </c>
      <c r="E187" s="63" t="str">
        <f t="shared" ca="1" si="4"/>
        <v>nguyenpd.tnh@vnpt.vn</v>
      </c>
      <c r="F187" s="276" t="str">
        <f t="shared" ca="1" si="5"/>
        <v>Lần 5</v>
      </c>
      <c r="G187" s="93"/>
      <c r="H187" s="75"/>
      <c r="I187" s="75"/>
      <c r="J187" s="94"/>
      <c r="K187" s="94"/>
      <c r="L187" s="95"/>
      <c r="M187" s="184">
        <f t="shared" ca="1" si="12"/>
        <v>0</v>
      </c>
      <c r="N187" s="67">
        <f t="shared" ca="1" si="13"/>
        <v>0</v>
      </c>
      <c r="O187" s="68">
        <f t="shared" ca="1" si="8"/>
        <v>0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182" t="str">
        <f t="shared" ca="1" si="9"/>
        <v>Tổ Hạ tầng Tân Châu</v>
      </c>
      <c r="C188" s="61" t="str">
        <f t="shared" ca="1" si="2"/>
        <v>Phạm Đức Nguyên</v>
      </c>
      <c r="D188" s="183">
        <f t="shared" ca="1" si="3"/>
        <v>916014541</v>
      </c>
      <c r="E188" s="63" t="str">
        <f t="shared" ca="1" si="4"/>
        <v>nguyenpd.tnh@vnpt.vn</v>
      </c>
      <c r="F188" s="276" t="str">
        <f t="shared" ca="1" si="5"/>
        <v>Lần 6</v>
      </c>
      <c r="G188" s="93"/>
      <c r="H188" s="75"/>
      <c r="I188" s="75"/>
      <c r="J188" s="94"/>
      <c r="K188" s="94"/>
      <c r="L188" s="95"/>
      <c r="M188" s="184">
        <f t="shared" ca="1" si="12"/>
        <v>0</v>
      </c>
      <c r="N188" s="67">
        <f t="shared" ca="1" si="13"/>
        <v>0</v>
      </c>
      <c r="O188" s="68">
        <f t="shared" ca="1" si="8"/>
        <v>0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182" t="str">
        <f t="shared" ca="1" si="9"/>
        <v>Tổ Hạ tầng Tân Châu</v>
      </c>
      <c r="C189" s="61" t="str">
        <f t="shared" ca="1" si="2"/>
        <v>Phạm Đức Nguyên</v>
      </c>
      <c r="D189" s="183">
        <f t="shared" ca="1" si="3"/>
        <v>916014541</v>
      </c>
      <c r="E189" s="63" t="str">
        <f t="shared" ca="1" si="4"/>
        <v>nguyenpd.tnh@vnpt.vn</v>
      </c>
      <c r="F189" s="276" t="str">
        <f t="shared" ca="1" si="5"/>
        <v>Lần 7</v>
      </c>
      <c r="G189" s="93"/>
      <c r="H189" s="75"/>
      <c r="I189" s="75"/>
      <c r="J189" s="94"/>
      <c r="K189" s="94"/>
      <c r="L189" s="95"/>
      <c r="M189" s="184">
        <f t="shared" ca="1" si="12"/>
        <v>0</v>
      </c>
      <c r="N189" s="67">
        <f t="shared" ca="1" si="13"/>
        <v>0</v>
      </c>
      <c r="O189" s="68">
        <f t="shared" ca="1" si="8"/>
        <v>0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182" t="str">
        <f t="shared" ca="1" si="9"/>
        <v>Tổ Hạ tầng Tân Châu</v>
      </c>
      <c r="C190" s="61" t="str">
        <f t="shared" ca="1" si="2"/>
        <v>Phạm Đức Nguyên</v>
      </c>
      <c r="D190" s="183">
        <f t="shared" ca="1" si="3"/>
        <v>916014541</v>
      </c>
      <c r="E190" s="63" t="str">
        <f t="shared" ca="1" si="4"/>
        <v>nguyenpd.tnh@vnpt.vn</v>
      </c>
      <c r="F190" s="276" t="str">
        <f t="shared" ca="1" si="5"/>
        <v>Lần 8</v>
      </c>
      <c r="G190" s="93"/>
      <c r="H190" s="75"/>
      <c r="I190" s="75"/>
      <c r="J190" s="94"/>
      <c r="K190" s="94"/>
      <c r="L190" s="95"/>
      <c r="M190" s="184">
        <f t="shared" ca="1" si="12"/>
        <v>0</v>
      </c>
      <c r="N190" s="67">
        <f t="shared" ca="1" si="13"/>
        <v>0</v>
      </c>
      <c r="O190" s="68">
        <f t="shared" ca="1" si="8"/>
        <v>0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182" t="str">
        <f t="shared" ca="1" si="9"/>
        <v>Tổ Hạ tầng Tân Châu</v>
      </c>
      <c r="C191" s="61" t="str">
        <f t="shared" ca="1" si="2"/>
        <v>Phạm Đức Nguyên</v>
      </c>
      <c r="D191" s="183">
        <f t="shared" ca="1" si="3"/>
        <v>916014541</v>
      </c>
      <c r="E191" s="63" t="str">
        <f t="shared" ca="1" si="4"/>
        <v>nguyenpd.tnh@vnpt.vn</v>
      </c>
      <c r="F191" s="276" t="str">
        <f t="shared" ca="1" si="5"/>
        <v>Lần 9</v>
      </c>
      <c r="G191" s="93"/>
      <c r="H191" s="75"/>
      <c r="I191" s="75"/>
      <c r="J191" s="94"/>
      <c r="K191" s="94"/>
      <c r="L191" s="95"/>
      <c r="M191" s="184">
        <f t="shared" ca="1" si="12"/>
        <v>0</v>
      </c>
      <c r="N191" s="67">
        <f t="shared" ca="1" si="13"/>
        <v>0</v>
      </c>
      <c r="O191" s="68">
        <f t="shared" ca="1" si="8"/>
        <v>0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182" t="str">
        <f t="shared" ca="1" si="9"/>
        <v>Tổ Hạ tầng Tân Châu</v>
      </c>
      <c r="C192" s="61" t="str">
        <f t="shared" ca="1" si="2"/>
        <v>Phạm Đức Nguyên</v>
      </c>
      <c r="D192" s="183">
        <f t="shared" ca="1" si="3"/>
        <v>916014541</v>
      </c>
      <c r="E192" s="63" t="str">
        <f t="shared" ca="1" si="4"/>
        <v>nguyenpd.tnh@vnpt.vn</v>
      </c>
      <c r="F192" s="276" t="str">
        <f t="shared" ca="1" si="5"/>
        <v>Lần 10</v>
      </c>
      <c r="G192" s="93"/>
      <c r="H192" s="75"/>
      <c r="I192" s="75"/>
      <c r="J192" s="94"/>
      <c r="K192" s="94"/>
      <c r="L192" s="95"/>
      <c r="M192" s="184">
        <f t="shared" ca="1" si="12"/>
        <v>0</v>
      </c>
      <c r="N192" s="67">
        <f t="shared" ca="1" si="13"/>
        <v>0</v>
      </c>
      <c r="O192" s="68">
        <f t="shared" ca="1" si="8"/>
        <v>0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182" t="str">
        <f t="shared" ca="1" si="9"/>
        <v>Tổ Hạ tầng Tân Châu</v>
      </c>
      <c r="C193" s="61" t="str">
        <f t="shared" ca="1" si="2"/>
        <v>Phạm Đức Nguyên</v>
      </c>
      <c r="D193" s="183">
        <f t="shared" ca="1" si="3"/>
        <v>916014541</v>
      </c>
      <c r="E193" s="63" t="str">
        <f t="shared" ca="1" si="4"/>
        <v>nguyenpd.tnh@vnpt.vn</v>
      </c>
      <c r="F193" s="276" t="str">
        <f t="shared" ca="1" si="5"/>
        <v>Lần 11</v>
      </c>
      <c r="G193" s="93"/>
      <c r="H193" s="75"/>
      <c r="I193" s="75"/>
      <c r="J193" s="94"/>
      <c r="K193" s="94"/>
      <c r="L193" s="95"/>
      <c r="M193" s="184">
        <f t="shared" ca="1" si="12"/>
        <v>0</v>
      </c>
      <c r="N193" s="67">
        <f t="shared" ca="1" si="13"/>
        <v>0</v>
      </c>
      <c r="O193" s="68">
        <f t="shared" ca="1" si="8"/>
        <v>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182" t="str">
        <f t="shared" ca="1" si="9"/>
        <v>Tổ Hạ tầng Tân Châu</v>
      </c>
      <c r="C194" s="61" t="str">
        <f t="shared" ca="1" si="2"/>
        <v>Phạm Đức Nguyên</v>
      </c>
      <c r="D194" s="183">
        <f t="shared" ca="1" si="3"/>
        <v>916014541</v>
      </c>
      <c r="E194" s="63" t="str">
        <f t="shared" ca="1" si="4"/>
        <v>nguyenpd.tnh@vnpt.vn</v>
      </c>
      <c r="F194" s="276" t="str">
        <f t="shared" ca="1" si="5"/>
        <v>Lần 12</v>
      </c>
      <c r="G194" s="93"/>
      <c r="H194" s="75"/>
      <c r="I194" s="75"/>
      <c r="J194" s="94"/>
      <c r="K194" s="94"/>
      <c r="L194" s="95"/>
      <c r="M194" s="184">
        <f t="shared" ca="1" si="12"/>
        <v>0</v>
      </c>
      <c r="N194" s="67">
        <f t="shared" ca="1" si="13"/>
        <v>0</v>
      </c>
      <c r="O194" s="68">
        <f t="shared" ca="1" si="8"/>
        <v>0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182" t="str">
        <f t="shared" ca="1" si="9"/>
        <v>Tổ Hạ tầng Tân Châu</v>
      </c>
      <c r="C195" s="61" t="str">
        <f t="shared" ca="1" si="2"/>
        <v>Phạm Đức Nguyên</v>
      </c>
      <c r="D195" s="183">
        <f t="shared" ca="1" si="3"/>
        <v>916014541</v>
      </c>
      <c r="E195" s="63" t="str">
        <f t="shared" ca="1" si="4"/>
        <v>nguyenpd.tnh@vnpt.vn</v>
      </c>
      <c r="F195" s="276" t="str">
        <f t="shared" ca="1" si="5"/>
        <v>Lần 13</v>
      </c>
      <c r="G195" s="93"/>
      <c r="H195" s="75"/>
      <c r="I195" s="75"/>
      <c r="J195" s="94"/>
      <c r="K195" s="94"/>
      <c r="L195" s="95"/>
      <c r="M195" s="184">
        <f t="shared" ca="1" si="12"/>
        <v>0</v>
      </c>
      <c r="N195" s="67">
        <f t="shared" ca="1" si="13"/>
        <v>0</v>
      </c>
      <c r="O195" s="68">
        <f t="shared" ca="1" si="8"/>
        <v>0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182" t="str">
        <f t="shared" ca="1" si="9"/>
        <v>Tổ Hạ tầng Tân Châu</v>
      </c>
      <c r="C196" s="61" t="str">
        <f t="shared" ca="1" si="2"/>
        <v>Phạm Đức Nguyên</v>
      </c>
      <c r="D196" s="183">
        <f t="shared" ca="1" si="3"/>
        <v>916014541</v>
      </c>
      <c r="E196" s="63" t="str">
        <f t="shared" ca="1" si="4"/>
        <v>nguyenpd.tnh@vnpt.vn</v>
      </c>
      <c r="F196" s="276" t="str">
        <f t="shared" ca="1" si="5"/>
        <v>Lần 14</v>
      </c>
      <c r="G196" s="93"/>
      <c r="H196" s="75"/>
      <c r="I196" s="75"/>
      <c r="J196" s="94"/>
      <c r="K196" s="94"/>
      <c r="L196" s="95"/>
      <c r="M196" s="184">
        <f t="shared" ca="1" si="12"/>
        <v>0</v>
      </c>
      <c r="N196" s="67">
        <f t="shared" ca="1" si="13"/>
        <v>0</v>
      </c>
      <c r="O196" s="68">
        <f t="shared" ca="1" si="8"/>
        <v>0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182" t="str">
        <f t="shared" ca="1" si="9"/>
        <v>Tổ Hạ tầng Tân Châu</v>
      </c>
      <c r="C197" s="61" t="str">
        <f t="shared" ca="1" si="2"/>
        <v>Phạm Đức Nguyên</v>
      </c>
      <c r="D197" s="183">
        <f t="shared" ca="1" si="3"/>
        <v>916014541</v>
      </c>
      <c r="E197" s="63" t="str">
        <f t="shared" ca="1" si="4"/>
        <v>nguyenpd.tnh@vnpt.vn</v>
      </c>
      <c r="F197" s="276" t="str">
        <f t="shared" ca="1" si="5"/>
        <v>Lần 15</v>
      </c>
      <c r="G197" s="93"/>
      <c r="H197" s="75"/>
      <c r="I197" s="75"/>
      <c r="J197" s="94"/>
      <c r="K197" s="94"/>
      <c r="L197" s="95"/>
      <c r="M197" s="184">
        <f t="shared" ca="1" si="12"/>
        <v>0</v>
      </c>
      <c r="N197" s="67">
        <f t="shared" ca="1" si="13"/>
        <v>0</v>
      </c>
      <c r="O197" s="68">
        <f t="shared" ca="1" si="8"/>
        <v>0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100">
        <f t="shared" ca="1" si="1"/>
        <v>192</v>
      </c>
      <c r="B198" s="196" t="str">
        <f t="shared" ca="1" si="9"/>
        <v>Tổ Hạ tầng Tân Châu</v>
      </c>
      <c r="C198" s="102" t="str">
        <f t="shared" ca="1" si="2"/>
        <v>Phạm Đức Nguyên</v>
      </c>
      <c r="D198" s="197">
        <f t="shared" ca="1" si="3"/>
        <v>916014541</v>
      </c>
      <c r="E198" s="104" t="str">
        <f t="shared" ca="1" si="4"/>
        <v>nguyenpd.tnh@vnpt.vn</v>
      </c>
      <c r="F198" s="310" t="str">
        <f t="shared" ca="1" si="5"/>
        <v>Lần 16</v>
      </c>
      <c r="G198" s="93"/>
      <c r="H198" s="75"/>
      <c r="I198" s="75"/>
      <c r="J198" s="94"/>
      <c r="K198" s="94"/>
      <c r="L198" s="212"/>
      <c r="M198" s="202">
        <f t="shared" ca="1" si="12"/>
        <v>0</v>
      </c>
      <c r="N198" s="203">
        <f t="shared" ca="1" si="13"/>
        <v>0</v>
      </c>
      <c r="O198" s="68">
        <f t="shared" ca="1" si="8"/>
        <v>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106">
        <f t="shared" ca="1" si="1"/>
        <v>193</v>
      </c>
      <c r="B199" s="204" t="str">
        <f t="shared" ca="1" si="9"/>
        <v>Tổ Hạ tầng Tân Châu</v>
      </c>
      <c r="C199" s="108" t="str">
        <f t="shared" ca="1" si="2"/>
        <v>Nguyễn Thanh Hải</v>
      </c>
      <c r="D199" s="205">
        <f t="shared" ca="1" si="3"/>
        <v>946744500</v>
      </c>
      <c r="E199" s="110" t="str">
        <f t="shared" ca="1" si="4"/>
        <v>haint.tnh@vnpt.vn</v>
      </c>
      <c r="F199" s="311" t="str">
        <f t="shared" ca="1" si="5"/>
        <v>Lần 1</v>
      </c>
      <c r="G199" s="317">
        <v>46214</v>
      </c>
      <c r="H199" s="121">
        <v>241</v>
      </c>
      <c r="I199" s="121">
        <v>69.8</v>
      </c>
      <c r="J199" s="99">
        <v>528</v>
      </c>
      <c r="K199" s="99">
        <v>87.1</v>
      </c>
      <c r="L199" s="213"/>
      <c r="M199" s="181">
        <f t="shared" ca="1" si="12"/>
        <v>1</v>
      </c>
      <c r="N199" s="57">
        <f t="shared" ca="1" si="13"/>
        <v>1</v>
      </c>
      <c r="O199" s="68">
        <f t="shared" ca="1" si="8"/>
        <v>1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182" t="str">
        <f t="shared" ca="1" si="9"/>
        <v>Tổ Hạ tầng Tân Châu</v>
      </c>
      <c r="C200" s="61" t="str">
        <f t="shared" ca="1" si="2"/>
        <v>Nguyễn Thanh Hải</v>
      </c>
      <c r="D200" s="183">
        <f t="shared" ca="1" si="3"/>
        <v>946744500</v>
      </c>
      <c r="E200" s="63" t="str">
        <f t="shared" ca="1" si="4"/>
        <v>haint.tnh@vnpt.vn</v>
      </c>
      <c r="F200" s="276" t="str">
        <f t="shared" ca="1" si="5"/>
        <v>Lần 2</v>
      </c>
      <c r="G200" s="112">
        <v>46214</v>
      </c>
      <c r="H200" s="121">
        <v>233</v>
      </c>
      <c r="I200" s="121">
        <v>71</v>
      </c>
      <c r="J200" s="99">
        <v>542</v>
      </c>
      <c r="K200" s="99">
        <v>108</v>
      </c>
      <c r="L200" s="88"/>
      <c r="M200" s="184">
        <f t="shared" ca="1" si="12"/>
        <v>1</v>
      </c>
      <c r="N200" s="67">
        <f t="shared" ca="1" si="13"/>
        <v>1</v>
      </c>
      <c r="O200" s="68">
        <f t="shared" ca="1" si="8"/>
        <v>1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182" t="str">
        <f t="shared" ca="1" si="9"/>
        <v>Tổ Hạ tầng Tân Châu</v>
      </c>
      <c r="C201" s="61" t="str">
        <f t="shared" ca="1" si="2"/>
        <v>Nguyễn Thanh Hải</v>
      </c>
      <c r="D201" s="183">
        <f t="shared" ca="1" si="3"/>
        <v>946744500</v>
      </c>
      <c r="E201" s="63" t="str">
        <f t="shared" ca="1" si="4"/>
        <v>haint.tnh@vnpt.vn</v>
      </c>
      <c r="F201" s="276" t="str">
        <f t="shared" ca="1" si="5"/>
        <v>Lần 3</v>
      </c>
      <c r="G201" s="112">
        <v>46214</v>
      </c>
      <c r="H201" s="121">
        <v>319</v>
      </c>
      <c r="I201" s="121">
        <v>83.3</v>
      </c>
      <c r="J201" s="99">
        <v>665</v>
      </c>
      <c r="K201" s="99">
        <v>117</v>
      </c>
      <c r="L201" s="88"/>
      <c r="M201" s="184">
        <f t="shared" ca="1" si="12"/>
        <v>1</v>
      </c>
      <c r="N201" s="67">
        <f t="shared" ca="1" si="13"/>
        <v>1</v>
      </c>
      <c r="O201" s="68">
        <f t="shared" ca="1" si="8"/>
        <v>1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182" t="str">
        <f t="shared" ca="1" si="9"/>
        <v>Tổ Hạ tầng Tân Châu</v>
      </c>
      <c r="C202" s="61" t="str">
        <f t="shared" ca="1" si="2"/>
        <v>Nguyễn Thanh Hải</v>
      </c>
      <c r="D202" s="183">
        <f t="shared" ca="1" si="3"/>
        <v>946744500</v>
      </c>
      <c r="E202" s="63" t="str">
        <f t="shared" ca="1" si="4"/>
        <v>haint.tnh@vnpt.vn</v>
      </c>
      <c r="F202" s="276" t="str">
        <f t="shared" ca="1" si="5"/>
        <v>Lần 4</v>
      </c>
      <c r="G202" s="112">
        <v>46214</v>
      </c>
      <c r="H202" s="121">
        <v>388</v>
      </c>
      <c r="I202" s="121">
        <v>96.4</v>
      </c>
      <c r="J202" s="99">
        <v>824</v>
      </c>
      <c r="K202" s="99">
        <v>103</v>
      </c>
      <c r="L202" s="88"/>
      <c r="M202" s="184">
        <f t="shared" ca="1" si="12"/>
        <v>1</v>
      </c>
      <c r="N202" s="67">
        <f t="shared" ca="1" si="13"/>
        <v>1</v>
      </c>
      <c r="O202" s="68">
        <f t="shared" ca="1" si="8"/>
        <v>1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182" t="str">
        <f t="shared" ca="1" si="9"/>
        <v>Tổ Hạ tầng Tân Châu</v>
      </c>
      <c r="C203" s="61" t="str">
        <f t="shared" ca="1" si="2"/>
        <v>Nguyễn Thanh Hải</v>
      </c>
      <c r="D203" s="183">
        <f t="shared" ca="1" si="3"/>
        <v>946744500</v>
      </c>
      <c r="E203" s="63" t="str">
        <f t="shared" ca="1" si="4"/>
        <v>haint.tnh@vnpt.vn</v>
      </c>
      <c r="F203" s="276" t="str">
        <f t="shared" ca="1" si="5"/>
        <v>Lần 5</v>
      </c>
      <c r="G203" s="112">
        <v>46214</v>
      </c>
      <c r="H203" s="122">
        <v>269.10000000000002</v>
      </c>
      <c r="I203" s="122">
        <v>79.12</v>
      </c>
      <c r="J203" s="98">
        <v>757</v>
      </c>
      <c r="K203" s="98">
        <v>122</v>
      </c>
      <c r="L203" s="88"/>
      <c r="M203" s="184">
        <f t="shared" ca="1" si="12"/>
        <v>1</v>
      </c>
      <c r="N203" s="67">
        <f t="shared" ca="1" si="13"/>
        <v>1</v>
      </c>
      <c r="O203" s="68">
        <f t="shared" ca="1" si="8"/>
        <v>1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182" t="str">
        <f t="shared" ca="1" si="9"/>
        <v>Tổ Hạ tầng Tân Châu</v>
      </c>
      <c r="C204" s="61" t="str">
        <f t="shared" ca="1" si="2"/>
        <v>Nguyễn Thanh Hải</v>
      </c>
      <c r="D204" s="183">
        <f t="shared" ca="1" si="3"/>
        <v>946744500</v>
      </c>
      <c r="E204" s="63" t="str">
        <f t="shared" ca="1" si="4"/>
        <v>haint.tnh@vnpt.vn</v>
      </c>
      <c r="F204" s="276" t="str">
        <f t="shared" ca="1" si="5"/>
        <v>Lần 6</v>
      </c>
      <c r="G204" s="112"/>
      <c r="H204" s="122"/>
      <c r="I204" s="122"/>
      <c r="J204" s="98"/>
      <c r="K204" s="98"/>
      <c r="L204" s="88"/>
      <c r="M204" s="184">
        <f t="shared" ca="1" si="12"/>
        <v>0</v>
      </c>
      <c r="N204" s="67">
        <f t="shared" ca="1" si="13"/>
        <v>0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182" t="str">
        <f t="shared" ca="1" si="9"/>
        <v>Tổ Hạ tầng Tân Châu</v>
      </c>
      <c r="C205" s="61" t="str">
        <f t="shared" ca="1" si="2"/>
        <v>Nguyễn Thanh Hải</v>
      </c>
      <c r="D205" s="183">
        <f t="shared" ca="1" si="3"/>
        <v>946744500</v>
      </c>
      <c r="E205" s="63" t="str">
        <f t="shared" ca="1" si="4"/>
        <v>haint.tnh@vnpt.vn</v>
      </c>
      <c r="F205" s="276" t="str">
        <f t="shared" ca="1" si="5"/>
        <v>Lần 7</v>
      </c>
      <c r="G205" s="112"/>
      <c r="H205" s="122"/>
      <c r="I205" s="122"/>
      <c r="J205" s="98"/>
      <c r="K205" s="98"/>
      <c r="L205" s="88"/>
      <c r="M205" s="184">
        <f t="shared" ca="1" si="12"/>
        <v>0</v>
      </c>
      <c r="N205" s="67">
        <f t="shared" ca="1" si="13"/>
        <v>0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182" t="str">
        <f t="shared" ca="1" si="9"/>
        <v>Tổ Hạ tầng Tân Châu</v>
      </c>
      <c r="C206" s="61" t="str">
        <f t="shared" ca="1" si="2"/>
        <v>Nguyễn Thanh Hải</v>
      </c>
      <c r="D206" s="183">
        <f t="shared" ca="1" si="3"/>
        <v>946744500</v>
      </c>
      <c r="E206" s="63" t="str">
        <f t="shared" ca="1" si="4"/>
        <v>haint.tnh@vnpt.vn</v>
      </c>
      <c r="F206" s="276" t="str">
        <f t="shared" ca="1" si="5"/>
        <v>Lần 8</v>
      </c>
      <c r="G206" s="112"/>
      <c r="H206" s="122"/>
      <c r="I206" s="122"/>
      <c r="J206" s="98"/>
      <c r="K206" s="98"/>
      <c r="L206" s="88"/>
      <c r="M206" s="184">
        <f t="shared" ca="1" si="12"/>
        <v>0</v>
      </c>
      <c r="N206" s="67">
        <f t="shared" ca="1" si="13"/>
        <v>0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182" t="str">
        <f t="shared" ca="1" si="9"/>
        <v>Tổ Hạ tầng Tân Châu</v>
      </c>
      <c r="C207" s="61" t="str">
        <f t="shared" ca="1" si="2"/>
        <v>Nguyễn Thanh Hải</v>
      </c>
      <c r="D207" s="183">
        <f t="shared" ca="1" si="3"/>
        <v>946744500</v>
      </c>
      <c r="E207" s="63" t="str">
        <f t="shared" ca="1" si="4"/>
        <v>haint.tnh@vnpt.vn</v>
      </c>
      <c r="F207" s="276" t="str">
        <f t="shared" ca="1" si="5"/>
        <v>Lần 9</v>
      </c>
      <c r="G207" s="112"/>
      <c r="H207" s="122"/>
      <c r="I207" s="122"/>
      <c r="J207" s="98"/>
      <c r="K207" s="98"/>
      <c r="L207" s="88"/>
      <c r="M207" s="184">
        <f t="shared" ca="1" si="12"/>
        <v>0</v>
      </c>
      <c r="N207" s="67">
        <f t="shared" ca="1" si="13"/>
        <v>0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182" t="str">
        <f t="shared" ca="1" si="9"/>
        <v>Tổ Hạ tầng Tân Châu</v>
      </c>
      <c r="C208" s="61" t="str">
        <f t="shared" ca="1" si="2"/>
        <v>Nguyễn Thanh Hải</v>
      </c>
      <c r="D208" s="183">
        <f t="shared" ca="1" si="3"/>
        <v>946744500</v>
      </c>
      <c r="E208" s="63" t="str">
        <f t="shared" ca="1" si="4"/>
        <v>haint.tnh@vnpt.vn</v>
      </c>
      <c r="F208" s="276" t="str">
        <f t="shared" ca="1" si="5"/>
        <v>Lần 10</v>
      </c>
      <c r="G208" s="112"/>
      <c r="H208" s="122"/>
      <c r="I208" s="122"/>
      <c r="J208" s="98"/>
      <c r="K208" s="98"/>
      <c r="L208" s="88"/>
      <c r="M208" s="184">
        <f t="shared" ca="1" si="12"/>
        <v>0</v>
      </c>
      <c r="N208" s="67">
        <f t="shared" ca="1" si="13"/>
        <v>0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182" t="str">
        <f t="shared" ca="1" si="9"/>
        <v>Tổ Hạ tầng Tân Châu</v>
      </c>
      <c r="C209" s="61" t="str">
        <f t="shared" ca="1" si="2"/>
        <v>Nguyễn Thanh Hải</v>
      </c>
      <c r="D209" s="183">
        <f t="shared" ca="1" si="3"/>
        <v>946744500</v>
      </c>
      <c r="E209" s="63" t="str">
        <f t="shared" ca="1" si="4"/>
        <v>haint.tnh@vnpt.vn</v>
      </c>
      <c r="F209" s="276" t="str">
        <f t="shared" ca="1" si="5"/>
        <v>Lần 11</v>
      </c>
      <c r="G209" s="112"/>
      <c r="H209" s="122"/>
      <c r="I209" s="122"/>
      <c r="J209" s="98"/>
      <c r="K209" s="98"/>
      <c r="L209" s="88"/>
      <c r="M209" s="184">
        <f t="shared" ca="1" si="12"/>
        <v>0</v>
      </c>
      <c r="N209" s="67">
        <f t="shared" ca="1" si="13"/>
        <v>0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182" t="str">
        <f t="shared" ca="1" si="9"/>
        <v>Tổ Hạ tầng Tân Châu</v>
      </c>
      <c r="C210" s="61" t="str">
        <f t="shared" ca="1" si="2"/>
        <v>Nguyễn Thanh Hải</v>
      </c>
      <c r="D210" s="183">
        <f t="shared" ca="1" si="3"/>
        <v>946744500</v>
      </c>
      <c r="E210" s="63" t="str">
        <f t="shared" ca="1" si="4"/>
        <v>haint.tnh@vnpt.vn</v>
      </c>
      <c r="F210" s="276" t="str">
        <f t="shared" ca="1" si="5"/>
        <v>Lần 12</v>
      </c>
      <c r="G210" s="112"/>
      <c r="H210" s="122"/>
      <c r="I210" s="122"/>
      <c r="J210" s="98"/>
      <c r="K210" s="98"/>
      <c r="L210" s="88"/>
      <c r="M210" s="184">
        <f t="shared" ca="1" si="12"/>
        <v>0</v>
      </c>
      <c r="N210" s="67">
        <f t="shared" ca="1" si="13"/>
        <v>0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182" t="str">
        <f t="shared" ca="1" si="9"/>
        <v>Tổ Hạ tầng Tân Châu</v>
      </c>
      <c r="C211" s="61" t="str">
        <f t="shared" ca="1" si="2"/>
        <v>Nguyễn Thanh Hải</v>
      </c>
      <c r="D211" s="183">
        <f t="shared" ca="1" si="3"/>
        <v>946744500</v>
      </c>
      <c r="E211" s="63" t="str">
        <f t="shared" ca="1" si="4"/>
        <v>haint.tnh@vnpt.vn</v>
      </c>
      <c r="F211" s="276" t="str">
        <f t="shared" ca="1" si="5"/>
        <v>Lần 13</v>
      </c>
      <c r="G211" s="112"/>
      <c r="H211" s="122"/>
      <c r="I211" s="122"/>
      <c r="J211" s="98"/>
      <c r="K211" s="98"/>
      <c r="L211" s="88"/>
      <c r="M211" s="184">
        <f t="shared" ca="1" si="12"/>
        <v>0</v>
      </c>
      <c r="N211" s="67">
        <f t="shared" ca="1" si="13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182" t="str">
        <f t="shared" ca="1" si="9"/>
        <v>Tổ Hạ tầng Tân Châu</v>
      </c>
      <c r="C212" s="61" t="str">
        <f t="shared" ca="1" si="2"/>
        <v>Nguyễn Thanh Hải</v>
      </c>
      <c r="D212" s="183">
        <f t="shared" ca="1" si="3"/>
        <v>946744500</v>
      </c>
      <c r="E212" s="63" t="str">
        <f t="shared" ca="1" si="4"/>
        <v>haint.tnh@vnpt.vn</v>
      </c>
      <c r="F212" s="276" t="str">
        <f t="shared" ca="1" si="5"/>
        <v>Lần 14</v>
      </c>
      <c r="G212" s="112"/>
      <c r="H212" s="122"/>
      <c r="I212" s="122"/>
      <c r="J212" s="98"/>
      <c r="K212" s="98"/>
      <c r="L212" s="88"/>
      <c r="M212" s="184">
        <f t="shared" ca="1" si="12"/>
        <v>0</v>
      </c>
      <c r="N212" s="67">
        <f t="shared" ca="1" si="13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182" t="str">
        <f t="shared" ca="1" si="9"/>
        <v>Tổ Hạ tầng Tân Châu</v>
      </c>
      <c r="C213" s="61" t="str">
        <f t="shared" ca="1" si="2"/>
        <v>Nguyễn Thanh Hải</v>
      </c>
      <c r="D213" s="183">
        <f t="shared" ca="1" si="3"/>
        <v>946744500</v>
      </c>
      <c r="E213" s="63" t="str">
        <f t="shared" ca="1" si="4"/>
        <v>haint.tnh@vnpt.vn</v>
      </c>
      <c r="F213" s="276" t="str">
        <f t="shared" ca="1" si="5"/>
        <v>Lần 15</v>
      </c>
      <c r="G213" s="112"/>
      <c r="H213" s="122"/>
      <c r="I213" s="122"/>
      <c r="J213" s="98"/>
      <c r="K213" s="98"/>
      <c r="L213" s="88"/>
      <c r="M213" s="184">
        <f t="shared" ca="1" si="12"/>
        <v>0</v>
      </c>
      <c r="N213" s="67">
        <f t="shared" ca="1" si="13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80">
        <f t="shared" ca="1" si="1"/>
        <v>208</v>
      </c>
      <c r="B214" s="185" t="str">
        <f t="shared" ca="1" si="9"/>
        <v>Tổ Hạ tầng Tân Châu</v>
      </c>
      <c r="C214" s="82" t="str">
        <f t="shared" ca="1" si="2"/>
        <v>Nguyễn Thanh Hải</v>
      </c>
      <c r="D214" s="186">
        <f t="shared" ca="1" si="3"/>
        <v>946744500</v>
      </c>
      <c r="E214" s="84" t="str">
        <f t="shared" ca="1" si="4"/>
        <v>haint.tnh@vnpt.vn</v>
      </c>
      <c r="F214" s="309" t="str">
        <f t="shared" ca="1" si="5"/>
        <v>Lần 16</v>
      </c>
      <c r="G214" s="112"/>
      <c r="H214" s="122"/>
      <c r="I214" s="122"/>
      <c r="J214" s="98"/>
      <c r="K214" s="98"/>
      <c r="L214" s="218"/>
      <c r="M214" s="189">
        <f t="shared" ca="1" si="12"/>
        <v>0</v>
      </c>
      <c r="N214" s="171">
        <f t="shared" ca="1" si="13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46">
        <f t="shared" ca="1" si="1"/>
        <v>209</v>
      </c>
      <c r="B215" s="190" t="str">
        <f t="shared" ca="1" si="9"/>
        <v>Tổ Hạ tầng Tân Châu</v>
      </c>
      <c r="C215" s="48" t="str">
        <f t="shared" ca="1" si="2"/>
        <v>Nguyễn Văn Tài</v>
      </c>
      <c r="D215" s="238" t="str">
        <f t="shared" ca="1" si="3"/>
        <v>0944725238</v>
      </c>
      <c r="E215" s="50" t="str">
        <f t="shared" ca="1" si="4"/>
        <v>x</v>
      </c>
      <c r="F215" s="307" t="str">
        <f t="shared" ca="1" si="5"/>
        <v>Lần 1</v>
      </c>
      <c r="G215" s="93"/>
      <c r="H215" s="71"/>
      <c r="I215" s="71"/>
      <c r="J215" s="94"/>
      <c r="K215" s="94"/>
      <c r="L215" s="193"/>
      <c r="M215" s="194">
        <f t="shared" ca="1" si="12"/>
        <v>0</v>
      </c>
      <c r="N215" s="195">
        <f t="shared" ca="1" si="13"/>
        <v>0</v>
      </c>
      <c r="O215" s="68">
        <f t="shared" ca="1" si="8"/>
        <v>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182" t="str">
        <f t="shared" ca="1" si="9"/>
        <v>Tổ Hạ tầng Tân Châu</v>
      </c>
      <c r="C216" s="61" t="str">
        <f t="shared" ca="1" si="2"/>
        <v>Nguyễn Văn Tài</v>
      </c>
      <c r="D216" s="239" t="str">
        <f t="shared" ca="1" si="3"/>
        <v>0944725238</v>
      </c>
      <c r="E216" s="63" t="str">
        <f t="shared" ca="1" si="4"/>
        <v>x</v>
      </c>
      <c r="F216" s="276" t="str">
        <f t="shared" ca="1" si="5"/>
        <v>Lần 2</v>
      </c>
      <c r="G216" s="93"/>
      <c r="H216" s="71"/>
      <c r="I216" s="71"/>
      <c r="J216" s="94"/>
      <c r="K216" s="94"/>
      <c r="L216" s="95"/>
      <c r="M216" s="184">
        <f t="shared" ca="1" si="12"/>
        <v>0</v>
      </c>
      <c r="N216" s="67">
        <f t="shared" ca="1" si="13"/>
        <v>0</v>
      </c>
      <c r="O216" s="68">
        <f t="shared" ca="1" si="8"/>
        <v>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182" t="str">
        <f t="shared" ca="1" si="9"/>
        <v>Tổ Hạ tầng Tân Châu</v>
      </c>
      <c r="C217" s="61" t="str">
        <f t="shared" ca="1" si="2"/>
        <v>Nguyễn Văn Tài</v>
      </c>
      <c r="D217" s="239" t="str">
        <f t="shared" ca="1" si="3"/>
        <v>0944725238</v>
      </c>
      <c r="E217" s="63" t="str">
        <f t="shared" ca="1" si="4"/>
        <v>x</v>
      </c>
      <c r="F217" s="276" t="str">
        <f t="shared" ca="1" si="5"/>
        <v>Lần 3</v>
      </c>
      <c r="G217" s="93"/>
      <c r="H217" s="71"/>
      <c r="I217" s="71"/>
      <c r="J217" s="94"/>
      <c r="K217" s="94"/>
      <c r="L217" s="95"/>
      <c r="M217" s="184">
        <f t="shared" ca="1" si="12"/>
        <v>0</v>
      </c>
      <c r="N217" s="67">
        <f t="shared" ca="1" si="13"/>
        <v>0</v>
      </c>
      <c r="O217" s="68">
        <f t="shared" ca="1" si="8"/>
        <v>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182" t="str">
        <f t="shared" ca="1" si="9"/>
        <v>Tổ Hạ tầng Tân Châu</v>
      </c>
      <c r="C218" s="61" t="str">
        <f t="shared" ca="1" si="2"/>
        <v>Nguyễn Văn Tài</v>
      </c>
      <c r="D218" s="239" t="str">
        <f t="shared" ca="1" si="3"/>
        <v>0944725238</v>
      </c>
      <c r="E218" s="63" t="str">
        <f t="shared" ca="1" si="4"/>
        <v>x</v>
      </c>
      <c r="F218" s="276" t="str">
        <f t="shared" ca="1" si="5"/>
        <v>Lần 4</v>
      </c>
      <c r="G218" s="93"/>
      <c r="H218" s="71"/>
      <c r="I218" s="71"/>
      <c r="J218" s="94"/>
      <c r="K218" s="94"/>
      <c r="L218" s="95"/>
      <c r="M218" s="184">
        <f t="shared" ca="1" si="12"/>
        <v>0</v>
      </c>
      <c r="N218" s="67">
        <f t="shared" ca="1" si="13"/>
        <v>0</v>
      </c>
      <c r="O218" s="68">
        <f t="shared" ca="1" si="8"/>
        <v>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182" t="str">
        <f t="shared" ca="1" si="9"/>
        <v>Tổ Hạ tầng Tân Châu</v>
      </c>
      <c r="C219" s="61" t="str">
        <f t="shared" ca="1" si="2"/>
        <v>Nguyễn Văn Tài</v>
      </c>
      <c r="D219" s="239" t="str">
        <f t="shared" ca="1" si="3"/>
        <v>0944725238</v>
      </c>
      <c r="E219" s="63" t="str">
        <f t="shared" ca="1" si="4"/>
        <v>x</v>
      </c>
      <c r="F219" s="276" t="str">
        <f t="shared" ca="1" si="5"/>
        <v>Lần 5</v>
      </c>
      <c r="G219" s="93"/>
      <c r="H219" s="75"/>
      <c r="I219" s="75"/>
      <c r="J219" s="94"/>
      <c r="K219" s="94"/>
      <c r="L219" s="143"/>
      <c r="M219" s="184">
        <f t="shared" ca="1" si="12"/>
        <v>0</v>
      </c>
      <c r="N219" s="67">
        <f t="shared" ca="1" si="13"/>
        <v>0</v>
      </c>
      <c r="O219" s="68">
        <f t="shared" ca="1" si="8"/>
        <v>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182" t="str">
        <f t="shared" ca="1" si="9"/>
        <v>Tổ Hạ tầng Tân Châu</v>
      </c>
      <c r="C220" s="61" t="str">
        <f t="shared" ca="1" si="2"/>
        <v>Nguyễn Văn Tài</v>
      </c>
      <c r="D220" s="239" t="str">
        <f t="shared" ca="1" si="3"/>
        <v>0944725238</v>
      </c>
      <c r="E220" s="63" t="str">
        <f t="shared" ca="1" si="4"/>
        <v>x</v>
      </c>
      <c r="F220" s="276" t="str">
        <f t="shared" ca="1" si="5"/>
        <v>Lần 6</v>
      </c>
      <c r="G220" s="93"/>
      <c r="H220" s="75"/>
      <c r="I220" s="75"/>
      <c r="J220" s="94"/>
      <c r="K220" s="94"/>
      <c r="L220" s="143"/>
      <c r="M220" s="184">
        <f t="shared" ca="1" si="12"/>
        <v>0</v>
      </c>
      <c r="N220" s="67">
        <f t="shared" ca="1" si="13"/>
        <v>0</v>
      </c>
      <c r="O220" s="68">
        <f t="shared" ca="1" si="8"/>
        <v>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182" t="str">
        <f t="shared" ca="1" si="9"/>
        <v>Tổ Hạ tầng Tân Châu</v>
      </c>
      <c r="C221" s="61" t="str">
        <f t="shared" ca="1" si="2"/>
        <v>Nguyễn Văn Tài</v>
      </c>
      <c r="D221" s="239" t="str">
        <f t="shared" ca="1" si="3"/>
        <v>0944725238</v>
      </c>
      <c r="E221" s="63" t="str">
        <f t="shared" ca="1" si="4"/>
        <v>x</v>
      </c>
      <c r="F221" s="276" t="str">
        <f t="shared" ca="1" si="5"/>
        <v>Lần 7</v>
      </c>
      <c r="G221" s="93"/>
      <c r="H221" s="75"/>
      <c r="I221" s="75"/>
      <c r="J221" s="94"/>
      <c r="K221" s="94"/>
      <c r="L221" s="143"/>
      <c r="M221" s="184">
        <f t="shared" ca="1" si="12"/>
        <v>0</v>
      </c>
      <c r="N221" s="67">
        <f t="shared" ca="1" si="13"/>
        <v>0</v>
      </c>
      <c r="O221" s="68">
        <f t="shared" ca="1" si="8"/>
        <v>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182" t="str">
        <f t="shared" ca="1" si="9"/>
        <v>Tổ Hạ tầng Tân Châu</v>
      </c>
      <c r="C222" s="61" t="str">
        <f t="shared" ca="1" si="2"/>
        <v>Nguyễn Văn Tài</v>
      </c>
      <c r="D222" s="239" t="str">
        <f t="shared" ca="1" si="3"/>
        <v>0944725238</v>
      </c>
      <c r="E222" s="63" t="str">
        <f t="shared" ca="1" si="4"/>
        <v>x</v>
      </c>
      <c r="F222" s="276" t="str">
        <f t="shared" ca="1" si="5"/>
        <v>Lần 8</v>
      </c>
      <c r="G222" s="93"/>
      <c r="H222" s="75"/>
      <c r="I222" s="75"/>
      <c r="J222" s="94"/>
      <c r="K222" s="94"/>
      <c r="L222" s="143"/>
      <c r="M222" s="184">
        <f t="shared" ca="1" si="12"/>
        <v>0</v>
      </c>
      <c r="N222" s="67">
        <f t="shared" ca="1" si="13"/>
        <v>0</v>
      </c>
      <c r="O222" s="68">
        <f t="shared" ca="1" si="8"/>
        <v>0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182" t="str">
        <f t="shared" ca="1" si="9"/>
        <v>Tổ Hạ tầng Tân Châu</v>
      </c>
      <c r="C223" s="61" t="str">
        <f t="shared" ca="1" si="2"/>
        <v>Nguyễn Văn Tài</v>
      </c>
      <c r="D223" s="239" t="str">
        <f t="shared" ca="1" si="3"/>
        <v>0944725238</v>
      </c>
      <c r="E223" s="63" t="str">
        <f t="shared" ca="1" si="4"/>
        <v>x</v>
      </c>
      <c r="F223" s="276" t="str">
        <f t="shared" ca="1" si="5"/>
        <v>Lần 9</v>
      </c>
      <c r="G223" s="93"/>
      <c r="H223" s="75"/>
      <c r="I223" s="75"/>
      <c r="J223" s="94"/>
      <c r="K223" s="94"/>
      <c r="L223" s="143"/>
      <c r="M223" s="184">
        <f t="shared" ca="1" si="12"/>
        <v>0</v>
      </c>
      <c r="N223" s="67">
        <f t="shared" ca="1" si="13"/>
        <v>0</v>
      </c>
      <c r="O223" s="68">
        <f t="shared" ca="1" si="8"/>
        <v>0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182" t="str">
        <f t="shared" ca="1" si="9"/>
        <v>Tổ Hạ tầng Tân Châu</v>
      </c>
      <c r="C224" s="61" t="str">
        <f t="shared" ca="1" si="2"/>
        <v>Nguyễn Văn Tài</v>
      </c>
      <c r="D224" s="239" t="str">
        <f t="shared" ca="1" si="3"/>
        <v>0944725238</v>
      </c>
      <c r="E224" s="63" t="str">
        <f t="shared" ca="1" si="4"/>
        <v>x</v>
      </c>
      <c r="F224" s="276" t="str">
        <f t="shared" ca="1" si="5"/>
        <v>Lần 10</v>
      </c>
      <c r="G224" s="93"/>
      <c r="H224" s="75"/>
      <c r="I224" s="75"/>
      <c r="J224" s="94"/>
      <c r="K224" s="94"/>
      <c r="L224" s="143"/>
      <c r="M224" s="184">
        <f t="shared" ca="1" si="12"/>
        <v>0</v>
      </c>
      <c r="N224" s="67">
        <f t="shared" ca="1" si="13"/>
        <v>0</v>
      </c>
      <c r="O224" s="68">
        <f t="shared" ca="1" si="8"/>
        <v>0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182" t="str">
        <f t="shared" ca="1" si="9"/>
        <v>Tổ Hạ tầng Tân Châu</v>
      </c>
      <c r="C225" s="61" t="str">
        <f t="shared" ca="1" si="2"/>
        <v>Nguyễn Văn Tài</v>
      </c>
      <c r="D225" s="239" t="str">
        <f t="shared" ca="1" si="3"/>
        <v>0944725238</v>
      </c>
      <c r="E225" s="63" t="str">
        <f t="shared" ca="1" si="4"/>
        <v>x</v>
      </c>
      <c r="F225" s="276" t="str">
        <f t="shared" ca="1" si="5"/>
        <v>Lần 11</v>
      </c>
      <c r="G225" s="93"/>
      <c r="H225" s="75"/>
      <c r="I225" s="75"/>
      <c r="J225" s="94"/>
      <c r="K225" s="94"/>
      <c r="L225" s="143"/>
      <c r="M225" s="184">
        <f t="shared" ca="1" si="12"/>
        <v>0</v>
      </c>
      <c r="N225" s="67">
        <f t="shared" ca="1" si="13"/>
        <v>0</v>
      </c>
      <c r="O225" s="68">
        <f t="shared" ca="1" si="8"/>
        <v>0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182" t="str">
        <f t="shared" ca="1" si="9"/>
        <v>Tổ Hạ tầng Tân Châu</v>
      </c>
      <c r="C226" s="61" t="str">
        <f t="shared" ca="1" si="2"/>
        <v>Nguyễn Văn Tài</v>
      </c>
      <c r="D226" s="239" t="str">
        <f t="shared" ca="1" si="3"/>
        <v>0944725238</v>
      </c>
      <c r="E226" s="63" t="str">
        <f t="shared" ca="1" si="4"/>
        <v>x</v>
      </c>
      <c r="F226" s="276" t="str">
        <f t="shared" ca="1" si="5"/>
        <v>Lần 12</v>
      </c>
      <c r="G226" s="93"/>
      <c r="H226" s="75"/>
      <c r="I226" s="75"/>
      <c r="J226" s="94"/>
      <c r="K226" s="94"/>
      <c r="L226" s="143"/>
      <c r="M226" s="184">
        <f t="shared" ca="1" si="12"/>
        <v>0</v>
      </c>
      <c r="N226" s="67">
        <f t="shared" ca="1" si="13"/>
        <v>0</v>
      </c>
      <c r="O226" s="68">
        <f t="shared" ca="1" si="8"/>
        <v>0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182" t="str">
        <f t="shared" ca="1" si="9"/>
        <v>Tổ Hạ tầng Tân Châu</v>
      </c>
      <c r="C227" s="61" t="str">
        <f t="shared" ca="1" si="2"/>
        <v>Nguyễn Văn Tài</v>
      </c>
      <c r="D227" s="239" t="str">
        <f t="shared" ca="1" si="3"/>
        <v>0944725238</v>
      </c>
      <c r="E227" s="63" t="str">
        <f t="shared" ca="1" si="4"/>
        <v>x</v>
      </c>
      <c r="F227" s="276" t="str">
        <f t="shared" ca="1" si="5"/>
        <v>Lần 13</v>
      </c>
      <c r="G227" s="93"/>
      <c r="H227" s="75"/>
      <c r="I227" s="75"/>
      <c r="J227" s="94"/>
      <c r="K227" s="94"/>
      <c r="L227" s="143"/>
      <c r="M227" s="184">
        <f t="shared" ca="1" si="12"/>
        <v>0</v>
      </c>
      <c r="N227" s="67">
        <f t="shared" ca="1" si="13"/>
        <v>0</v>
      </c>
      <c r="O227" s="68">
        <f t="shared" ca="1" si="8"/>
        <v>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182" t="str">
        <f t="shared" ca="1" si="9"/>
        <v>Tổ Hạ tầng Tân Châu</v>
      </c>
      <c r="C228" s="61" t="str">
        <f t="shared" ca="1" si="2"/>
        <v>Nguyễn Văn Tài</v>
      </c>
      <c r="D228" s="239" t="str">
        <f t="shared" ca="1" si="3"/>
        <v>0944725238</v>
      </c>
      <c r="E228" s="63" t="str">
        <f t="shared" ca="1" si="4"/>
        <v>x</v>
      </c>
      <c r="F228" s="276" t="str">
        <f t="shared" ca="1" si="5"/>
        <v>Lần 14</v>
      </c>
      <c r="G228" s="93"/>
      <c r="H228" s="75"/>
      <c r="I228" s="75"/>
      <c r="J228" s="94"/>
      <c r="K228" s="94"/>
      <c r="L228" s="143"/>
      <c r="M228" s="184">
        <f t="shared" ca="1" si="12"/>
        <v>0</v>
      </c>
      <c r="N228" s="67">
        <f t="shared" ca="1" si="13"/>
        <v>0</v>
      </c>
      <c r="O228" s="68">
        <f t="shared" ca="1" si="8"/>
        <v>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182" t="str">
        <f t="shared" ca="1" si="9"/>
        <v>Tổ Hạ tầng Tân Châu</v>
      </c>
      <c r="C229" s="61" t="str">
        <f t="shared" ca="1" si="2"/>
        <v>Nguyễn Văn Tài</v>
      </c>
      <c r="D229" s="239" t="str">
        <f t="shared" ca="1" si="3"/>
        <v>0944725238</v>
      </c>
      <c r="E229" s="63" t="str">
        <f t="shared" ca="1" si="4"/>
        <v>x</v>
      </c>
      <c r="F229" s="276" t="str">
        <f t="shared" ca="1" si="5"/>
        <v>Lần 15</v>
      </c>
      <c r="G229" s="93"/>
      <c r="H229" s="75"/>
      <c r="I229" s="75"/>
      <c r="J229" s="94"/>
      <c r="K229" s="94"/>
      <c r="L229" s="143"/>
      <c r="M229" s="184">
        <f t="shared" ca="1" si="12"/>
        <v>0</v>
      </c>
      <c r="N229" s="67">
        <f t="shared" ca="1" si="13"/>
        <v>0</v>
      </c>
      <c r="O229" s="68">
        <f t="shared" ca="1" si="8"/>
        <v>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100">
        <f t="shared" ca="1" si="1"/>
        <v>224</v>
      </c>
      <c r="B230" s="196" t="str">
        <f t="shared" ca="1" si="9"/>
        <v>Tổ Hạ tầng Tân Châu</v>
      </c>
      <c r="C230" s="102" t="str">
        <f t="shared" ca="1" si="2"/>
        <v>Nguyễn Văn Tài</v>
      </c>
      <c r="D230" s="241" t="str">
        <f t="shared" ca="1" si="3"/>
        <v>0944725238</v>
      </c>
      <c r="E230" s="104" t="str">
        <f t="shared" ca="1" si="4"/>
        <v>x</v>
      </c>
      <c r="F230" s="310" t="str">
        <f t="shared" ca="1" si="5"/>
        <v>Lần 16</v>
      </c>
      <c r="G230" s="93"/>
      <c r="H230" s="75"/>
      <c r="I230" s="75"/>
      <c r="J230" s="94"/>
      <c r="K230" s="94"/>
      <c r="L230" s="144"/>
      <c r="M230" s="202">
        <f t="shared" ca="1" si="12"/>
        <v>0</v>
      </c>
      <c r="N230" s="203">
        <f t="shared" ca="1" si="13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106">
        <f t="shared" ca="1" si="1"/>
        <v>225</v>
      </c>
      <c r="B231" s="204" t="str">
        <f t="shared" ca="1" si="9"/>
        <v>Tổ Hạ tầng Tân Châu</v>
      </c>
      <c r="C231" s="108" t="str">
        <f t="shared" ca="1" si="2"/>
        <v>Phan Anh Tuấn</v>
      </c>
      <c r="D231" s="315" t="str">
        <f t="shared" ca="1" si="3"/>
        <v>0918486992</v>
      </c>
      <c r="E231" s="110" t="str">
        <f t="shared" ca="1" si="4"/>
        <v>x</v>
      </c>
      <c r="F231" s="311" t="str">
        <f t="shared" ca="1" si="5"/>
        <v>Lần 1</v>
      </c>
      <c r="G231" s="313"/>
      <c r="H231" s="122"/>
      <c r="I231" s="122"/>
      <c r="J231" s="98"/>
      <c r="K231" s="98"/>
      <c r="L231" s="148"/>
      <c r="M231" s="181">
        <f t="shared" ca="1" si="12"/>
        <v>0</v>
      </c>
      <c r="N231" s="57">
        <f t="shared" ca="1" si="13"/>
        <v>0</v>
      </c>
      <c r="O231" s="68">
        <f t="shared" ca="1" si="8"/>
        <v>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>
        <f t="shared" ca="1" si="1"/>
        <v>226</v>
      </c>
      <c r="B232" s="182" t="str">
        <f t="shared" ca="1" si="9"/>
        <v>Tổ Hạ tầng Tân Châu</v>
      </c>
      <c r="C232" s="61" t="str">
        <f t="shared" ca="1" si="2"/>
        <v>Phan Anh Tuấn</v>
      </c>
      <c r="D232" s="239" t="str">
        <f t="shared" ca="1" si="3"/>
        <v>0918486992</v>
      </c>
      <c r="E232" s="63" t="str">
        <f t="shared" ca="1" si="4"/>
        <v>x</v>
      </c>
      <c r="F232" s="276" t="str">
        <f t="shared" ca="1" si="5"/>
        <v>Lần 2</v>
      </c>
      <c r="G232" s="313"/>
      <c r="H232" s="122"/>
      <c r="I232" s="122"/>
      <c r="J232" s="98"/>
      <c r="K232" s="98"/>
      <c r="L232" s="91"/>
      <c r="M232" s="184">
        <f t="shared" ca="1" si="12"/>
        <v>0</v>
      </c>
      <c r="N232" s="67">
        <f t="shared" ca="1" si="13"/>
        <v>0</v>
      </c>
      <c r="O232" s="68">
        <f t="shared" ca="1" si="8"/>
        <v>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>
        <f t="shared" ca="1" si="1"/>
        <v>227</v>
      </c>
      <c r="B233" s="182" t="str">
        <f t="shared" ca="1" si="9"/>
        <v>Tổ Hạ tầng Tân Châu</v>
      </c>
      <c r="C233" s="61" t="str">
        <f t="shared" ca="1" si="2"/>
        <v>Phan Anh Tuấn</v>
      </c>
      <c r="D233" s="239" t="str">
        <f t="shared" ca="1" si="3"/>
        <v>0918486992</v>
      </c>
      <c r="E233" s="63" t="str">
        <f t="shared" ca="1" si="4"/>
        <v>x</v>
      </c>
      <c r="F233" s="276" t="str">
        <f t="shared" ca="1" si="5"/>
        <v>Lần 3</v>
      </c>
      <c r="G233" s="313"/>
      <c r="H233" s="122"/>
      <c r="I233" s="122"/>
      <c r="J233" s="98"/>
      <c r="K233" s="98"/>
      <c r="L233" s="91"/>
      <c r="M233" s="184">
        <f t="shared" ca="1" si="12"/>
        <v>0</v>
      </c>
      <c r="N233" s="67">
        <f t="shared" ca="1" si="13"/>
        <v>0</v>
      </c>
      <c r="O233" s="68">
        <f t="shared" ca="1" si="8"/>
        <v>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>
        <f t="shared" ca="1" si="1"/>
        <v>228</v>
      </c>
      <c r="B234" s="182" t="str">
        <f t="shared" ca="1" si="9"/>
        <v>Tổ Hạ tầng Tân Châu</v>
      </c>
      <c r="C234" s="61" t="str">
        <f t="shared" ca="1" si="2"/>
        <v>Phan Anh Tuấn</v>
      </c>
      <c r="D234" s="239" t="str">
        <f t="shared" ca="1" si="3"/>
        <v>0918486992</v>
      </c>
      <c r="E234" s="63" t="str">
        <f t="shared" ca="1" si="4"/>
        <v>x</v>
      </c>
      <c r="F234" s="276" t="str">
        <f t="shared" ca="1" si="5"/>
        <v>Lần 4</v>
      </c>
      <c r="G234" s="313"/>
      <c r="H234" s="122"/>
      <c r="I234" s="122"/>
      <c r="J234" s="98"/>
      <c r="K234" s="98"/>
      <c r="L234" s="91"/>
      <c r="M234" s="184">
        <f t="shared" ca="1" si="12"/>
        <v>0</v>
      </c>
      <c r="N234" s="67">
        <f t="shared" ca="1" si="13"/>
        <v>0</v>
      </c>
      <c r="O234" s="68">
        <f t="shared" ca="1" si="8"/>
        <v>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>
        <f t="shared" ca="1" si="1"/>
        <v>229</v>
      </c>
      <c r="B235" s="182" t="str">
        <f t="shared" ca="1" si="9"/>
        <v>Tổ Hạ tầng Tân Châu</v>
      </c>
      <c r="C235" s="61" t="str">
        <f t="shared" ca="1" si="2"/>
        <v>Phan Anh Tuấn</v>
      </c>
      <c r="D235" s="239" t="str">
        <f t="shared" ca="1" si="3"/>
        <v>0918486992</v>
      </c>
      <c r="E235" s="63" t="str">
        <f t="shared" ca="1" si="4"/>
        <v>x</v>
      </c>
      <c r="F235" s="276" t="str">
        <f t="shared" ca="1" si="5"/>
        <v>Lần 5</v>
      </c>
      <c r="G235" s="313"/>
      <c r="H235" s="122"/>
      <c r="I235" s="122"/>
      <c r="J235" s="98"/>
      <c r="K235" s="98"/>
      <c r="L235" s="91"/>
      <c r="M235" s="184">
        <f t="shared" ca="1" si="12"/>
        <v>0</v>
      </c>
      <c r="N235" s="67">
        <f t="shared" ca="1" si="13"/>
        <v>0</v>
      </c>
      <c r="O235" s="68">
        <f t="shared" ca="1" si="8"/>
        <v>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>
        <f t="shared" ca="1" si="1"/>
        <v>230</v>
      </c>
      <c r="B236" s="182" t="str">
        <f t="shared" ca="1" si="9"/>
        <v>Tổ Hạ tầng Tân Châu</v>
      </c>
      <c r="C236" s="61" t="str">
        <f t="shared" ca="1" si="2"/>
        <v>Phan Anh Tuấn</v>
      </c>
      <c r="D236" s="239" t="str">
        <f t="shared" ca="1" si="3"/>
        <v>0918486992</v>
      </c>
      <c r="E236" s="63" t="str">
        <f t="shared" ca="1" si="4"/>
        <v>x</v>
      </c>
      <c r="F236" s="276" t="str">
        <f t="shared" ca="1" si="5"/>
        <v>Lần 6</v>
      </c>
      <c r="G236" s="313"/>
      <c r="H236" s="122"/>
      <c r="I236" s="122"/>
      <c r="J236" s="98"/>
      <c r="K236" s="98"/>
      <c r="L236" s="91"/>
      <c r="M236" s="184">
        <f t="shared" ca="1" si="12"/>
        <v>0</v>
      </c>
      <c r="N236" s="67">
        <f t="shared" ca="1" si="13"/>
        <v>0</v>
      </c>
      <c r="O236" s="68">
        <f t="shared" ca="1" si="8"/>
        <v>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>
        <f t="shared" ca="1" si="1"/>
        <v>231</v>
      </c>
      <c r="B237" s="182" t="str">
        <f t="shared" ca="1" si="9"/>
        <v>Tổ Hạ tầng Tân Châu</v>
      </c>
      <c r="C237" s="61" t="str">
        <f t="shared" ca="1" si="2"/>
        <v>Phan Anh Tuấn</v>
      </c>
      <c r="D237" s="239" t="str">
        <f t="shared" ca="1" si="3"/>
        <v>0918486992</v>
      </c>
      <c r="E237" s="63" t="str">
        <f t="shared" ca="1" si="4"/>
        <v>x</v>
      </c>
      <c r="F237" s="276" t="str">
        <f t="shared" ca="1" si="5"/>
        <v>Lần 7</v>
      </c>
      <c r="G237" s="313"/>
      <c r="H237" s="122"/>
      <c r="I237" s="122"/>
      <c r="J237" s="98"/>
      <c r="K237" s="98"/>
      <c r="L237" s="91"/>
      <c r="M237" s="184">
        <f t="shared" ca="1" si="12"/>
        <v>0</v>
      </c>
      <c r="N237" s="67">
        <f t="shared" ca="1" si="13"/>
        <v>0</v>
      </c>
      <c r="O237" s="68">
        <f t="shared" ca="1" si="8"/>
        <v>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>
        <f t="shared" ca="1" si="1"/>
        <v>232</v>
      </c>
      <c r="B238" s="182" t="str">
        <f t="shared" ca="1" si="9"/>
        <v>Tổ Hạ tầng Tân Châu</v>
      </c>
      <c r="C238" s="61" t="str">
        <f t="shared" ca="1" si="2"/>
        <v>Phan Anh Tuấn</v>
      </c>
      <c r="D238" s="239" t="str">
        <f t="shared" ca="1" si="3"/>
        <v>0918486992</v>
      </c>
      <c r="E238" s="63" t="str">
        <f t="shared" ca="1" si="4"/>
        <v>x</v>
      </c>
      <c r="F238" s="276" t="str">
        <f t="shared" ca="1" si="5"/>
        <v>Lần 8</v>
      </c>
      <c r="G238" s="313"/>
      <c r="H238" s="122"/>
      <c r="I238" s="122"/>
      <c r="J238" s="98"/>
      <c r="K238" s="98"/>
      <c r="L238" s="91"/>
      <c r="M238" s="184">
        <f t="shared" ca="1" si="12"/>
        <v>0</v>
      </c>
      <c r="N238" s="67">
        <f t="shared" ca="1" si="13"/>
        <v>0</v>
      </c>
      <c r="O238" s="68">
        <f t="shared" ca="1" si="8"/>
        <v>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>
        <f t="shared" ca="1" si="1"/>
        <v>233</v>
      </c>
      <c r="B239" s="182" t="str">
        <f t="shared" ca="1" si="9"/>
        <v>Tổ Hạ tầng Tân Châu</v>
      </c>
      <c r="C239" s="61" t="str">
        <f t="shared" ca="1" si="2"/>
        <v>Phan Anh Tuấn</v>
      </c>
      <c r="D239" s="239" t="str">
        <f t="shared" ca="1" si="3"/>
        <v>0918486992</v>
      </c>
      <c r="E239" s="63" t="str">
        <f t="shared" ca="1" si="4"/>
        <v>x</v>
      </c>
      <c r="F239" s="276" t="str">
        <f t="shared" ca="1" si="5"/>
        <v>Lần 9</v>
      </c>
      <c r="G239" s="313"/>
      <c r="H239" s="122"/>
      <c r="I239" s="122"/>
      <c r="J239" s="98"/>
      <c r="K239" s="98"/>
      <c r="L239" s="91"/>
      <c r="M239" s="184">
        <f t="shared" ca="1" si="12"/>
        <v>0</v>
      </c>
      <c r="N239" s="67">
        <f t="shared" ca="1" si="13"/>
        <v>0</v>
      </c>
      <c r="O239" s="68">
        <f t="shared" ca="1" si="8"/>
        <v>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>
        <f t="shared" ca="1" si="1"/>
        <v>234</v>
      </c>
      <c r="B240" s="182" t="str">
        <f t="shared" ca="1" si="9"/>
        <v>Tổ Hạ tầng Tân Châu</v>
      </c>
      <c r="C240" s="61" t="str">
        <f t="shared" ca="1" si="2"/>
        <v>Phan Anh Tuấn</v>
      </c>
      <c r="D240" s="239" t="str">
        <f t="shared" ca="1" si="3"/>
        <v>0918486992</v>
      </c>
      <c r="E240" s="63" t="str">
        <f t="shared" ca="1" si="4"/>
        <v>x</v>
      </c>
      <c r="F240" s="276" t="str">
        <f t="shared" ca="1" si="5"/>
        <v>Lần 10</v>
      </c>
      <c r="G240" s="313"/>
      <c r="H240" s="122"/>
      <c r="I240" s="122"/>
      <c r="J240" s="98"/>
      <c r="K240" s="98"/>
      <c r="L240" s="91"/>
      <c r="M240" s="184">
        <f t="shared" ca="1" si="12"/>
        <v>0</v>
      </c>
      <c r="N240" s="67">
        <f t="shared" ca="1" si="13"/>
        <v>0</v>
      </c>
      <c r="O240" s="68">
        <f t="shared" ca="1" si="8"/>
        <v>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>
        <f t="shared" ca="1" si="1"/>
        <v>235</v>
      </c>
      <c r="B241" s="182" t="str">
        <f t="shared" ca="1" si="9"/>
        <v>Tổ Hạ tầng Tân Châu</v>
      </c>
      <c r="C241" s="61" t="str">
        <f t="shared" ca="1" si="2"/>
        <v>Phan Anh Tuấn</v>
      </c>
      <c r="D241" s="239" t="str">
        <f t="shared" ca="1" si="3"/>
        <v>0918486992</v>
      </c>
      <c r="E241" s="63" t="str">
        <f t="shared" ca="1" si="4"/>
        <v>x</v>
      </c>
      <c r="F241" s="276" t="str">
        <f t="shared" ca="1" si="5"/>
        <v>Lần 11</v>
      </c>
      <c r="G241" s="313"/>
      <c r="H241" s="122"/>
      <c r="I241" s="122"/>
      <c r="J241" s="98"/>
      <c r="K241" s="98"/>
      <c r="L241" s="91"/>
      <c r="M241" s="184">
        <f t="shared" ca="1" si="12"/>
        <v>0</v>
      </c>
      <c r="N241" s="67">
        <f t="shared" ca="1" si="13"/>
        <v>0</v>
      </c>
      <c r="O241" s="68">
        <f t="shared" ca="1" si="8"/>
        <v>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>
        <f t="shared" ca="1" si="1"/>
        <v>236</v>
      </c>
      <c r="B242" s="182" t="str">
        <f t="shared" ca="1" si="9"/>
        <v>Tổ Hạ tầng Tân Châu</v>
      </c>
      <c r="C242" s="61" t="str">
        <f t="shared" ca="1" si="2"/>
        <v>Phan Anh Tuấn</v>
      </c>
      <c r="D242" s="239" t="str">
        <f t="shared" ca="1" si="3"/>
        <v>0918486992</v>
      </c>
      <c r="E242" s="63" t="str">
        <f t="shared" ca="1" si="4"/>
        <v>x</v>
      </c>
      <c r="F242" s="276" t="str">
        <f t="shared" ca="1" si="5"/>
        <v>Lần 12</v>
      </c>
      <c r="G242" s="313"/>
      <c r="H242" s="122"/>
      <c r="I242" s="122"/>
      <c r="J242" s="60"/>
      <c r="K242" s="60"/>
      <c r="L242" s="91"/>
      <c r="M242" s="184">
        <f t="shared" ca="1" si="12"/>
        <v>0</v>
      </c>
      <c r="N242" s="67">
        <f t="shared" ca="1" si="13"/>
        <v>0</v>
      </c>
      <c r="O242" s="68">
        <f t="shared" ca="1" si="8"/>
        <v>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>
        <f t="shared" ca="1" si="1"/>
        <v>237</v>
      </c>
      <c r="B243" s="182" t="str">
        <f t="shared" ca="1" si="9"/>
        <v>Tổ Hạ tầng Tân Châu</v>
      </c>
      <c r="C243" s="61" t="str">
        <f t="shared" ca="1" si="2"/>
        <v>Phan Anh Tuấn</v>
      </c>
      <c r="D243" s="239" t="str">
        <f t="shared" ca="1" si="3"/>
        <v>0918486992</v>
      </c>
      <c r="E243" s="63" t="str">
        <f t="shared" ca="1" si="4"/>
        <v>x</v>
      </c>
      <c r="F243" s="276" t="str">
        <f t="shared" ca="1" si="5"/>
        <v>Lần 13</v>
      </c>
      <c r="G243" s="313"/>
      <c r="H243" s="122"/>
      <c r="I243" s="122"/>
      <c r="J243" s="60"/>
      <c r="K243" s="60"/>
      <c r="L243" s="91"/>
      <c r="M243" s="184">
        <f t="shared" ca="1" si="12"/>
        <v>0</v>
      </c>
      <c r="N243" s="67">
        <f t="shared" ca="1" si="13"/>
        <v>0</v>
      </c>
      <c r="O243" s="68">
        <f t="shared" ca="1" si="8"/>
        <v>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>
        <f t="shared" ca="1" si="1"/>
        <v>238</v>
      </c>
      <c r="B244" s="182" t="str">
        <f t="shared" ca="1" si="9"/>
        <v>Tổ Hạ tầng Tân Châu</v>
      </c>
      <c r="C244" s="61" t="str">
        <f t="shared" ca="1" si="2"/>
        <v>Phan Anh Tuấn</v>
      </c>
      <c r="D244" s="239" t="str">
        <f t="shared" ca="1" si="3"/>
        <v>0918486992</v>
      </c>
      <c r="E244" s="63" t="str">
        <f t="shared" ca="1" si="4"/>
        <v>x</v>
      </c>
      <c r="F244" s="276" t="str">
        <f t="shared" ca="1" si="5"/>
        <v>Lần 14</v>
      </c>
      <c r="G244" s="313"/>
      <c r="H244" s="122"/>
      <c r="I244" s="122"/>
      <c r="J244" s="60"/>
      <c r="K244" s="60"/>
      <c r="L244" s="91"/>
      <c r="M244" s="184">
        <f t="shared" ca="1" si="12"/>
        <v>0</v>
      </c>
      <c r="N244" s="67">
        <f t="shared" ca="1" si="13"/>
        <v>0</v>
      </c>
      <c r="O244" s="68">
        <f t="shared" ca="1" si="8"/>
        <v>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>
        <f t="shared" ca="1" si="1"/>
        <v>239</v>
      </c>
      <c r="B245" s="182" t="str">
        <f t="shared" ca="1" si="9"/>
        <v>Tổ Hạ tầng Tân Châu</v>
      </c>
      <c r="C245" s="61" t="str">
        <f t="shared" ca="1" si="2"/>
        <v>Phan Anh Tuấn</v>
      </c>
      <c r="D245" s="239" t="str">
        <f t="shared" ca="1" si="3"/>
        <v>0918486992</v>
      </c>
      <c r="E245" s="63" t="str">
        <f t="shared" ca="1" si="4"/>
        <v>x</v>
      </c>
      <c r="F245" s="276" t="str">
        <f t="shared" ca="1" si="5"/>
        <v>Lần 15</v>
      </c>
      <c r="G245" s="313"/>
      <c r="H245" s="122"/>
      <c r="I245" s="122"/>
      <c r="J245" s="60"/>
      <c r="K245" s="60"/>
      <c r="L245" s="91"/>
      <c r="M245" s="184">
        <f t="shared" ca="1" si="12"/>
        <v>0</v>
      </c>
      <c r="N245" s="67">
        <f t="shared" ca="1" si="13"/>
        <v>0</v>
      </c>
      <c r="O245" s="68">
        <f t="shared" ca="1" si="8"/>
        <v>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100">
        <f t="shared" ca="1" si="1"/>
        <v>240</v>
      </c>
      <c r="B246" s="196" t="str">
        <f t="shared" ca="1" si="9"/>
        <v>Tổ Hạ tầng Tân Châu</v>
      </c>
      <c r="C246" s="102" t="str">
        <f t="shared" ca="1" si="2"/>
        <v>Phan Anh Tuấn</v>
      </c>
      <c r="D246" s="241" t="str">
        <f t="shared" ca="1" si="3"/>
        <v>0918486992</v>
      </c>
      <c r="E246" s="104" t="str">
        <f t="shared" ca="1" si="4"/>
        <v>x</v>
      </c>
      <c r="F246" s="310" t="str">
        <f t="shared" ca="1" si="5"/>
        <v>Lần 16</v>
      </c>
      <c r="G246" s="313"/>
      <c r="H246" s="150"/>
      <c r="I246" s="150"/>
      <c r="J246" s="81"/>
      <c r="K246" s="81"/>
      <c r="L246" s="152"/>
      <c r="M246" s="189">
        <f t="shared" ca="1" si="12"/>
        <v>0</v>
      </c>
      <c r="N246" s="171">
        <f t="shared" ca="1" si="13"/>
        <v>0</v>
      </c>
      <c r="O246" s="68">
        <f t="shared" ca="1" si="8"/>
        <v>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106" t="str">
        <f t="shared" ca="1" si="1"/>
        <v/>
      </c>
      <c r="B247" s="204" t="str">
        <f t="shared" ca="1" si="9"/>
        <v/>
      </c>
      <c r="C247" s="108" t="str">
        <f t="shared" ca="1" si="2"/>
        <v/>
      </c>
      <c r="D247" s="205" t="str">
        <f t="shared" ca="1" si="3"/>
        <v/>
      </c>
      <c r="E247" s="110" t="str">
        <f t="shared" ca="1" si="4"/>
        <v/>
      </c>
      <c r="F247" s="307" t="str">
        <f t="shared" ca="1" si="5"/>
        <v/>
      </c>
      <c r="G247" s="154"/>
      <c r="H247" s="154"/>
      <c r="I247" s="154"/>
      <c r="J247" s="154"/>
      <c r="K247" s="154"/>
      <c r="L247" s="155"/>
      <c r="M247" s="194" t="str">
        <f t="shared" ca="1" si="12"/>
        <v/>
      </c>
      <c r="N247" s="195" t="str">
        <f t="shared" ca="1" si="13"/>
        <v/>
      </c>
      <c r="O247" s="68" t="str">
        <f t="shared" ca="1" si="8"/>
        <v/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 t="str">
        <f t="shared" ca="1" si="1"/>
        <v/>
      </c>
      <c r="B248" s="182" t="str">
        <f t="shared" ca="1" si="9"/>
        <v/>
      </c>
      <c r="C248" s="61" t="str">
        <f t="shared" ca="1" si="2"/>
        <v/>
      </c>
      <c r="D248" s="183" t="str">
        <f t="shared" ca="1" si="3"/>
        <v/>
      </c>
      <c r="E248" s="63" t="str">
        <f t="shared" ca="1" si="4"/>
        <v/>
      </c>
      <c r="F248" s="276" t="str">
        <f t="shared" ca="1" si="5"/>
        <v/>
      </c>
      <c r="G248" s="157"/>
      <c r="H248" s="157"/>
      <c r="I248" s="157"/>
      <c r="J248" s="157"/>
      <c r="K248" s="157"/>
      <c r="L248" s="158"/>
      <c r="M248" s="184" t="str">
        <f t="shared" ca="1" si="12"/>
        <v/>
      </c>
      <c r="N248" s="67" t="str">
        <f t="shared" ca="1" si="13"/>
        <v/>
      </c>
      <c r="O248" s="68" t="str">
        <f t="shared" ca="1" si="8"/>
        <v/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 t="str">
        <f t="shared" ca="1" si="1"/>
        <v/>
      </c>
      <c r="B249" s="182" t="str">
        <f t="shared" ca="1" si="9"/>
        <v/>
      </c>
      <c r="C249" s="61" t="str">
        <f t="shared" ca="1" si="2"/>
        <v/>
      </c>
      <c r="D249" s="183" t="str">
        <f t="shared" ca="1" si="3"/>
        <v/>
      </c>
      <c r="E249" s="63" t="str">
        <f t="shared" ca="1" si="4"/>
        <v/>
      </c>
      <c r="F249" s="276" t="str">
        <f t="shared" ca="1" si="5"/>
        <v/>
      </c>
      <c r="G249" s="157"/>
      <c r="H249" s="157"/>
      <c r="I249" s="157"/>
      <c r="J249" s="157"/>
      <c r="K249" s="157"/>
      <c r="L249" s="158"/>
      <c r="M249" s="184" t="str">
        <f t="shared" ca="1" si="12"/>
        <v/>
      </c>
      <c r="N249" s="67" t="str">
        <f t="shared" ca="1" si="13"/>
        <v/>
      </c>
      <c r="O249" s="68" t="str">
        <f t="shared" ca="1" si="8"/>
        <v/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 t="str">
        <f t="shared" ca="1" si="1"/>
        <v/>
      </c>
      <c r="B250" s="182" t="str">
        <f t="shared" ca="1" si="9"/>
        <v/>
      </c>
      <c r="C250" s="61" t="str">
        <f t="shared" ca="1" si="2"/>
        <v/>
      </c>
      <c r="D250" s="183" t="str">
        <f t="shared" ca="1" si="3"/>
        <v/>
      </c>
      <c r="E250" s="63" t="str">
        <f t="shared" ca="1" si="4"/>
        <v/>
      </c>
      <c r="F250" s="276" t="str">
        <f t="shared" ca="1" si="5"/>
        <v/>
      </c>
      <c r="G250" s="157"/>
      <c r="H250" s="157"/>
      <c r="I250" s="157"/>
      <c r="J250" s="157"/>
      <c r="K250" s="157"/>
      <c r="L250" s="158"/>
      <c r="M250" s="184" t="str">
        <f t="shared" ca="1" si="12"/>
        <v/>
      </c>
      <c r="N250" s="67" t="str">
        <f t="shared" ca="1" si="13"/>
        <v/>
      </c>
      <c r="O250" s="68" t="str">
        <f t="shared" ca="1" si="8"/>
        <v/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 t="str">
        <f t="shared" ca="1" si="1"/>
        <v/>
      </c>
      <c r="B251" s="182" t="str">
        <f t="shared" ca="1" si="9"/>
        <v/>
      </c>
      <c r="C251" s="61" t="str">
        <f t="shared" ca="1" si="2"/>
        <v/>
      </c>
      <c r="D251" s="183" t="str">
        <f t="shared" ca="1" si="3"/>
        <v/>
      </c>
      <c r="E251" s="63" t="str">
        <f t="shared" ca="1" si="4"/>
        <v/>
      </c>
      <c r="F251" s="276" t="str">
        <f t="shared" ca="1" si="5"/>
        <v/>
      </c>
      <c r="G251" s="157"/>
      <c r="H251" s="157"/>
      <c r="I251" s="157"/>
      <c r="J251" s="157"/>
      <c r="K251" s="157"/>
      <c r="L251" s="158"/>
      <c r="M251" s="184" t="str">
        <f t="shared" ca="1" si="12"/>
        <v/>
      </c>
      <c r="N251" s="67" t="str">
        <f t="shared" ca="1" si="13"/>
        <v/>
      </c>
      <c r="O251" s="68" t="str">
        <f t="shared" ca="1" si="8"/>
        <v/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 t="str">
        <f t="shared" ca="1" si="1"/>
        <v/>
      </c>
      <c r="B252" s="182" t="str">
        <f t="shared" ca="1" si="9"/>
        <v/>
      </c>
      <c r="C252" s="61" t="str">
        <f t="shared" ca="1" si="2"/>
        <v/>
      </c>
      <c r="D252" s="183" t="str">
        <f t="shared" ca="1" si="3"/>
        <v/>
      </c>
      <c r="E252" s="63" t="str">
        <f t="shared" ca="1" si="4"/>
        <v/>
      </c>
      <c r="F252" s="276" t="str">
        <f t="shared" ca="1" si="5"/>
        <v/>
      </c>
      <c r="G252" s="157"/>
      <c r="H252" s="157"/>
      <c r="I252" s="157"/>
      <c r="J252" s="122"/>
      <c r="K252" s="122"/>
      <c r="L252" s="158"/>
      <c r="M252" s="184" t="str">
        <f t="shared" ca="1" si="12"/>
        <v/>
      </c>
      <c r="N252" s="67" t="str">
        <f t="shared" ca="1" si="13"/>
        <v/>
      </c>
      <c r="O252" s="68" t="str">
        <f t="shared" ca="1" si="8"/>
        <v/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 t="str">
        <f t="shared" ca="1" si="1"/>
        <v/>
      </c>
      <c r="B253" s="182" t="str">
        <f t="shared" ca="1" si="9"/>
        <v/>
      </c>
      <c r="C253" s="61" t="str">
        <f t="shared" ca="1" si="2"/>
        <v/>
      </c>
      <c r="D253" s="183" t="str">
        <f t="shared" ca="1" si="3"/>
        <v/>
      </c>
      <c r="E253" s="63" t="str">
        <f t="shared" ca="1" si="4"/>
        <v/>
      </c>
      <c r="F253" s="276" t="str">
        <f t="shared" ca="1" si="5"/>
        <v/>
      </c>
      <c r="G253" s="157"/>
      <c r="H253" s="157"/>
      <c r="I253" s="157"/>
      <c r="J253" s="122"/>
      <c r="K253" s="122"/>
      <c r="L253" s="158"/>
      <c r="M253" s="184" t="str">
        <f t="shared" ca="1" si="12"/>
        <v/>
      </c>
      <c r="N253" s="67" t="str">
        <f t="shared" ca="1" si="13"/>
        <v/>
      </c>
      <c r="O253" s="68" t="str">
        <f t="shared" ca="1" si="8"/>
        <v/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 t="str">
        <f t="shared" ca="1" si="1"/>
        <v/>
      </c>
      <c r="B254" s="182" t="str">
        <f t="shared" ca="1" si="9"/>
        <v/>
      </c>
      <c r="C254" s="61" t="str">
        <f t="shared" ca="1" si="2"/>
        <v/>
      </c>
      <c r="D254" s="183" t="str">
        <f t="shared" ca="1" si="3"/>
        <v/>
      </c>
      <c r="E254" s="63" t="str">
        <f t="shared" ca="1" si="4"/>
        <v/>
      </c>
      <c r="F254" s="276" t="str">
        <f t="shared" ca="1" si="5"/>
        <v/>
      </c>
      <c r="G254" s="157"/>
      <c r="H254" s="157"/>
      <c r="I254" s="157"/>
      <c r="J254" s="122"/>
      <c r="K254" s="122"/>
      <c r="L254" s="158"/>
      <c r="M254" s="184" t="str">
        <f t="shared" ca="1" si="12"/>
        <v/>
      </c>
      <c r="N254" s="67" t="str">
        <f t="shared" ca="1" si="13"/>
        <v/>
      </c>
      <c r="O254" s="68" t="str">
        <f t="shared" ca="1" si="8"/>
        <v/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 t="str">
        <f t="shared" ca="1" si="1"/>
        <v/>
      </c>
      <c r="B255" s="182" t="str">
        <f t="shared" ca="1" si="9"/>
        <v/>
      </c>
      <c r="C255" s="61" t="str">
        <f t="shared" ca="1" si="2"/>
        <v/>
      </c>
      <c r="D255" s="183" t="str">
        <f t="shared" ca="1" si="3"/>
        <v/>
      </c>
      <c r="E255" s="63" t="str">
        <f t="shared" ca="1" si="4"/>
        <v/>
      </c>
      <c r="F255" s="276" t="str">
        <f t="shared" ca="1" si="5"/>
        <v/>
      </c>
      <c r="G255" s="157"/>
      <c r="H255" s="157"/>
      <c r="I255" s="157"/>
      <c r="J255" s="122"/>
      <c r="K255" s="122"/>
      <c r="L255" s="158"/>
      <c r="M255" s="184" t="str">
        <f t="shared" ca="1" si="12"/>
        <v/>
      </c>
      <c r="N255" s="67" t="str">
        <f t="shared" ca="1" si="13"/>
        <v/>
      </c>
      <c r="O255" s="68" t="str">
        <f t="shared" ca="1" si="8"/>
        <v/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 t="str">
        <f t="shared" ca="1" si="1"/>
        <v/>
      </c>
      <c r="B256" s="182" t="str">
        <f t="shared" ca="1" si="9"/>
        <v/>
      </c>
      <c r="C256" s="61" t="str">
        <f t="shared" ca="1" si="2"/>
        <v/>
      </c>
      <c r="D256" s="183" t="str">
        <f t="shared" ca="1" si="3"/>
        <v/>
      </c>
      <c r="E256" s="63" t="str">
        <f t="shared" ca="1" si="4"/>
        <v/>
      </c>
      <c r="F256" s="276" t="str">
        <f t="shared" ca="1" si="5"/>
        <v/>
      </c>
      <c r="G256" s="157"/>
      <c r="H256" s="157"/>
      <c r="I256" s="157"/>
      <c r="J256" s="122"/>
      <c r="K256" s="122"/>
      <c r="L256" s="158"/>
      <c r="M256" s="184" t="str">
        <f t="shared" ca="1" si="12"/>
        <v/>
      </c>
      <c r="N256" s="67" t="str">
        <f t="shared" ca="1" si="13"/>
        <v/>
      </c>
      <c r="O256" s="68" t="str">
        <f t="shared" ca="1" si="8"/>
        <v/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 t="str">
        <f t="shared" ca="1" si="1"/>
        <v/>
      </c>
      <c r="B257" s="182" t="str">
        <f t="shared" ca="1" si="9"/>
        <v/>
      </c>
      <c r="C257" s="61" t="str">
        <f t="shared" ca="1" si="2"/>
        <v/>
      </c>
      <c r="D257" s="183" t="str">
        <f t="shared" ca="1" si="3"/>
        <v/>
      </c>
      <c r="E257" s="63" t="str">
        <f t="shared" ca="1" si="4"/>
        <v/>
      </c>
      <c r="F257" s="276" t="str">
        <f t="shared" ca="1" si="5"/>
        <v/>
      </c>
      <c r="G257" s="157"/>
      <c r="H257" s="157"/>
      <c r="I257" s="157"/>
      <c r="J257" s="122"/>
      <c r="K257" s="122"/>
      <c r="L257" s="158"/>
      <c r="M257" s="184" t="str">
        <f t="shared" ca="1" si="12"/>
        <v/>
      </c>
      <c r="N257" s="67" t="str">
        <f t="shared" ca="1" si="13"/>
        <v/>
      </c>
      <c r="O257" s="68" t="str">
        <f t="shared" ca="1" si="8"/>
        <v/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 t="str">
        <f t="shared" ca="1" si="1"/>
        <v/>
      </c>
      <c r="B258" s="182" t="str">
        <f t="shared" ca="1" si="9"/>
        <v/>
      </c>
      <c r="C258" s="61" t="str">
        <f t="shared" ca="1" si="2"/>
        <v/>
      </c>
      <c r="D258" s="183" t="str">
        <f t="shared" ca="1" si="3"/>
        <v/>
      </c>
      <c r="E258" s="63" t="str">
        <f t="shared" ca="1" si="4"/>
        <v/>
      </c>
      <c r="F258" s="276" t="str">
        <f t="shared" ca="1" si="5"/>
        <v/>
      </c>
      <c r="G258" s="157"/>
      <c r="H258" s="157"/>
      <c r="I258" s="157"/>
      <c r="J258" s="122"/>
      <c r="K258" s="122"/>
      <c r="L258" s="158"/>
      <c r="M258" s="184" t="str">
        <f t="shared" ca="1" si="12"/>
        <v/>
      </c>
      <c r="N258" s="67" t="str">
        <f t="shared" ca="1" si="13"/>
        <v/>
      </c>
      <c r="O258" s="68" t="str">
        <f t="shared" ca="1" si="8"/>
        <v/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 t="str">
        <f t="shared" ca="1" si="1"/>
        <v/>
      </c>
      <c r="B259" s="182" t="str">
        <f t="shared" ca="1" si="9"/>
        <v/>
      </c>
      <c r="C259" s="61" t="str">
        <f t="shared" ca="1" si="2"/>
        <v/>
      </c>
      <c r="D259" s="183" t="str">
        <f t="shared" ca="1" si="3"/>
        <v/>
      </c>
      <c r="E259" s="63" t="str">
        <f t="shared" ca="1" si="4"/>
        <v/>
      </c>
      <c r="F259" s="276" t="str">
        <f t="shared" ca="1" si="5"/>
        <v/>
      </c>
      <c r="G259" s="157"/>
      <c r="H259" s="157"/>
      <c r="I259" s="157"/>
      <c r="J259" s="122"/>
      <c r="K259" s="122"/>
      <c r="L259" s="158"/>
      <c r="M259" s="184" t="str">
        <f t="shared" ca="1" si="12"/>
        <v/>
      </c>
      <c r="N259" s="67" t="str">
        <f t="shared" ca="1" si="13"/>
        <v/>
      </c>
      <c r="O259" s="68" t="str">
        <f t="shared" ca="1" si="8"/>
        <v/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 t="str">
        <f t="shared" ca="1" si="1"/>
        <v/>
      </c>
      <c r="B260" s="182" t="str">
        <f t="shared" ca="1" si="9"/>
        <v/>
      </c>
      <c r="C260" s="61" t="str">
        <f t="shared" ca="1" si="2"/>
        <v/>
      </c>
      <c r="D260" s="183" t="str">
        <f t="shared" ca="1" si="3"/>
        <v/>
      </c>
      <c r="E260" s="63" t="str">
        <f t="shared" ca="1" si="4"/>
        <v/>
      </c>
      <c r="F260" s="276" t="str">
        <f t="shared" ca="1" si="5"/>
        <v/>
      </c>
      <c r="G260" s="157"/>
      <c r="H260" s="157"/>
      <c r="I260" s="157"/>
      <c r="J260" s="122"/>
      <c r="K260" s="122"/>
      <c r="L260" s="158"/>
      <c r="M260" s="184" t="str">
        <f t="shared" ca="1" si="12"/>
        <v/>
      </c>
      <c r="N260" s="67" t="str">
        <f t="shared" ca="1" si="13"/>
        <v/>
      </c>
      <c r="O260" s="68" t="str">
        <f t="shared" ca="1" si="8"/>
        <v/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 t="str">
        <f t="shared" ca="1" si="1"/>
        <v/>
      </c>
      <c r="B261" s="182" t="str">
        <f t="shared" ca="1" si="9"/>
        <v/>
      </c>
      <c r="C261" s="61" t="str">
        <f t="shared" ca="1" si="2"/>
        <v/>
      </c>
      <c r="D261" s="183" t="str">
        <f t="shared" ca="1" si="3"/>
        <v/>
      </c>
      <c r="E261" s="63" t="str">
        <f t="shared" ca="1" si="4"/>
        <v/>
      </c>
      <c r="F261" s="276" t="str">
        <f t="shared" ca="1" si="5"/>
        <v/>
      </c>
      <c r="G261" s="157"/>
      <c r="H261" s="157"/>
      <c r="I261" s="157"/>
      <c r="J261" s="122"/>
      <c r="K261" s="122"/>
      <c r="L261" s="158"/>
      <c r="M261" s="184" t="str">
        <f t="shared" ca="1" si="12"/>
        <v/>
      </c>
      <c r="N261" s="67" t="str">
        <f t="shared" ca="1" si="13"/>
        <v/>
      </c>
      <c r="O261" s="68" t="str">
        <f t="shared" ca="1" si="8"/>
        <v/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100" t="str">
        <f t="shared" ref="A262" ca="1" si="14">IF(INDIRECT("'DS nhân viên Speedtest'!B"&amp; (95+QUOTIENT(ROW()-ROW($A$7),16)))="","",ROW()-ROW($A$7)+1)</f>
        <v/>
      </c>
      <c r="B262" s="196" t="str">
        <f t="shared" ca="1" si="9"/>
        <v/>
      </c>
      <c r="C262" s="102" t="str">
        <f t="shared" ref="C262" ca="1" si="15">IF(A262="","",INDIRECT("'DS nhân viên Speedtest'!B"&amp; (95+QUOTIENT(A262-1,16))))</f>
        <v/>
      </c>
      <c r="D262" s="197" t="str">
        <f t="shared" ref="D262" ca="1" si="16">IF(A262="","",INDIRECT("'DS nhân viên Speedtest'!C"&amp; (95+QUOTIENT(A262-1,16))))</f>
        <v/>
      </c>
      <c r="E262" s="104" t="str">
        <f t="shared" ref="E262" ca="1" si="17">IF(A262="","",INDIRECT("'DS nhân viên Speedtest'!D"&amp; (95+QUOTIENT(A262-1,16))))</f>
        <v/>
      </c>
      <c r="F262" s="310" t="str">
        <f t="shared" ref="F262" ca="1" si="18">IF(A262="","","Lần "&amp;(MOD(ROW()-ROW($A$7),16)+1))</f>
        <v/>
      </c>
      <c r="G262" s="160"/>
      <c r="H262" s="160"/>
      <c r="I262" s="160"/>
      <c r="J262" s="161"/>
      <c r="K262" s="161"/>
      <c r="L262" s="162"/>
      <c r="M262" s="189" t="str">
        <f t="shared" ca="1" si="12"/>
        <v/>
      </c>
      <c r="N262" s="171" t="str">
        <f t="shared" ca="1" si="13"/>
        <v/>
      </c>
      <c r="O262" s="172" t="str">
        <f t="shared" ref="O262" ca="1" si="19">IF(B262="","",IF((J262-0)&gt;200,1,0))</f>
        <v/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37"/>
      <c r="B263" s="37"/>
      <c r="C263" s="37"/>
      <c r="D263" s="37"/>
      <c r="E263" s="173"/>
      <c r="F263" s="37"/>
      <c r="G263" s="174"/>
      <c r="H263" s="174"/>
      <c r="I263" s="174"/>
      <c r="J263" s="175"/>
      <c r="K263" s="175"/>
      <c r="L263" s="174"/>
      <c r="M263" s="174"/>
      <c r="N263" s="174"/>
      <c r="O263" s="174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37"/>
      <c r="B264" s="37"/>
      <c r="C264" s="37"/>
      <c r="D264" s="37"/>
      <c r="E264" s="173"/>
      <c r="F264" s="37"/>
      <c r="G264" s="174"/>
      <c r="H264" s="174"/>
      <c r="I264" s="174"/>
      <c r="J264" s="175"/>
      <c r="K264" s="175"/>
      <c r="L264" s="174"/>
      <c r="M264" s="174"/>
      <c r="N264" s="174"/>
      <c r="O264" s="174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37"/>
      <c r="B265" s="37"/>
      <c r="C265" s="37"/>
      <c r="D265" s="37"/>
      <c r="E265" s="173"/>
      <c r="F265" s="37"/>
      <c r="G265" s="174"/>
      <c r="H265" s="174"/>
      <c r="I265" s="174"/>
      <c r="J265" s="175"/>
      <c r="K265" s="175"/>
      <c r="L265" s="174"/>
      <c r="M265" s="174"/>
      <c r="N265" s="174"/>
      <c r="O265" s="174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37"/>
      <c r="B266" s="37"/>
      <c r="C266" s="37"/>
      <c r="D266" s="37"/>
      <c r="E266" s="173"/>
      <c r="F266" s="37"/>
      <c r="G266" s="174"/>
      <c r="H266" s="174"/>
      <c r="I266" s="174"/>
      <c r="J266" s="175"/>
      <c r="K266" s="175"/>
      <c r="L266" s="174"/>
      <c r="M266" s="174"/>
      <c r="N266" s="174"/>
      <c r="O266" s="174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37"/>
      <c r="B267" s="37"/>
      <c r="C267" s="37"/>
      <c r="D267" s="37"/>
      <c r="E267" s="173"/>
      <c r="F267" s="37"/>
      <c r="G267" s="174"/>
      <c r="H267" s="174"/>
      <c r="I267" s="174"/>
      <c r="J267" s="175"/>
      <c r="K267" s="175"/>
      <c r="L267" s="174"/>
      <c r="M267" s="174"/>
      <c r="N267" s="174"/>
      <c r="O267" s="174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37"/>
      <c r="B268" s="37"/>
      <c r="C268" s="37"/>
      <c r="D268" s="37"/>
      <c r="E268" s="173"/>
      <c r="F268" s="37"/>
      <c r="G268" s="174"/>
      <c r="H268" s="174"/>
      <c r="I268" s="174"/>
      <c r="J268" s="175"/>
      <c r="K268" s="175"/>
      <c r="L268" s="174"/>
      <c r="M268" s="174"/>
      <c r="N268" s="174"/>
      <c r="O268" s="174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37"/>
      <c r="B269" s="37"/>
      <c r="C269" s="37"/>
      <c r="D269" s="37"/>
      <c r="E269" s="173"/>
      <c r="F269" s="37"/>
      <c r="G269" s="174"/>
      <c r="H269" s="174"/>
      <c r="I269" s="174"/>
      <c r="J269" s="175"/>
      <c r="K269" s="175"/>
      <c r="L269" s="174"/>
      <c r="M269" s="174"/>
      <c r="N269" s="174"/>
      <c r="O269" s="174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37"/>
      <c r="B270" s="37"/>
      <c r="C270" s="37"/>
      <c r="D270" s="37"/>
      <c r="E270" s="173"/>
      <c r="F270" s="37"/>
      <c r="G270" s="174"/>
      <c r="H270" s="174"/>
      <c r="I270" s="174"/>
      <c r="J270" s="175"/>
      <c r="K270" s="175"/>
      <c r="L270" s="174"/>
      <c r="M270" s="174"/>
      <c r="N270" s="174"/>
      <c r="O270" s="174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37"/>
      <c r="B271" s="37"/>
      <c r="C271" s="37"/>
      <c r="D271" s="37"/>
      <c r="E271" s="173"/>
      <c r="F271" s="37"/>
      <c r="G271" s="174"/>
      <c r="H271" s="174"/>
      <c r="I271" s="174"/>
      <c r="J271" s="175"/>
      <c r="K271" s="175"/>
      <c r="L271" s="174"/>
      <c r="M271" s="174"/>
      <c r="N271" s="174"/>
      <c r="O271" s="174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37"/>
      <c r="B272" s="37"/>
      <c r="C272" s="37"/>
      <c r="D272" s="37"/>
      <c r="E272" s="173"/>
      <c r="F272" s="37"/>
      <c r="G272" s="174"/>
      <c r="H272" s="174"/>
      <c r="I272" s="174"/>
      <c r="J272" s="175"/>
      <c r="K272" s="175"/>
      <c r="L272" s="174"/>
      <c r="M272" s="174"/>
      <c r="N272" s="174"/>
      <c r="O272" s="174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37"/>
      <c r="B273" s="37"/>
      <c r="C273" s="37"/>
      <c r="D273" s="37"/>
      <c r="E273" s="173"/>
      <c r="F273" s="37"/>
      <c r="G273" s="174"/>
      <c r="H273" s="174"/>
      <c r="I273" s="174"/>
      <c r="J273" s="175"/>
      <c r="K273" s="175"/>
      <c r="L273" s="174"/>
      <c r="M273" s="174"/>
      <c r="N273" s="174"/>
      <c r="O273" s="174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37"/>
      <c r="B274" s="37"/>
      <c r="C274" s="37"/>
      <c r="D274" s="37"/>
      <c r="E274" s="173"/>
      <c r="F274" s="37"/>
      <c r="G274" s="174"/>
      <c r="H274" s="174"/>
      <c r="I274" s="174"/>
      <c r="J274" s="175"/>
      <c r="K274" s="175"/>
      <c r="L274" s="174"/>
      <c r="M274" s="174"/>
      <c r="N274" s="174"/>
      <c r="O274" s="174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37"/>
      <c r="B275" s="37"/>
      <c r="C275" s="37"/>
      <c r="D275" s="37"/>
      <c r="E275" s="173"/>
      <c r="F275" s="37"/>
      <c r="G275" s="174"/>
      <c r="H275" s="174"/>
      <c r="I275" s="174"/>
      <c r="J275" s="175"/>
      <c r="K275" s="175"/>
      <c r="L275" s="174"/>
      <c r="M275" s="174"/>
      <c r="N275" s="174"/>
      <c r="O275" s="174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37"/>
      <c r="B276" s="37"/>
      <c r="C276" s="37"/>
      <c r="D276" s="37"/>
      <c r="E276" s="173"/>
      <c r="F276" s="37"/>
      <c r="G276" s="174"/>
      <c r="H276" s="174"/>
      <c r="I276" s="174"/>
      <c r="J276" s="175"/>
      <c r="K276" s="175"/>
      <c r="L276" s="174"/>
      <c r="M276" s="174"/>
      <c r="N276" s="174"/>
      <c r="O276" s="174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37"/>
      <c r="B277" s="37"/>
      <c r="C277" s="37"/>
      <c r="D277" s="37"/>
      <c r="E277" s="173"/>
      <c r="F277" s="37"/>
      <c r="G277" s="174"/>
      <c r="H277" s="174"/>
      <c r="I277" s="174"/>
      <c r="J277" s="175"/>
      <c r="K277" s="175"/>
      <c r="L277" s="174"/>
      <c r="M277" s="174"/>
      <c r="N277" s="174"/>
      <c r="O277" s="174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37"/>
      <c r="B278" s="37"/>
      <c r="C278" s="37"/>
      <c r="D278" s="37"/>
      <c r="E278" s="173"/>
      <c r="F278" s="37"/>
      <c r="G278" s="174"/>
      <c r="H278" s="174"/>
      <c r="I278" s="174"/>
      <c r="J278" s="175"/>
      <c r="K278" s="175"/>
      <c r="L278" s="174"/>
      <c r="M278" s="174"/>
      <c r="N278" s="174"/>
      <c r="O278" s="174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37"/>
      <c r="B279" s="37"/>
      <c r="C279" s="37"/>
      <c r="D279" s="37"/>
      <c r="E279" s="173"/>
      <c r="F279" s="37"/>
      <c r="G279" s="174"/>
      <c r="H279" s="174"/>
      <c r="I279" s="174"/>
      <c r="J279" s="175"/>
      <c r="K279" s="175"/>
      <c r="L279" s="174"/>
      <c r="M279" s="174"/>
      <c r="N279" s="174"/>
      <c r="O279" s="174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37"/>
      <c r="B280" s="37"/>
      <c r="C280" s="37"/>
      <c r="D280" s="37"/>
      <c r="E280" s="173"/>
      <c r="F280" s="37"/>
      <c r="G280" s="174"/>
      <c r="H280" s="174"/>
      <c r="I280" s="174"/>
      <c r="J280" s="175"/>
      <c r="K280" s="175"/>
      <c r="L280" s="174"/>
      <c r="M280" s="174"/>
      <c r="N280" s="174"/>
      <c r="O280" s="174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37"/>
      <c r="B281" s="37"/>
      <c r="C281" s="37"/>
      <c r="D281" s="37"/>
      <c r="E281" s="173"/>
      <c r="F281" s="37"/>
      <c r="G281" s="174"/>
      <c r="H281" s="174"/>
      <c r="I281" s="174"/>
      <c r="J281" s="175"/>
      <c r="K281" s="175"/>
      <c r="L281" s="174"/>
      <c r="M281" s="174"/>
      <c r="N281" s="174"/>
      <c r="O281" s="174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37"/>
      <c r="B282" s="37"/>
      <c r="C282" s="37"/>
      <c r="D282" s="37"/>
      <c r="E282" s="173"/>
      <c r="F282" s="37"/>
      <c r="G282" s="174"/>
      <c r="H282" s="174"/>
      <c r="I282" s="174"/>
      <c r="J282" s="175"/>
      <c r="K282" s="175"/>
      <c r="L282" s="174"/>
      <c r="M282" s="174"/>
      <c r="N282" s="174"/>
      <c r="O282" s="174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37"/>
      <c r="B283" s="37"/>
      <c r="C283" s="37"/>
      <c r="D283" s="37"/>
      <c r="E283" s="173"/>
      <c r="F283" s="37"/>
      <c r="G283" s="174"/>
      <c r="H283" s="174"/>
      <c r="I283" s="174"/>
      <c r="J283" s="175"/>
      <c r="K283" s="175"/>
      <c r="L283" s="174"/>
      <c r="M283" s="174"/>
      <c r="N283" s="174"/>
      <c r="O283" s="174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37"/>
      <c r="B284" s="37"/>
      <c r="C284" s="37"/>
      <c r="D284" s="37"/>
      <c r="E284" s="173"/>
      <c r="F284" s="37"/>
      <c r="G284" s="174"/>
      <c r="H284" s="174"/>
      <c r="I284" s="174"/>
      <c r="J284" s="175"/>
      <c r="K284" s="175"/>
      <c r="L284" s="174"/>
      <c r="M284" s="174"/>
      <c r="N284" s="174"/>
      <c r="O284" s="174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37"/>
      <c r="B285" s="37"/>
      <c r="C285" s="37"/>
      <c r="D285" s="37"/>
      <c r="E285" s="173"/>
      <c r="F285" s="37"/>
      <c r="G285" s="174"/>
      <c r="H285" s="174"/>
      <c r="I285" s="174"/>
      <c r="J285" s="175"/>
      <c r="K285" s="175"/>
      <c r="L285" s="174"/>
      <c r="M285" s="174"/>
      <c r="N285" s="174"/>
      <c r="O285" s="174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37"/>
      <c r="B286" s="37"/>
      <c r="C286" s="37"/>
      <c r="D286" s="37"/>
      <c r="E286" s="173"/>
      <c r="F286" s="37"/>
      <c r="G286" s="174"/>
      <c r="H286" s="174"/>
      <c r="I286" s="174"/>
      <c r="J286" s="175"/>
      <c r="K286" s="175"/>
      <c r="L286" s="174"/>
      <c r="M286" s="174"/>
      <c r="N286" s="174"/>
      <c r="O286" s="174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37"/>
      <c r="B287" s="37"/>
      <c r="C287" s="37"/>
      <c r="D287" s="37"/>
      <c r="E287" s="173"/>
      <c r="F287" s="37"/>
      <c r="G287" s="174"/>
      <c r="H287" s="174"/>
      <c r="I287" s="174"/>
      <c r="J287" s="175"/>
      <c r="K287" s="175"/>
      <c r="L287" s="174"/>
      <c r="M287" s="174"/>
      <c r="N287" s="174"/>
      <c r="O287" s="174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37"/>
      <c r="B288" s="37"/>
      <c r="C288" s="37"/>
      <c r="D288" s="37"/>
      <c r="E288" s="173"/>
      <c r="F288" s="37"/>
      <c r="G288" s="174"/>
      <c r="H288" s="174"/>
      <c r="I288" s="174"/>
      <c r="J288" s="175"/>
      <c r="K288" s="175"/>
      <c r="L288" s="174"/>
      <c r="M288" s="174"/>
      <c r="N288" s="174"/>
      <c r="O288" s="174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37"/>
      <c r="B289" s="37"/>
      <c r="C289" s="37"/>
      <c r="D289" s="37"/>
      <c r="E289" s="173"/>
      <c r="F289" s="37"/>
      <c r="G289" s="174"/>
      <c r="H289" s="174"/>
      <c r="I289" s="174"/>
      <c r="J289" s="175"/>
      <c r="K289" s="175"/>
      <c r="L289" s="174"/>
      <c r="M289" s="174"/>
      <c r="N289" s="174"/>
      <c r="O289" s="174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37"/>
      <c r="B290" s="37"/>
      <c r="C290" s="37"/>
      <c r="D290" s="37"/>
      <c r="E290" s="173"/>
      <c r="F290" s="37"/>
      <c r="G290" s="174"/>
      <c r="H290" s="174"/>
      <c r="I290" s="174"/>
      <c r="J290" s="175"/>
      <c r="K290" s="175"/>
      <c r="L290" s="174"/>
      <c r="M290" s="174"/>
      <c r="N290" s="174"/>
      <c r="O290" s="174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37"/>
      <c r="B291" s="37"/>
      <c r="C291" s="37"/>
      <c r="D291" s="37"/>
      <c r="E291" s="173"/>
      <c r="F291" s="37"/>
      <c r="G291" s="174"/>
      <c r="H291" s="174"/>
      <c r="I291" s="174"/>
      <c r="J291" s="175"/>
      <c r="K291" s="175"/>
      <c r="L291" s="174"/>
      <c r="M291" s="174"/>
      <c r="N291" s="174"/>
      <c r="O291" s="174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37"/>
      <c r="B292" s="37"/>
      <c r="C292" s="37"/>
      <c r="D292" s="37"/>
      <c r="E292" s="173"/>
      <c r="F292" s="37"/>
      <c r="G292" s="174"/>
      <c r="H292" s="174"/>
      <c r="I292" s="174"/>
      <c r="J292" s="175"/>
      <c r="K292" s="175"/>
      <c r="L292" s="174"/>
      <c r="M292" s="174"/>
      <c r="N292" s="174"/>
      <c r="O292" s="174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37"/>
      <c r="B293" s="37"/>
      <c r="C293" s="37"/>
      <c r="D293" s="37"/>
      <c r="E293" s="173"/>
      <c r="F293" s="37"/>
      <c r="G293" s="174"/>
      <c r="H293" s="174"/>
      <c r="I293" s="174"/>
      <c r="J293" s="175"/>
      <c r="K293" s="175"/>
      <c r="L293" s="174"/>
      <c r="M293" s="174"/>
      <c r="N293" s="174"/>
      <c r="O293" s="174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37"/>
      <c r="B294" s="37"/>
      <c r="C294" s="37"/>
      <c r="D294" s="37"/>
      <c r="E294" s="173"/>
      <c r="F294" s="37"/>
      <c r="G294" s="174"/>
      <c r="H294" s="174"/>
      <c r="I294" s="174"/>
      <c r="J294" s="175"/>
      <c r="K294" s="175"/>
      <c r="L294" s="174"/>
      <c r="M294" s="174"/>
      <c r="N294" s="174"/>
      <c r="O294" s="174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37"/>
      <c r="K400" s="37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37"/>
      <c r="K401" s="37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37"/>
      <c r="K402" s="37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37"/>
      <c r="K403" s="37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37"/>
      <c r="K404" s="37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37"/>
      <c r="K405" s="37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62">
    <cfRule type="expression" dxfId="19" priority="1">
      <formula>ISEVEN(QUOTIENT(ROW()-ROW($A$7),16))</formula>
    </cfRule>
  </conditionalFormatting>
  <conditionalFormatting sqref="A7:O262">
    <cfRule type="expression" dxfId="18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54"/>
  <sheetViews>
    <sheetView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6.28515625" customWidth="1"/>
    <col min="2" max="2" width="21.28515625" customWidth="1"/>
    <col min="3" max="3" width="28.7109375" customWidth="1"/>
    <col min="4" max="4" width="13.85546875" customWidth="1"/>
    <col min="5" max="5" width="20" customWidth="1"/>
    <col min="6" max="6" width="15.7109375" customWidth="1"/>
    <col min="7" max="7" width="13.140625" customWidth="1"/>
    <col min="8" max="8" width="16" customWidth="1"/>
    <col min="9" max="9" width="13.42578125" customWidth="1"/>
    <col min="10" max="10" width="11.7109375" customWidth="1"/>
    <col min="11" max="11" width="13.7109375" customWidth="1"/>
    <col min="12" max="12" width="19.42578125" customWidth="1"/>
    <col min="13" max="13" width="7.42578125" customWidth="1"/>
    <col min="14" max="14" width="9.7109375" customWidth="1"/>
    <col min="15" max="15" width="18.28515625" customWidth="1"/>
  </cols>
  <sheetData>
    <row r="1" spans="1:29" ht="15.75" customHeight="1">
      <c r="A1" s="566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48" t="s">
        <v>480</v>
      </c>
      <c r="N1" s="549"/>
      <c r="O1" s="36" t="s">
        <v>270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5.75" customHeight="1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38">
        <f>COUNTA(J7:J294)</f>
        <v>141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 ht="15.75" customHeight="1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36" t="s">
        <v>271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5.75" customHeight="1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39">
        <f ca="1">IF(O2=0,0,O6/O2)</f>
        <v>0.54609929078014185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554" t="s">
        <v>0</v>
      </c>
      <c r="B5" s="554" t="s">
        <v>1</v>
      </c>
      <c r="C5" s="554" t="s">
        <v>272</v>
      </c>
      <c r="D5" s="556" t="s">
        <v>273</v>
      </c>
      <c r="E5" s="557" t="s">
        <v>22</v>
      </c>
      <c r="F5" s="560" t="s">
        <v>274</v>
      </c>
      <c r="G5" s="561" t="s">
        <v>275</v>
      </c>
      <c r="H5" s="563" t="s">
        <v>276</v>
      </c>
      <c r="I5" s="564"/>
      <c r="J5" s="565" t="s">
        <v>277</v>
      </c>
      <c r="K5" s="564"/>
      <c r="L5" s="558" t="s">
        <v>278</v>
      </c>
      <c r="M5" s="40" t="s">
        <v>276</v>
      </c>
      <c r="N5" s="40" t="s">
        <v>277</v>
      </c>
      <c r="O5" s="40" t="s">
        <v>279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5.75" customHeight="1">
      <c r="A6" s="555"/>
      <c r="B6" s="555"/>
      <c r="C6" s="555"/>
      <c r="D6" s="555"/>
      <c r="E6" s="555"/>
      <c r="F6" s="559"/>
      <c r="G6" s="562"/>
      <c r="H6" s="41" t="s">
        <v>280</v>
      </c>
      <c r="I6" s="42" t="s">
        <v>281</v>
      </c>
      <c r="J6" s="43" t="s">
        <v>280</v>
      </c>
      <c r="K6" s="44" t="s">
        <v>281</v>
      </c>
      <c r="L6" s="559"/>
      <c r="M6" s="45">
        <f t="shared" ref="M6:N6" ca="1" si="0">SUM(M7:M454)</f>
        <v>125</v>
      </c>
      <c r="N6" s="45">
        <f t="shared" ca="1" si="0"/>
        <v>125</v>
      </c>
      <c r="O6" s="45">
        <f ca="1">SUM(O7:O999)</f>
        <v>77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5.75" customHeight="1">
      <c r="A7" s="46">
        <f t="shared" ref="A7:A261" ca="1" si="1">IF(INDIRECT("'DS nhân viên Speedtest'!B"&amp; (111+QUOTIENT(ROW()-ROW($A$7),16)))="","",ROW()-ROW($A$7)+1)</f>
        <v>1</v>
      </c>
      <c r="B7" s="47" t="str">
        <f ca="1">IF(A7="","","Tổ Hạ tầng " &amp; 'Báo cáo'!B8)</f>
        <v>Tổ Hạ tầng Tân Ninh</v>
      </c>
      <c r="C7" s="178" t="str">
        <f t="shared" ref="C7:C261" ca="1" si="2">IF(A7="","",INDIRECT("'DS nhân viên Speedtest'!B"&amp; (111+QUOTIENT(A7-1,16))))</f>
        <v>Trịnh Thượng Lào</v>
      </c>
      <c r="D7" s="49">
        <f t="shared" ref="D7:D261" ca="1" si="3">IF(A7="","",INDIRECT("'DS nhân viên Speedtest'!C"&amp; (111+QUOTIENT(A7-1,16))))</f>
        <v>914310210</v>
      </c>
      <c r="E7" s="50" t="str">
        <f t="shared" ref="E7:E261" ca="1" si="4">IF(A7="","",INDIRECT("'DS nhân viên Speedtest'!D"&amp; (111+QUOTIENT(A7-1,16))))</f>
        <v>laott.tnh@vnpt.vn</v>
      </c>
      <c r="F7" s="318" t="str">
        <f t="shared" ref="F7:F261" ca="1" si="5">IF(A7="","","Lần "&amp;(MOD(ROW()-ROW($A$7),16)+1))</f>
        <v>Lần 1</v>
      </c>
      <c r="G7" s="312"/>
      <c r="H7" s="319"/>
      <c r="I7" s="319"/>
      <c r="J7" s="320"/>
      <c r="K7" s="320"/>
      <c r="L7" s="180"/>
      <c r="M7" s="56">
        <f t="shared" ref="M7:M261" ca="1" si="6">IF(B7="","",IF(OR(G7="",H7="",I7=""),0,1))</f>
        <v>0</v>
      </c>
      <c r="N7" s="57">
        <f t="shared" ref="N7:N261" ca="1" si="7">IF(B7="","",IF(OR(G7="",J7="",K7=""),0,1))</f>
        <v>0</v>
      </c>
      <c r="O7" s="58">
        <f t="shared" ref="O7:O261" ca="1" si="8">IF(B7="","",IF((J7-0)&gt;200,1,0))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5.75" customHeight="1">
      <c r="A8" s="59">
        <f t="shared" ca="1" si="1"/>
        <v>2</v>
      </c>
      <c r="B8" s="182" t="str">
        <f t="shared" ref="B8:B262" ca="1" si="9">IF(A8="","",B7)</f>
        <v>Tổ Hạ tầng Tân Ninh</v>
      </c>
      <c r="C8" s="61" t="str">
        <f t="shared" ca="1" si="2"/>
        <v>Trịnh Thượng Lào</v>
      </c>
      <c r="D8" s="183">
        <f t="shared" ca="1" si="3"/>
        <v>914310210</v>
      </c>
      <c r="E8" s="63" t="str">
        <f t="shared" ca="1" si="4"/>
        <v>laott.tnh@vnpt.vn</v>
      </c>
      <c r="F8" s="321" t="str">
        <f t="shared" ca="1" si="5"/>
        <v>Lần 2</v>
      </c>
      <c r="G8" s="312"/>
      <c r="H8" s="319"/>
      <c r="I8" s="319"/>
      <c r="J8" s="320"/>
      <c r="K8" s="320"/>
      <c r="L8" s="322"/>
      <c r="M8" s="323">
        <f t="shared" ca="1" si="6"/>
        <v>0</v>
      </c>
      <c r="N8" s="324">
        <f t="shared" ca="1" si="7"/>
        <v>0</v>
      </c>
      <c r="O8" s="68">
        <f t="shared" ca="1" si="8"/>
        <v>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5.75" customHeight="1">
      <c r="A9" s="59">
        <f t="shared" ca="1" si="1"/>
        <v>3</v>
      </c>
      <c r="B9" s="182" t="str">
        <f t="shared" ca="1" si="9"/>
        <v>Tổ Hạ tầng Tân Ninh</v>
      </c>
      <c r="C9" s="61" t="str">
        <f t="shared" ca="1" si="2"/>
        <v>Trịnh Thượng Lào</v>
      </c>
      <c r="D9" s="183">
        <f t="shared" ca="1" si="3"/>
        <v>914310210</v>
      </c>
      <c r="E9" s="63" t="str">
        <f t="shared" ca="1" si="4"/>
        <v>laott.tnh@vnpt.vn</v>
      </c>
      <c r="F9" s="321" t="str">
        <f t="shared" ca="1" si="5"/>
        <v>Lần 3</v>
      </c>
      <c r="G9" s="312"/>
      <c r="H9" s="319"/>
      <c r="I9" s="319"/>
      <c r="J9" s="320"/>
      <c r="K9" s="320"/>
      <c r="L9" s="322"/>
      <c r="M9" s="323">
        <f t="shared" ca="1" si="6"/>
        <v>0</v>
      </c>
      <c r="N9" s="324">
        <f t="shared" ca="1" si="7"/>
        <v>0</v>
      </c>
      <c r="O9" s="68">
        <f t="shared" ca="1" si="8"/>
        <v>0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5.75" customHeight="1">
      <c r="A10" s="59">
        <f t="shared" ca="1" si="1"/>
        <v>4</v>
      </c>
      <c r="B10" s="182" t="str">
        <f t="shared" ca="1" si="9"/>
        <v>Tổ Hạ tầng Tân Ninh</v>
      </c>
      <c r="C10" s="61" t="str">
        <f t="shared" ca="1" si="2"/>
        <v>Trịnh Thượng Lào</v>
      </c>
      <c r="D10" s="183">
        <f t="shared" ca="1" si="3"/>
        <v>914310210</v>
      </c>
      <c r="E10" s="63" t="str">
        <f t="shared" ca="1" si="4"/>
        <v>laott.tnh@vnpt.vn</v>
      </c>
      <c r="F10" s="321" t="str">
        <f t="shared" ca="1" si="5"/>
        <v>Lần 4</v>
      </c>
      <c r="G10" s="312"/>
      <c r="H10" s="319"/>
      <c r="I10" s="319"/>
      <c r="J10" s="319"/>
      <c r="K10" s="319"/>
      <c r="L10" s="322"/>
      <c r="M10" s="323">
        <f t="shared" ca="1" si="6"/>
        <v>0</v>
      </c>
      <c r="N10" s="324">
        <f t="shared" ca="1" si="7"/>
        <v>0</v>
      </c>
      <c r="O10" s="68">
        <f t="shared" ca="1" si="8"/>
        <v>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5.75" customHeight="1">
      <c r="A11" s="59">
        <f t="shared" ca="1" si="1"/>
        <v>5</v>
      </c>
      <c r="B11" s="182" t="str">
        <f t="shared" ca="1" si="9"/>
        <v>Tổ Hạ tầng Tân Ninh</v>
      </c>
      <c r="C11" s="61" t="str">
        <f t="shared" ca="1" si="2"/>
        <v>Trịnh Thượng Lào</v>
      </c>
      <c r="D11" s="183">
        <f t="shared" ca="1" si="3"/>
        <v>914310210</v>
      </c>
      <c r="E11" s="63" t="str">
        <f t="shared" ca="1" si="4"/>
        <v>laott.tnh@vnpt.vn</v>
      </c>
      <c r="F11" s="321" t="str">
        <f t="shared" ca="1" si="5"/>
        <v>Lần 5</v>
      </c>
      <c r="G11" s="312"/>
      <c r="H11" s="319"/>
      <c r="I11" s="319"/>
      <c r="J11" s="319"/>
      <c r="K11" s="319"/>
      <c r="L11" s="322"/>
      <c r="M11" s="323">
        <f t="shared" ca="1" si="6"/>
        <v>0</v>
      </c>
      <c r="N11" s="324">
        <f t="shared" ca="1" si="7"/>
        <v>0</v>
      </c>
      <c r="O11" s="68">
        <f t="shared" ca="1" si="8"/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5.75" customHeight="1">
      <c r="A12" s="59">
        <f t="shared" ca="1" si="1"/>
        <v>6</v>
      </c>
      <c r="B12" s="182" t="str">
        <f t="shared" ca="1" si="9"/>
        <v>Tổ Hạ tầng Tân Ninh</v>
      </c>
      <c r="C12" s="61" t="str">
        <f t="shared" ca="1" si="2"/>
        <v>Trịnh Thượng Lào</v>
      </c>
      <c r="D12" s="183">
        <f t="shared" ca="1" si="3"/>
        <v>914310210</v>
      </c>
      <c r="E12" s="63" t="str">
        <f t="shared" ca="1" si="4"/>
        <v>laott.tnh@vnpt.vn</v>
      </c>
      <c r="F12" s="321" t="str">
        <f t="shared" ca="1" si="5"/>
        <v>Lần 6</v>
      </c>
      <c r="G12" s="312"/>
      <c r="H12" s="319"/>
      <c r="I12" s="319"/>
      <c r="J12" s="319"/>
      <c r="K12" s="319"/>
      <c r="L12" s="322"/>
      <c r="M12" s="323">
        <f t="shared" ca="1" si="6"/>
        <v>0</v>
      </c>
      <c r="N12" s="324">
        <f t="shared" ca="1" si="7"/>
        <v>0</v>
      </c>
      <c r="O12" s="68">
        <f t="shared" ca="1" si="8"/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5.75" customHeight="1">
      <c r="A13" s="59">
        <f t="shared" ca="1" si="1"/>
        <v>7</v>
      </c>
      <c r="B13" s="182" t="str">
        <f t="shared" ca="1" si="9"/>
        <v>Tổ Hạ tầng Tân Ninh</v>
      </c>
      <c r="C13" s="61" t="str">
        <f t="shared" ca="1" si="2"/>
        <v>Trịnh Thượng Lào</v>
      </c>
      <c r="D13" s="183">
        <f t="shared" ca="1" si="3"/>
        <v>914310210</v>
      </c>
      <c r="E13" s="63" t="str">
        <f t="shared" ca="1" si="4"/>
        <v>laott.tnh@vnpt.vn</v>
      </c>
      <c r="F13" s="321" t="str">
        <f t="shared" ca="1" si="5"/>
        <v>Lần 7</v>
      </c>
      <c r="G13" s="312"/>
      <c r="H13" s="319"/>
      <c r="I13" s="319"/>
      <c r="J13" s="319"/>
      <c r="K13" s="319"/>
      <c r="L13" s="322"/>
      <c r="M13" s="323">
        <f t="shared" ca="1" si="6"/>
        <v>0</v>
      </c>
      <c r="N13" s="324">
        <f t="shared" ca="1" si="7"/>
        <v>0</v>
      </c>
      <c r="O13" s="68">
        <f t="shared" ca="1" si="8"/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5.75" customHeight="1">
      <c r="A14" s="59">
        <f t="shared" ca="1" si="1"/>
        <v>8</v>
      </c>
      <c r="B14" s="182" t="str">
        <f t="shared" ca="1" si="9"/>
        <v>Tổ Hạ tầng Tân Ninh</v>
      </c>
      <c r="C14" s="61" t="str">
        <f t="shared" ca="1" si="2"/>
        <v>Trịnh Thượng Lào</v>
      </c>
      <c r="D14" s="183">
        <f t="shared" ca="1" si="3"/>
        <v>914310210</v>
      </c>
      <c r="E14" s="63" t="str">
        <f t="shared" ca="1" si="4"/>
        <v>laott.tnh@vnpt.vn</v>
      </c>
      <c r="F14" s="321" t="str">
        <f t="shared" ca="1" si="5"/>
        <v>Lần 8</v>
      </c>
      <c r="G14" s="312"/>
      <c r="H14" s="319"/>
      <c r="I14" s="319"/>
      <c r="J14" s="319"/>
      <c r="K14" s="319"/>
      <c r="L14" s="322"/>
      <c r="M14" s="323">
        <f t="shared" ca="1" si="6"/>
        <v>0</v>
      </c>
      <c r="N14" s="324">
        <f t="shared" ca="1" si="7"/>
        <v>0</v>
      </c>
      <c r="O14" s="68">
        <f t="shared" ca="1" si="8"/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5.75" customHeight="1">
      <c r="A15" s="59">
        <f t="shared" ca="1" si="1"/>
        <v>9</v>
      </c>
      <c r="B15" s="182" t="str">
        <f t="shared" ca="1" si="9"/>
        <v>Tổ Hạ tầng Tân Ninh</v>
      </c>
      <c r="C15" s="61" t="str">
        <f t="shared" ca="1" si="2"/>
        <v>Trịnh Thượng Lào</v>
      </c>
      <c r="D15" s="183">
        <f t="shared" ca="1" si="3"/>
        <v>914310210</v>
      </c>
      <c r="E15" s="63" t="str">
        <f t="shared" ca="1" si="4"/>
        <v>laott.tnh@vnpt.vn</v>
      </c>
      <c r="F15" s="321" t="str">
        <f t="shared" ca="1" si="5"/>
        <v>Lần 9</v>
      </c>
      <c r="G15" s="312"/>
      <c r="H15" s="319"/>
      <c r="I15" s="319"/>
      <c r="J15" s="319"/>
      <c r="K15" s="319"/>
      <c r="L15" s="322"/>
      <c r="M15" s="323">
        <f t="shared" ca="1" si="6"/>
        <v>0</v>
      </c>
      <c r="N15" s="324">
        <f t="shared" ca="1" si="7"/>
        <v>0</v>
      </c>
      <c r="O15" s="68">
        <f t="shared" ca="1" si="8"/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5.75" customHeight="1">
      <c r="A16" s="59">
        <f t="shared" ca="1" si="1"/>
        <v>10</v>
      </c>
      <c r="B16" s="182" t="str">
        <f t="shared" ca="1" si="9"/>
        <v>Tổ Hạ tầng Tân Ninh</v>
      </c>
      <c r="C16" s="61" t="str">
        <f t="shared" ca="1" si="2"/>
        <v>Trịnh Thượng Lào</v>
      </c>
      <c r="D16" s="183">
        <f t="shared" ca="1" si="3"/>
        <v>914310210</v>
      </c>
      <c r="E16" s="63" t="str">
        <f t="shared" ca="1" si="4"/>
        <v>laott.tnh@vnpt.vn</v>
      </c>
      <c r="F16" s="321" t="str">
        <f t="shared" ca="1" si="5"/>
        <v>Lần 10</v>
      </c>
      <c r="G16" s="312"/>
      <c r="H16" s="319"/>
      <c r="I16" s="319"/>
      <c r="J16" s="319"/>
      <c r="K16" s="319"/>
      <c r="L16" s="322"/>
      <c r="M16" s="323">
        <f t="shared" ca="1" si="6"/>
        <v>0</v>
      </c>
      <c r="N16" s="324">
        <f t="shared" ca="1" si="7"/>
        <v>0</v>
      </c>
      <c r="O16" s="68">
        <f t="shared" ca="1" si="8"/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75" customHeight="1">
      <c r="A17" s="59">
        <f t="shared" ca="1" si="1"/>
        <v>11</v>
      </c>
      <c r="B17" s="182" t="str">
        <f t="shared" ca="1" si="9"/>
        <v>Tổ Hạ tầng Tân Ninh</v>
      </c>
      <c r="C17" s="61" t="str">
        <f t="shared" ca="1" si="2"/>
        <v>Trịnh Thượng Lào</v>
      </c>
      <c r="D17" s="183">
        <f t="shared" ca="1" si="3"/>
        <v>914310210</v>
      </c>
      <c r="E17" s="63" t="str">
        <f t="shared" ca="1" si="4"/>
        <v>laott.tnh@vnpt.vn</v>
      </c>
      <c r="F17" s="321" t="str">
        <f t="shared" ca="1" si="5"/>
        <v>Lần 11</v>
      </c>
      <c r="G17" s="312"/>
      <c r="H17" s="319"/>
      <c r="I17" s="319"/>
      <c r="J17" s="319"/>
      <c r="K17" s="319"/>
      <c r="L17" s="322"/>
      <c r="M17" s="323">
        <f t="shared" ca="1" si="6"/>
        <v>0</v>
      </c>
      <c r="N17" s="324">
        <f t="shared" ca="1" si="7"/>
        <v>0</v>
      </c>
      <c r="O17" s="68">
        <f t="shared" ca="1" si="8"/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>
      <c r="A18" s="59">
        <f t="shared" ca="1" si="1"/>
        <v>12</v>
      </c>
      <c r="B18" s="182" t="str">
        <f t="shared" ca="1" si="9"/>
        <v>Tổ Hạ tầng Tân Ninh</v>
      </c>
      <c r="C18" s="61" t="str">
        <f t="shared" ca="1" si="2"/>
        <v>Trịnh Thượng Lào</v>
      </c>
      <c r="D18" s="183">
        <f t="shared" ca="1" si="3"/>
        <v>914310210</v>
      </c>
      <c r="E18" s="63" t="str">
        <f t="shared" ca="1" si="4"/>
        <v>laott.tnh@vnpt.vn</v>
      </c>
      <c r="F18" s="321" t="str">
        <f t="shared" ca="1" si="5"/>
        <v>Lần 12</v>
      </c>
      <c r="G18" s="312"/>
      <c r="H18" s="319"/>
      <c r="I18" s="319"/>
      <c r="J18" s="319"/>
      <c r="K18" s="319"/>
      <c r="L18" s="322"/>
      <c r="M18" s="323">
        <f t="shared" ca="1" si="6"/>
        <v>0</v>
      </c>
      <c r="N18" s="324">
        <f t="shared" ca="1" si="7"/>
        <v>0</v>
      </c>
      <c r="O18" s="68">
        <f t="shared" ca="1" si="8"/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5.75" customHeight="1">
      <c r="A19" s="59">
        <f t="shared" ca="1" si="1"/>
        <v>13</v>
      </c>
      <c r="B19" s="182" t="str">
        <f t="shared" ca="1" si="9"/>
        <v>Tổ Hạ tầng Tân Ninh</v>
      </c>
      <c r="C19" s="61" t="str">
        <f t="shared" ca="1" si="2"/>
        <v>Trịnh Thượng Lào</v>
      </c>
      <c r="D19" s="183">
        <f t="shared" ca="1" si="3"/>
        <v>914310210</v>
      </c>
      <c r="E19" s="63" t="str">
        <f t="shared" ca="1" si="4"/>
        <v>laott.tnh@vnpt.vn</v>
      </c>
      <c r="F19" s="321" t="str">
        <f t="shared" ca="1" si="5"/>
        <v>Lần 13</v>
      </c>
      <c r="G19" s="312"/>
      <c r="H19" s="319"/>
      <c r="I19" s="319"/>
      <c r="J19" s="320"/>
      <c r="K19" s="320"/>
      <c r="L19" s="322"/>
      <c r="M19" s="323">
        <f t="shared" ca="1" si="6"/>
        <v>0</v>
      </c>
      <c r="N19" s="324">
        <f t="shared" ca="1" si="7"/>
        <v>0</v>
      </c>
      <c r="O19" s="68">
        <f t="shared" ca="1" si="8"/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>
      <c r="A20" s="59">
        <f t="shared" ca="1" si="1"/>
        <v>14</v>
      </c>
      <c r="B20" s="182" t="str">
        <f t="shared" ca="1" si="9"/>
        <v>Tổ Hạ tầng Tân Ninh</v>
      </c>
      <c r="C20" s="61" t="str">
        <f t="shared" ca="1" si="2"/>
        <v>Trịnh Thượng Lào</v>
      </c>
      <c r="D20" s="183">
        <f t="shared" ca="1" si="3"/>
        <v>914310210</v>
      </c>
      <c r="E20" s="63" t="str">
        <f t="shared" ca="1" si="4"/>
        <v>laott.tnh@vnpt.vn</v>
      </c>
      <c r="F20" s="321" t="str">
        <f t="shared" ca="1" si="5"/>
        <v>Lần 14</v>
      </c>
      <c r="G20" s="312"/>
      <c r="H20" s="319"/>
      <c r="I20" s="319"/>
      <c r="J20" s="320"/>
      <c r="K20" s="320"/>
      <c r="L20" s="322"/>
      <c r="M20" s="323">
        <f t="shared" ca="1" si="6"/>
        <v>0</v>
      </c>
      <c r="N20" s="324">
        <f t="shared" ca="1" si="7"/>
        <v>0</v>
      </c>
      <c r="O20" s="68">
        <f t="shared" ca="1" si="8"/>
        <v>0</v>
      </c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5.75" customHeight="1">
      <c r="A21" s="59">
        <f t="shared" ca="1" si="1"/>
        <v>15</v>
      </c>
      <c r="B21" s="182" t="str">
        <f t="shared" ca="1" si="9"/>
        <v>Tổ Hạ tầng Tân Ninh</v>
      </c>
      <c r="C21" s="61" t="str">
        <f t="shared" ca="1" si="2"/>
        <v>Trịnh Thượng Lào</v>
      </c>
      <c r="D21" s="183">
        <f t="shared" ca="1" si="3"/>
        <v>914310210</v>
      </c>
      <c r="E21" s="63" t="str">
        <f t="shared" ca="1" si="4"/>
        <v>laott.tnh@vnpt.vn</v>
      </c>
      <c r="F21" s="321" t="str">
        <f t="shared" ca="1" si="5"/>
        <v>Lần 15</v>
      </c>
      <c r="G21" s="312"/>
      <c r="H21" s="319"/>
      <c r="I21" s="319"/>
      <c r="J21" s="320"/>
      <c r="K21" s="320"/>
      <c r="L21" s="322"/>
      <c r="M21" s="323">
        <f t="shared" ca="1" si="6"/>
        <v>0</v>
      </c>
      <c r="N21" s="324">
        <f t="shared" ca="1" si="7"/>
        <v>0</v>
      </c>
      <c r="O21" s="68">
        <f t="shared" ca="1" si="8"/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>
      <c r="A22" s="59">
        <f t="shared" ca="1" si="1"/>
        <v>16</v>
      </c>
      <c r="B22" s="185" t="str">
        <f t="shared" ca="1" si="9"/>
        <v>Tổ Hạ tầng Tân Ninh</v>
      </c>
      <c r="C22" s="82" t="str">
        <f t="shared" ca="1" si="2"/>
        <v>Trịnh Thượng Lào</v>
      </c>
      <c r="D22" s="186">
        <f t="shared" ca="1" si="3"/>
        <v>914310210</v>
      </c>
      <c r="E22" s="84" t="str">
        <f t="shared" ca="1" si="4"/>
        <v>laott.tnh@vnpt.vn</v>
      </c>
      <c r="F22" s="325" t="str">
        <f t="shared" ca="1" si="5"/>
        <v>Lần 16</v>
      </c>
      <c r="G22" s="312"/>
      <c r="H22" s="319"/>
      <c r="I22" s="319"/>
      <c r="J22" s="319"/>
      <c r="K22" s="319"/>
      <c r="L22" s="326"/>
      <c r="M22" s="327">
        <f t="shared" ca="1" si="6"/>
        <v>0</v>
      </c>
      <c r="N22" s="328">
        <f t="shared" ca="1" si="7"/>
        <v>0</v>
      </c>
      <c r="O22" s="68">
        <f t="shared" ca="1" si="8"/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>
      <c r="A23" s="59">
        <f t="shared" ca="1" si="1"/>
        <v>17</v>
      </c>
      <c r="B23" s="47" t="str">
        <f t="shared" ca="1" si="9"/>
        <v>Tổ Hạ tầng Tân Ninh</v>
      </c>
      <c r="C23" s="48" t="str">
        <f t="shared" ca="1" si="2"/>
        <v>Nguyễn Trường Quang</v>
      </c>
      <c r="D23" s="49">
        <f t="shared" ca="1" si="3"/>
        <v>888193957</v>
      </c>
      <c r="E23" s="50" t="str">
        <f t="shared" ca="1" si="4"/>
        <v>quangnt.tnh@vnpt.vn</v>
      </c>
      <c r="F23" s="318" t="str">
        <f t="shared" ca="1" si="5"/>
        <v>Lần 1</v>
      </c>
      <c r="G23" s="312"/>
      <c r="H23" s="120"/>
      <c r="I23" s="120"/>
      <c r="J23" s="120"/>
      <c r="K23" s="120"/>
      <c r="L23" s="265"/>
      <c r="M23" s="329">
        <f t="shared" ca="1" si="6"/>
        <v>0</v>
      </c>
      <c r="N23" s="330">
        <f t="shared" ca="1" si="7"/>
        <v>0</v>
      </c>
      <c r="O23" s="68">
        <f t="shared" ca="1" si="8"/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5.75" customHeight="1">
      <c r="A24" s="59">
        <f t="shared" ca="1" si="1"/>
        <v>18</v>
      </c>
      <c r="B24" s="60" t="str">
        <f t="shared" ca="1" si="9"/>
        <v>Tổ Hạ tầng Tân Ninh</v>
      </c>
      <c r="C24" s="61" t="str">
        <f t="shared" ca="1" si="2"/>
        <v>Nguyễn Trường Quang</v>
      </c>
      <c r="D24" s="62">
        <f t="shared" ca="1" si="3"/>
        <v>888193957</v>
      </c>
      <c r="E24" s="63" t="str">
        <f t="shared" ca="1" si="4"/>
        <v>quangnt.tnh@vnpt.vn</v>
      </c>
      <c r="F24" s="321" t="str">
        <f t="shared" ca="1" si="5"/>
        <v>Lần 2</v>
      </c>
      <c r="G24" s="312"/>
      <c r="H24" s="120"/>
      <c r="I24" s="120"/>
      <c r="J24" s="120"/>
      <c r="K24" s="120"/>
      <c r="L24" s="331"/>
      <c r="M24" s="323">
        <f t="shared" ca="1" si="6"/>
        <v>0</v>
      </c>
      <c r="N24" s="332">
        <f t="shared" ca="1" si="7"/>
        <v>0</v>
      </c>
      <c r="O24" s="68">
        <f t="shared" ca="1" si="8"/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5.75" customHeight="1">
      <c r="A25" s="59">
        <f t="shared" ca="1" si="1"/>
        <v>19</v>
      </c>
      <c r="B25" s="60" t="str">
        <f t="shared" ca="1" si="9"/>
        <v>Tổ Hạ tầng Tân Ninh</v>
      </c>
      <c r="C25" s="61" t="str">
        <f t="shared" ca="1" si="2"/>
        <v>Nguyễn Trường Quang</v>
      </c>
      <c r="D25" s="62">
        <f t="shared" ca="1" si="3"/>
        <v>888193957</v>
      </c>
      <c r="E25" s="63" t="str">
        <f t="shared" ca="1" si="4"/>
        <v>quangnt.tnh@vnpt.vn</v>
      </c>
      <c r="F25" s="321" t="str">
        <f t="shared" ca="1" si="5"/>
        <v>Lần 3</v>
      </c>
      <c r="G25" s="312"/>
      <c r="H25" s="120"/>
      <c r="I25" s="120"/>
      <c r="J25" s="120"/>
      <c r="K25" s="120"/>
      <c r="L25" s="331"/>
      <c r="M25" s="323">
        <f t="shared" ca="1" si="6"/>
        <v>0</v>
      </c>
      <c r="N25" s="332">
        <f t="shared" ca="1" si="7"/>
        <v>0</v>
      </c>
      <c r="O25" s="68">
        <f t="shared" ca="1" si="8"/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5.75" customHeight="1">
      <c r="A26" s="59">
        <f t="shared" ca="1" si="1"/>
        <v>20</v>
      </c>
      <c r="B26" s="60" t="str">
        <f t="shared" ca="1" si="9"/>
        <v>Tổ Hạ tầng Tân Ninh</v>
      </c>
      <c r="C26" s="61" t="str">
        <f t="shared" ca="1" si="2"/>
        <v>Nguyễn Trường Quang</v>
      </c>
      <c r="D26" s="62">
        <f t="shared" ca="1" si="3"/>
        <v>888193957</v>
      </c>
      <c r="E26" s="63" t="str">
        <f t="shared" ca="1" si="4"/>
        <v>quangnt.tnh@vnpt.vn</v>
      </c>
      <c r="F26" s="321" t="str">
        <f t="shared" ca="1" si="5"/>
        <v>Lần 4</v>
      </c>
      <c r="G26" s="312"/>
      <c r="H26" s="120"/>
      <c r="I26" s="120"/>
      <c r="J26" s="120"/>
      <c r="K26" s="120"/>
      <c r="L26" s="331"/>
      <c r="M26" s="323">
        <f t="shared" ca="1" si="6"/>
        <v>0</v>
      </c>
      <c r="N26" s="332">
        <f t="shared" ca="1" si="7"/>
        <v>0</v>
      </c>
      <c r="O26" s="68">
        <f t="shared" ca="1" si="8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5.75" customHeight="1">
      <c r="A27" s="59">
        <f t="shared" ca="1" si="1"/>
        <v>21</v>
      </c>
      <c r="B27" s="60" t="str">
        <f t="shared" ca="1" si="9"/>
        <v>Tổ Hạ tầng Tân Ninh</v>
      </c>
      <c r="C27" s="61" t="str">
        <f t="shared" ca="1" si="2"/>
        <v>Nguyễn Trường Quang</v>
      </c>
      <c r="D27" s="62">
        <f t="shared" ca="1" si="3"/>
        <v>888193957</v>
      </c>
      <c r="E27" s="63" t="str">
        <f t="shared" ca="1" si="4"/>
        <v>quangnt.tnh@vnpt.vn</v>
      </c>
      <c r="F27" s="321" t="str">
        <f t="shared" ca="1" si="5"/>
        <v>Lần 5</v>
      </c>
      <c r="G27" s="312"/>
      <c r="H27" s="120"/>
      <c r="I27" s="120"/>
      <c r="J27" s="120"/>
      <c r="K27" s="120"/>
      <c r="L27" s="331"/>
      <c r="M27" s="323">
        <f t="shared" ca="1" si="6"/>
        <v>0</v>
      </c>
      <c r="N27" s="332">
        <f t="shared" ca="1" si="7"/>
        <v>0</v>
      </c>
      <c r="O27" s="68">
        <f t="shared" ca="1" si="8"/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5.75" customHeight="1">
      <c r="A28" s="59">
        <f t="shared" ca="1" si="1"/>
        <v>22</v>
      </c>
      <c r="B28" s="60" t="str">
        <f t="shared" ca="1" si="9"/>
        <v>Tổ Hạ tầng Tân Ninh</v>
      </c>
      <c r="C28" s="61" t="str">
        <f t="shared" ca="1" si="2"/>
        <v>Nguyễn Trường Quang</v>
      </c>
      <c r="D28" s="62">
        <f t="shared" ca="1" si="3"/>
        <v>888193957</v>
      </c>
      <c r="E28" s="63" t="str">
        <f t="shared" ca="1" si="4"/>
        <v>quangnt.tnh@vnpt.vn</v>
      </c>
      <c r="F28" s="321" t="str">
        <f t="shared" ca="1" si="5"/>
        <v>Lần 6</v>
      </c>
      <c r="G28" s="312"/>
      <c r="H28" s="120"/>
      <c r="I28" s="120"/>
      <c r="J28" s="120"/>
      <c r="K28" s="120"/>
      <c r="L28" s="331"/>
      <c r="M28" s="323">
        <f t="shared" ca="1" si="6"/>
        <v>0</v>
      </c>
      <c r="N28" s="332">
        <f t="shared" ca="1" si="7"/>
        <v>0</v>
      </c>
      <c r="O28" s="68">
        <f t="shared" ca="1" si="8"/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 ht="15.75" customHeight="1">
      <c r="A29" s="59">
        <f t="shared" ca="1" si="1"/>
        <v>23</v>
      </c>
      <c r="B29" s="60" t="str">
        <f t="shared" ca="1" si="9"/>
        <v>Tổ Hạ tầng Tân Ninh</v>
      </c>
      <c r="C29" s="61" t="str">
        <f t="shared" ca="1" si="2"/>
        <v>Nguyễn Trường Quang</v>
      </c>
      <c r="D29" s="62">
        <f t="shared" ca="1" si="3"/>
        <v>888193957</v>
      </c>
      <c r="E29" s="63" t="str">
        <f t="shared" ca="1" si="4"/>
        <v>quangnt.tnh@vnpt.vn</v>
      </c>
      <c r="F29" s="321" t="str">
        <f t="shared" ca="1" si="5"/>
        <v>Lần 7</v>
      </c>
      <c r="G29" s="312"/>
      <c r="H29" s="120"/>
      <c r="I29" s="120"/>
      <c r="J29" s="120"/>
      <c r="K29" s="120"/>
      <c r="L29" s="333"/>
      <c r="M29" s="323">
        <f t="shared" ca="1" si="6"/>
        <v>0</v>
      </c>
      <c r="N29" s="332">
        <f t="shared" ca="1" si="7"/>
        <v>0</v>
      </c>
      <c r="O29" s="68">
        <f t="shared" ca="1" si="8"/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 ht="15.75" customHeight="1">
      <c r="A30" s="59">
        <f t="shared" ca="1" si="1"/>
        <v>24</v>
      </c>
      <c r="B30" s="60" t="str">
        <f t="shared" ca="1" si="9"/>
        <v>Tổ Hạ tầng Tân Ninh</v>
      </c>
      <c r="C30" s="61" t="str">
        <f t="shared" ca="1" si="2"/>
        <v>Nguyễn Trường Quang</v>
      </c>
      <c r="D30" s="62">
        <f t="shared" ca="1" si="3"/>
        <v>888193957</v>
      </c>
      <c r="E30" s="63" t="str">
        <f t="shared" ca="1" si="4"/>
        <v>quangnt.tnh@vnpt.vn</v>
      </c>
      <c r="F30" s="321" t="str">
        <f t="shared" ca="1" si="5"/>
        <v>Lần 8</v>
      </c>
      <c r="G30" s="312"/>
      <c r="H30" s="120"/>
      <c r="I30" s="120"/>
      <c r="J30" s="120"/>
      <c r="K30" s="120"/>
      <c r="L30" s="333"/>
      <c r="M30" s="323">
        <f t="shared" ca="1" si="6"/>
        <v>0</v>
      </c>
      <c r="N30" s="332">
        <f t="shared" ca="1" si="7"/>
        <v>0</v>
      </c>
      <c r="O30" s="68">
        <f t="shared" ca="1" si="8"/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 ht="15.75" customHeight="1">
      <c r="A31" s="59">
        <f t="shared" ca="1" si="1"/>
        <v>25</v>
      </c>
      <c r="B31" s="60" t="str">
        <f t="shared" ca="1" si="9"/>
        <v>Tổ Hạ tầng Tân Ninh</v>
      </c>
      <c r="C31" s="61" t="str">
        <f t="shared" ca="1" si="2"/>
        <v>Nguyễn Trường Quang</v>
      </c>
      <c r="D31" s="62">
        <f t="shared" ca="1" si="3"/>
        <v>888193957</v>
      </c>
      <c r="E31" s="63" t="str">
        <f t="shared" ca="1" si="4"/>
        <v>quangnt.tnh@vnpt.vn</v>
      </c>
      <c r="F31" s="321" t="str">
        <f t="shared" ca="1" si="5"/>
        <v>Lần 9</v>
      </c>
      <c r="G31" s="312"/>
      <c r="H31" s="120"/>
      <c r="I31" s="120"/>
      <c r="J31" s="120"/>
      <c r="K31" s="120"/>
      <c r="L31" s="333"/>
      <c r="M31" s="323">
        <f t="shared" ca="1" si="6"/>
        <v>0</v>
      </c>
      <c r="N31" s="332">
        <f t="shared" ca="1" si="7"/>
        <v>0</v>
      </c>
      <c r="O31" s="68">
        <f t="shared" ca="1" si="8"/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 ht="15.75" customHeight="1">
      <c r="A32" s="59">
        <f t="shared" ca="1" si="1"/>
        <v>26</v>
      </c>
      <c r="B32" s="60" t="str">
        <f t="shared" ca="1" si="9"/>
        <v>Tổ Hạ tầng Tân Ninh</v>
      </c>
      <c r="C32" s="61" t="str">
        <f t="shared" ca="1" si="2"/>
        <v>Nguyễn Trường Quang</v>
      </c>
      <c r="D32" s="62">
        <f t="shared" ca="1" si="3"/>
        <v>888193957</v>
      </c>
      <c r="E32" s="63" t="str">
        <f t="shared" ca="1" si="4"/>
        <v>quangnt.tnh@vnpt.vn</v>
      </c>
      <c r="F32" s="321" t="str">
        <f t="shared" ca="1" si="5"/>
        <v>Lần 10</v>
      </c>
      <c r="G32" s="312"/>
      <c r="H32" s="120"/>
      <c r="I32" s="120"/>
      <c r="J32" s="120"/>
      <c r="K32" s="120"/>
      <c r="L32" s="334"/>
      <c r="M32" s="323">
        <f t="shared" ca="1" si="6"/>
        <v>0</v>
      </c>
      <c r="N32" s="332">
        <f t="shared" ca="1" si="7"/>
        <v>0</v>
      </c>
      <c r="O32" s="68">
        <f t="shared" ca="1" si="8"/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 ht="15.75" customHeight="1">
      <c r="A33" s="59">
        <f t="shared" ca="1" si="1"/>
        <v>27</v>
      </c>
      <c r="B33" s="60" t="str">
        <f t="shared" ca="1" si="9"/>
        <v>Tổ Hạ tầng Tân Ninh</v>
      </c>
      <c r="C33" s="61" t="str">
        <f t="shared" ca="1" si="2"/>
        <v>Nguyễn Trường Quang</v>
      </c>
      <c r="D33" s="62">
        <f t="shared" ca="1" si="3"/>
        <v>888193957</v>
      </c>
      <c r="E33" s="63" t="str">
        <f t="shared" ca="1" si="4"/>
        <v>quangnt.tnh@vnpt.vn</v>
      </c>
      <c r="F33" s="321" t="str">
        <f t="shared" ca="1" si="5"/>
        <v>Lần 11</v>
      </c>
      <c r="G33" s="312"/>
      <c r="H33" s="120"/>
      <c r="I33" s="120"/>
      <c r="J33" s="120"/>
      <c r="K33" s="120"/>
      <c r="L33" s="334"/>
      <c r="M33" s="323">
        <f t="shared" ca="1" si="6"/>
        <v>0</v>
      </c>
      <c r="N33" s="332">
        <f t="shared" ca="1" si="7"/>
        <v>0</v>
      </c>
      <c r="O33" s="68">
        <f t="shared" ca="1" si="8"/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 ht="15.75" customHeight="1">
      <c r="A34" s="59">
        <f t="shared" ca="1" si="1"/>
        <v>28</v>
      </c>
      <c r="B34" s="60" t="str">
        <f t="shared" ca="1" si="9"/>
        <v>Tổ Hạ tầng Tân Ninh</v>
      </c>
      <c r="C34" s="61" t="str">
        <f t="shared" ca="1" si="2"/>
        <v>Nguyễn Trường Quang</v>
      </c>
      <c r="D34" s="62">
        <f t="shared" ca="1" si="3"/>
        <v>888193957</v>
      </c>
      <c r="E34" s="63" t="str">
        <f t="shared" ca="1" si="4"/>
        <v>quangnt.tnh@vnpt.vn</v>
      </c>
      <c r="F34" s="321" t="str">
        <f t="shared" ca="1" si="5"/>
        <v>Lần 12</v>
      </c>
      <c r="G34" s="312"/>
      <c r="H34" s="120"/>
      <c r="I34" s="120"/>
      <c r="J34" s="120"/>
      <c r="K34" s="120"/>
      <c r="L34" s="334"/>
      <c r="M34" s="323">
        <f t="shared" ca="1" si="6"/>
        <v>0</v>
      </c>
      <c r="N34" s="332">
        <f t="shared" ca="1" si="7"/>
        <v>0</v>
      </c>
      <c r="O34" s="68">
        <f t="shared" ca="1" si="8"/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 ht="15.75" customHeight="1">
      <c r="A35" s="59">
        <f t="shared" ca="1" si="1"/>
        <v>29</v>
      </c>
      <c r="B35" s="60" t="str">
        <f t="shared" ca="1" si="9"/>
        <v>Tổ Hạ tầng Tân Ninh</v>
      </c>
      <c r="C35" s="61" t="str">
        <f t="shared" ca="1" si="2"/>
        <v>Nguyễn Trường Quang</v>
      </c>
      <c r="D35" s="62">
        <f t="shared" ca="1" si="3"/>
        <v>888193957</v>
      </c>
      <c r="E35" s="63" t="str">
        <f t="shared" ca="1" si="4"/>
        <v>quangnt.tnh@vnpt.vn</v>
      </c>
      <c r="F35" s="321" t="str">
        <f t="shared" ca="1" si="5"/>
        <v>Lần 13</v>
      </c>
      <c r="G35" s="312"/>
      <c r="H35" s="120"/>
      <c r="I35" s="120"/>
      <c r="J35" s="120"/>
      <c r="K35" s="120"/>
      <c r="L35" s="334"/>
      <c r="M35" s="323">
        <f t="shared" ca="1" si="6"/>
        <v>0</v>
      </c>
      <c r="N35" s="332">
        <f t="shared" ca="1" si="7"/>
        <v>0</v>
      </c>
      <c r="O35" s="68">
        <f t="shared" ca="1" si="8"/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 ht="15.75" customHeight="1">
      <c r="A36" s="59">
        <f t="shared" ca="1" si="1"/>
        <v>30</v>
      </c>
      <c r="B36" s="60" t="str">
        <f t="shared" ca="1" si="9"/>
        <v>Tổ Hạ tầng Tân Ninh</v>
      </c>
      <c r="C36" s="61" t="str">
        <f t="shared" ca="1" si="2"/>
        <v>Nguyễn Trường Quang</v>
      </c>
      <c r="D36" s="62">
        <f t="shared" ca="1" si="3"/>
        <v>888193957</v>
      </c>
      <c r="E36" s="63" t="str">
        <f t="shared" ca="1" si="4"/>
        <v>quangnt.tnh@vnpt.vn</v>
      </c>
      <c r="F36" s="321" t="str">
        <f t="shared" ca="1" si="5"/>
        <v>Lần 14</v>
      </c>
      <c r="G36" s="312"/>
      <c r="H36" s="120"/>
      <c r="I36" s="120"/>
      <c r="J36" s="120"/>
      <c r="K36" s="120"/>
      <c r="L36" s="333"/>
      <c r="M36" s="323">
        <f t="shared" ca="1" si="6"/>
        <v>0</v>
      </c>
      <c r="N36" s="332">
        <f t="shared" ca="1" si="7"/>
        <v>0</v>
      </c>
      <c r="O36" s="68">
        <f t="shared" ca="1" si="8"/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5.75" customHeight="1">
      <c r="A37" s="59">
        <f t="shared" ca="1" si="1"/>
        <v>31</v>
      </c>
      <c r="B37" s="60" t="str">
        <f t="shared" ca="1" si="9"/>
        <v>Tổ Hạ tầng Tân Ninh</v>
      </c>
      <c r="C37" s="61" t="str">
        <f t="shared" ca="1" si="2"/>
        <v>Nguyễn Trường Quang</v>
      </c>
      <c r="D37" s="62">
        <f t="shared" ca="1" si="3"/>
        <v>888193957</v>
      </c>
      <c r="E37" s="63" t="str">
        <f t="shared" ca="1" si="4"/>
        <v>quangnt.tnh@vnpt.vn</v>
      </c>
      <c r="F37" s="321" t="str">
        <f t="shared" ca="1" si="5"/>
        <v>Lần 15</v>
      </c>
      <c r="G37" s="312"/>
      <c r="H37" s="120"/>
      <c r="I37" s="120"/>
      <c r="J37" s="120"/>
      <c r="K37" s="120"/>
      <c r="L37" s="333"/>
      <c r="M37" s="323">
        <f t="shared" ca="1" si="6"/>
        <v>0</v>
      </c>
      <c r="N37" s="332">
        <f t="shared" ca="1" si="7"/>
        <v>0</v>
      </c>
      <c r="O37" s="68">
        <f t="shared" ca="1" si="8"/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 ht="15.75" customHeight="1">
      <c r="A38" s="59">
        <f t="shared" ca="1" si="1"/>
        <v>32</v>
      </c>
      <c r="B38" s="101" t="str">
        <f t="shared" ca="1" si="9"/>
        <v>Tổ Hạ tầng Tân Ninh</v>
      </c>
      <c r="C38" s="102" t="str">
        <f t="shared" ca="1" si="2"/>
        <v>Nguyễn Trường Quang</v>
      </c>
      <c r="D38" s="103">
        <f t="shared" ca="1" si="3"/>
        <v>888193957</v>
      </c>
      <c r="E38" s="104" t="str">
        <f t="shared" ca="1" si="4"/>
        <v>quangnt.tnh@vnpt.vn</v>
      </c>
      <c r="F38" s="335" t="str">
        <f t="shared" ca="1" si="5"/>
        <v>Lần 16</v>
      </c>
      <c r="G38" s="312"/>
      <c r="H38" s="120"/>
      <c r="I38" s="120"/>
      <c r="J38" s="120"/>
      <c r="K38" s="120"/>
      <c r="L38" s="336"/>
      <c r="M38" s="337">
        <f t="shared" ca="1" si="6"/>
        <v>0</v>
      </c>
      <c r="N38" s="338">
        <f t="shared" ca="1" si="7"/>
        <v>0</v>
      </c>
      <c r="O38" s="68">
        <f t="shared" ca="1" si="8"/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5.75" customHeight="1">
      <c r="A39" s="59">
        <f t="shared" ca="1" si="1"/>
        <v>33</v>
      </c>
      <c r="B39" s="204" t="str">
        <f t="shared" ca="1" si="9"/>
        <v>Tổ Hạ tầng Tân Ninh</v>
      </c>
      <c r="C39" s="108" t="str">
        <f t="shared" ca="1" si="2"/>
        <v>Võ Thế Minh</v>
      </c>
      <c r="D39" s="205">
        <f t="shared" ca="1" si="3"/>
        <v>919542919</v>
      </c>
      <c r="E39" s="110" t="str">
        <f t="shared" ca="1" si="4"/>
        <v>minhvt.tnh@vnpt.vn</v>
      </c>
      <c r="F39" s="339" t="str">
        <f t="shared" ca="1" si="5"/>
        <v>Lần 1</v>
      </c>
      <c r="G39" s="312">
        <v>46217</v>
      </c>
      <c r="H39" s="73">
        <v>81</v>
      </c>
      <c r="I39" s="73">
        <v>30.8</v>
      </c>
      <c r="J39" s="72">
        <v>78.5</v>
      </c>
      <c r="K39" s="72">
        <v>53.1</v>
      </c>
      <c r="L39" s="340"/>
      <c r="M39" s="341">
        <f t="shared" ca="1" si="6"/>
        <v>1</v>
      </c>
      <c r="N39" s="342">
        <f t="shared" ca="1" si="7"/>
        <v>1</v>
      </c>
      <c r="O39" s="68">
        <f t="shared" ca="1" si="8"/>
        <v>0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5.75" customHeight="1">
      <c r="A40" s="59">
        <f t="shared" ca="1" si="1"/>
        <v>34</v>
      </c>
      <c r="B40" s="182" t="str">
        <f t="shared" ca="1" si="9"/>
        <v>Tổ Hạ tầng Tân Ninh</v>
      </c>
      <c r="C40" s="61" t="str">
        <f t="shared" ca="1" si="2"/>
        <v>Võ Thế Minh</v>
      </c>
      <c r="D40" s="183">
        <f t="shared" ca="1" si="3"/>
        <v>919542919</v>
      </c>
      <c r="E40" s="63" t="str">
        <f t="shared" ca="1" si="4"/>
        <v>minhvt.tnh@vnpt.vn</v>
      </c>
      <c r="F40" s="321" t="str">
        <f t="shared" ca="1" si="5"/>
        <v>Lần 2</v>
      </c>
      <c r="G40" s="312">
        <v>46217</v>
      </c>
      <c r="H40" s="73">
        <v>70.599999999999994</v>
      </c>
      <c r="I40" s="73">
        <v>35.200000000000003</v>
      </c>
      <c r="J40" s="72">
        <v>70.599999999999994</v>
      </c>
      <c r="K40" s="72">
        <v>52.5</v>
      </c>
      <c r="L40" s="343"/>
      <c r="M40" s="323">
        <f t="shared" ca="1" si="6"/>
        <v>1</v>
      </c>
      <c r="N40" s="324">
        <f t="shared" ca="1" si="7"/>
        <v>1</v>
      </c>
      <c r="O40" s="68">
        <f t="shared" ca="1" si="8"/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5.75" customHeight="1">
      <c r="A41" s="59">
        <f t="shared" ca="1" si="1"/>
        <v>35</v>
      </c>
      <c r="B41" s="182" t="str">
        <f t="shared" ca="1" si="9"/>
        <v>Tổ Hạ tầng Tân Ninh</v>
      </c>
      <c r="C41" s="61" t="str">
        <f t="shared" ca="1" si="2"/>
        <v>Võ Thế Minh</v>
      </c>
      <c r="D41" s="183">
        <f t="shared" ca="1" si="3"/>
        <v>919542919</v>
      </c>
      <c r="E41" s="63" t="str">
        <f t="shared" ca="1" si="4"/>
        <v>minhvt.tnh@vnpt.vn</v>
      </c>
      <c r="F41" s="321" t="str">
        <f t="shared" ca="1" si="5"/>
        <v>Lần 3</v>
      </c>
      <c r="G41" s="312">
        <v>46217</v>
      </c>
      <c r="H41" s="73">
        <v>86.4</v>
      </c>
      <c r="I41" s="73">
        <v>33.6</v>
      </c>
      <c r="J41" s="72">
        <v>76</v>
      </c>
      <c r="K41" s="72">
        <v>51</v>
      </c>
      <c r="L41" s="343"/>
      <c r="M41" s="323">
        <f t="shared" ca="1" si="6"/>
        <v>1</v>
      </c>
      <c r="N41" s="324">
        <f t="shared" ca="1" si="7"/>
        <v>1</v>
      </c>
      <c r="O41" s="68">
        <f t="shared" ca="1" si="8"/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5.75" customHeight="1">
      <c r="A42" s="59">
        <f t="shared" ca="1" si="1"/>
        <v>36</v>
      </c>
      <c r="B42" s="182" t="str">
        <f t="shared" ca="1" si="9"/>
        <v>Tổ Hạ tầng Tân Ninh</v>
      </c>
      <c r="C42" s="61" t="str">
        <f t="shared" ca="1" si="2"/>
        <v>Võ Thế Minh</v>
      </c>
      <c r="D42" s="183">
        <f t="shared" ca="1" si="3"/>
        <v>919542919</v>
      </c>
      <c r="E42" s="63" t="str">
        <f t="shared" ca="1" si="4"/>
        <v>minhvt.tnh@vnpt.vn</v>
      </c>
      <c r="F42" s="321" t="str">
        <f t="shared" ca="1" si="5"/>
        <v>Lần 4</v>
      </c>
      <c r="G42" s="312">
        <v>46217</v>
      </c>
      <c r="H42" s="73">
        <v>70.900000000000006</v>
      </c>
      <c r="I42" s="73">
        <v>43</v>
      </c>
      <c r="J42" s="72">
        <v>71.3</v>
      </c>
      <c r="K42" s="72">
        <v>11.3</v>
      </c>
      <c r="L42" s="344"/>
      <c r="M42" s="323">
        <f t="shared" ca="1" si="6"/>
        <v>1</v>
      </c>
      <c r="N42" s="324">
        <f t="shared" ca="1" si="7"/>
        <v>1</v>
      </c>
      <c r="O42" s="68">
        <f t="shared" ca="1" si="8"/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 ht="15.75" customHeight="1">
      <c r="A43" s="59">
        <f t="shared" ca="1" si="1"/>
        <v>37</v>
      </c>
      <c r="B43" s="182" t="str">
        <f t="shared" ca="1" si="9"/>
        <v>Tổ Hạ tầng Tân Ninh</v>
      </c>
      <c r="C43" s="61" t="str">
        <f t="shared" ca="1" si="2"/>
        <v>Võ Thế Minh</v>
      </c>
      <c r="D43" s="183">
        <f t="shared" ca="1" si="3"/>
        <v>919542919</v>
      </c>
      <c r="E43" s="63" t="str">
        <f t="shared" ca="1" si="4"/>
        <v>minhvt.tnh@vnpt.vn</v>
      </c>
      <c r="F43" s="321" t="str">
        <f t="shared" ca="1" si="5"/>
        <v>Lần 5</v>
      </c>
      <c r="G43" s="312">
        <v>46217</v>
      </c>
      <c r="H43" s="133">
        <v>75.2</v>
      </c>
      <c r="I43" s="133">
        <v>35.200000000000003</v>
      </c>
      <c r="J43" s="72">
        <v>83</v>
      </c>
      <c r="K43" s="72">
        <v>54.2</v>
      </c>
      <c r="L43" s="344"/>
      <c r="M43" s="323">
        <f t="shared" ca="1" si="6"/>
        <v>1</v>
      </c>
      <c r="N43" s="324">
        <f t="shared" ca="1" si="7"/>
        <v>1</v>
      </c>
      <c r="O43" s="68">
        <f t="shared" ca="1" si="8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 ht="15.75" customHeight="1">
      <c r="A44" s="59">
        <f t="shared" ca="1" si="1"/>
        <v>38</v>
      </c>
      <c r="B44" s="182" t="str">
        <f t="shared" ca="1" si="9"/>
        <v>Tổ Hạ tầng Tân Ninh</v>
      </c>
      <c r="C44" s="61" t="str">
        <f t="shared" ca="1" si="2"/>
        <v>Võ Thế Minh</v>
      </c>
      <c r="D44" s="183">
        <f t="shared" ca="1" si="3"/>
        <v>919542919</v>
      </c>
      <c r="E44" s="63" t="str">
        <f t="shared" ca="1" si="4"/>
        <v>minhvt.tnh@vnpt.vn</v>
      </c>
      <c r="F44" s="321" t="str">
        <f t="shared" ca="1" si="5"/>
        <v>Lần 6</v>
      </c>
      <c r="G44" s="312">
        <v>46217</v>
      </c>
      <c r="H44" s="133">
        <v>98.8</v>
      </c>
      <c r="I44" s="133">
        <v>38.799999999999997</v>
      </c>
      <c r="J44" s="72">
        <v>81</v>
      </c>
      <c r="K44" s="72">
        <v>49</v>
      </c>
      <c r="L44" s="344"/>
      <c r="M44" s="323">
        <f t="shared" ca="1" si="6"/>
        <v>1</v>
      </c>
      <c r="N44" s="324">
        <f t="shared" ca="1" si="7"/>
        <v>1</v>
      </c>
      <c r="O44" s="68">
        <f t="shared" ca="1" si="8"/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 ht="15.75" customHeight="1">
      <c r="A45" s="59">
        <f t="shared" ca="1" si="1"/>
        <v>39</v>
      </c>
      <c r="B45" s="182" t="str">
        <f t="shared" ca="1" si="9"/>
        <v>Tổ Hạ tầng Tân Ninh</v>
      </c>
      <c r="C45" s="61" t="str">
        <f t="shared" ca="1" si="2"/>
        <v>Võ Thế Minh</v>
      </c>
      <c r="D45" s="183">
        <f t="shared" ca="1" si="3"/>
        <v>919542919</v>
      </c>
      <c r="E45" s="63" t="str">
        <f t="shared" ca="1" si="4"/>
        <v>minhvt.tnh@vnpt.vn</v>
      </c>
      <c r="F45" s="321" t="str">
        <f t="shared" ca="1" si="5"/>
        <v>Lần 7</v>
      </c>
      <c r="G45" s="312">
        <v>46217</v>
      </c>
      <c r="H45" s="133">
        <v>73</v>
      </c>
      <c r="I45" s="133">
        <v>35.1</v>
      </c>
      <c r="J45" s="72">
        <v>72.5</v>
      </c>
      <c r="K45" s="72">
        <v>49.6</v>
      </c>
      <c r="L45" s="344"/>
      <c r="M45" s="323">
        <f t="shared" ca="1" si="6"/>
        <v>1</v>
      </c>
      <c r="N45" s="324">
        <f t="shared" ca="1" si="7"/>
        <v>1</v>
      </c>
      <c r="O45" s="68">
        <f t="shared" ca="1" si="8"/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 ht="15.75" customHeight="1">
      <c r="A46" s="59">
        <f t="shared" ca="1" si="1"/>
        <v>40</v>
      </c>
      <c r="B46" s="182" t="str">
        <f t="shared" ca="1" si="9"/>
        <v>Tổ Hạ tầng Tân Ninh</v>
      </c>
      <c r="C46" s="61" t="str">
        <f t="shared" ca="1" si="2"/>
        <v>Võ Thế Minh</v>
      </c>
      <c r="D46" s="183">
        <f t="shared" ca="1" si="3"/>
        <v>919542919</v>
      </c>
      <c r="E46" s="63" t="str">
        <f t="shared" ca="1" si="4"/>
        <v>minhvt.tnh@vnpt.vn</v>
      </c>
      <c r="F46" s="321" t="str">
        <f t="shared" ca="1" si="5"/>
        <v>Lần 8</v>
      </c>
      <c r="G46" s="312">
        <v>46217</v>
      </c>
      <c r="H46" s="133">
        <v>81.900000000000006</v>
      </c>
      <c r="I46" s="133">
        <v>38</v>
      </c>
      <c r="J46" s="72">
        <v>82.5</v>
      </c>
      <c r="K46" s="72">
        <v>53.2</v>
      </c>
      <c r="L46" s="343"/>
      <c r="M46" s="323">
        <f t="shared" ca="1" si="6"/>
        <v>1</v>
      </c>
      <c r="N46" s="324">
        <f t="shared" ca="1" si="7"/>
        <v>1</v>
      </c>
      <c r="O46" s="68">
        <f t="shared" ca="1" si="8"/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 ht="15.75" customHeight="1">
      <c r="A47" s="59">
        <f t="shared" ca="1" si="1"/>
        <v>41</v>
      </c>
      <c r="B47" s="182" t="str">
        <f t="shared" ca="1" si="9"/>
        <v>Tổ Hạ tầng Tân Ninh</v>
      </c>
      <c r="C47" s="61" t="str">
        <f t="shared" ca="1" si="2"/>
        <v>Võ Thế Minh</v>
      </c>
      <c r="D47" s="183">
        <f t="shared" ca="1" si="3"/>
        <v>919542919</v>
      </c>
      <c r="E47" s="63" t="str">
        <f t="shared" ca="1" si="4"/>
        <v>minhvt.tnh@vnpt.vn</v>
      </c>
      <c r="F47" s="321" t="str">
        <f t="shared" ca="1" si="5"/>
        <v>Lần 9</v>
      </c>
      <c r="G47" s="312">
        <v>46217</v>
      </c>
      <c r="H47" s="133">
        <v>75.099999999999994</v>
      </c>
      <c r="I47" s="133">
        <v>28.4</v>
      </c>
      <c r="J47" s="72">
        <v>71.7</v>
      </c>
      <c r="K47" s="72">
        <v>51.2</v>
      </c>
      <c r="L47" s="343"/>
      <c r="M47" s="323">
        <f t="shared" ca="1" si="6"/>
        <v>1</v>
      </c>
      <c r="N47" s="324">
        <f t="shared" ca="1" si="7"/>
        <v>1</v>
      </c>
      <c r="O47" s="68">
        <f t="shared" ca="1" si="8"/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5.75" customHeight="1">
      <c r="A48" s="59">
        <f t="shared" ca="1" si="1"/>
        <v>42</v>
      </c>
      <c r="B48" s="182" t="str">
        <f t="shared" ca="1" si="9"/>
        <v>Tổ Hạ tầng Tân Ninh</v>
      </c>
      <c r="C48" s="61" t="str">
        <f t="shared" ca="1" si="2"/>
        <v>Võ Thế Minh</v>
      </c>
      <c r="D48" s="183">
        <f t="shared" ca="1" si="3"/>
        <v>919542919</v>
      </c>
      <c r="E48" s="63" t="str">
        <f t="shared" ca="1" si="4"/>
        <v>minhvt.tnh@vnpt.vn</v>
      </c>
      <c r="F48" s="321" t="str">
        <f t="shared" ca="1" si="5"/>
        <v>Lần 10</v>
      </c>
      <c r="G48" s="312">
        <v>46217</v>
      </c>
      <c r="H48" s="133">
        <v>77.599999999999994</v>
      </c>
      <c r="I48" s="133">
        <v>42.1</v>
      </c>
      <c r="J48" s="72">
        <v>71.900000000000006</v>
      </c>
      <c r="K48" s="72">
        <v>57.4</v>
      </c>
      <c r="L48" s="343"/>
      <c r="M48" s="323">
        <f t="shared" ca="1" si="6"/>
        <v>1</v>
      </c>
      <c r="N48" s="324">
        <f t="shared" ca="1" si="7"/>
        <v>1</v>
      </c>
      <c r="O48" s="68">
        <f t="shared" ca="1" si="8"/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 ht="15.75" customHeight="1">
      <c r="A49" s="59">
        <f t="shared" ca="1" si="1"/>
        <v>43</v>
      </c>
      <c r="B49" s="182" t="str">
        <f t="shared" ca="1" si="9"/>
        <v>Tổ Hạ tầng Tân Ninh</v>
      </c>
      <c r="C49" s="61" t="str">
        <f t="shared" ca="1" si="2"/>
        <v>Võ Thế Minh</v>
      </c>
      <c r="D49" s="183">
        <f t="shared" ca="1" si="3"/>
        <v>919542919</v>
      </c>
      <c r="E49" s="63" t="str">
        <f t="shared" ca="1" si="4"/>
        <v>minhvt.tnh@vnpt.vn</v>
      </c>
      <c r="F49" s="321" t="str">
        <f t="shared" ca="1" si="5"/>
        <v>Lần 11</v>
      </c>
      <c r="G49" s="312">
        <v>46217</v>
      </c>
      <c r="H49" s="133">
        <v>78.099999999999994</v>
      </c>
      <c r="I49" s="133">
        <v>44.8</v>
      </c>
      <c r="J49" s="72">
        <v>77.7</v>
      </c>
      <c r="K49" s="72">
        <v>57.2</v>
      </c>
      <c r="L49" s="343"/>
      <c r="M49" s="323">
        <f t="shared" ca="1" si="6"/>
        <v>1</v>
      </c>
      <c r="N49" s="324">
        <f t="shared" ca="1" si="7"/>
        <v>1</v>
      </c>
      <c r="O49" s="68">
        <f t="shared" ca="1" si="8"/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 ht="15.75" customHeight="1">
      <c r="A50" s="59">
        <f t="shared" ca="1" si="1"/>
        <v>44</v>
      </c>
      <c r="B50" s="182" t="str">
        <f t="shared" ca="1" si="9"/>
        <v>Tổ Hạ tầng Tân Ninh</v>
      </c>
      <c r="C50" s="61" t="str">
        <f t="shared" ca="1" si="2"/>
        <v>Võ Thế Minh</v>
      </c>
      <c r="D50" s="183">
        <f t="shared" ca="1" si="3"/>
        <v>919542919</v>
      </c>
      <c r="E50" s="63" t="str">
        <f t="shared" ca="1" si="4"/>
        <v>minhvt.tnh@vnpt.vn</v>
      </c>
      <c r="F50" s="321" t="str">
        <f t="shared" ca="1" si="5"/>
        <v>Lần 12</v>
      </c>
      <c r="G50" s="312">
        <v>46217</v>
      </c>
      <c r="H50" s="133">
        <v>83</v>
      </c>
      <c r="I50" s="133">
        <v>38.200000000000003</v>
      </c>
      <c r="J50" s="72">
        <v>94.5</v>
      </c>
      <c r="K50" s="72">
        <v>56.9</v>
      </c>
      <c r="L50" s="343"/>
      <c r="M50" s="323">
        <f t="shared" ca="1" si="6"/>
        <v>1</v>
      </c>
      <c r="N50" s="324">
        <f t="shared" ca="1" si="7"/>
        <v>1</v>
      </c>
      <c r="O50" s="68">
        <f t="shared" ca="1" si="8"/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 ht="15.75" customHeight="1">
      <c r="A51" s="59">
        <f t="shared" ca="1" si="1"/>
        <v>45</v>
      </c>
      <c r="B51" s="182" t="str">
        <f t="shared" ca="1" si="9"/>
        <v>Tổ Hạ tầng Tân Ninh</v>
      </c>
      <c r="C51" s="61" t="str">
        <f t="shared" ca="1" si="2"/>
        <v>Võ Thế Minh</v>
      </c>
      <c r="D51" s="183">
        <f t="shared" ca="1" si="3"/>
        <v>919542919</v>
      </c>
      <c r="E51" s="63" t="str">
        <f t="shared" ca="1" si="4"/>
        <v>minhvt.tnh@vnpt.vn</v>
      </c>
      <c r="F51" s="321" t="str">
        <f t="shared" ca="1" si="5"/>
        <v>Lần 13</v>
      </c>
      <c r="G51" s="312">
        <v>46217</v>
      </c>
      <c r="H51" s="133">
        <v>82.7</v>
      </c>
      <c r="I51" s="133">
        <v>34.299999999999997</v>
      </c>
      <c r="J51" s="72">
        <v>98.6</v>
      </c>
      <c r="K51" s="72">
        <v>56</v>
      </c>
      <c r="L51" s="343"/>
      <c r="M51" s="323">
        <f t="shared" ca="1" si="6"/>
        <v>1</v>
      </c>
      <c r="N51" s="324">
        <f t="shared" ca="1" si="7"/>
        <v>1</v>
      </c>
      <c r="O51" s="68">
        <f t="shared" ca="1" si="8"/>
        <v>0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 ht="15.75" customHeight="1">
      <c r="A52" s="59">
        <f t="shared" ca="1" si="1"/>
        <v>46</v>
      </c>
      <c r="B52" s="182" t="str">
        <f t="shared" ca="1" si="9"/>
        <v>Tổ Hạ tầng Tân Ninh</v>
      </c>
      <c r="C52" s="61" t="str">
        <f t="shared" ca="1" si="2"/>
        <v>Võ Thế Minh</v>
      </c>
      <c r="D52" s="183">
        <f t="shared" ca="1" si="3"/>
        <v>919542919</v>
      </c>
      <c r="E52" s="63" t="str">
        <f t="shared" ca="1" si="4"/>
        <v>minhvt.tnh@vnpt.vn</v>
      </c>
      <c r="F52" s="321" t="str">
        <f t="shared" ca="1" si="5"/>
        <v>Lần 14</v>
      </c>
      <c r="G52" s="312">
        <v>46217</v>
      </c>
      <c r="H52" s="133">
        <v>75.2</v>
      </c>
      <c r="I52" s="133">
        <v>46.9</v>
      </c>
      <c r="J52" s="72">
        <v>79.599999999999994</v>
      </c>
      <c r="K52" s="72">
        <v>57.4</v>
      </c>
      <c r="L52" s="343"/>
      <c r="M52" s="323">
        <f t="shared" ca="1" si="6"/>
        <v>1</v>
      </c>
      <c r="N52" s="324">
        <f t="shared" ca="1" si="7"/>
        <v>1</v>
      </c>
      <c r="O52" s="68">
        <f t="shared" ca="1" si="8"/>
        <v>0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 ht="15.75" customHeight="1">
      <c r="A53" s="59">
        <f t="shared" ca="1" si="1"/>
        <v>47</v>
      </c>
      <c r="B53" s="182" t="str">
        <f t="shared" ca="1" si="9"/>
        <v>Tổ Hạ tầng Tân Ninh</v>
      </c>
      <c r="C53" s="61" t="str">
        <f t="shared" ca="1" si="2"/>
        <v>Võ Thế Minh</v>
      </c>
      <c r="D53" s="183">
        <f t="shared" ca="1" si="3"/>
        <v>919542919</v>
      </c>
      <c r="E53" s="63" t="str">
        <f t="shared" ca="1" si="4"/>
        <v>minhvt.tnh@vnpt.vn</v>
      </c>
      <c r="F53" s="321" t="str">
        <f t="shared" ca="1" si="5"/>
        <v>Lần 15</v>
      </c>
      <c r="G53" s="312">
        <v>46217</v>
      </c>
      <c r="H53" s="133">
        <v>79.099999999999994</v>
      </c>
      <c r="I53" s="133">
        <v>40.1</v>
      </c>
      <c r="J53" s="72">
        <v>73.3</v>
      </c>
      <c r="K53" s="72">
        <v>57.3</v>
      </c>
      <c r="L53" s="343"/>
      <c r="M53" s="323">
        <f t="shared" ca="1" si="6"/>
        <v>1</v>
      </c>
      <c r="N53" s="324">
        <f t="shared" ca="1" si="7"/>
        <v>1</v>
      </c>
      <c r="O53" s="68">
        <f t="shared" ca="1" si="8"/>
        <v>0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 ht="15.75" customHeight="1">
      <c r="A54" s="59">
        <f t="shared" ca="1" si="1"/>
        <v>48</v>
      </c>
      <c r="B54" s="185" t="str">
        <f t="shared" ca="1" si="9"/>
        <v>Tổ Hạ tầng Tân Ninh</v>
      </c>
      <c r="C54" s="82" t="str">
        <f t="shared" ca="1" si="2"/>
        <v>Võ Thế Minh</v>
      </c>
      <c r="D54" s="186">
        <f t="shared" ca="1" si="3"/>
        <v>919542919</v>
      </c>
      <c r="E54" s="84" t="str">
        <f t="shared" ca="1" si="4"/>
        <v>minhvt.tnh@vnpt.vn</v>
      </c>
      <c r="F54" s="325" t="str">
        <f t="shared" ca="1" si="5"/>
        <v>Lần 16</v>
      </c>
      <c r="G54" s="312">
        <v>46217</v>
      </c>
      <c r="H54" s="133">
        <v>81</v>
      </c>
      <c r="I54" s="133">
        <v>30.8</v>
      </c>
      <c r="J54" s="72">
        <v>77.400000000000006</v>
      </c>
      <c r="K54" s="72">
        <v>54.4</v>
      </c>
      <c r="L54" s="345"/>
      <c r="M54" s="327">
        <f t="shared" ca="1" si="6"/>
        <v>1</v>
      </c>
      <c r="N54" s="328">
        <f t="shared" ca="1" si="7"/>
        <v>1</v>
      </c>
      <c r="O54" s="68">
        <f t="shared" ca="1" si="8"/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ht="15.75" customHeight="1">
      <c r="A55" s="59">
        <f t="shared" ca="1" si="1"/>
        <v>49</v>
      </c>
      <c r="B55" s="190" t="str">
        <f t="shared" ca="1" si="9"/>
        <v>Tổ Hạ tầng Tân Ninh</v>
      </c>
      <c r="C55" s="48" t="str">
        <f t="shared" ca="1" si="2"/>
        <v>Ngô Văn Tâm</v>
      </c>
      <c r="D55" s="191">
        <f t="shared" ca="1" si="3"/>
        <v>917259777</v>
      </c>
      <c r="E55" s="50" t="str">
        <f t="shared" ca="1" si="4"/>
        <v>tamnv.tnh@vnpt.vn</v>
      </c>
      <c r="F55" s="318" t="str">
        <f t="shared" ca="1" si="5"/>
        <v>Lần 1</v>
      </c>
      <c r="G55" s="346">
        <v>46206</v>
      </c>
      <c r="H55" s="73">
        <v>87.1</v>
      </c>
      <c r="I55" s="73">
        <v>49</v>
      </c>
      <c r="J55" s="72">
        <v>94.8</v>
      </c>
      <c r="K55" s="72">
        <v>56</v>
      </c>
      <c r="L55" s="265"/>
      <c r="M55" s="329">
        <f t="shared" ca="1" si="6"/>
        <v>1</v>
      </c>
      <c r="N55" s="330">
        <f t="shared" ca="1" si="7"/>
        <v>1</v>
      </c>
      <c r="O55" s="68">
        <f t="shared" ca="1" si="8"/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 ht="15.75" customHeight="1">
      <c r="A56" s="59">
        <f t="shared" ca="1" si="1"/>
        <v>50</v>
      </c>
      <c r="B56" s="182" t="str">
        <f t="shared" ca="1" si="9"/>
        <v>Tổ Hạ tầng Tân Ninh</v>
      </c>
      <c r="C56" s="61" t="str">
        <f t="shared" ca="1" si="2"/>
        <v>Ngô Văn Tâm</v>
      </c>
      <c r="D56" s="183">
        <f t="shared" ca="1" si="3"/>
        <v>917259777</v>
      </c>
      <c r="E56" s="63" t="str">
        <f t="shared" ca="1" si="4"/>
        <v>tamnv.tnh@vnpt.vn</v>
      </c>
      <c r="F56" s="321" t="str">
        <f t="shared" ca="1" si="5"/>
        <v>Lần 2</v>
      </c>
      <c r="G56" s="312">
        <v>46206</v>
      </c>
      <c r="H56" s="73">
        <v>88.7</v>
      </c>
      <c r="I56" s="73">
        <v>45.7</v>
      </c>
      <c r="J56" s="72">
        <v>101</v>
      </c>
      <c r="K56" s="72">
        <v>52.8</v>
      </c>
      <c r="L56" s="331"/>
      <c r="M56" s="323">
        <f t="shared" ca="1" si="6"/>
        <v>1</v>
      </c>
      <c r="N56" s="332">
        <f t="shared" ca="1" si="7"/>
        <v>1</v>
      </c>
      <c r="O56" s="68">
        <f t="shared" ca="1" si="8"/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 ht="15.75" customHeight="1">
      <c r="A57" s="59">
        <f t="shared" ca="1" si="1"/>
        <v>51</v>
      </c>
      <c r="B57" s="182" t="str">
        <f t="shared" ca="1" si="9"/>
        <v>Tổ Hạ tầng Tân Ninh</v>
      </c>
      <c r="C57" s="61" t="str">
        <f t="shared" ca="1" si="2"/>
        <v>Ngô Văn Tâm</v>
      </c>
      <c r="D57" s="183">
        <f t="shared" ca="1" si="3"/>
        <v>917259777</v>
      </c>
      <c r="E57" s="63" t="str">
        <f t="shared" ca="1" si="4"/>
        <v>tamnv.tnh@vnpt.vn</v>
      </c>
      <c r="F57" s="321" t="str">
        <f t="shared" ca="1" si="5"/>
        <v>Lần 3</v>
      </c>
      <c r="G57" s="312">
        <v>46206</v>
      </c>
      <c r="H57" s="73">
        <v>110</v>
      </c>
      <c r="I57" s="73">
        <v>47.6</v>
      </c>
      <c r="J57" s="72">
        <v>74.7</v>
      </c>
      <c r="K57" s="72">
        <v>54.5</v>
      </c>
      <c r="L57" s="331"/>
      <c r="M57" s="323">
        <f t="shared" ca="1" si="6"/>
        <v>1</v>
      </c>
      <c r="N57" s="332">
        <f t="shared" ca="1" si="7"/>
        <v>1</v>
      </c>
      <c r="O57" s="68">
        <f t="shared" ca="1" si="8"/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 ht="15.75" customHeight="1">
      <c r="A58" s="59">
        <f t="shared" ca="1" si="1"/>
        <v>52</v>
      </c>
      <c r="B58" s="182" t="str">
        <f t="shared" ca="1" si="9"/>
        <v>Tổ Hạ tầng Tân Ninh</v>
      </c>
      <c r="C58" s="61" t="str">
        <f t="shared" ca="1" si="2"/>
        <v>Ngô Văn Tâm</v>
      </c>
      <c r="D58" s="183">
        <f t="shared" ca="1" si="3"/>
        <v>917259777</v>
      </c>
      <c r="E58" s="63" t="str">
        <f t="shared" ca="1" si="4"/>
        <v>tamnv.tnh@vnpt.vn</v>
      </c>
      <c r="F58" s="321" t="str">
        <f t="shared" ca="1" si="5"/>
        <v>Lần 4</v>
      </c>
      <c r="G58" s="312">
        <v>46207</v>
      </c>
      <c r="H58" s="73">
        <v>95.1</v>
      </c>
      <c r="I58" s="73">
        <v>35.200000000000003</v>
      </c>
      <c r="J58" s="72">
        <v>91.7</v>
      </c>
      <c r="K58" s="72">
        <v>43.9</v>
      </c>
      <c r="L58" s="331"/>
      <c r="M58" s="323">
        <f t="shared" ca="1" si="6"/>
        <v>1</v>
      </c>
      <c r="N58" s="332">
        <f t="shared" ca="1" si="7"/>
        <v>1</v>
      </c>
      <c r="O58" s="68">
        <f t="shared" ca="1" si="8"/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 ht="15.75" customHeight="1">
      <c r="A59" s="59">
        <f t="shared" ca="1" si="1"/>
        <v>53</v>
      </c>
      <c r="B59" s="182" t="str">
        <f t="shared" ca="1" si="9"/>
        <v>Tổ Hạ tầng Tân Ninh</v>
      </c>
      <c r="C59" s="61" t="str">
        <f t="shared" ca="1" si="2"/>
        <v>Ngô Văn Tâm</v>
      </c>
      <c r="D59" s="183">
        <f t="shared" ca="1" si="3"/>
        <v>917259777</v>
      </c>
      <c r="E59" s="63" t="str">
        <f t="shared" ca="1" si="4"/>
        <v>tamnv.tnh@vnpt.vn</v>
      </c>
      <c r="F59" s="321" t="str">
        <f t="shared" ca="1" si="5"/>
        <v>Lần 5</v>
      </c>
      <c r="G59" s="312">
        <v>46207</v>
      </c>
      <c r="H59" s="133">
        <v>78.8</v>
      </c>
      <c r="I59" s="133">
        <v>39.299999999999997</v>
      </c>
      <c r="J59" s="72">
        <v>96.3</v>
      </c>
      <c r="K59" s="72">
        <v>43.7</v>
      </c>
      <c r="L59" s="331"/>
      <c r="M59" s="323">
        <f t="shared" ca="1" si="6"/>
        <v>1</v>
      </c>
      <c r="N59" s="332">
        <f t="shared" ca="1" si="7"/>
        <v>1</v>
      </c>
      <c r="O59" s="68">
        <f t="shared" ca="1" si="8"/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 ht="15.75" customHeight="1">
      <c r="A60" s="59">
        <f t="shared" ca="1" si="1"/>
        <v>54</v>
      </c>
      <c r="B60" s="182" t="str">
        <f t="shared" ca="1" si="9"/>
        <v>Tổ Hạ tầng Tân Ninh</v>
      </c>
      <c r="C60" s="61" t="str">
        <f t="shared" ca="1" si="2"/>
        <v>Ngô Văn Tâm</v>
      </c>
      <c r="D60" s="183">
        <f t="shared" ca="1" si="3"/>
        <v>917259777</v>
      </c>
      <c r="E60" s="63" t="str">
        <f t="shared" ca="1" si="4"/>
        <v>tamnv.tnh@vnpt.vn</v>
      </c>
      <c r="F60" s="321" t="str">
        <f t="shared" ca="1" si="5"/>
        <v>Lần 6</v>
      </c>
      <c r="G60" s="312">
        <v>46207</v>
      </c>
      <c r="H60" s="133">
        <v>72.099999999999994</v>
      </c>
      <c r="I60" s="133">
        <v>39.5</v>
      </c>
      <c r="J60" s="72">
        <v>78.7</v>
      </c>
      <c r="K60" s="72">
        <v>42.5</v>
      </c>
      <c r="L60" s="331"/>
      <c r="M60" s="323">
        <f t="shared" ca="1" si="6"/>
        <v>1</v>
      </c>
      <c r="N60" s="332">
        <f t="shared" ca="1" si="7"/>
        <v>1</v>
      </c>
      <c r="O60" s="68">
        <f t="shared" ca="1" si="8"/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 ht="15.75" customHeight="1">
      <c r="A61" s="59">
        <f t="shared" ca="1" si="1"/>
        <v>55</v>
      </c>
      <c r="B61" s="182" t="str">
        <f t="shared" ca="1" si="9"/>
        <v>Tổ Hạ tầng Tân Ninh</v>
      </c>
      <c r="C61" s="61" t="str">
        <f t="shared" ca="1" si="2"/>
        <v>Ngô Văn Tâm</v>
      </c>
      <c r="D61" s="183">
        <f t="shared" ca="1" si="3"/>
        <v>917259777</v>
      </c>
      <c r="E61" s="63" t="str">
        <f t="shared" ca="1" si="4"/>
        <v>tamnv.tnh@vnpt.vn</v>
      </c>
      <c r="F61" s="321" t="str">
        <f t="shared" ca="1" si="5"/>
        <v>Lần 7</v>
      </c>
      <c r="G61" s="312">
        <v>46210</v>
      </c>
      <c r="H61" s="133">
        <v>90.8</v>
      </c>
      <c r="I61" s="133">
        <v>49.1</v>
      </c>
      <c r="J61" s="72">
        <v>92.5</v>
      </c>
      <c r="K61" s="72">
        <v>61.1</v>
      </c>
      <c r="L61" s="331"/>
      <c r="M61" s="323">
        <f t="shared" ca="1" si="6"/>
        <v>1</v>
      </c>
      <c r="N61" s="332">
        <f t="shared" ca="1" si="7"/>
        <v>1</v>
      </c>
      <c r="O61" s="68">
        <f t="shared" ca="1" si="8"/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 ht="15.75" customHeight="1">
      <c r="A62" s="59">
        <f t="shared" ca="1" si="1"/>
        <v>56</v>
      </c>
      <c r="B62" s="182" t="str">
        <f t="shared" ca="1" si="9"/>
        <v>Tổ Hạ tầng Tân Ninh</v>
      </c>
      <c r="C62" s="61" t="str">
        <f t="shared" ca="1" si="2"/>
        <v>Ngô Văn Tâm</v>
      </c>
      <c r="D62" s="183">
        <f t="shared" ca="1" si="3"/>
        <v>917259777</v>
      </c>
      <c r="E62" s="63" t="str">
        <f t="shared" ca="1" si="4"/>
        <v>tamnv.tnh@vnpt.vn</v>
      </c>
      <c r="F62" s="321" t="str">
        <f t="shared" ca="1" si="5"/>
        <v>Lần 8</v>
      </c>
      <c r="G62" s="312">
        <v>46210</v>
      </c>
      <c r="H62" s="133">
        <v>105</v>
      </c>
      <c r="I62" s="133">
        <v>49.1</v>
      </c>
      <c r="J62" s="72">
        <v>80.599999999999994</v>
      </c>
      <c r="K62" s="72">
        <v>55.7</v>
      </c>
      <c r="L62" s="331"/>
      <c r="M62" s="323">
        <f t="shared" ca="1" si="6"/>
        <v>1</v>
      </c>
      <c r="N62" s="332">
        <f t="shared" ca="1" si="7"/>
        <v>1</v>
      </c>
      <c r="O62" s="68">
        <f t="shared" ca="1" si="8"/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 ht="15.75" customHeight="1">
      <c r="A63" s="59">
        <f t="shared" ca="1" si="1"/>
        <v>57</v>
      </c>
      <c r="B63" s="182" t="str">
        <f t="shared" ca="1" si="9"/>
        <v>Tổ Hạ tầng Tân Ninh</v>
      </c>
      <c r="C63" s="61" t="str">
        <f t="shared" ca="1" si="2"/>
        <v>Ngô Văn Tâm</v>
      </c>
      <c r="D63" s="183">
        <f t="shared" ca="1" si="3"/>
        <v>917259777</v>
      </c>
      <c r="E63" s="63" t="str">
        <f t="shared" ca="1" si="4"/>
        <v>tamnv.tnh@vnpt.vn</v>
      </c>
      <c r="F63" s="321" t="str">
        <f t="shared" ca="1" si="5"/>
        <v>Lần 9</v>
      </c>
      <c r="G63" s="312">
        <v>46210</v>
      </c>
      <c r="H63" s="133">
        <v>86</v>
      </c>
      <c r="I63" s="133">
        <v>48.1</v>
      </c>
      <c r="J63" s="72">
        <v>87.8</v>
      </c>
      <c r="K63" s="72">
        <v>60.8</v>
      </c>
      <c r="L63" s="331"/>
      <c r="M63" s="323">
        <f t="shared" ca="1" si="6"/>
        <v>1</v>
      </c>
      <c r="N63" s="332">
        <f t="shared" ca="1" si="7"/>
        <v>1</v>
      </c>
      <c r="O63" s="68">
        <f t="shared" ca="1" si="8"/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 ht="15.75" customHeight="1">
      <c r="A64" s="59">
        <f t="shared" ca="1" si="1"/>
        <v>58</v>
      </c>
      <c r="B64" s="182" t="str">
        <f t="shared" ca="1" si="9"/>
        <v>Tổ Hạ tầng Tân Ninh</v>
      </c>
      <c r="C64" s="61" t="str">
        <f t="shared" ca="1" si="2"/>
        <v>Ngô Văn Tâm</v>
      </c>
      <c r="D64" s="183">
        <f t="shared" ca="1" si="3"/>
        <v>917259777</v>
      </c>
      <c r="E64" s="63" t="str">
        <f t="shared" ca="1" si="4"/>
        <v>tamnv.tnh@vnpt.vn</v>
      </c>
      <c r="F64" s="321" t="str">
        <f t="shared" ca="1" si="5"/>
        <v>Lần 10</v>
      </c>
      <c r="G64" s="312">
        <v>46212</v>
      </c>
      <c r="H64" s="133">
        <v>72.900000000000006</v>
      </c>
      <c r="I64" s="133">
        <v>30.7</v>
      </c>
      <c r="J64" s="72">
        <v>92.7</v>
      </c>
      <c r="K64" s="72">
        <v>25.4</v>
      </c>
      <c r="L64" s="331"/>
      <c r="M64" s="323">
        <f t="shared" ca="1" si="6"/>
        <v>1</v>
      </c>
      <c r="N64" s="332">
        <f t="shared" ca="1" si="7"/>
        <v>1</v>
      </c>
      <c r="O64" s="68">
        <f t="shared" ca="1" si="8"/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 ht="15.75" customHeight="1">
      <c r="A65" s="59">
        <f t="shared" ca="1" si="1"/>
        <v>59</v>
      </c>
      <c r="B65" s="182" t="str">
        <f t="shared" ca="1" si="9"/>
        <v>Tổ Hạ tầng Tân Ninh</v>
      </c>
      <c r="C65" s="61" t="str">
        <f t="shared" ca="1" si="2"/>
        <v>Ngô Văn Tâm</v>
      </c>
      <c r="D65" s="183">
        <f t="shared" ca="1" si="3"/>
        <v>917259777</v>
      </c>
      <c r="E65" s="63" t="str">
        <f t="shared" ca="1" si="4"/>
        <v>tamnv.tnh@vnpt.vn</v>
      </c>
      <c r="F65" s="321" t="str">
        <f t="shared" ca="1" si="5"/>
        <v>Lần 11</v>
      </c>
      <c r="G65" s="312">
        <v>46212</v>
      </c>
      <c r="H65" s="133">
        <v>71.8</v>
      </c>
      <c r="I65" s="133">
        <v>30.8</v>
      </c>
      <c r="J65" s="72">
        <v>84.5</v>
      </c>
      <c r="K65" s="72">
        <v>29.1</v>
      </c>
      <c r="L65" s="331"/>
      <c r="M65" s="323">
        <f t="shared" ca="1" si="6"/>
        <v>1</v>
      </c>
      <c r="N65" s="332">
        <f t="shared" ca="1" si="7"/>
        <v>1</v>
      </c>
      <c r="O65" s="68">
        <f t="shared" ca="1" si="8"/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 ht="15.75" customHeight="1">
      <c r="A66" s="59">
        <f t="shared" ca="1" si="1"/>
        <v>60</v>
      </c>
      <c r="B66" s="182" t="str">
        <f t="shared" ca="1" si="9"/>
        <v>Tổ Hạ tầng Tân Ninh</v>
      </c>
      <c r="C66" s="61" t="str">
        <f t="shared" ca="1" si="2"/>
        <v>Ngô Văn Tâm</v>
      </c>
      <c r="D66" s="183">
        <f t="shared" ca="1" si="3"/>
        <v>917259777</v>
      </c>
      <c r="E66" s="63" t="str">
        <f t="shared" ca="1" si="4"/>
        <v>tamnv.tnh@vnpt.vn</v>
      </c>
      <c r="F66" s="321" t="str">
        <f t="shared" ca="1" si="5"/>
        <v>Lần 12</v>
      </c>
      <c r="G66" s="312">
        <v>46212</v>
      </c>
      <c r="H66" s="133">
        <v>86.7</v>
      </c>
      <c r="I66" s="133">
        <v>40.6</v>
      </c>
      <c r="J66" s="72">
        <v>77.7</v>
      </c>
      <c r="K66" s="72">
        <v>42.6</v>
      </c>
      <c r="L66" s="331"/>
      <c r="M66" s="323">
        <f t="shared" ca="1" si="6"/>
        <v>1</v>
      </c>
      <c r="N66" s="332">
        <f t="shared" ca="1" si="7"/>
        <v>1</v>
      </c>
      <c r="O66" s="68">
        <f t="shared" ca="1" si="8"/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 ht="15.75" customHeight="1">
      <c r="A67" s="59">
        <f t="shared" ca="1" si="1"/>
        <v>61</v>
      </c>
      <c r="B67" s="182" t="str">
        <f t="shared" ca="1" si="9"/>
        <v>Tổ Hạ tầng Tân Ninh</v>
      </c>
      <c r="C67" s="61" t="str">
        <f t="shared" ca="1" si="2"/>
        <v>Ngô Văn Tâm</v>
      </c>
      <c r="D67" s="183">
        <f t="shared" ca="1" si="3"/>
        <v>917259777</v>
      </c>
      <c r="E67" s="63" t="str">
        <f t="shared" ca="1" si="4"/>
        <v>tamnv.tnh@vnpt.vn</v>
      </c>
      <c r="F67" s="321" t="str">
        <f t="shared" ca="1" si="5"/>
        <v>Lần 13</v>
      </c>
      <c r="G67" s="312">
        <v>46212</v>
      </c>
      <c r="H67" s="133">
        <v>85.5</v>
      </c>
      <c r="I67" s="133">
        <v>39</v>
      </c>
      <c r="J67" s="72">
        <v>89.7</v>
      </c>
      <c r="K67" s="72">
        <v>40.1</v>
      </c>
      <c r="L67" s="331"/>
      <c r="M67" s="323">
        <f t="shared" ca="1" si="6"/>
        <v>1</v>
      </c>
      <c r="N67" s="332">
        <f t="shared" ca="1" si="7"/>
        <v>1</v>
      </c>
      <c r="O67" s="68">
        <f t="shared" ca="1" si="8"/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15.75" customHeight="1">
      <c r="A68" s="59">
        <f t="shared" ca="1" si="1"/>
        <v>62</v>
      </c>
      <c r="B68" s="182" t="str">
        <f t="shared" ca="1" si="9"/>
        <v>Tổ Hạ tầng Tân Ninh</v>
      </c>
      <c r="C68" s="61" t="str">
        <f t="shared" ca="1" si="2"/>
        <v>Ngô Văn Tâm</v>
      </c>
      <c r="D68" s="183">
        <f t="shared" ca="1" si="3"/>
        <v>917259777</v>
      </c>
      <c r="E68" s="63" t="str">
        <f t="shared" ca="1" si="4"/>
        <v>tamnv.tnh@vnpt.vn</v>
      </c>
      <c r="F68" s="321" t="str">
        <f t="shared" ca="1" si="5"/>
        <v>Lần 14</v>
      </c>
      <c r="G68" s="312">
        <v>46217</v>
      </c>
      <c r="H68" s="133">
        <v>74.400000000000006</v>
      </c>
      <c r="I68" s="133">
        <v>29.9</v>
      </c>
      <c r="J68" s="72">
        <v>95.9</v>
      </c>
      <c r="K68" s="72">
        <v>29.7</v>
      </c>
      <c r="L68" s="331"/>
      <c r="M68" s="323">
        <f t="shared" ca="1" si="6"/>
        <v>1</v>
      </c>
      <c r="N68" s="332">
        <f t="shared" ca="1" si="7"/>
        <v>1</v>
      </c>
      <c r="O68" s="68">
        <f t="shared" ca="1" si="8"/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 ht="15.75" customHeight="1">
      <c r="A69" s="59">
        <f t="shared" ca="1" si="1"/>
        <v>63</v>
      </c>
      <c r="B69" s="182" t="str">
        <f t="shared" ca="1" si="9"/>
        <v>Tổ Hạ tầng Tân Ninh</v>
      </c>
      <c r="C69" s="61" t="str">
        <f t="shared" ca="1" si="2"/>
        <v>Ngô Văn Tâm</v>
      </c>
      <c r="D69" s="183">
        <f t="shared" ca="1" si="3"/>
        <v>917259777</v>
      </c>
      <c r="E69" s="63" t="str">
        <f t="shared" ca="1" si="4"/>
        <v>tamnv.tnh@vnpt.vn</v>
      </c>
      <c r="F69" s="321" t="str">
        <f t="shared" ca="1" si="5"/>
        <v>Lần 15</v>
      </c>
      <c r="G69" s="312">
        <v>46217</v>
      </c>
      <c r="H69" s="133">
        <v>81.8</v>
      </c>
      <c r="I69" s="133">
        <v>30.3</v>
      </c>
      <c r="J69" s="72">
        <v>90.4</v>
      </c>
      <c r="K69" s="72">
        <v>33.4</v>
      </c>
      <c r="L69" s="331"/>
      <c r="M69" s="323">
        <f t="shared" ca="1" si="6"/>
        <v>1</v>
      </c>
      <c r="N69" s="332">
        <f t="shared" ca="1" si="7"/>
        <v>1</v>
      </c>
      <c r="O69" s="68">
        <f t="shared" ca="1" si="8"/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 ht="15.75" customHeight="1">
      <c r="A70" s="59">
        <f t="shared" ca="1" si="1"/>
        <v>64</v>
      </c>
      <c r="B70" s="196" t="str">
        <f t="shared" ca="1" si="9"/>
        <v>Tổ Hạ tầng Tân Ninh</v>
      </c>
      <c r="C70" s="102" t="str">
        <f t="shared" ca="1" si="2"/>
        <v>Ngô Văn Tâm</v>
      </c>
      <c r="D70" s="197">
        <f t="shared" ca="1" si="3"/>
        <v>917259777</v>
      </c>
      <c r="E70" s="104" t="str">
        <f t="shared" ca="1" si="4"/>
        <v>tamnv.tnh@vnpt.vn</v>
      </c>
      <c r="F70" s="335" t="str">
        <f t="shared" ca="1" si="5"/>
        <v>Lần 16</v>
      </c>
      <c r="G70" s="312">
        <v>46217</v>
      </c>
      <c r="H70" s="133">
        <v>71.400000000000006</v>
      </c>
      <c r="I70" s="133">
        <v>39.4</v>
      </c>
      <c r="J70" s="72">
        <v>72</v>
      </c>
      <c r="K70" s="72">
        <v>37.5</v>
      </c>
      <c r="L70" s="347"/>
      <c r="M70" s="337">
        <f t="shared" ca="1" si="6"/>
        <v>1</v>
      </c>
      <c r="N70" s="338">
        <f t="shared" ca="1" si="7"/>
        <v>1</v>
      </c>
      <c r="O70" s="68">
        <f t="shared" ca="1" si="8"/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 ht="15.75" customHeight="1">
      <c r="A71" s="59">
        <f t="shared" ca="1" si="1"/>
        <v>65</v>
      </c>
      <c r="B71" s="204" t="str">
        <f t="shared" ca="1" si="9"/>
        <v>Tổ Hạ tầng Tân Ninh</v>
      </c>
      <c r="C71" s="108" t="str">
        <f t="shared" ca="1" si="2"/>
        <v>Lê Thành Tài</v>
      </c>
      <c r="D71" s="205">
        <f t="shared" ca="1" si="3"/>
        <v>918955485</v>
      </c>
      <c r="E71" s="110" t="str">
        <f t="shared" ca="1" si="4"/>
        <v>lttai.tnh@vnpt.vn</v>
      </c>
      <c r="F71" s="339" t="str">
        <f t="shared" ca="1" si="5"/>
        <v>Lần 1</v>
      </c>
      <c r="G71" s="348">
        <v>46204</v>
      </c>
      <c r="H71" s="71">
        <v>350</v>
      </c>
      <c r="I71" s="71">
        <v>70</v>
      </c>
      <c r="J71" s="349">
        <v>300</v>
      </c>
      <c r="K71" s="349">
        <v>68</v>
      </c>
      <c r="L71" s="350"/>
      <c r="M71" s="341">
        <f t="shared" ca="1" si="6"/>
        <v>1</v>
      </c>
      <c r="N71" s="342">
        <f t="shared" ca="1" si="7"/>
        <v>1</v>
      </c>
      <c r="O71" s="68">
        <f t="shared" ca="1" si="8"/>
        <v>1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 ht="15.75" customHeight="1">
      <c r="A72" s="59">
        <f t="shared" ca="1" si="1"/>
        <v>66</v>
      </c>
      <c r="B72" s="182" t="str">
        <f t="shared" ca="1" si="9"/>
        <v>Tổ Hạ tầng Tân Ninh</v>
      </c>
      <c r="C72" s="61" t="str">
        <f t="shared" ca="1" si="2"/>
        <v>Lê Thành Tài</v>
      </c>
      <c r="D72" s="183">
        <f t="shared" ca="1" si="3"/>
        <v>918955485</v>
      </c>
      <c r="E72" s="63" t="str">
        <f t="shared" ca="1" si="4"/>
        <v>lttai.tnh@vnpt.vn</v>
      </c>
      <c r="F72" s="321" t="str">
        <f t="shared" ca="1" si="5"/>
        <v>Lần 2</v>
      </c>
      <c r="G72" s="348">
        <v>46205</v>
      </c>
      <c r="H72" s="71">
        <v>425</v>
      </c>
      <c r="I72" s="71">
        <v>45</v>
      </c>
      <c r="J72" s="349">
        <v>350</v>
      </c>
      <c r="K72" s="349">
        <v>51</v>
      </c>
      <c r="L72" s="351"/>
      <c r="M72" s="323">
        <f t="shared" ca="1" si="6"/>
        <v>1</v>
      </c>
      <c r="N72" s="324">
        <f t="shared" ca="1" si="7"/>
        <v>1</v>
      </c>
      <c r="O72" s="68">
        <f t="shared" ca="1" si="8"/>
        <v>1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 ht="15.75" customHeight="1">
      <c r="A73" s="59">
        <f t="shared" ca="1" si="1"/>
        <v>67</v>
      </c>
      <c r="B73" s="182" t="str">
        <f t="shared" ca="1" si="9"/>
        <v>Tổ Hạ tầng Tân Ninh</v>
      </c>
      <c r="C73" s="61" t="str">
        <f t="shared" ca="1" si="2"/>
        <v>Lê Thành Tài</v>
      </c>
      <c r="D73" s="183">
        <f t="shared" ca="1" si="3"/>
        <v>918955485</v>
      </c>
      <c r="E73" s="63" t="str">
        <f t="shared" ca="1" si="4"/>
        <v>lttai.tnh@vnpt.vn</v>
      </c>
      <c r="F73" s="321" t="str">
        <f t="shared" ca="1" si="5"/>
        <v>Lần 3</v>
      </c>
      <c r="G73" s="348">
        <v>46206</v>
      </c>
      <c r="H73" s="71">
        <v>650</v>
      </c>
      <c r="I73" s="71">
        <v>70</v>
      </c>
      <c r="J73" s="349">
        <v>500</v>
      </c>
      <c r="K73" s="349">
        <v>65</v>
      </c>
      <c r="L73" s="351"/>
      <c r="M73" s="323">
        <f t="shared" ca="1" si="6"/>
        <v>1</v>
      </c>
      <c r="N73" s="324">
        <f t="shared" ca="1" si="7"/>
        <v>1</v>
      </c>
      <c r="O73" s="68">
        <f t="shared" ca="1" si="8"/>
        <v>1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 ht="15.75" customHeight="1">
      <c r="A74" s="59">
        <f t="shared" ca="1" si="1"/>
        <v>68</v>
      </c>
      <c r="B74" s="182" t="str">
        <f t="shared" ca="1" si="9"/>
        <v>Tổ Hạ tầng Tân Ninh</v>
      </c>
      <c r="C74" s="61" t="str">
        <f t="shared" ca="1" si="2"/>
        <v>Lê Thành Tài</v>
      </c>
      <c r="D74" s="183">
        <f t="shared" ca="1" si="3"/>
        <v>918955485</v>
      </c>
      <c r="E74" s="63" t="str">
        <f t="shared" ca="1" si="4"/>
        <v>lttai.tnh@vnpt.vn</v>
      </c>
      <c r="F74" s="321" t="str">
        <f t="shared" ca="1" si="5"/>
        <v>Lần 4</v>
      </c>
      <c r="G74" s="348">
        <v>46207</v>
      </c>
      <c r="H74" s="75">
        <v>845</v>
      </c>
      <c r="I74" s="75">
        <v>100</v>
      </c>
      <c r="J74" s="349">
        <v>560</v>
      </c>
      <c r="K74" s="349">
        <v>70</v>
      </c>
      <c r="L74" s="351"/>
      <c r="M74" s="323">
        <f t="shared" ca="1" si="6"/>
        <v>1</v>
      </c>
      <c r="N74" s="324">
        <f t="shared" ca="1" si="7"/>
        <v>1</v>
      </c>
      <c r="O74" s="68">
        <f t="shared" ca="1" si="8"/>
        <v>1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 ht="15.75" customHeight="1">
      <c r="A75" s="59">
        <f t="shared" ca="1" si="1"/>
        <v>69</v>
      </c>
      <c r="B75" s="182" t="str">
        <f t="shared" ca="1" si="9"/>
        <v>Tổ Hạ tầng Tân Ninh</v>
      </c>
      <c r="C75" s="61" t="str">
        <f t="shared" ca="1" si="2"/>
        <v>Lê Thành Tài</v>
      </c>
      <c r="D75" s="183">
        <f t="shared" ca="1" si="3"/>
        <v>918955485</v>
      </c>
      <c r="E75" s="63" t="str">
        <f t="shared" ca="1" si="4"/>
        <v>lttai.tnh@vnpt.vn</v>
      </c>
      <c r="F75" s="321" t="str">
        <f t="shared" ca="1" si="5"/>
        <v>Lần 5</v>
      </c>
      <c r="G75" s="348">
        <v>46208</v>
      </c>
      <c r="H75" s="75">
        <v>365</v>
      </c>
      <c r="I75" s="75">
        <v>45</v>
      </c>
      <c r="J75" s="349">
        <v>300</v>
      </c>
      <c r="K75" s="349">
        <v>50</v>
      </c>
      <c r="L75" s="322"/>
      <c r="M75" s="323">
        <f t="shared" ca="1" si="6"/>
        <v>1</v>
      </c>
      <c r="N75" s="324">
        <f t="shared" ca="1" si="7"/>
        <v>1</v>
      </c>
      <c r="O75" s="68">
        <f t="shared" ca="1" si="8"/>
        <v>1</v>
      </c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 ht="15.75" customHeight="1">
      <c r="A76" s="59">
        <f t="shared" ca="1" si="1"/>
        <v>70</v>
      </c>
      <c r="B76" s="182" t="str">
        <f t="shared" ca="1" si="9"/>
        <v>Tổ Hạ tầng Tân Ninh</v>
      </c>
      <c r="C76" s="61" t="str">
        <f t="shared" ca="1" si="2"/>
        <v>Lê Thành Tài</v>
      </c>
      <c r="D76" s="183">
        <f t="shared" ca="1" si="3"/>
        <v>918955485</v>
      </c>
      <c r="E76" s="63" t="str">
        <f t="shared" ca="1" si="4"/>
        <v>lttai.tnh@vnpt.vn</v>
      </c>
      <c r="F76" s="321" t="str">
        <f t="shared" ca="1" si="5"/>
        <v>Lần 6</v>
      </c>
      <c r="G76" s="352"/>
      <c r="H76" s="75"/>
      <c r="I76" s="75"/>
      <c r="J76" s="349"/>
      <c r="K76" s="349"/>
      <c r="L76" s="322"/>
      <c r="M76" s="323">
        <f t="shared" ca="1" si="6"/>
        <v>0</v>
      </c>
      <c r="N76" s="324">
        <f t="shared" ca="1" si="7"/>
        <v>0</v>
      </c>
      <c r="O76" s="68">
        <f t="shared" ca="1" si="8"/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 ht="15.75" customHeight="1">
      <c r="A77" s="59">
        <f t="shared" ca="1" si="1"/>
        <v>71</v>
      </c>
      <c r="B77" s="182" t="str">
        <f t="shared" ca="1" si="9"/>
        <v>Tổ Hạ tầng Tân Ninh</v>
      </c>
      <c r="C77" s="61" t="str">
        <f t="shared" ca="1" si="2"/>
        <v>Lê Thành Tài</v>
      </c>
      <c r="D77" s="183">
        <f t="shared" ca="1" si="3"/>
        <v>918955485</v>
      </c>
      <c r="E77" s="63" t="str">
        <f t="shared" ca="1" si="4"/>
        <v>lttai.tnh@vnpt.vn</v>
      </c>
      <c r="F77" s="321" t="str">
        <f t="shared" ca="1" si="5"/>
        <v>Lần 7</v>
      </c>
      <c r="G77" s="348"/>
      <c r="H77" s="75"/>
      <c r="I77" s="75"/>
      <c r="J77" s="349"/>
      <c r="K77" s="349"/>
      <c r="L77" s="322"/>
      <c r="M77" s="323">
        <f t="shared" ca="1" si="6"/>
        <v>0</v>
      </c>
      <c r="N77" s="324">
        <f t="shared" ca="1" si="7"/>
        <v>0</v>
      </c>
      <c r="O77" s="68">
        <f t="shared" ca="1" si="8"/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 ht="15.75" customHeight="1">
      <c r="A78" s="59">
        <f t="shared" ca="1" si="1"/>
        <v>72</v>
      </c>
      <c r="B78" s="182" t="str">
        <f t="shared" ca="1" si="9"/>
        <v>Tổ Hạ tầng Tân Ninh</v>
      </c>
      <c r="C78" s="61" t="str">
        <f t="shared" ca="1" si="2"/>
        <v>Lê Thành Tài</v>
      </c>
      <c r="D78" s="183">
        <f t="shared" ca="1" si="3"/>
        <v>918955485</v>
      </c>
      <c r="E78" s="63" t="str">
        <f t="shared" ca="1" si="4"/>
        <v>lttai.tnh@vnpt.vn</v>
      </c>
      <c r="F78" s="321" t="str">
        <f t="shared" ca="1" si="5"/>
        <v>Lần 8</v>
      </c>
      <c r="G78" s="352"/>
      <c r="H78" s="75"/>
      <c r="I78" s="75"/>
      <c r="J78" s="349"/>
      <c r="K78" s="349"/>
      <c r="L78" s="322"/>
      <c r="M78" s="323">
        <f t="shared" ca="1" si="6"/>
        <v>0</v>
      </c>
      <c r="N78" s="324">
        <f t="shared" ca="1" si="7"/>
        <v>0</v>
      </c>
      <c r="O78" s="68">
        <f t="shared" ca="1" si="8"/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 ht="15.75" customHeight="1">
      <c r="A79" s="59">
        <f t="shared" ca="1" si="1"/>
        <v>73</v>
      </c>
      <c r="B79" s="182" t="str">
        <f t="shared" ca="1" si="9"/>
        <v>Tổ Hạ tầng Tân Ninh</v>
      </c>
      <c r="C79" s="61" t="str">
        <f t="shared" ca="1" si="2"/>
        <v>Lê Thành Tài</v>
      </c>
      <c r="D79" s="183">
        <f t="shared" ca="1" si="3"/>
        <v>918955485</v>
      </c>
      <c r="E79" s="63" t="str">
        <f t="shared" ca="1" si="4"/>
        <v>lttai.tnh@vnpt.vn</v>
      </c>
      <c r="F79" s="321" t="str">
        <f t="shared" ca="1" si="5"/>
        <v>Lần 9</v>
      </c>
      <c r="G79" s="352"/>
      <c r="H79" s="75"/>
      <c r="I79" s="75"/>
      <c r="J79" s="349"/>
      <c r="K79" s="349"/>
      <c r="L79" s="322"/>
      <c r="M79" s="323">
        <f t="shared" ca="1" si="6"/>
        <v>0</v>
      </c>
      <c r="N79" s="324">
        <f t="shared" ca="1" si="7"/>
        <v>0</v>
      </c>
      <c r="O79" s="68">
        <f t="shared" ca="1" si="8"/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 ht="15.75" customHeight="1">
      <c r="A80" s="59">
        <f t="shared" ca="1" si="1"/>
        <v>74</v>
      </c>
      <c r="B80" s="182" t="str">
        <f t="shared" ca="1" si="9"/>
        <v>Tổ Hạ tầng Tân Ninh</v>
      </c>
      <c r="C80" s="61" t="str">
        <f t="shared" ca="1" si="2"/>
        <v>Lê Thành Tài</v>
      </c>
      <c r="D80" s="183">
        <f t="shared" ca="1" si="3"/>
        <v>918955485</v>
      </c>
      <c r="E80" s="63" t="str">
        <f t="shared" ca="1" si="4"/>
        <v>lttai.tnh@vnpt.vn</v>
      </c>
      <c r="F80" s="321" t="str">
        <f t="shared" ca="1" si="5"/>
        <v>Lần 10</v>
      </c>
      <c r="G80" s="352"/>
      <c r="H80" s="75"/>
      <c r="I80" s="75"/>
      <c r="J80" s="349"/>
      <c r="K80" s="349"/>
      <c r="L80" s="322"/>
      <c r="M80" s="323">
        <f t="shared" ca="1" si="6"/>
        <v>0</v>
      </c>
      <c r="N80" s="324">
        <f t="shared" ca="1" si="7"/>
        <v>0</v>
      </c>
      <c r="O80" s="68">
        <f t="shared" ca="1" si="8"/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 ht="15.75" customHeight="1">
      <c r="A81" s="59">
        <f t="shared" ca="1" si="1"/>
        <v>75</v>
      </c>
      <c r="B81" s="182" t="str">
        <f t="shared" ca="1" si="9"/>
        <v>Tổ Hạ tầng Tân Ninh</v>
      </c>
      <c r="C81" s="61" t="str">
        <f t="shared" ca="1" si="2"/>
        <v>Lê Thành Tài</v>
      </c>
      <c r="D81" s="183">
        <f t="shared" ca="1" si="3"/>
        <v>918955485</v>
      </c>
      <c r="E81" s="63" t="str">
        <f t="shared" ca="1" si="4"/>
        <v>lttai.tnh@vnpt.vn</v>
      </c>
      <c r="F81" s="321" t="str">
        <f t="shared" ca="1" si="5"/>
        <v>Lần 11</v>
      </c>
      <c r="G81" s="348"/>
      <c r="H81" s="75"/>
      <c r="I81" s="75"/>
      <c r="J81" s="349"/>
      <c r="K81" s="349"/>
      <c r="L81" s="322"/>
      <c r="M81" s="323">
        <f t="shared" ca="1" si="6"/>
        <v>0</v>
      </c>
      <c r="N81" s="324">
        <f t="shared" ca="1" si="7"/>
        <v>0</v>
      </c>
      <c r="O81" s="68">
        <f t="shared" ca="1" si="8"/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 ht="15.75" customHeight="1">
      <c r="A82" s="59">
        <f t="shared" ca="1" si="1"/>
        <v>76</v>
      </c>
      <c r="B82" s="182" t="str">
        <f t="shared" ca="1" si="9"/>
        <v>Tổ Hạ tầng Tân Ninh</v>
      </c>
      <c r="C82" s="61" t="str">
        <f t="shared" ca="1" si="2"/>
        <v>Lê Thành Tài</v>
      </c>
      <c r="D82" s="183">
        <f t="shared" ca="1" si="3"/>
        <v>918955485</v>
      </c>
      <c r="E82" s="63" t="str">
        <f t="shared" ca="1" si="4"/>
        <v>lttai.tnh@vnpt.vn</v>
      </c>
      <c r="F82" s="321" t="str">
        <f t="shared" ca="1" si="5"/>
        <v>Lần 12</v>
      </c>
      <c r="G82" s="352"/>
      <c r="H82" s="75"/>
      <c r="I82" s="75"/>
      <c r="J82" s="349"/>
      <c r="K82" s="349"/>
      <c r="L82" s="322"/>
      <c r="M82" s="323">
        <f t="shared" ca="1" si="6"/>
        <v>0</v>
      </c>
      <c r="N82" s="324">
        <f t="shared" ca="1" si="7"/>
        <v>0</v>
      </c>
      <c r="O82" s="68">
        <f t="shared" ca="1" si="8"/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 ht="15.75" customHeight="1">
      <c r="A83" s="59">
        <f t="shared" ca="1" si="1"/>
        <v>77</v>
      </c>
      <c r="B83" s="182" t="str">
        <f t="shared" ca="1" si="9"/>
        <v>Tổ Hạ tầng Tân Ninh</v>
      </c>
      <c r="C83" s="61" t="str">
        <f t="shared" ca="1" si="2"/>
        <v>Lê Thành Tài</v>
      </c>
      <c r="D83" s="183">
        <f t="shared" ca="1" si="3"/>
        <v>918955485</v>
      </c>
      <c r="E83" s="63" t="str">
        <f t="shared" ca="1" si="4"/>
        <v>lttai.tnh@vnpt.vn</v>
      </c>
      <c r="F83" s="321" t="str">
        <f t="shared" ca="1" si="5"/>
        <v>Lần 13</v>
      </c>
      <c r="G83" s="352"/>
      <c r="H83" s="75"/>
      <c r="I83" s="75"/>
      <c r="J83" s="349"/>
      <c r="K83" s="349"/>
      <c r="L83" s="322"/>
      <c r="M83" s="323">
        <f t="shared" ca="1" si="6"/>
        <v>0</v>
      </c>
      <c r="N83" s="324">
        <f t="shared" ca="1" si="7"/>
        <v>0</v>
      </c>
      <c r="O83" s="68">
        <f t="shared" ca="1" si="8"/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 ht="15.75" customHeight="1">
      <c r="A84" s="59">
        <f t="shared" ca="1" si="1"/>
        <v>78</v>
      </c>
      <c r="B84" s="182" t="str">
        <f t="shared" ca="1" si="9"/>
        <v>Tổ Hạ tầng Tân Ninh</v>
      </c>
      <c r="C84" s="61" t="str">
        <f t="shared" ca="1" si="2"/>
        <v>Lê Thành Tài</v>
      </c>
      <c r="D84" s="183">
        <f t="shared" ca="1" si="3"/>
        <v>918955485</v>
      </c>
      <c r="E84" s="63" t="str">
        <f t="shared" ca="1" si="4"/>
        <v>lttai.tnh@vnpt.vn</v>
      </c>
      <c r="F84" s="321" t="str">
        <f t="shared" ca="1" si="5"/>
        <v>Lần 14</v>
      </c>
      <c r="G84" s="348"/>
      <c r="H84" s="75"/>
      <c r="I84" s="75"/>
      <c r="J84" s="349"/>
      <c r="K84" s="349"/>
      <c r="L84" s="322"/>
      <c r="M84" s="323">
        <f t="shared" ca="1" si="6"/>
        <v>0</v>
      </c>
      <c r="N84" s="324">
        <f t="shared" ca="1" si="7"/>
        <v>0</v>
      </c>
      <c r="O84" s="68">
        <f t="shared" ca="1" si="8"/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 ht="15.75" customHeight="1">
      <c r="A85" s="59">
        <f t="shared" ca="1" si="1"/>
        <v>79</v>
      </c>
      <c r="B85" s="182" t="str">
        <f t="shared" ca="1" si="9"/>
        <v>Tổ Hạ tầng Tân Ninh</v>
      </c>
      <c r="C85" s="61" t="str">
        <f t="shared" ca="1" si="2"/>
        <v>Lê Thành Tài</v>
      </c>
      <c r="D85" s="183">
        <f t="shared" ca="1" si="3"/>
        <v>918955485</v>
      </c>
      <c r="E85" s="63" t="str">
        <f t="shared" ca="1" si="4"/>
        <v>lttai.tnh@vnpt.vn</v>
      </c>
      <c r="F85" s="321" t="str">
        <f t="shared" ca="1" si="5"/>
        <v>Lần 15</v>
      </c>
      <c r="G85" s="348"/>
      <c r="H85" s="75"/>
      <c r="I85" s="75"/>
      <c r="J85" s="349"/>
      <c r="K85" s="349"/>
      <c r="L85" s="322"/>
      <c r="M85" s="323">
        <f t="shared" ca="1" si="6"/>
        <v>0</v>
      </c>
      <c r="N85" s="324">
        <f t="shared" ca="1" si="7"/>
        <v>0</v>
      </c>
      <c r="O85" s="68">
        <f t="shared" ca="1" si="8"/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 ht="15.75" customHeight="1">
      <c r="A86" s="59">
        <f t="shared" ca="1" si="1"/>
        <v>80</v>
      </c>
      <c r="B86" s="185" t="str">
        <f t="shared" ca="1" si="9"/>
        <v>Tổ Hạ tầng Tân Ninh</v>
      </c>
      <c r="C86" s="82" t="str">
        <f t="shared" ca="1" si="2"/>
        <v>Lê Thành Tài</v>
      </c>
      <c r="D86" s="186">
        <f t="shared" ca="1" si="3"/>
        <v>918955485</v>
      </c>
      <c r="E86" s="84" t="str">
        <f t="shared" ca="1" si="4"/>
        <v>lttai.tnh@vnpt.vn</v>
      </c>
      <c r="F86" s="325" t="str">
        <f t="shared" ca="1" si="5"/>
        <v>Lần 16</v>
      </c>
      <c r="G86" s="348"/>
      <c r="H86" s="75"/>
      <c r="I86" s="75"/>
      <c r="J86" s="349"/>
      <c r="K86" s="349"/>
      <c r="L86" s="326"/>
      <c r="M86" s="327">
        <f t="shared" ca="1" si="6"/>
        <v>0</v>
      </c>
      <c r="N86" s="328">
        <f t="shared" ca="1" si="7"/>
        <v>0</v>
      </c>
      <c r="O86" s="68">
        <f t="shared" ca="1" si="8"/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 ht="15.75" customHeight="1">
      <c r="A87" s="59">
        <f t="shared" ca="1" si="1"/>
        <v>81</v>
      </c>
      <c r="B87" s="190" t="str">
        <f t="shared" ca="1" si="9"/>
        <v>Tổ Hạ tầng Tân Ninh</v>
      </c>
      <c r="C87" s="48" t="str">
        <f t="shared" ca="1" si="2"/>
        <v>Nguyễn Tấn Đạt</v>
      </c>
      <c r="D87" s="191">
        <f t="shared" ca="1" si="3"/>
        <v>913602796</v>
      </c>
      <c r="E87" s="50" t="str">
        <f t="shared" ca="1" si="4"/>
        <v>datnt.tnh@vnpt.vn</v>
      </c>
      <c r="F87" s="318" t="str">
        <f t="shared" ca="1" si="5"/>
        <v>Lần 1</v>
      </c>
      <c r="G87" s="112"/>
      <c r="H87" s="121"/>
      <c r="I87" s="121"/>
      <c r="J87" s="121"/>
      <c r="K87" s="121"/>
      <c r="L87" s="353"/>
      <c r="M87" s="329">
        <f t="shared" ca="1" si="6"/>
        <v>0</v>
      </c>
      <c r="N87" s="330">
        <f t="shared" ca="1" si="7"/>
        <v>0</v>
      </c>
      <c r="O87" s="68">
        <f t="shared" ca="1" si="8"/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 ht="15.75" customHeight="1">
      <c r="A88" s="59">
        <f t="shared" ca="1" si="1"/>
        <v>82</v>
      </c>
      <c r="B88" s="182" t="str">
        <f t="shared" ca="1" si="9"/>
        <v>Tổ Hạ tầng Tân Ninh</v>
      </c>
      <c r="C88" s="61" t="str">
        <f t="shared" ca="1" si="2"/>
        <v>Nguyễn Tấn Đạt</v>
      </c>
      <c r="D88" s="183">
        <f t="shared" ca="1" si="3"/>
        <v>913602796</v>
      </c>
      <c r="E88" s="63" t="str">
        <f t="shared" ca="1" si="4"/>
        <v>datnt.tnh@vnpt.vn</v>
      </c>
      <c r="F88" s="321" t="str">
        <f t="shared" ca="1" si="5"/>
        <v>Lần 2</v>
      </c>
      <c r="G88" s="112"/>
      <c r="H88" s="121"/>
      <c r="I88" s="121"/>
      <c r="J88" s="121"/>
      <c r="K88" s="121"/>
      <c r="L88" s="333"/>
      <c r="M88" s="323">
        <f t="shared" ca="1" si="6"/>
        <v>0</v>
      </c>
      <c r="N88" s="332">
        <f t="shared" ca="1" si="7"/>
        <v>0</v>
      </c>
      <c r="O88" s="68">
        <f t="shared" ca="1" si="8"/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 ht="15.75" customHeight="1">
      <c r="A89" s="59">
        <f t="shared" ca="1" si="1"/>
        <v>83</v>
      </c>
      <c r="B89" s="182" t="str">
        <f t="shared" ca="1" si="9"/>
        <v>Tổ Hạ tầng Tân Ninh</v>
      </c>
      <c r="C89" s="61" t="str">
        <f t="shared" ca="1" si="2"/>
        <v>Nguyễn Tấn Đạt</v>
      </c>
      <c r="D89" s="183">
        <f t="shared" ca="1" si="3"/>
        <v>913602796</v>
      </c>
      <c r="E89" s="63" t="str">
        <f t="shared" ca="1" si="4"/>
        <v>datnt.tnh@vnpt.vn</v>
      </c>
      <c r="F89" s="321" t="str">
        <f t="shared" ca="1" si="5"/>
        <v>Lần 3</v>
      </c>
      <c r="G89" s="112"/>
      <c r="H89" s="121"/>
      <c r="I89" s="121"/>
      <c r="J89" s="121"/>
      <c r="K89" s="121"/>
      <c r="L89" s="333"/>
      <c r="M89" s="323">
        <f t="shared" ca="1" si="6"/>
        <v>0</v>
      </c>
      <c r="N89" s="332">
        <f t="shared" ca="1" si="7"/>
        <v>0</v>
      </c>
      <c r="O89" s="68">
        <f t="shared" ca="1" si="8"/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 ht="15.75" customHeight="1">
      <c r="A90" s="59">
        <f t="shared" ca="1" si="1"/>
        <v>84</v>
      </c>
      <c r="B90" s="182" t="str">
        <f t="shared" ca="1" si="9"/>
        <v>Tổ Hạ tầng Tân Ninh</v>
      </c>
      <c r="C90" s="61" t="str">
        <f t="shared" ca="1" si="2"/>
        <v>Nguyễn Tấn Đạt</v>
      </c>
      <c r="D90" s="183">
        <f t="shared" ca="1" si="3"/>
        <v>913602796</v>
      </c>
      <c r="E90" s="63" t="str">
        <f t="shared" ca="1" si="4"/>
        <v>datnt.tnh@vnpt.vn</v>
      </c>
      <c r="F90" s="321" t="str">
        <f t="shared" ca="1" si="5"/>
        <v>Lần 4</v>
      </c>
      <c r="G90" s="112"/>
      <c r="H90" s="121"/>
      <c r="I90" s="121"/>
      <c r="J90" s="121"/>
      <c r="K90" s="121"/>
      <c r="L90" s="331"/>
      <c r="M90" s="323">
        <f t="shared" ca="1" si="6"/>
        <v>0</v>
      </c>
      <c r="N90" s="332">
        <f t="shared" ca="1" si="7"/>
        <v>0</v>
      </c>
      <c r="O90" s="68">
        <f t="shared" ca="1" si="8"/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 ht="15.75" customHeight="1">
      <c r="A91" s="59">
        <f t="shared" ca="1" si="1"/>
        <v>85</v>
      </c>
      <c r="B91" s="182" t="str">
        <f t="shared" ca="1" si="9"/>
        <v>Tổ Hạ tầng Tân Ninh</v>
      </c>
      <c r="C91" s="61" t="str">
        <f t="shared" ca="1" si="2"/>
        <v>Nguyễn Tấn Đạt</v>
      </c>
      <c r="D91" s="183">
        <f t="shared" ca="1" si="3"/>
        <v>913602796</v>
      </c>
      <c r="E91" s="63" t="str">
        <f t="shared" ca="1" si="4"/>
        <v>datnt.tnh@vnpt.vn</v>
      </c>
      <c r="F91" s="321" t="str">
        <f t="shared" ca="1" si="5"/>
        <v>Lần 5</v>
      </c>
      <c r="G91" s="112"/>
      <c r="H91" s="122"/>
      <c r="I91" s="122"/>
      <c r="J91" s="122"/>
      <c r="K91" s="122"/>
      <c r="L91" s="331"/>
      <c r="M91" s="323">
        <f t="shared" ca="1" si="6"/>
        <v>0</v>
      </c>
      <c r="N91" s="332">
        <f t="shared" ca="1" si="7"/>
        <v>0</v>
      </c>
      <c r="O91" s="68">
        <f t="shared" ca="1" si="8"/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 ht="15.75" customHeight="1">
      <c r="A92" s="59">
        <f t="shared" ca="1" si="1"/>
        <v>86</v>
      </c>
      <c r="B92" s="182" t="str">
        <f t="shared" ca="1" si="9"/>
        <v>Tổ Hạ tầng Tân Ninh</v>
      </c>
      <c r="C92" s="61" t="str">
        <f t="shared" ca="1" si="2"/>
        <v>Nguyễn Tấn Đạt</v>
      </c>
      <c r="D92" s="183">
        <f t="shared" ca="1" si="3"/>
        <v>913602796</v>
      </c>
      <c r="E92" s="63" t="str">
        <f t="shared" ca="1" si="4"/>
        <v>datnt.tnh@vnpt.vn</v>
      </c>
      <c r="F92" s="321" t="str">
        <f t="shared" ca="1" si="5"/>
        <v>Lần 6</v>
      </c>
      <c r="G92" s="112"/>
      <c r="H92" s="122"/>
      <c r="I92" s="122"/>
      <c r="J92" s="122"/>
      <c r="K92" s="122"/>
      <c r="L92" s="331"/>
      <c r="M92" s="323">
        <f t="shared" ca="1" si="6"/>
        <v>0</v>
      </c>
      <c r="N92" s="332">
        <f t="shared" ca="1" si="7"/>
        <v>0</v>
      </c>
      <c r="O92" s="68">
        <f t="shared" ca="1" si="8"/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 ht="15.75" customHeight="1">
      <c r="A93" s="59">
        <f t="shared" ca="1" si="1"/>
        <v>87</v>
      </c>
      <c r="B93" s="182" t="str">
        <f t="shared" ca="1" si="9"/>
        <v>Tổ Hạ tầng Tân Ninh</v>
      </c>
      <c r="C93" s="61" t="str">
        <f t="shared" ca="1" si="2"/>
        <v>Nguyễn Tấn Đạt</v>
      </c>
      <c r="D93" s="183">
        <f t="shared" ca="1" si="3"/>
        <v>913602796</v>
      </c>
      <c r="E93" s="63" t="str">
        <f t="shared" ca="1" si="4"/>
        <v>datnt.tnh@vnpt.vn</v>
      </c>
      <c r="F93" s="321" t="str">
        <f t="shared" ca="1" si="5"/>
        <v>Lần 7</v>
      </c>
      <c r="G93" s="112"/>
      <c r="H93" s="122"/>
      <c r="I93" s="122"/>
      <c r="J93" s="122"/>
      <c r="K93" s="122"/>
      <c r="L93" s="331"/>
      <c r="M93" s="323">
        <f t="shared" ca="1" si="6"/>
        <v>0</v>
      </c>
      <c r="N93" s="332">
        <f t="shared" ca="1" si="7"/>
        <v>0</v>
      </c>
      <c r="O93" s="68">
        <f t="shared" ca="1" si="8"/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 ht="15.75" customHeight="1">
      <c r="A94" s="59">
        <f t="shared" ca="1" si="1"/>
        <v>88</v>
      </c>
      <c r="B94" s="182" t="str">
        <f t="shared" ca="1" si="9"/>
        <v>Tổ Hạ tầng Tân Ninh</v>
      </c>
      <c r="C94" s="61" t="str">
        <f t="shared" ca="1" si="2"/>
        <v>Nguyễn Tấn Đạt</v>
      </c>
      <c r="D94" s="183">
        <f t="shared" ca="1" si="3"/>
        <v>913602796</v>
      </c>
      <c r="E94" s="63" t="str">
        <f t="shared" ca="1" si="4"/>
        <v>datnt.tnh@vnpt.vn</v>
      </c>
      <c r="F94" s="321" t="str">
        <f t="shared" ca="1" si="5"/>
        <v>Lần 8</v>
      </c>
      <c r="G94" s="112"/>
      <c r="H94" s="122"/>
      <c r="I94" s="122"/>
      <c r="J94" s="122"/>
      <c r="K94" s="122"/>
      <c r="L94" s="331"/>
      <c r="M94" s="323">
        <f t="shared" ca="1" si="6"/>
        <v>0</v>
      </c>
      <c r="N94" s="332">
        <f t="shared" ca="1" si="7"/>
        <v>0</v>
      </c>
      <c r="O94" s="68">
        <f t="shared" ca="1" si="8"/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 ht="15.75" customHeight="1">
      <c r="A95" s="59">
        <f t="shared" ca="1" si="1"/>
        <v>89</v>
      </c>
      <c r="B95" s="182" t="str">
        <f t="shared" ca="1" si="9"/>
        <v>Tổ Hạ tầng Tân Ninh</v>
      </c>
      <c r="C95" s="61" t="str">
        <f t="shared" ca="1" si="2"/>
        <v>Nguyễn Tấn Đạt</v>
      </c>
      <c r="D95" s="183">
        <f t="shared" ca="1" si="3"/>
        <v>913602796</v>
      </c>
      <c r="E95" s="63" t="str">
        <f t="shared" ca="1" si="4"/>
        <v>datnt.tnh@vnpt.vn</v>
      </c>
      <c r="F95" s="321" t="str">
        <f t="shared" ca="1" si="5"/>
        <v>Lần 9</v>
      </c>
      <c r="G95" s="112"/>
      <c r="H95" s="122"/>
      <c r="I95" s="122"/>
      <c r="J95" s="122"/>
      <c r="K95" s="122"/>
      <c r="L95" s="331"/>
      <c r="M95" s="323">
        <f t="shared" ca="1" si="6"/>
        <v>0</v>
      </c>
      <c r="N95" s="332">
        <f t="shared" ca="1" si="7"/>
        <v>0</v>
      </c>
      <c r="O95" s="68">
        <f t="shared" ca="1" si="8"/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 ht="15.75" customHeight="1">
      <c r="A96" s="59">
        <f t="shared" ca="1" si="1"/>
        <v>90</v>
      </c>
      <c r="B96" s="182" t="str">
        <f t="shared" ca="1" si="9"/>
        <v>Tổ Hạ tầng Tân Ninh</v>
      </c>
      <c r="C96" s="61" t="str">
        <f t="shared" ca="1" si="2"/>
        <v>Nguyễn Tấn Đạt</v>
      </c>
      <c r="D96" s="183">
        <f t="shared" ca="1" si="3"/>
        <v>913602796</v>
      </c>
      <c r="E96" s="63" t="str">
        <f t="shared" ca="1" si="4"/>
        <v>datnt.tnh@vnpt.vn</v>
      </c>
      <c r="F96" s="321" t="str">
        <f t="shared" ca="1" si="5"/>
        <v>Lần 10</v>
      </c>
      <c r="G96" s="112"/>
      <c r="H96" s="122"/>
      <c r="I96" s="122"/>
      <c r="J96" s="122"/>
      <c r="K96" s="122"/>
      <c r="L96" s="331"/>
      <c r="M96" s="323">
        <f t="shared" ca="1" si="6"/>
        <v>0</v>
      </c>
      <c r="N96" s="332">
        <f t="shared" ca="1" si="7"/>
        <v>0</v>
      </c>
      <c r="O96" s="68">
        <f t="shared" ca="1" si="8"/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 ht="15.75" customHeight="1">
      <c r="A97" s="59">
        <f t="shared" ca="1" si="1"/>
        <v>91</v>
      </c>
      <c r="B97" s="182" t="str">
        <f t="shared" ca="1" si="9"/>
        <v>Tổ Hạ tầng Tân Ninh</v>
      </c>
      <c r="C97" s="61" t="str">
        <f t="shared" ca="1" si="2"/>
        <v>Nguyễn Tấn Đạt</v>
      </c>
      <c r="D97" s="183">
        <f t="shared" ca="1" si="3"/>
        <v>913602796</v>
      </c>
      <c r="E97" s="63" t="str">
        <f t="shared" ca="1" si="4"/>
        <v>datnt.tnh@vnpt.vn</v>
      </c>
      <c r="F97" s="321" t="str">
        <f t="shared" ca="1" si="5"/>
        <v>Lần 11</v>
      </c>
      <c r="G97" s="313"/>
      <c r="H97" s="122"/>
      <c r="I97" s="122"/>
      <c r="J97" s="122"/>
      <c r="K97" s="122"/>
      <c r="L97" s="331"/>
      <c r="M97" s="323">
        <f t="shared" ca="1" si="6"/>
        <v>0</v>
      </c>
      <c r="N97" s="332">
        <f t="shared" ca="1" si="7"/>
        <v>0</v>
      </c>
      <c r="O97" s="68">
        <f t="shared" ca="1" si="8"/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 ht="15.75" customHeight="1">
      <c r="A98" s="59">
        <f t="shared" ca="1" si="1"/>
        <v>92</v>
      </c>
      <c r="B98" s="182" t="str">
        <f t="shared" ca="1" si="9"/>
        <v>Tổ Hạ tầng Tân Ninh</v>
      </c>
      <c r="C98" s="61" t="str">
        <f t="shared" ca="1" si="2"/>
        <v>Nguyễn Tấn Đạt</v>
      </c>
      <c r="D98" s="183">
        <f t="shared" ca="1" si="3"/>
        <v>913602796</v>
      </c>
      <c r="E98" s="63" t="str">
        <f t="shared" ca="1" si="4"/>
        <v>datnt.tnh@vnpt.vn</v>
      </c>
      <c r="F98" s="321" t="str">
        <f t="shared" ca="1" si="5"/>
        <v>Lần 12</v>
      </c>
      <c r="G98" s="313"/>
      <c r="H98" s="122"/>
      <c r="I98" s="122"/>
      <c r="J98" s="122"/>
      <c r="K98" s="122"/>
      <c r="L98" s="333"/>
      <c r="M98" s="323">
        <f t="shared" ca="1" si="6"/>
        <v>0</v>
      </c>
      <c r="N98" s="332">
        <f t="shared" ca="1" si="7"/>
        <v>0</v>
      </c>
      <c r="O98" s="68">
        <f t="shared" ca="1" si="8"/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 ht="15.75" customHeight="1">
      <c r="A99" s="59">
        <f t="shared" ca="1" si="1"/>
        <v>93</v>
      </c>
      <c r="B99" s="182" t="str">
        <f t="shared" ca="1" si="9"/>
        <v>Tổ Hạ tầng Tân Ninh</v>
      </c>
      <c r="C99" s="61" t="str">
        <f t="shared" ca="1" si="2"/>
        <v>Nguyễn Tấn Đạt</v>
      </c>
      <c r="D99" s="183">
        <f t="shared" ca="1" si="3"/>
        <v>913602796</v>
      </c>
      <c r="E99" s="63" t="str">
        <f t="shared" ca="1" si="4"/>
        <v>datnt.tnh@vnpt.vn</v>
      </c>
      <c r="F99" s="321" t="str">
        <f t="shared" ca="1" si="5"/>
        <v>Lần 13</v>
      </c>
      <c r="G99" s="313"/>
      <c r="H99" s="122"/>
      <c r="I99" s="122"/>
      <c r="J99" s="122"/>
      <c r="K99" s="122"/>
      <c r="L99" s="333"/>
      <c r="M99" s="323">
        <f t="shared" ca="1" si="6"/>
        <v>0</v>
      </c>
      <c r="N99" s="332">
        <f t="shared" ca="1" si="7"/>
        <v>0</v>
      </c>
      <c r="O99" s="68">
        <f t="shared" ca="1" si="8"/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 ht="15.75" customHeight="1">
      <c r="A100" s="59">
        <f t="shared" ca="1" si="1"/>
        <v>94</v>
      </c>
      <c r="B100" s="182" t="str">
        <f t="shared" ca="1" si="9"/>
        <v>Tổ Hạ tầng Tân Ninh</v>
      </c>
      <c r="C100" s="61" t="str">
        <f t="shared" ca="1" si="2"/>
        <v>Nguyễn Tấn Đạt</v>
      </c>
      <c r="D100" s="183">
        <f t="shared" ca="1" si="3"/>
        <v>913602796</v>
      </c>
      <c r="E100" s="63" t="str">
        <f t="shared" ca="1" si="4"/>
        <v>datnt.tnh@vnpt.vn</v>
      </c>
      <c r="F100" s="321" t="str">
        <f t="shared" ca="1" si="5"/>
        <v>Lần 14</v>
      </c>
      <c r="G100" s="313"/>
      <c r="H100" s="122"/>
      <c r="I100" s="122"/>
      <c r="J100" s="122"/>
      <c r="K100" s="122"/>
      <c r="L100" s="333"/>
      <c r="M100" s="323">
        <f t="shared" ca="1" si="6"/>
        <v>0</v>
      </c>
      <c r="N100" s="332">
        <f t="shared" ca="1" si="7"/>
        <v>0</v>
      </c>
      <c r="O100" s="68">
        <f t="shared" ca="1" si="8"/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 ht="15.75" customHeight="1">
      <c r="A101" s="59">
        <f t="shared" ca="1" si="1"/>
        <v>95</v>
      </c>
      <c r="B101" s="182" t="str">
        <f t="shared" ca="1" si="9"/>
        <v>Tổ Hạ tầng Tân Ninh</v>
      </c>
      <c r="C101" s="61" t="str">
        <f t="shared" ca="1" si="2"/>
        <v>Nguyễn Tấn Đạt</v>
      </c>
      <c r="D101" s="183">
        <f t="shared" ca="1" si="3"/>
        <v>913602796</v>
      </c>
      <c r="E101" s="63" t="str">
        <f t="shared" ca="1" si="4"/>
        <v>datnt.tnh@vnpt.vn</v>
      </c>
      <c r="F101" s="321" t="str">
        <f t="shared" ca="1" si="5"/>
        <v>Lần 15</v>
      </c>
      <c r="G101" s="313"/>
      <c r="H101" s="122"/>
      <c r="I101" s="122"/>
      <c r="J101" s="122"/>
      <c r="K101" s="122"/>
      <c r="L101" s="333"/>
      <c r="M101" s="323">
        <f t="shared" ca="1" si="6"/>
        <v>0</v>
      </c>
      <c r="N101" s="332">
        <f t="shared" ca="1" si="7"/>
        <v>0</v>
      </c>
      <c r="O101" s="68">
        <f t="shared" ca="1" si="8"/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 ht="15.75" customHeight="1">
      <c r="A102" s="59">
        <f t="shared" ca="1" si="1"/>
        <v>96</v>
      </c>
      <c r="B102" s="196" t="str">
        <f t="shared" ca="1" si="9"/>
        <v>Tổ Hạ tầng Tân Ninh</v>
      </c>
      <c r="C102" s="102" t="str">
        <f t="shared" ca="1" si="2"/>
        <v>Nguyễn Tấn Đạt</v>
      </c>
      <c r="D102" s="197">
        <f t="shared" ca="1" si="3"/>
        <v>913602796</v>
      </c>
      <c r="E102" s="104" t="str">
        <f t="shared" ca="1" si="4"/>
        <v>datnt.tnh@vnpt.vn</v>
      </c>
      <c r="F102" s="335" t="str">
        <f t="shared" ca="1" si="5"/>
        <v>Lần 16</v>
      </c>
      <c r="G102" s="313"/>
      <c r="H102" s="122"/>
      <c r="I102" s="122"/>
      <c r="J102" s="122"/>
      <c r="K102" s="122"/>
      <c r="L102" s="354"/>
      <c r="M102" s="337">
        <f t="shared" ca="1" si="6"/>
        <v>0</v>
      </c>
      <c r="N102" s="338">
        <f t="shared" ca="1" si="7"/>
        <v>0</v>
      </c>
      <c r="O102" s="68">
        <f t="shared" ca="1" si="8"/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 ht="15.75" customHeight="1">
      <c r="A103" s="59">
        <f t="shared" ca="1" si="1"/>
        <v>97</v>
      </c>
      <c r="B103" s="204" t="str">
        <f t="shared" ca="1" si="9"/>
        <v>Tổ Hạ tầng Tân Ninh</v>
      </c>
      <c r="C103" s="108" t="str">
        <f t="shared" ca="1" si="2"/>
        <v>Huỳnh Hạo Thiên</v>
      </c>
      <c r="D103" s="205">
        <f t="shared" ca="1" si="3"/>
        <v>943905906</v>
      </c>
      <c r="E103" s="110" t="str">
        <f t="shared" ca="1" si="4"/>
        <v>thienhh.tnh@vnpt.vn</v>
      </c>
      <c r="F103" s="339" t="str">
        <f t="shared" ca="1" si="5"/>
        <v>Lần 1</v>
      </c>
      <c r="G103" s="93">
        <v>46204</v>
      </c>
      <c r="H103" s="123">
        <v>346</v>
      </c>
      <c r="I103" s="123">
        <v>89</v>
      </c>
      <c r="J103" s="124">
        <v>289</v>
      </c>
      <c r="K103" s="124">
        <v>76</v>
      </c>
      <c r="L103" s="350"/>
      <c r="M103" s="341">
        <f t="shared" ca="1" si="6"/>
        <v>1</v>
      </c>
      <c r="N103" s="342">
        <f t="shared" ca="1" si="7"/>
        <v>1</v>
      </c>
      <c r="O103" s="68">
        <f t="shared" ca="1" si="8"/>
        <v>1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 ht="15.75" customHeight="1">
      <c r="A104" s="59">
        <f t="shared" ca="1" si="1"/>
        <v>98</v>
      </c>
      <c r="B104" s="182" t="str">
        <f t="shared" ca="1" si="9"/>
        <v>Tổ Hạ tầng Tân Ninh</v>
      </c>
      <c r="C104" s="61" t="str">
        <f t="shared" ca="1" si="2"/>
        <v>Huỳnh Hạo Thiên</v>
      </c>
      <c r="D104" s="183">
        <f t="shared" ca="1" si="3"/>
        <v>943905906</v>
      </c>
      <c r="E104" s="63" t="str">
        <f t="shared" ca="1" si="4"/>
        <v>thienhh.tnh@vnpt.vn</v>
      </c>
      <c r="F104" s="321" t="str">
        <f t="shared" ca="1" si="5"/>
        <v>Lần 2</v>
      </c>
      <c r="G104" s="93">
        <v>46204</v>
      </c>
      <c r="H104" s="123">
        <v>354</v>
      </c>
      <c r="I104" s="123">
        <v>88</v>
      </c>
      <c r="J104" s="124">
        <v>276</v>
      </c>
      <c r="K104" s="124">
        <v>67</v>
      </c>
      <c r="L104" s="351"/>
      <c r="M104" s="323">
        <f t="shared" ca="1" si="6"/>
        <v>1</v>
      </c>
      <c r="N104" s="324">
        <f t="shared" ca="1" si="7"/>
        <v>1</v>
      </c>
      <c r="O104" s="68">
        <f t="shared" ca="1" si="8"/>
        <v>1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 ht="15.75" customHeight="1">
      <c r="A105" s="59">
        <f t="shared" ca="1" si="1"/>
        <v>99</v>
      </c>
      <c r="B105" s="182" t="str">
        <f t="shared" ca="1" si="9"/>
        <v>Tổ Hạ tầng Tân Ninh</v>
      </c>
      <c r="C105" s="61" t="str">
        <f t="shared" ca="1" si="2"/>
        <v>Huỳnh Hạo Thiên</v>
      </c>
      <c r="D105" s="183">
        <f t="shared" ca="1" si="3"/>
        <v>943905906</v>
      </c>
      <c r="E105" s="63" t="str">
        <f t="shared" ca="1" si="4"/>
        <v>thienhh.tnh@vnpt.vn</v>
      </c>
      <c r="F105" s="321" t="str">
        <f t="shared" ca="1" si="5"/>
        <v>Lần 3</v>
      </c>
      <c r="G105" s="93">
        <v>46204</v>
      </c>
      <c r="H105" s="123">
        <v>367</v>
      </c>
      <c r="I105" s="123">
        <v>78</v>
      </c>
      <c r="J105" s="124">
        <v>301</v>
      </c>
      <c r="K105" s="124">
        <v>65</v>
      </c>
      <c r="L105" s="351"/>
      <c r="M105" s="323">
        <f t="shared" ca="1" si="6"/>
        <v>1</v>
      </c>
      <c r="N105" s="324">
        <f t="shared" ca="1" si="7"/>
        <v>1</v>
      </c>
      <c r="O105" s="68">
        <f t="shared" ca="1" si="8"/>
        <v>1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 ht="15.75" customHeight="1">
      <c r="A106" s="59">
        <f t="shared" ca="1" si="1"/>
        <v>100</v>
      </c>
      <c r="B106" s="182" t="str">
        <f t="shared" ca="1" si="9"/>
        <v>Tổ Hạ tầng Tân Ninh</v>
      </c>
      <c r="C106" s="61" t="str">
        <f t="shared" ca="1" si="2"/>
        <v>Huỳnh Hạo Thiên</v>
      </c>
      <c r="D106" s="183">
        <f t="shared" ca="1" si="3"/>
        <v>943905906</v>
      </c>
      <c r="E106" s="63" t="str">
        <f t="shared" ca="1" si="4"/>
        <v>thienhh.tnh@vnpt.vn</v>
      </c>
      <c r="F106" s="321" t="str">
        <f t="shared" ca="1" si="5"/>
        <v>Lần 4</v>
      </c>
      <c r="G106" s="93">
        <v>46204</v>
      </c>
      <c r="H106" s="123">
        <v>432</v>
      </c>
      <c r="I106" s="123">
        <v>65</v>
      </c>
      <c r="J106" s="124">
        <v>343</v>
      </c>
      <c r="K106" s="124">
        <v>59</v>
      </c>
      <c r="L106" s="351"/>
      <c r="M106" s="323">
        <f t="shared" ca="1" si="6"/>
        <v>1</v>
      </c>
      <c r="N106" s="324">
        <f t="shared" ca="1" si="7"/>
        <v>1</v>
      </c>
      <c r="O106" s="68">
        <f t="shared" ca="1" si="8"/>
        <v>1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 ht="15.75" customHeight="1">
      <c r="A107" s="59">
        <f t="shared" ca="1" si="1"/>
        <v>101</v>
      </c>
      <c r="B107" s="182" t="str">
        <f t="shared" ca="1" si="9"/>
        <v>Tổ Hạ tầng Tân Ninh</v>
      </c>
      <c r="C107" s="61" t="str">
        <f t="shared" ca="1" si="2"/>
        <v>Huỳnh Hạo Thiên</v>
      </c>
      <c r="D107" s="183">
        <f t="shared" ca="1" si="3"/>
        <v>943905906</v>
      </c>
      <c r="E107" s="63" t="str">
        <f t="shared" ca="1" si="4"/>
        <v>thienhh.tnh@vnpt.vn</v>
      </c>
      <c r="F107" s="321" t="str">
        <f t="shared" ca="1" si="5"/>
        <v>Lần 5</v>
      </c>
      <c r="G107" s="93">
        <v>46205</v>
      </c>
      <c r="H107" s="123">
        <v>545</v>
      </c>
      <c r="I107" s="123">
        <v>63</v>
      </c>
      <c r="J107" s="124">
        <v>435</v>
      </c>
      <c r="K107" s="124">
        <v>54</v>
      </c>
      <c r="L107" s="351"/>
      <c r="M107" s="323">
        <f t="shared" ca="1" si="6"/>
        <v>1</v>
      </c>
      <c r="N107" s="324">
        <f t="shared" ca="1" si="7"/>
        <v>1</v>
      </c>
      <c r="O107" s="68">
        <f t="shared" ca="1" si="8"/>
        <v>1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 ht="15.75" customHeight="1">
      <c r="A108" s="59">
        <f t="shared" ca="1" si="1"/>
        <v>102</v>
      </c>
      <c r="B108" s="182" t="str">
        <f t="shared" ca="1" si="9"/>
        <v>Tổ Hạ tầng Tân Ninh</v>
      </c>
      <c r="C108" s="61" t="str">
        <f t="shared" ca="1" si="2"/>
        <v>Huỳnh Hạo Thiên</v>
      </c>
      <c r="D108" s="183">
        <f t="shared" ca="1" si="3"/>
        <v>943905906</v>
      </c>
      <c r="E108" s="63" t="str">
        <f t="shared" ca="1" si="4"/>
        <v>thienhh.tnh@vnpt.vn</v>
      </c>
      <c r="F108" s="321" t="str">
        <f t="shared" ca="1" si="5"/>
        <v>Lần 6</v>
      </c>
      <c r="G108" s="93">
        <v>46205</v>
      </c>
      <c r="H108" s="123">
        <v>467</v>
      </c>
      <c r="I108" s="123">
        <v>69</v>
      </c>
      <c r="J108" s="124">
        <v>367</v>
      </c>
      <c r="K108" s="124">
        <v>53</v>
      </c>
      <c r="L108" s="351"/>
      <c r="M108" s="323">
        <f t="shared" ca="1" si="6"/>
        <v>1</v>
      </c>
      <c r="N108" s="324">
        <f t="shared" ca="1" si="7"/>
        <v>1</v>
      </c>
      <c r="O108" s="68">
        <f t="shared" ca="1" si="8"/>
        <v>1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 ht="15.75" customHeight="1">
      <c r="A109" s="59">
        <f t="shared" ca="1" si="1"/>
        <v>103</v>
      </c>
      <c r="B109" s="182" t="str">
        <f t="shared" ca="1" si="9"/>
        <v>Tổ Hạ tầng Tân Ninh</v>
      </c>
      <c r="C109" s="61" t="str">
        <f t="shared" ca="1" si="2"/>
        <v>Huỳnh Hạo Thiên</v>
      </c>
      <c r="D109" s="183">
        <f t="shared" ca="1" si="3"/>
        <v>943905906</v>
      </c>
      <c r="E109" s="63" t="str">
        <f t="shared" ca="1" si="4"/>
        <v>thienhh.tnh@vnpt.vn</v>
      </c>
      <c r="F109" s="321" t="str">
        <f t="shared" ca="1" si="5"/>
        <v>Lần 7</v>
      </c>
      <c r="G109" s="93">
        <v>46205</v>
      </c>
      <c r="H109" s="123">
        <v>354</v>
      </c>
      <c r="I109" s="123">
        <v>78</v>
      </c>
      <c r="J109" s="124">
        <v>298</v>
      </c>
      <c r="K109" s="124">
        <v>65</v>
      </c>
      <c r="L109" s="351"/>
      <c r="M109" s="323">
        <f t="shared" ca="1" si="6"/>
        <v>1</v>
      </c>
      <c r="N109" s="324">
        <f t="shared" ca="1" si="7"/>
        <v>1</v>
      </c>
      <c r="O109" s="68">
        <f t="shared" ca="1" si="8"/>
        <v>1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 ht="15.75" customHeight="1">
      <c r="A110" s="59">
        <f t="shared" ca="1" si="1"/>
        <v>104</v>
      </c>
      <c r="B110" s="182" t="str">
        <f t="shared" ca="1" si="9"/>
        <v>Tổ Hạ tầng Tân Ninh</v>
      </c>
      <c r="C110" s="61" t="str">
        <f t="shared" ca="1" si="2"/>
        <v>Huỳnh Hạo Thiên</v>
      </c>
      <c r="D110" s="183">
        <f t="shared" ca="1" si="3"/>
        <v>943905906</v>
      </c>
      <c r="E110" s="63" t="str">
        <f t="shared" ca="1" si="4"/>
        <v>thienhh.tnh@vnpt.vn</v>
      </c>
      <c r="F110" s="321" t="str">
        <f t="shared" ca="1" si="5"/>
        <v>Lần 8</v>
      </c>
      <c r="G110" s="93">
        <v>46205</v>
      </c>
      <c r="H110" s="123">
        <v>389</v>
      </c>
      <c r="I110" s="123">
        <v>87</v>
      </c>
      <c r="J110" s="124">
        <v>289</v>
      </c>
      <c r="K110" s="124">
        <v>67</v>
      </c>
      <c r="L110" s="351"/>
      <c r="M110" s="323">
        <f t="shared" ca="1" si="6"/>
        <v>1</v>
      </c>
      <c r="N110" s="324">
        <f t="shared" ca="1" si="7"/>
        <v>1</v>
      </c>
      <c r="O110" s="68">
        <f t="shared" ca="1" si="8"/>
        <v>1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 ht="15.75" customHeight="1">
      <c r="A111" s="59">
        <f t="shared" ca="1" si="1"/>
        <v>105</v>
      </c>
      <c r="B111" s="182" t="str">
        <f t="shared" ca="1" si="9"/>
        <v>Tổ Hạ tầng Tân Ninh</v>
      </c>
      <c r="C111" s="61" t="str">
        <f t="shared" ca="1" si="2"/>
        <v>Huỳnh Hạo Thiên</v>
      </c>
      <c r="D111" s="183">
        <f t="shared" ca="1" si="3"/>
        <v>943905906</v>
      </c>
      <c r="E111" s="63" t="str">
        <f t="shared" ca="1" si="4"/>
        <v>thienhh.tnh@vnpt.vn</v>
      </c>
      <c r="F111" s="321" t="str">
        <f t="shared" ca="1" si="5"/>
        <v>Lần 9</v>
      </c>
      <c r="G111" s="93">
        <v>46206</v>
      </c>
      <c r="H111" s="123">
        <v>465</v>
      </c>
      <c r="I111" s="123">
        <v>68</v>
      </c>
      <c r="J111" s="124">
        <v>378</v>
      </c>
      <c r="K111" s="124">
        <v>59</v>
      </c>
      <c r="L111" s="351"/>
      <c r="M111" s="323">
        <f t="shared" ca="1" si="6"/>
        <v>1</v>
      </c>
      <c r="N111" s="324">
        <f t="shared" ca="1" si="7"/>
        <v>1</v>
      </c>
      <c r="O111" s="68">
        <f t="shared" ca="1" si="8"/>
        <v>1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 ht="15.75" customHeight="1">
      <c r="A112" s="59">
        <f t="shared" ca="1" si="1"/>
        <v>106</v>
      </c>
      <c r="B112" s="182" t="str">
        <f t="shared" ca="1" si="9"/>
        <v>Tổ Hạ tầng Tân Ninh</v>
      </c>
      <c r="C112" s="61" t="str">
        <f t="shared" ca="1" si="2"/>
        <v>Huỳnh Hạo Thiên</v>
      </c>
      <c r="D112" s="183">
        <f t="shared" ca="1" si="3"/>
        <v>943905906</v>
      </c>
      <c r="E112" s="63" t="str">
        <f t="shared" ca="1" si="4"/>
        <v>thienhh.tnh@vnpt.vn</v>
      </c>
      <c r="F112" s="321" t="str">
        <f t="shared" ca="1" si="5"/>
        <v>Lần 10</v>
      </c>
      <c r="G112" s="93">
        <v>46206</v>
      </c>
      <c r="H112" s="135">
        <v>487</v>
      </c>
      <c r="I112" s="135">
        <v>65</v>
      </c>
      <c r="J112" s="79">
        <v>378</v>
      </c>
      <c r="K112" s="79">
        <v>58</v>
      </c>
      <c r="L112" s="351"/>
      <c r="M112" s="323">
        <f t="shared" ca="1" si="6"/>
        <v>1</v>
      </c>
      <c r="N112" s="324">
        <f t="shared" ca="1" si="7"/>
        <v>1</v>
      </c>
      <c r="O112" s="68">
        <f t="shared" ca="1" si="8"/>
        <v>1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 ht="15.75" customHeight="1">
      <c r="A113" s="59">
        <f t="shared" ca="1" si="1"/>
        <v>107</v>
      </c>
      <c r="B113" s="182" t="str">
        <f t="shared" ca="1" si="9"/>
        <v>Tổ Hạ tầng Tân Ninh</v>
      </c>
      <c r="C113" s="61" t="str">
        <f t="shared" ca="1" si="2"/>
        <v>Huỳnh Hạo Thiên</v>
      </c>
      <c r="D113" s="183">
        <f t="shared" ca="1" si="3"/>
        <v>943905906</v>
      </c>
      <c r="E113" s="63" t="str">
        <f t="shared" ca="1" si="4"/>
        <v>thienhh.tnh@vnpt.vn</v>
      </c>
      <c r="F113" s="321" t="str">
        <f t="shared" ca="1" si="5"/>
        <v>Lần 11</v>
      </c>
      <c r="G113" s="93">
        <v>46206</v>
      </c>
      <c r="H113" s="135">
        <v>365</v>
      </c>
      <c r="I113" s="135">
        <v>73</v>
      </c>
      <c r="J113" s="79">
        <v>302</v>
      </c>
      <c r="K113" s="79">
        <v>64</v>
      </c>
      <c r="L113" s="351"/>
      <c r="M113" s="323">
        <f t="shared" ca="1" si="6"/>
        <v>1</v>
      </c>
      <c r="N113" s="324">
        <f t="shared" ca="1" si="7"/>
        <v>1</v>
      </c>
      <c r="O113" s="68">
        <f t="shared" ca="1" si="8"/>
        <v>1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 ht="15.75" customHeight="1">
      <c r="A114" s="59">
        <f t="shared" ca="1" si="1"/>
        <v>108</v>
      </c>
      <c r="B114" s="182" t="str">
        <f t="shared" ca="1" si="9"/>
        <v>Tổ Hạ tầng Tân Ninh</v>
      </c>
      <c r="C114" s="61" t="str">
        <f t="shared" ca="1" si="2"/>
        <v>Huỳnh Hạo Thiên</v>
      </c>
      <c r="D114" s="183">
        <f t="shared" ca="1" si="3"/>
        <v>943905906</v>
      </c>
      <c r="E114" s="63" t="str">
        <f t="shared" ca="1" si="4"/>
        <v>thienhh.tnh@vnpt.vn</v>
      </c>
      <c r="F114" s="321" t="str">
        <f t="shared" ca="1" si="5"/>
        <v>Lần 12</v>
      </c>
      <c r="G114" s="93">
        <v>46206</v>
      </c>
      <c r="H114" s="78">
        <v>389</v>
      </c>
      <c r="I114" s="78">
        <v>62</v>
      </c>
      <c r="J114" s="129">
        <v>311</v>
      </c>
      <c r="K114" s="129">
        <v>53</v>
      </c>
      <c r="L114" s="351"/>
      <c r="M114" s="323">
        <f t="shared" ca="1" si="6"/>
        <v>1</v>
      </c>
      <c r="N114" s="324">
        <f t="shared" ca="1" si="7"/>
        <v>1</v>
      </c>
      <c r="O114" s="68">
        <f t="shared" ca="1" si="8"/>
        <v>1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 ht="15.75" customHeight="1">
      <c r="A115" s="59">
        <f t="shared" ca="1" si="1"/>
        <v>109</v>
      </c>
      <c r="B115" s="182" t="str">
        <f t="shared" ca="1" si="9"/>
        <v>Tổ Hạ tầng Tân Ninh</v>
      </c>
      <c r="C115" s="61" t="str">
        <f t="shared" ca="1" si="2"/>
        <v>Huỳnh Hạo Thiên</v>
      </c>
      <c r="D115" s="183">
        <f t="shared" ca="1" si="3"/>
        <v>943905906</v>
      </c>
      <c r="E115" s="63" t="str">
        <f t="shared" ca="1" si="4"/>
        <v>thienhh.tnh@vnpt.vn</v>
      </c>
      <c r="F115" s="321" t="str">
        <f t="shared" ca="1" si="5"/>
        <v>Lần 13</v>
      </c>
      <c r="G115" s="93">
        <v>46212</v>
      </c>
      <c r="H115" s="78">
        <v>223</v>
      </c>
      <c r="I115" s="78">
        <v>56</v>
      </c>
      <c r="J115" s="129">
        <v>335</v>
      </c>
      <c r="K115" s="129">
        <v>89</v>
      </c>
      <c r="L115" s="351"/>
      <c r="M115" s="323">
        <f t="shared" ca="1" si="6"/>
        <v>1</v>
      </c>
      <c r="N115" s="324">
        <f t="shared" ca="1" si="7"/>
        <v>1</v>
      </c>
      <c r="O115" s="68">
        <f t="shared" ca="1" si="8"/>
        <v>1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 ht="15.75" customHeight="1">
      <c r="A116" s="59">
        <f t="shared" ca="1" si="1"/>
        <v>110</v>
      </c>
      <c r="B116" s="182" t="str">
        <f t="shared" ca="1" si="9"/>
        <v>Tổ Hạ tầng Tân Ninh</v>
      </c>
      <c r="C116" s="61" t="str">
        <f t="shared" ca="1" si="2"/>
        <v>Huỳnh Hạo Thiên</v>
      </c>
      <c r="D116" s="183">
        <f t="shared" ca="1" si="3"/>
        <v>943905906</v>
      </c>
      <c r="E116" s="63" t="str">
        <f t="shared" ca="1" si="4"/>
        <v>thienhh.tnh@vnpt.vn</v>
      </c>
      <c r="F116" s="321" t="str">
        <f t="shared" ca="1" si="5"/>
        <v>Lần 14</v>
      </c>
      <c r="G116" s="93">
        <v>46212</v>
      </c>
      <c r="H116" s="78">
        <v>242</v>
      </c>
      <c r="I116" s="78">
        <v>56</v>
      </c>
      <c r="J116" s="79">
        <v>335</v>
      </c>
      <c r="K116" s="79">
        <v>87</v>
      </c>
      <c r="L116" s="351"/>
      <c r="M116" s="323">
        <f t="shared" ca="1" si="6"/>
        <v>1</v>
      </c>
      <c r="N116" s="324">
        <f t="shared" ca="1" si="7"/>
        <v>1</v>
      </c>
      <c r="O116" s="68">
        <f t="shared" ca="1" si="8"/>
        <v>1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 ht="15.75" customHeight="1">
      <c r="A117" s="59">
        <f t="shared" ca="1" si="1"/>
        <v>111</v>
      </c>
      <c r="B117" s="182" t="str">
        <f t="shared" ca="1" si="9"/>
        <v>Tổ Hạ tầng Tân Ninh</v>
      </c>
      <c r="C117" s="61" t="str">
        <f t="shared" ca="1" si="2"/>
        <v>Huỳnh Hạo Thiên</v>
      </c>
      <c r="D117" s="183">
        <f t="shared" ca="1" si="3"/>
        <v>943905906</v>
      </c>
      <c r="E117" s="63" t="str">
        <f t="shared" ca="1" si="4"/>
        <v>thienhh.tnh@vnpt.vn</v>
      </c>
      <c r="F117" s="321" t="str">
        <f t="shared" ca="1" si="5"/>
        <v>Lần 15</v>
      </c>
      <c r="G117" s="93">
        <v>46212</v>
      </c>
      <c r="H117" s="120">
        <v>234</v>
      </c>
      <c r="I117" s="120">
        <v>57</v>
      </c>
      <c r="J117" s="120">
        <v>354</v>
      </c>
      <c r="K117" s="120">
        <v>76</v>
      </c>
      <c r="L117" s="351"/>
      <c r="M117" s="323">
        <f t="shared" ca="1" si="6"/>
        <v>1</v>
      </c>
      <c r="N117" s="324">
        <f t="shared" ca="1" si="7"/>
        <v>1</v>
      </c>
      <c r="O117" s="68">
        <f t="shared" ca="1" si="8"/>
        <v>1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 ht="15.75" customHeight="1">
      <c r="A118" s="59">
        <f t="shared" ca="1" si="1"/>
        <v>112</v>
      </c>
      <c r="B118" s="185" t="str">
        <f t="shared" ca="1" si="9"/>
        <v>Tổ Hạ tầng Tân Ninh</v>
      </c>
      <c r="C118" s="82" t="str">
        <f t="shared" ca="1" si="2"/>
        <v>Huỳnh Hạo Thiên</v>
      </c>
      <c r="D118" s="186">
        <f t="shared" ca="1" si="3"/>
        <v>943905906</v>
      </c>
      <c r="E118" s="84" t="str">
        <f t="shared" ca="1" si="4"/>
        <v>thienhh.tnh@vnpt.vn</v>
      </c>
      <c r="F118" s="325" t="str">
        <f t="shared" ca="1" si="5"/>
        <v>Lần 16</v>
      </c>
      <c r="G118" s="93">
        <v>46212</v>
      </c>
      <c r="H118" s="120">
        <v>245</v>
      </c>
      <c r="I118" s="120">
        <v>56</v>
      </c>
      <c r="J118" s="120">
        <v>367</v>
      </c>
      <c r="K118" s="120">
        <v>78</v>
      </c>
      <c r="L118" s="355"/>
      <c r="M118" s="327">
        <f t="shared" ca="1" si="6"/>
        <v>1</v>
      </c>
      <c r="N118" s="328">
        <f t="shared" ca="1" si="7"/>
        <v>1</v>
      </c>
      <c r="O118" s="68">
        <f t="shared" ca="1" si="8"/>
        <v>1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 ht="15.75" customHeight="1">
      <c r="A119" s="59">
        <f t="shared" ca="1" si="1"/>
        <v>113</v>
      </c>
      <c r="B119" s="190" t="str">
        <f t="shared" ca="1" si="9"/>
        <v>Tổ Hạ tầng Tân Ninh</v>
      </c>
      <c r="C119" s="48" t="str">
        <f t="shared" ca="1" si="2"/>
        <v>Trương Đình Lợi</v>
      </c>
      <c r="D119" s="191">
        <f t="shared" ca="1" si="3"/>
        <v>948737488</v>
      </c>
      <c r="E119" s="50" t="str">
        <f t="shared" ca="1" si="4"/>
        <v>loitd.tnh@vnpt.vn</v>
      </c>
      <c r="F119" s="318" t="str">
        <f t="shared" ca="1" si="5"/>
        <v>Lần 1</v>
      </c>
      <c r="G119" s="112"/>
      <c r="H119" s="121"/>
      <c r="I119" s="121"/>
      <c r="J119" s="120"/>
      <c r="K119" s="120"/>
      <c r="L119" s="265"/>
      <c r="M119" s="329">
        <f t="shared" ca="1" si="6"/>
        <v>0</v>
      </c>
      <c r="N119" s="330">
        <f t="shared" ca="1" si="7"/>
        <v>0</v>
      </c>
      <c r="O119" s="68">
        <f t="shared" ca="1" si="8"/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 ht="15.75" customHeight="1">
      <c r="A120" s="59">
        <f t="shared" ca="1" si="1"/>
        <v>114</v>
      </c>
      <c r="B120" s="182" t="str">
        <f t="shared" ca="1" si="9"/>
        <v>Tổ Hạ tầng Tân Ninh</v>
      </c>
      <c r="C120" s="61" t="str">
        <f t="shared" ca="1" si="2"/>
        <v>Trương Đình Lợi</v>
      </c>
      <c r="D120" s="183">
        <f t="shared" ca="1" si="3"/>
        <v>948737488</v>
      </c>
      <c r="E120" s="63" t="str">
        <f t="shared" ca="1" si="4"/>
        <v>loitd.tnh@vnpt.vn</v>
      </c>
      <c r="F120" s="321" t="str">
        <f t="shared" ca="1" si="5"/>
        <v>Lần 2</v>
      </c>
      <c r="G120" s="112"/>
      <c r="H120" s="121"/>
      <c r="I120" s="121"/>
      <c r="J120" s="120"/>
      <c r="K120" s="120"/>
      <c r="L120" s="333"/>
      <c r="M120" s="323">
        <f t="shared" ca="1" si="6"/>
        <v>0</v>
      </c>
      <c r="N120" s="332">
        <f t="shared" ca="1" si="7"/>
        <v>0</v>
      </c>
      <c r="O120" s="68">
        <f t="shared" ca="1" si="8"/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 ht="15.75" customHeight="1">
      <c r="A121" s="59">
        <f t="shared" ca="1" si="1"/>
        <v>115</v>
      </c>
      <c r="B121" s="182" t="str">
        <f t="shared" ca="1" si="9"/>
        <v>Tổ Hạ tầng Tân Ninh</v>
      </c>
      <c r="C121" s="61" t="str">
        <f t="shared" ca="1" si="2"/>
        <v>Trương Đình Lợi</v>
      </c>
      <c r="D121" s="183">
        <f t="shared" ca="1" si="3"/>
        <v>948737488</v>
      </c>
      <c r="E121" s="63" t="str">
        <f t="shared" ca="1" si="4"/>
        <v>loitd.tnh@vnpt.vn</v>
      </c>
      <c r="F121" s="321" t="str">
        <f t="shared" ca="1" si="5"/>
        <v>Lần 3</v>
      </c>
      <c r="G121" s="112"/>
      <c r="H121" s="121"/>
      <c r="I121" s="121"/>
      <c r="J121" s="120"/>
      <c r="K121" s="120"/>
      <c r="L121" s="333"/>
      <c r="M121" s="323">
        <f t="shared" ca="1" si="6"/>
        <v>0</v>
      </c>
      <c r="N121" s="332">
        <f t="shared" ca="1" si="7"/>
        <v>0</v>
      </c>
      <c r="O121" s="68">
        <f t="shared" ca="1" si="8"/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 ht="15.75" customHeight="1">
      <c r="A122" s="59">
        <f t="shared" ca="1" si="1"/>
        <v>116</v>
      </c>
      <c r="B122" s="182" t="str">
        <f t="shared" ca="1" si="9"/>
        <v>Tổ Hạ tầng Tân Ninh</v>
      </c>
      <c r="C122" s="61" t="str">
        <f t="shared" ca="1" si="2"/>
        <v>Trương Đình Lợi</v>
      </c>
      <c r="D122" s="183">
        <f t="shared" ca="1" si="3"/>
        <v>948737488</v>
      </c>
      <c r="E122" s="63" t="str">
        <f t="shared" ca="1" si="4"/>
        <v>loitd.tnh@vnpt.vn</v>
      </c>
      <c r="F122" s="321" t="str">
        <f t="shared" ca="1" si="5"/>
        <v>Lần 4</v>
      </c>
      <c r="G122" s="112"/>
      <c r="H122" s="121"/>
      <c r="I122" s="121"/>
      <c r="J122" s="99"/>
      <c r="K122" s="99"/>
      <c r="L122" s="331"/>
      <c r="M122" s="323">
        <f t="shared" ca="1" si="6"/>
        <v>0</v>
      </c>
      <c r="N122" s="332">
        <f t="shared" ca="1" si="7"/>
        <v>0</v>
      </c>
      <c r="O122" s="68">
        <f t="shared" ca="1" si="8"/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 ht="15.75" customHeight="1">
      <c r="A123" s="59">
        <f t="shared" ca="1" si="1"/>
        <v>117</v>
      </c>
      <c r="B123" s="182" t="str">
        <f t="shared" ca="1" si="9"/>
        <v>Tổ Hạ tầng Tân Ninh</v>
      </c>
      <c r="C123" s="61" t="str">
        <f t="shared" ca="1" si="2"/>
        <v>Trương Đình Lợi</v>
      </c>
      <c r="D123" s="183">
        <f t="shared" ca="1" si="3"/>
        <v>948737488</v>
      </c>
      <c r="E123" s="63" t="str">
        <f t="shared" ca="1" si="4"/>
        <v>loitd.tnh@vnpt.vn</v>
      </c>
      <c r="F123" s="321" t="str">
        <f t="shared" ca="1" si="5"/>
        <v>Lần 5</v>
      </c>
      <c r="G123" s="112"/>
      <c r="H123" s="122"/>
      <c r="I123" s="122"/>
      <c r="J123" s="98"/>
      <c r="K123" s="98"/>
      <c r="L123" s="333"/>
      <c r="M123" s="323">
        <f t="shared" ca="1" si="6"/>
        <v>0</v>
      </c>
      <c r="N123" s="332">
        <f t="shared" ca="1" si="7"/>
        <v>0</v>
      </c>
      <c r="O123" s="68">
        <f t="shared" ca="1" si="8"/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 ht="15.75" customHeight="1">
      <c r="A124" s="59">
        <f t="shared" ca="1" si="1"/>
        <v>118</v>
      </c>
      <c r="B124" s="182" t="str">
        <f t="shared" ca="1" si="9"/>
        <v>Tổ Hạ tầng Tân Ninh</v>
      </c>
      <c r="C124" s="61" t="str">
        <f t="shared" ca="1" si="2"/>
        <v>Trương Đình Lợi</v>
      </c>
      <c r="D124" s="183">
        <f t="shared" ca="1" si="3"/>
        <v>948737488</v>
      </c>
      <c r="E124" s="63" t="str">
        <f t="shared" ca="1" si="4"/>
        <v>loitd.tnh@vnpt.vn</v>
      </c>
      <c r="F124" s="321" t="str">
        <f t="shared" ca="1" si="5"/>
        <v>Lần 6</v>
      </c>
      <c r="G124" s="112"/>
      <c r="H124" s="122"/>
      <c r="I124" s="122"/>
      <c r="J124" s="98"/>
      <c r="K124" s="98"/>
      <c r="L124" s="331"/>
      <c r="M124" s="323">
        <f t="shared" ca="1" si="6"/>
        <v>0</v>
      </c>
      <c r="N124" s="332">
        <f t="shared" ca="1" si="7"/>
        <v>0</v>
      </c>
      <c r="O124" s="68">
        <f t="shared" ca="1" si="8"/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 ht="15.75" customHeight="1">
      <c r="A125" s="59">
        <f t="shared" ca="1" si="1"/>
        <v>119</v>
      </c>
      <c r="B125" s="182" t="str">
        <f t="shared" ca="1" si="9"/>
        <v>Tổ Hạ tầng Tân Ninh</v>
      </c>
      <c r="C125" s="61" t="str">
        <f t="shared" ca="1" si="2"/>
        <v>Trương Đình Lợi</v>
      </c>
      <c r="D125" s="183">
        <f t="shared" ca="1" si="3"/>
        <v>948737488</v>
      </c>
      <c r="E125" s="63" t="str">
        <f t="shared" ca="1" si="4"/>
        <v>loitd.tnh@vnpt.vn</v>
      </c>
      <c r="F125" s="321" t="str">
        <f t="shared" ca="1" si="5"/>
        <v>Lần 7</v>
      </c>
      <c r="G125" s="112"/>
      <c r="H125" s="122"/>
      <c r="I125" s="122"/>
      <c r="J125" s="98"/>
      <c r="K125" s="98"/>
      <c r="L125" s="331"/>
      <c r="M125" s="323">
        <f t="shared" ca="1" si="6"/>
        <v>0</v>
      </c>
      <c r="N125" s="332">
        <f t="shared" ca="1" si="7"/>
        <v>0</v>
      </c>
      <c r="O125" s="68">
        <f t="shared" ca="1" si="8"/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15.75" customHeight="1">
      <c r="A126" s="59">
        <f t="shared" ca="1" si="1"/>
        <v>120</v>
      </c>
      <c r="B126" s="182" t="str">
        <f t="shared" ca="1" si="9"/>
        <v>Tổ Hạ tầng Tân Ninh</v>
      </c>
      <c r="C126" s="61" t="str">
        <f t="shared" ca="1" si="2"/>
        <v>Trương Đình Lợi</v>
      </c>
      <c r="D126" s="183">
        <f t="shared" ca="1" si="3"/>
        <v>948737488</v>
      </c>
      <c r="E126" s="63" t="str">
        <f t="shared" ca="1" si="4"/>
        <v>loitd.tnh@vnpt.vn</v>
      </c>
      <c r="F126" s="321" t="str">
        <f t="shared" ca="1" si="5"/>
        <v>Lần 8</v>
      </c>
      <c r="G126" s="112"/>
      <c r="H126" s="122"/>
      <c r="I126" s="122"/>
      <c r="J126" s="98"/>
      <c r="K126" s="98"/>
      <c r="L126" s="331"/>
      <c r="M126" s="323">
        <f t="shared" ca="1" si="6"/>
        <v>0</v>
      </c>
      <c r="N126" s="332">
        <f t="shared" ca="1" si="7"/>
        <v>0</v>
      </c>
      <c r="O126" s="68">
        <f t="shared" ca="1" si="8"/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 ht="15.75" customHeight="1">
      <c r="A127" s="59">
        <f t="shared" ca="1" si="1"/>
        <v>121</v>
      </c>
      <c r="B127" s="182" t="str">
        <f t="shared" ca="1" si="9"/>
        <v>Tổ Hạ tầng Tân Ninh</v>
      </c>
      <c r="C127" s="61" t="str">
        <f t="shared" ca="1" si="2"/>
        <v>Trương Đình Lợi</v>
      </c>
      <c r="D127" s="183">
        <f t="shared" ca="1" si="3"/>
        <v>948737488</v>
      </c>
      <c r="E127" s="63" t="str">
        <f t="shared" ca="1" si="4"/>
        <v>loitd.tnh@vnpt.vn</v>
      </c>
      <c r="F127" s="321" t="str">
        <f t="shared" ca="1" si="5"/>
        <v>Lần 9</v>
      </c>
      <c r="G127" s="112"/>
      <c r="H127" s="122"/>
      <c r="I127" s="122"/>
      <c r="J127" s="98"/>
      <c r="K127" s="98"/>
      <c r="L127" s="333"/>
      <c r="M127" s="323">
        <f t="shared" ca="1" si="6"/>
        <v>0</v>
      </c>
      <c r="N127" s="332">
        <f t="shared" ca="1" si="7"/>
        <v>0</v>
      </c>
      <c r="O127" s="68">
        <f t="shared" ca="1" si="8"/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 ht="15.75" customHeight="1">
      <c r="A128" s="59">
        <f t="shared" ca="1" si="1"/>
        <v>122</v>
      </c>
      <c r="B128" s="182" t="str">
        <f t="shared" ca="1" si="9"/>
        <v>Tổ Hạ tầng Tân Ninh</v>
      </c>
      <c r="C128" s="61" t="str">
        <f t="shared" ca="1" si="2"/>
        <v>Trương Đình Lợi</v>
      </c>
      <c r="D128" s="183">
        <f t="shared" ca="1" si="3"/>
        <v>948737488</v>
      </c>
      <c r="E128" s="63" t="str">
        <f t="shared" ca="1" si="4"/>
        <v>loitd.tnh@vnpt.vn</v>
      </c>
      <c r="F128" s="321" t="str">
        <f t="shared" ca="1" si="5"/>
        <v>Lần 10</v>
      </c>
      <c r="G128" s="112"/>
      <c r="H128" s="122"/>
      <c r="I128" s="122"/>
      <c r="J128" s="98"/>
      <c r="K128" s="98"/>
      <c r="L128" s="331"/>
      <c r="M128" s="323">
        <f t="shared" ca="1" si="6"/>
        <v>0</v>
      </c>
      <c r="N128" s="332">
        <f t="shared" ca="1" si="7"/>
        <v>0</v>
      </c>
      <c r="O128" s="68">
        <f t="shared" ca="1" si="8"/>
        <v>0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 ht="15.75" customHeight="1">
      <c r="A129" s="59">
        <f t="shared" ca="1" si="1"/>
        <v>123</v>
      </c>
      <c r="B129" s="182" t="str">
        <f t="shared" ca="1" si="9"/>
        <v>Tổ Hạ tầng Tân Ninh</v>
      </c>
      <c r="C129" s="61" t="str">
        <f t="shared" ca="1" si="2"/>
        <v>Trương Đình Lợi</v>
      </c>
      <c r="D129" s="183">
        <f t="shared" ca="1" si="3"/>
        <v>948737488</v>
      </c>
      <c r="E129" s="63" t="str">
        <f t="shared" ca="1" si="4"/>
        <v>loitd.tnh@vnpt.vn</v>
      </c>
      <c r="F129" s="321" t="str">
        <f t="shared" ca="1" si="5"/>
        <v>Lần 11</v>
      </c>
      <c r="G129" s="112"/>
      <c r="H129" s="122"/>
      <c r="I129" s="122"/>
      <c r="J129" s="98"/>
      <c r="K129" s="98"/>
      <c r="L129" s="331"/>
      <c r="M129" s="323">
        <f t="shared" ca="1" si="6"/>
        <v>0</v>
      </c>
      <c r="N129" s="332">
        <f t="shared" ca="1" si="7"/>
        <v>0</v>
      </c>
      <c r="O129" s="68">
        <f t="shared" ca="1" si="8"/>
        <v>0</v>
      </c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 ht="15.75" customHeight="1">
      <c r="A130" s="59">
        <f t="shared" ca="1" si="1"/>
        <v>124</v>
      </c>
      <c r="B130" s="182" t="str">
        <f t="shared" ca="1" si="9"/>
        <v>Tổ Hạ tầng Tân Ninh</v>
      </c>
      <c r="C130" s="61" t="str">
        <f t="shared" ca="1" si="2"/>
        <v>Trương Đình Lợi</v>
      </c>
      <c r="D130" s="183">
        <f t="shared" ca="1" si="3"/>
        <v>948737488</v>
      </c>
      <c r="E130" s="63" t="str">
        <f t="shared" ca="1" si="4"/>
        <v>loitd.tnh@vnpt.vn</v>
      </c>
      <c r="F130" s="321" t="str">
        <f t="shared" ca="1" si="5"/>
        <v>Lần 12</v>
      </c>
      <c r="G130" s="112"/>
      <c r="H130" s="122"/>
      <c r="I130" s="122"/>
      <c r="J130" s="98"/>
      <c r="K130" s="141"/>
      <c r="L130" s="331"/>
      <c r="M130" s="323">
        <f t="shared" ca="1" si="6"/>
        <v>0</v>
      </c>
      <c r="N130" s="332">
        <f t="shared" ca="1" si="7"/>
        <v>0</v>
      </c>
      <c r="O130" s="68">
        <f t="shared" ca="1" si="8"/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 ht="15.75" customHeight="1">
      <c r="A131" s="59">
        <f t="shared" ca="1" si="1"/>
        <v>125</v>
      </c>
      <c r="B131" s="182" t="str">
        <f t="shared" ca="1" si="9"/>
        <v>Tổ Hạ tầng Tân Ninh</v>
      </c>
      <c r="C131" s="61" t="str">
        <f t="shared" ca="1" si="2"/>
        <v>Trương Đình Lợi</v>
      </c>
      <c r="D131" s="183">
        <f t="shared" ca="1" si="3"/>
        <v>948737488</v>
      </c>
      <c r="E131" s="63" t="str">
        <f t="shared" ca="1" si="4"/>
        <v>loitd.tnh@vnpt.vn</v>
      </c>
      <c r="F131" s="321" t="str">
        <f t="shared" ca="1" si="5"/>
        <v>Lần 13</v>
      </c>
      <c r="G131" s="112"/>
      <c r="H131" s="122"/>
      <c r="I131" s="122"/>
      <c r="J131" s="98"/>
      <c r="K131" s="141"/>
      <c r="L131" s="331"/>
      <c r="M131" s="323">
        <f t="shared" ca="1" si="6"/>
        <v>0</v>
      </c>
      <c r="N131" s="332">
        <f t="shared" ca="1" si="7"/>
        <v>0</v>
      </c>
      <c r="O131" s="68">
        <f t="shared" ca="1" si="8"/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 ht="15.75" customHeight="1">
      <c r="A132" s="59">
        <f t="shared" ca="1" si="1"/>
        <v>126</v>
      </c>
      <c r="B132" s="182" t="str">
        <f t="shared" ca="1" si="9"/>
        <v>Tổ Hạ tầng Tân Ninh</v>
      </c>
      <c r="C132" s="61" t="str">
        <f t="shared" ca="1" si="2"/>
        <v>Trương Đình Lợi</v>
      </c>
      <c r="D132" s="183">
        <f t="shared" ca="1" si="3"/>
        <v>948737488</v>
      </c>
      <c r="E132" s="63" t="str">
        <f t="shared" ca="1" si="4"/>
        <v>loitd.tnh@vnpt.vn</v>
      </c>
      <c r="F132" s="321" t="str">
        <f t="shared" ca="1" si="5"/>
        <v>Lần 14</v>
      </c>
      <c r="G132" s="112"/>
      <c r="H132" s="122"/>
      <c r="I132" s="122"/>
      <c r="J132" s="98"/>
      <c r="K132" s="141"/>
      <c r="L132" s="333"/>
      <c r="M132" s="323">
        <f t="shared" ca="1" si="6"/>
        <v>0</v>
      </c>
      <c r="N132" s="332">
        <f t="shared" ca="1" si="7"/>
        <v>0</v>
      </c>
      <c r="O132" s="68">
        <f t="shared" ca="1" si="8"/>
        <v>0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 ht="15.75" customHeight="1">
      <c r="A133" s="59">
        <f t="shared" ca="1" si="1"/>
        <v>127</v>
      </c>
      <c r="B133" s="182" t="str">
        <f t="shared" ca="1" si="9"/>
        <v>Tổ Hạ tầng Tân Ninh</v>
      </c>
      <c r="C133" s="61" t="str">
        <f t="shared" ca="1" si="2"/>
        <v>Trương Đình Lợi</v>
      </c>
      <c r="D133" s="183">
        <f t="shared" ca="1" si="3"/>
        <v>948737488</v>
      </c>
      <c r="E133" s="63" t="str">
        <f t="shared" ca="1" si="4"/>
        <v>loitd.tnh@vnpt.vn</v>
      </c>
      <c r="F133" s="321" t="str">
        <f t="shared" ca="1" si="5"/>
        <v>Lần 15</v>
      </c>
      <c r="G133" s="112"/>
      <c r="H133" s="122"/>
      <c r="I133" s="122"/>
      <c r="J133" s="98"/>
      <c r="K133" s="141"/>
      <c r="L133" s="331"/>
      <c r="M133" s="323">
        <f t="shared" ca="1" si="6"/>
        <v>0</v>
      </c>
      <c r="N133" s="332">
        <f t="shared" ca="1" si="7"/>
        <v>0</v>
      </c>
      <c r="O133" s="68">
        <f t="shared" ca="1" si="8"/>
        <v>0</v>
      </c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 ht="15.75" customHeight="1">
      <c r="A134" s="59">
        <f t="shared" ca="1" si="1"/>
        <v>128</v>
      </c>
      <c r="B134" s="196" t="str">
        <f t="shared" ca="1" si="9"/>
        <v>Tổ Hạ tầng Tân Ninh</v>
      </c>
      <c r="C134" s="102" t="str">
        <f t="shared" ca="1" si="2"/>
        <v>Trương Đình Lợi</v>
      </c>
      <c r="D134" s="197">
        <f t="shared" ca="1" si="3"/>
        <v>948737488</v>
      </c>
      <c r="E134" s="104" t="str">
        <f t="shared" ca="1" si="4"/>
        <v>loitd.tnh@vnpt.vn</v>
      </c>
      <c r="F134" s="335" t="str">
        <f t="shared" ca="1" si="5"/>
        <v>Lần 16</v>
      </c>
      <c r="G134" s="112"/>
      <c r="H134" s="122"/>
      <c r="I134" s="122"/>
      <c r="J134" s="98"/>
      <c r="K134" s="98"/>
      <c r="L134" s="354"/>
      <c r="M134" s="337">
        <f t="shared" ca="1" si="6"/>
        <v>0</v>
      </c>
      <c r="N134" s="338">
        <f t="shared" ca="1" si="7"/>
        <v>0</v>
      </c>
      <c r="O134" s="68">
        <f t="shared" ca="1" si="8"/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 ht="15.75" customHeight="1">
      <c r="A135" s="59">
        <f t="shared" ca="1" si="1"/>
        <v>129</v>
      </c>
      <c r="B135" s="204" t="str">
        <f t="shared" ca="1" si="9"/>
        <v>Tổ Hạ tầng Tân Ninh</v>
      </c>
      <c r="C135" s="108" t="str">
        <f t="shared" ca="1" si="2"/>
        <v>Trương Vũ Hải</v>
      </c>
      <c r="D135" s="205">
        <f t="shared" ca="1" si="3"/>
        <v>911039328</v>
      </c>
      <c r="E135" s="110" t="str">
        <f t="shared" ca="1" si="4"/>
        <v>tvhai.tnh@vnpt.vn</v>
      </c>
      <c r="F135" s="339" t="str">
        <f t="shared" ca="1" si="5"/>
        <v>Lần 1</v>
      </c>
      <c r="G135" s="356"/>
      <c r="H135" s="357"/>
      <c r="I135" s="63"/>
      <c r="J135" s="94"/>
      <c r="K135" s="94"/>
      <c r="L135" s="358"/>
      <c r="M135" s="341">
        <f t="shared" ca="1" si="6"/>
        <v>0</v>
      </c>
      <c r="N135" s="342">
        <f t="shared" ca="1" si="7"/>
        <v>0</v>
      </c>
      <c r="O135" s="68">
        <f t="shared" ca="1" si="8"/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 ht="15.75" customHeight="1">
      <c r="A136" s="59">
        <f t="shared" ca="1" si="1"/>
        <v>130</v>
      </c>
      <c r="B136" s="182" t="str">
        <f t="shared" ca="1" si="9"/>
        <v>Tổ Hạ tầng Tân Ninh</v>
      </c>
      <c r="C136" s="61" t="str">
        <f t="shared" ca="1" si="2"/>
        <v>Trương Vũ Hải</v>
      </c>
      <c r="D136" s="183">
        <f t="shared" ca="1" si="3"/>
        <v>911039328</v>
      </c>
      <c r="E136" s="63" t="str">
        <f t="shared" ca="1" si="4"/>
        <v>tvhai.tnh@vnpt.vn</v>
      </c>
      <c r="F136" s="321" t="str">
        <f t="shared" ca="1" si="5"/>
        <v>Lần 2</v>
      </c>
      <c r="G136" s="356"/>
      <c r="H136" s="357"/>
      <c r="I136" s="63"/>
      <c r="J136" s="94"/>
      <c r="K136" s="94"/>
      <c r="L136" s="322"/>
      <c r="M136" s="323">
        <f t="shared" ca="1" si="6"/>
        <v>0</v>
      </c>
      <c r="N136" s="324">
        <f t="shared" ca="1" si="7"/>
        <v>0</v>
      </c>
      <c r="O136" s="68">
        <f t="shared" ca="1" si="8"/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 ht="15.75" customHeight="1">
      <c r="A137" s="59">
        <f t="shared" ca="1" si="1"/>
        <v>131</v>
      </c>
      <c r="B137" s="182" t="str">
        <f t="shared" ca="1" si="9"/>
        <v>Tổ Hạ tầng Tân Ninh</v>
      </c>
      <c r="C137" s="61" t="str">
        <f t="shared" ca="1" si="2"/>
        <v>Trương Vũ Hải</v>
      </c>
      <c r="D137" s="183">
        <f t="shared" ca="1" si="3"/>
        <v>911039328</v>
      </c>
      <c r="E137" s="63" t="str">
        <f t="shared" ca="1" si="4"/>
        <v>tvhai.tnh@vnpt.vn</v>
      </c>
      <c r="F137" s="321" t="str">
        <f t="shared" ca="1" si="5"/>
        <v>Lần 3</v>
      </c>
      <c r="G137" s="356"/>
      <c r="H137" s="357"/>
      <c r="I137" s="63"/>
      <c r="J137" s="94"/>
      <c r="K137" s="94"/>
      <c r="L137" s="322"/>
      <c r="M137" s="323">
        <f t="shared" ca="1" si="6"/>
        <v>0</v>
      </c>
      <c r="N137" s="324">
        <f t="shared" ca="1" si="7"/>
        <v>0</v>
      </c>
      <c r="O137" s="68">
        <f t="shared" ca="1" si="8"/>
        <v>0</v>
      </c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 ht="15.75" customHeight="1">
      <c r="A138" s="59">
        <f t="shared" ca="1" si="1"/>
        <v>132</v>
      </c>
      <c r="B138" s="182" t="str">
        <f t="shared" ca="1" si="9"/>
        <v>Tổ Hạ tầng Tân Ninh</v>
      </c>
      <c r="C138" s="61" t="str">
        <f t="shared" ca="1" si="2"/>
        <v>Trương Vũ Hải</v>
      </c>
      <c r="D138" s="183">
        <f t="shared" ca="1" si="3"/>
        <v>911039328</v>
      </c>
      <c r="E138" s="63" t="str">
        <f t="shared" ca="1" si="4"/>
        <v>tvhai.tnh@vnpt.vn</v>
      </c>
      <c r="F138" s="321" t="str">
        <f t="shared" ca="1" si="5"/>
        <v>Lần 4</v>
      </c>
      <c r="G138" s="356"/>
      <c r="H138" s="357"/>
      <c r="I138" s="357"/>
      <c r="J138" s="94"/>
      <c r="K138" s="94"/>
      <c r="L138" s="322"/>
      <c r="M138" s="323">
        <f t="shared" ca="1" si="6"/>
        <v>0</v>
      </c>
      <c r="N138" s="324">
        <f t="shared" ca="1" si="7"/>
        <v>0</v>
      </c>
      <c r="O138" s="68">
        <f t="shared" ca="1" si="8"/>
        <v>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 ht="15.75" customHeight="1">
      <c r="A139" s="59">
        <f t="shared" ca="1" si="1"/>
        <v>133</v>
      </c>
      <c r="B139" s="182" t="str">
        <f t="shared" ca="1" si="9"/>
        <v>Tổ Hạ tầng Tân Ninh</v>
      </c>
      <c r="C139" s="61" t="str">
        <f t="shared" ca="1" si="2"/>
        <v>Trương Vũ Hải</v>
      </c>
      <c r="D139" s="183">
        <f t="shared" ca="1" si="3"/>
        <v>911039328</v>
      </c>
      <c r="E139" s="63" t="str">
        <f t="shared" ca="1" si="4"/>
        <v>tvhai.tnh@vnpt.vn</v>
      </c>
      <c r="F139" s="321" t="str">
        <f t="shared" ca="1" si="5"/>
        <v>Lần 5</v>
      </c>
      <c r="G139" s="356"/>
      <c r="H139" s="357"/>
      <c r="I139" s="63"/>
      <c r="J139" s="94"/>
      <c r="K139" s="94"/>
      <c r="L139" s="322"/>
      <c r="M139" s="323">
        <f t="shared" ca="1" si="6"/>
        <v>0</v>
      </c>
      <c r="N139" s="324">
        <f t="shared" ca="1" si="7"/>
        <v>0</v>
      </c>
      <c r="O139" s="68">
        <f t="shared" ca="1" si="8"/>
        <v>0</v>
      </c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 ht="15.75" customHeight="1">
      <c r="A140" s="59">
        <f t="shared" ca="1" si="1"/>
        <v>134</v>
      </c>
      <c r="B140" s="182" t="str">
        <f t="shared" ca="1" si="9"/>
        <v>Tổ Hạ tầng Tân Ninh</v>
      </c>
      <c r="C140" s="61" t="str">
        <f t="shared" ca="1" si="2"/>
        <v>Trương Vũ Hải</v>
      </c>
      <c r="D140" s="183">
        <f t="shared" ca="1" si="3"/>
        <v>911039328</v>
      </c>
      <c r="E140" s="63" t="str">
        <f t="shared" ca="1" si="4"/>
        <v>tvhai.tnh@vnpt.vn</v>
      </c>
      <c r="F140" s="321" t="str">
        <f t="shared" ca="1" si="5"/>
        <v>Lần 6</v>
      </c>
      <c r="G140" s="356"/>
      <c r="H140" s="357"/>
      <c r="I140" s="357"/>
      <c r="J140" s="94"/>
      <c r="K140" s="94"/>
      <c r="L140" s="322"/>
      <c r="M140" s="323">
        <f t="shared" ca="1" si="6"/>
        <v>0</v>
      </c>
      <c r="N140" s="324">
        <f t="shared" ca="1" si="7"/>
        <v>0</v>
      </c>
      <c r="O140" s="68">
        <f t="shared" ca="1" si="8"/>
        <v>0</v>
      </c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 ht="15.75" customHeight="1">
      <c r="A141" s="59">
        <f t="shared" ca="1" si="1"/>
        <v>135</v>
      </c>
      <c r="B141" s="182" t="str">
        <f t="shared" ca="1" si="9"/>
        <v>Tổ Hạ tầng Tân Ninh</v>
      </c>
      <c r="C141" s="61" t="str">
        <f t="shared" ca="1" si="2"/>
        <v>Trương Vũ Hải</v>
      </c>
      <c r="D141" s="183">
        <f t="shared" ca="1" si="3"/>
        <v>911039328</v>
      </c>
      <c r="E141" s="63" t="str">
        <f t="shared" ca="1" si="4"/>
        <v>tvhai.tnh@vnpt.vn</v>
      </c>
      <c r="F141" s="321" t="str">
        <f t="shared" ca="1" si="5"/>
        <v>Lần 7</v>
      </c>
      <c r="G141" s="356"/>
      <c r="H141" s="357"/>
      <c r="I141" s="357"/>
      <c r="J141" s="94"/>
      <c r="K141" s="94"/>
      <c r="L141" s="322"/>
      <c r="M141" s="323">
        <f t="shared" ca="1" si="6"/>
        <v>0</v>
      </c>
      <c r="N141" s="324">
        <f t="shared" ca="1" si="7"/>
        <v>0</v>
      </c>
      <c r="O141" s="68">
        <f t="shared" ca="1" si="8"/>
        <v>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 ht="15.75" customHeight="1">
      <c r="A142" s="59">
        <f t="shared" ca="1" si="1"/>
        <v>136</v>
      </c>
      <c r="B142" s="182" t="str">
        <f t="shared" ca="1" si="9"/>
        <v>Tổ Hạ tầng Tân Ninh</v>
      </c>
      <c r="C142" s="61" t="str">
        <f t="shared" ca="1" si="2"/>
        <v>Trương Vũ Hải</v>
      </c>
      <c r="D142" s="183">
        <f t="shared" ca="1" si="3"/>
        <v>911039328</v>
      </c>
      <c r="E142" s="63" t="str">
        <f t="shared" ca="1" si="4"/>
        <v>tvhai.tnh@vnpt.vn</v>
      </c>
      <c r="F142" s="321" t="str">
        <f t="shared" ca="1" si="5"/>
        <v>Lần 8</v>
      </c>
      <c r="G142" s="356"/>
      <c r="H142" s="357"/>
      <c r="I142" s="63"/>
      <c r="J142" s="94"/>
      <c r="K142" s="94"/>
      <c r="L142" s="322"/>
      <c r="M142" s="323">
        <f t="shared" ca="1" si="6"/>
        <v>0</v>
      </c>
      <c r="N142" s="324">
        <f t="shared" ca="1" si="7"/>
        <v>0</v>
      </c>
      <c r="O142" s="68">
        <f t="shared" ca="1" si="8"/>
        <v>0</v>
      </c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 ht="15.75" customHeight="1">
      <c r="A143" s="59">
        <f t="shared" ca="1" si="1"/>
        <v>137</v>
      </c>
      <c r="B143" s="182" t="str">
        <f t="shared" ca="1" si="9"/>
        <v>Tổ Hạ tầng Tân Ninh</v>
      </c>
      <c r="C143" s="61" t="str">
        <f t="shared" ca="1" si="2"/>
        <v>Trương Vũ Hải</v>
      </c>
      <c r="D143" s="183">
        <f t="shared" ca="1" si="3"/>
        <v>911039328</v>
      </c>
      <c r="E143" s="63" t="str">
        <f t="shared" ca="1" si="4"/>
        <v>tvhai.tnh@vnpt.vn</v>
      </c>
      <c r="F143" s="321" t="str">
        <f t="shared" ca="1" si="5"/>
        <v>Lần 9</v>
      </c>
      <c r="G143" s="356"/>
      <c r="H143" s="63"/>
      <c r="I143" s="357"/>
      <c r="J143" s="94"/>
      <c r="K143" s="94"/>
      <c r="L143" s="322"/>
      <c r="M143" s="323">
        <f t="shared" ca="1" si="6"/>
        <v>0</v>
      </c>
      <c r="N143" s="324">
        <f t="shared" ca="1" si="7"/>
        <v>0</v>
      </c>
      <c r="O143" s="68">
        <f t="shared" ca="1" si="8"/>
        <v>0</v>
      </c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 ht="15.75" customHeight="1">
      <c r="A144" s="59">
        <f t="shared" ca="1" si="1"/>
        <v>138</v>
      </c>
      <c r="B144" s="182" t="str">
        <f t="shared" ca="1" si="9"/>
        <v>Tổ Hạ tầng Tân Ninh</v>
      </c>
      <c r="C144" s="61" t="str">
        <f t="shared" ca="1" si="2"/>
        <v>Trương Vũ Hải</v>
      </c>
      <c r="D144" s="183">
        <f t="shared" ca="1" si="3"/>
        <v>911039328</v>
      </c>
      <c r="E144" s="63" t="str">
        <f t="shared" ca="1" si="4"/>
        <v>tvhai.tnh@vnpt.vn</v>
      </c>
      <c r="F144" s="321" t="str">
        <f t="shared" ca="1" si="5"/>
        <v>Lần 10</v>
      </c>
      <c r="G144" s="356"/>
      <c r="H144" s="63"/>
      <c r="I144" s="357"/>
      <c r="J144" s="94"/>
      <c r="K144" s="94"/>
      <c r="L144" s="322"/>
      <c r="M144" s="323">
        <f t="shared" ca="1" si="6"/>
        <v>0</v>
      </c>
      <c r="N144" s="324">
        <f t="shared" ca="1" si="7"/>
        <v>0</v>
      </c>
      <c r="O144" s="68">
        <f t="shared" ca="1" si="8"/>
        <v>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 ht="15.75" customHeight="1">
      <c r="A145" s="59">
        <f t="shared" ca="1" si="1"/>
        <v>139</v>
      </c>
      <c r="B145" s="182" t="str">
        <f t="shared" ca="1" si="9"/>
        <v>Tổ Hạ tầng Tân Ninh</v>
      </c>
      <c r="C145" s="61" t="str">
        <f t="shared" ca="1" si="2"/>
        <v>Trương Vũ Hải</v>
      </c>
      <c r="D145" s="183">
        <f t="shared" ca="1" si="3"/>
        <v>911039328</v>
      </c>
      <c r="E145" s="63" t="str">
        <f t="shared" ca="1" si="4"/>
        <v>tvhai.tnh@vnpt.vn</v>
      </c>
      <c r="F145" s="321" t="str">
        <f t="shared" ca="1" si="5"/>
        <v>Lần 11</v>
      </c>
      <c r="G145" s="356"/>
      <c r="H145" s="357"/>
      <c r="I145" s="357"/>
      <c r="J145" s="94"/>
      <c r="K145" s="94"/>
      <c r="L145" s="322"/>
      <c r="M145" s="323">
        <f t="shared" ca="1" si="6"/>
        <v>0</v>
      </c>
      <c r="N145" s="324">
        <f t="shared" ca="1" si="7"/>
        <v>0</v>
      </c>
      <c r="O145" s="68">
        <f t="shared" ca="1" si="8"/>
        <v>0</v>
      </c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 ht="15.75" customHeight="1">
      <c r="A146" s="59">
        <f t="shared" ca="1" si="1"/>
        <v>140</v>
      </c>
      <c r="B146" s="182" t="str">
        <f t="shared" ca="1" si="9"/>
        <v>Tổ Hạ tầng Tân Ninh</v>
      </c>
      <c r="C146" s="61" t="str">
        <f t="shared" ca="1" si="2"/>
        <v>Trương Vũ Hải</v>
      </c>
      <c r="D146" s="183">
        <f t="shared" ca="1" si="3"/>
        <v>911039328</v>
      </c>
      <c r="E146" s="63" t="str">
        <f t="shared" ca="1" si="4"/>
        <v>tvhai.tnh@vnpt.vn</v>
      </c>
      <c r="F146" s="321" t="str">
        <f t="shared" ca="1" si="5"/>
        <v>Lần 12</v>
      </c>
      <c r="G146" s="356"/>
      <c r="H146" s="63"/>
      <c r="I146" s="357"/>
      <c r="J146" s="94"/>
      <c r="K146" s="94"/>
      <c r="L146" s="322"/>
      <c r="M146" s="323">
        <f t="shared" ca="1" si="6"/>
        <v>0</v>
      </c>
      <c r="N146" s="324">
        <f t="shared" ca="1" si="7"/>
        <v>0</v>
      </c>
      <c r="O146" s="68">
        <f t="shared" ca="1" si="8"/>
        <v>0</v>
      </c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 ht="15.75" customHeight="1">
      <c r="A147" s="59">
        <f t="shared" ca="1" si="1"/>
        <v>141</v>
      </c>
      <c r="B147" s="182" t="str">
        <f t="shared" ca="1" si="9"/>
        <v>Tổ Hạ tầng Tân Ninh</v>
      </c>
      <c r="C147" s="61" t="str">
        <f t="shared" ca="1" si="2"/>
        <v>Trương Vũ Hải</v>
      </c>
      <c r="D147" s="183">
        <f t="shared" ca="1" si="3"/>
        <v>911039328</v>
      </c>
      <c r="E147" s="63" t="str">
        <f t="shared" ca="1" si="4"/>
        <v>tvhai.tnh@vnpt.vn</v>
      </c>
      <c r="F147" s="321" t="str">
        <f t="shared" ca="1" si="5"/>
        <v>Lần 13</v>
      </c>
      <c r="G147" s="356"/>
      <c r="H147" s="357"/>
      <c r="I147" s="357"/>
      <c r="J147" s="94"/>
      <c r="K147" s="94"/>
      <c r="L147" s="322"/>
      <c r="M147" s="323">
        <f t="shared" ca="1" si="6"/>
        <v>0</v>
      </c>
      <c r="N147" s="324">
        <f t="shared" ca="1" si="7"/>
        <v>0</v>
      </c>
      <c r="O147" s="68">
        <f t="shared" ca="1" si="8"/>
        <v>0</v>
      </c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 ht="15.75" customHeight="1">
      <c r="A148" s="59">
        <f t="shared" ca="1" si="1"/>
        <v>142</v>
      </c>
      <c r="B148" s="182" t="str">
        <f t="shared" ca="1" si="9"/>
        <v>Tổ Hạ tầng Tân Ninh</v>
      </c>
      <c r="C148" s="61" t="str">
        <f t="shared" ca="1" si="2"/>
        <v>Trương Vũ Hải</v>
      </c>
      <c r="D148" s="183">
        <f t="shared" ca="1" si="3"/>
        <v>911039328</v>
      </c>
      <c r="E148" s="63" t="str">
        <f t="shared" ca="1" si="4"/>
        <v>tvhai.tnh@vnpt.vn</v>
      </c>
      <c r="F148" s="321" t="str">
        <f t="shared" ca="1" si="5"/>
        <v>Lần 14</v>
      </c>
      <c r="G148" s="356"/>
      <c r="H148" s="63"/>
      <c r="I148" s="63"/>
      <c r="J148" s="94"/>
      <c r="K148" s="94"/>
      <c r="L148" s="322"/>
      <c r="M148" s="323">
        <f t="shared" ca="1" si="6"/>
        <v>0</v>
      </c>
      <c r="N148" s="324">
        <f t="shared" ca="1" si="7"/>
        <v>0</v>
      </c>
      <c r="O148" s="68">
        <f t="shared" ca="1" si="8"/>
        <v>0</v>
      </c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 ht="15.75" customHeight="1">
      <c r="A149" s="59">
        <f t="shared" ca="1" si="1"/>
        <v>143</v>
      </c>
      <c r="B149" s="182" t="str">
        <f t="shared" ca="1" si="9"/>
        <v>Tổ Hạ tầng Tân Ninh</v>
      </c>
      <c r="C149" s="61" t="str">
        <f t="shared" ca="1" si="2"/>
        <v>Trương Vũ Hải</v>
      </c>
      <c r="D149" s="183">
        <f t="shared" ca="1" si="3"/>
        <v>911039328</v>
      </c>
      <c r="E149" s="63" t="str">
        <f t="shared" ca="1" si="4"/>
        <v>tvhai.tnh@vnpt.vn</v>
      </c>
      <c r="F149" s="321" t="str">
        <f t="shared" ca="1" si="5"/>
        <v>Lần 15</v>
      </c>
      <c r="G149" s="356"/>
      <c r="H149" s="357"/>
      <c r="I149" s="357"/>
      <c r="J149" s="94"/>
      <c r="K149" s="94"/>
      <c r="L149" s="322"/>
      <c r="M149" s="323">
        <f t="shared" ca="1" si="6"/>
        <v>0</v>
      </c>
      <c r="N149" s="324">
        <f t="shared" ca="1" si="7"/>
        <v>0</v>
      </c>
      <c r="O149" s="68">
        <f t="shared" ca="1" si="8"/>
        <v>0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 ht="15.75" customHeight="1">
      <c r="A150" s="59">
        <f t="shared" ca="1" si="1"/>
        <v>144</v>
      </c>
      <c r="B150" s="185" t="str">
        <f t="shared" ca="1" si="9"/>
        <v>Tổ Hạ tầng Tân Ninh</v>
      </c>
      <c r="C150" s="82" t="str">
        <f t="shared" ca="1" si="2"/>
        <v>Trương Vũ Hải</v>
      </c>
      <c r="D150" s="186">
        <f t="shared" ca="1" si="3"/>
        <v>911039328</v>
      </c>
      <c r="E150" s="84" t="str">
        <f t="shared" ca="1" si="4"/>
        <v>tvhai.tnh@vnpt.vn</v>
      </c>
      <c r="F150" s="325" t="str">
        <f t="shared" ca="1" si="5"/>
        <v>Lần 16</v>
      </c>
      <c r="G150" s="356"/>
      <c r="H150" s="357"/>
      <c r="I150" s="357"/>
      <c r="J150" s="94"/>
      <c r="K150" s="94"/>
      <c r="L150" s="326"/>
      <c r="M150" s="327">
        <f t="shared" ca="1" si="6"/>
        <v>0</v>
      </c>
      <c r="N150" s="328">
        <f t="shared" ca="1" si="7"/>
        <v>0</v>
      </c>
      <c r="O150" s="68">
        <f t="shared" ca="1" si="8"/>
        <v>0</v>
      </c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 ht="15.75" customHeight="1">
      <c r="A151" s="59">
        <f t="shared" ca="1" si="1"/>
        <v>145</v>
      </c>
      <c r="B151" s="190" t="str">
        <f t="shared" ca="1" si="9"/>
        <v>Tổ Hạ tầng Tân Ninh</v>
      </c>
      <c r="C151" s="48" t="str">
        <f t="shared" ca="1" si="2"/>
        <v>Nguyễn Hoàng Đạt</v>
      </c>
      <c r="D151" s="191">
        <f t="shared" ca="1" si="3"/>
        <v>833823127</v>
      </c>
      <c r="E151" s="50" t="str">
        <f t="shared" ca="1" si="4"/>
        <v>datnh.tnh@vnpt.vn</v>
      </c>
      <c r="F151" s="318" t="str">
        <f t="shared" ca="1" si="5"/>
        <v>Lần 1</v>
      </c>
      <c r="G151" s="112">
        <v>46204</v>
      </c>
      <c r="H151" s="113" t="s">
        <v>317</v>
      </c>
      <c r="I151" s="113" t="s">
        <v>481</v>
      </c>
      <c r="J151" s="114" t="s">
        <v>482</v>
      </c>
      <c r="K151" s="114" t="s">
        <v>319</v>
      </c>
      <c r="L151" s="353"/>
      <c r="M151" s="329">
        <f t="shared" ca="1" si="6"/>
        <v>1</v>
      </c>
      <c r="N151" s="330">
        <f t="shared" ca="1" si="7"/>
        <v>1</v>
      </c>
      <c r="O151" s="68">
        <f t="shared" ca="1" si="8"/>
        <v>1</v>
      </c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 ht="15.75" customHeight="1">
      <c r="A152" s="59">
        <f t="shared" ca="1" si="1"/>
        <v>146</v>
      </c>
      <c r="B152" s="182" t="str">
        <f t="shared" ca="1" si="9"/>
        <v>Tổ Hạ tầng Tân Ninh</v>
      </c>
      <c r="C152" s="61" t="str">
        <f t="shared" ca="1" si="2"/>
        <v>Nguyễn Hoàng Đạt</v>
      </c>
      <c r="D152" s="183">
        <f t="shared" ca="1" si="3"/>
        <v>833823127</v>
      </c>
      <c r="E152" s="63" t="str">
        <f t="shared" ca="1" si="4"/>
        <v>datnh.tnh@vnpt.vn</v>
      </c>
      <c r="F152" s="321" t="str">
        <f t="shared" ca="1" si="5"/>
        <v>Lần 2</v>
      </c>
      <c r="G152" s="112">
        <v>46204</v>
      </c>
      <c r="H152" s="113" t="s">
        <v>483</v>
      </c>
      <c r="I152" s="113" t="s">
        <v>306</v>
      </c>
      <c r="J152" s="114" t="s">
        <v>484</v>
      </c>
      <c r="K152" s="114" t="s">
        <v>485</v>
      </c>
      <c r="L152" s="333"/>
      <c r="M152" s="323">
        <f t="shared" ca="1" si="6"/>
        <v>1</v>
      </c>
      <c r="N152" s="332">
        <f t="shared" ca="1" si="7"/>
        <v>1</v>
      </c>
      <c r="O152" s="68">
        <f t="shared" ca="1" si="8"/>
        <v>1</v>
      </c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 ht="15.75" customHeight="1">
      <c r="A153" s="59">
        <f t="shared" ca="1" si="1"/>
        <v>147</v>
      </c>
      <c r="B153" s="182" t="str">
        <f t="shared" ca="1" si="9"/>
        <v>Tổ Hạ tầng Tân Ninh</v>
      </c>
      <c r="C153" s="61" t="str">
        <f t="shared" ca="1" si="2"/>
        <v>Nguyễn Hoàng Đạt</v>
      </c>
      <c r="D153" s="183">
        <f t="shared" ca="1" si="3"/>
        <v>833823127</v>
      </c>
      <c r="E153" s="63" t="str">
        <f t="shared" ca="1" si="4"/>
        <v>datnh.tnh@vnpt.vn</v>
      </c>
      <c r="F153" s="321" t="str">
        <f t="shared" ca="1" si="5"/>
        <v>Lần 3</v>
      </c>
      <c r="G153" s="112">
        <v>46204</v>
      </c>
      <c r="H153" s="113" t="s">
        <v>486</v>
      </c>
      <c r="I153" s="113" t="s">
        <v>487</v>
      </c>
      <c r="J153" s="113" t="s">
        <v>488</v>
      </c>
      <c r="K153" s="113" t="s">
        <v>489</v>
      </c>
      <c r="L153" s="333"/>
      <c r="M153" s="323">
        <f t="shared" ca="1" si="6"/>
        <v>1</v>
      </c>
      <c r="N153" s="332">
        <f t="shared" ca="1" si="7"/>
        <v>1</v>
      </c>
      <c r="O153" s="68">
        <f t="shared" ca="1" si="8"/>
        <v>1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 ht="15.75" customHeight="1">
      <c r="A154" s="59">
        <f t="shared" ca="1" si="1"/>
        <v>148</v>
      </c>
      <c r="B154" s="182" t="str">
        <f t="shared" ca="1" si="9"/>
        <v>Tổ Hạ tầng Tân Ninh</v>
      </c>
      <c r="C154" s="61" t="str">
        <f t="shared" ca="1" si="2"/>
        <v>Nguyễn Hoàng Đạt</v>
      </c>
      <c r="D154" s="183">
        <f t="shared" ca="1" si="3"/>
        <v>833823127</v>
      </c>
      <c r="E154" s="63" t="str">
        <f t="shared" ca="1" si="4"/>
        <v>datnh.tnh@vnpt.vn</v>
      </c>
      <c r="F154" s="321" t="str">
        <f t="shared" ca="1" si="5"/>
        <v>Lần 4</v>
      </c>
      <c r="G154" s="112">
        <v>46204</v>
      </c>
      <c r="H154" s="113" t="s">
        <v>490</v>
      </c>
      <c r="I154" s="113" t="s">
        <v>481</v>
      </c>
      <c r="J154" s="114" t="s">
        <v>491</v>
      </c>
      <c r="K154" s="114" t="s">
        <v>481</v>
      </c>
      <c r="L154" s="333"/>
      <c r="M154" s="323">
        <f t="shared" ca="1" si="6"/>
        <v>1</v>
      </c>
      <c r="N154" s="332">
        <f t="shared" ca="1" si="7"/>
        <v>1</v>
      </c>
      <c r="O154" s="68">
        <f t="shared" ca="1" si="8"/>
        <v>1</v>
      </c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 ht="15.75" customHeight="1">
      <c r="A155" s="59">
        <f t="shared" ca="1" si="1"/>
        <v>149</v>
      </c>
      <c r="B155" s="182" t="str">
        <f t="shared" ca="1" si="9"/>
        <v>Tổ Hạ tầng Tân Ninh</v>
      </c>
      <c r="C155" s="61" t="str">
        <f t="shared" ca="1" si="2"/>
        <v>Nguyễn Hoàng Đạt</v>
      </c>
      <c r="D155" s="183">
        <f t="shared" ca="1" si="3"/>
        <v>833823127</v>
      </c>
      <c r="E155" s="63" t="str">
        <f t="shared" ca="1" si="4"/>
        <v>datnh.tnh@vnpt.vn</v>
      </c>
      <c r="F155" s="321" t="str">
        <f t="shared" ca="1" si="5"/>
        <v>Lần 5</v>
      </c>
      <c r="G155" s="112">
        <v>46204</v>
      </c>
      <c r="H155" s="113" t="s">
        <v>492</v>
      </c>
      <c r="I155" s="113" t="s">
        <v>489</v>
      </c>
      <c r="J155" s="114" t="s">
        <v>493</v>
      </c>
      <c r="K155" s="114" t="s">
        <v>494</v>
      </c>
      <c r="L155" s="333"/>
      <c r="M155" s="323">
        <f t="shared" ca="1" si="6"/>
        <v>1</v>
      </c>
      <c r="N155" s="332">
        <f t="shared" ca="1" si="7"/>
        <v>1</v>
      </c>
      <c r="O155" s="68">
        <f t="shared" ca="1" si="8"/>
        <v>1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 ht="15.75" customHeight="1">
      <c r="A156" s="59">
        <f t="shared" ca="1" si="1"/>
        <v>150</v>
      </c>
      <c r="B156" s="182" t="str">
        <f t="shared" ca="1" si="9"/>
        <v>Tổ Hạ tầng Tân Ninh</v>
      </c>
      <c r="C156" s="61" t="str">
        <f t="shared" ca="1" si="2"/>
        <v>Nguyễn Hoàng Đạt</v>
      </c>
      <c r="D156" s="183">
        <f t="shared" ca="1" si="3"/>
        <v>833823127</v>
      </c>
      <c r="E156" s="63" t="str">
        <f t="shared" ca="1" si="4"/>
        <v>datnh.tnh@vnpt.vn</v>
      </c>
      <c r="F156" s="321" t="str">
        <f t="shared" ca="1" si="5"/>
        <v>Lần 6</v>
      </c>
      <c r="G156" s="112">
        <v>46204</v>
      </c>
      <c r="H156" s="113" t="s">
        <v>301</v>
      </c>
      <c r="I156" s="113" t="s">
        <v>302</v>
      </c>
      <c r="J156" s="113" t="s">
        <v>303</v>
      </c>
      <c r="K156" s="113" t="s">
        <v>304</v>
      </c>
      <c r="L156" s="359"/>
      <c r="M156" s="323">
        <f t="shared" ca="1" si="6"/>
        <v>1</v>
      </c>
      <c r="N156" s="332">
        <f t="shared" ca="1" si="7"/>
        <v>1</v>
      </c>
      <c r="O156" s="68">
        <f t="shared" ca="1" si="8"/>
        <v>1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 ht="15.75" customHeight="1">
      <c r="A157" s="59">
        <f t="shared" ca="1" si="1"/>
        <v>151</v>
      </c>
      <c r="B157" s="182" t="str">
        <f t="shared" ca="1" si="9"/>
        <v>Tổ Hạ tầng Tân Ninh</v>
      </c>
      <c r="C157" s="61" t="str">
        <f t="shared" ca="1" si="2"/>
        <v>Nguyễn Hoàng Đạt</v>
      </c>
      <c r="D157" s="183">
        <f t="shared" ca="1" si="3"/>
        <v>833823127</v>
      </c>
      <c r="E157" s="63" t="str">
        <f t="shared" ca="1" si="4"/>
        <v>datnh.tnh@vnpt.vn</v>
      </c>
      <c r="F157" s="321" t="str">
        <f t="shared" ca="1" si="5"/>
        <v>Lần 7</v>
      </c>
      <c r="G157" s="112">
        <v>46204</v>
      </c>
      <c r="H157" s="113" t="s">
        <v>305</v>
      </c>
      <c r="I157" s="113" t="s">
        <v>306</v>
      </c>
      <c r="J157" s="114" t="s">
        <v>307</v>
      </c>
      <c r="K157" s="114" t="s">
        <v>308</v>
      </c>
      <c r="L157" s="359"/>
      <c r="M157" s="323">
        <f t="shared" ca="1" si="6"/>
        <v>1</v>
      </c>
      <c r="N157" s="332">
        <f t="shared" ca="1" si="7"/>
        <v>1</v>
      </c>
      <c r="O157" s="68">
        <f t="shared" ca="1" si="8"/>
        <v>1</v>
      </c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 ht="15.75" customHeight="1">
      <c r="A158" s="59">
        <f t="shared" ca="1" si="1"/>
        <v>152</v>
      </c>
      <c r="B158" s="182" t="str">
        <f t="shared" ca="1" si="9"/>
        <v>Tổ Hạ tầng Tân Ninh</v>
      </c>
      <c r="C158" s="61" t="str">
        <f t="shared" ca="1" si="2"/>
        <v>Nguyễn Hoàng Đạt</v>
      </c>
      <c r="D158" s="183">
        <f t="shared" ca="1" si="3"/>
        <v>833823127</v>
      </c>
      <c r="E158" s="63" t="str">
        <f t="shared" ca="1" si="4"/>
        <v>datnh.tnh@vnpt.vn</v>
      </c>
      <c r="F158" s="321" t="str">
        <f t="shared" ca="1" si="5"/>
        <v>Lần 8</v>
      </c>
      <c r="G158" s="112">
        <v>46205</v>
      </c>
      <c r="H158" s="113" t="s">
        <v>309</v>
      </c>
      <c r="I158" s="113" t="s">
        <v>310</v>
      </c>
      <c r="J158" s="114" t="s">
        <v>311</v>
      </c>
      <c r="K158" s="114" t="s">
        <v>312</v>
      </c>
      <c r="L158" s="359"/>
      <c r="M158" s="323">
        <f t="shared" ca="1" si="6"/>
        <v>1</v>
      </c>
      <c r="N158" s="332">
        <f t="shared" ca="1" si="7"/>
        <v>1</v>
      </c>
      <c r="O158" s="68">
        <f t="shared" ca="1" si="8"/>
        <v>1</v>
      </c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 ht="15.75" customHeight="1">
      <c r="A159" s="59">
        <f t="shared" ca="1" si="1"/>
        <v>153</v>
      </c>
      <c r="B159" s="182" t="str">
        <f t="shared" ca="1" si="9"/>
        <v>Tổ Hạ tầng Tân Ninh</v>
      </c>
      <c r="C159" s="61" t="str">
        <f t="shared" ca="1" si="2"/>
        <v>Nguyễn Hoàng Đạt</v>
      </c>
      <c r="D159" s="183">
        <f t="shared" ca="1" si="3"/>
        <v>833823127</v>
      </c>
      <c r="E159" s="63" t="str">
        <f t="shared" ca="1" si="4"/>
        <v>datnh.tnh@vnpt.vn</v>
      </c>
      <c r="F159" s="321" t="str">
        <f t="shared" ca="1" si="5"/>
        <v>Lần 9</v>
      </c>
      <c r="G159" s="112">
        <v>46205</v>
      </c>
      <c r="H159" s="113" t="s">
        <v>313</v>
      </c>
      <c r="I159" s="113" t="s">
        <v>314</v>
      </c>
      <c r="J159" s="113" t="s">
        <v>315</v>
      </c>
      <c r="K159" s="113" t="s">
        <v>316</v>
      </c>
      <c r="L159" s="359"/>
      <c r="M159" s="323">
        <f t="shared" ca="1" si="6"/>
        <v>1</v>
      </c>
      <c r="N159" s="332">
        <f t="shared" ca="1" si="7"/>
        <v>1</v>
      </c>
      <c r="O159" s="68">
        <f t="shared" ca="1" si="8"/>
        <v>1</v>
      </c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 ht="15.75" customHeight="1">
      <c r="A160" s="59">
        <f t="shared" ca="1" si="1"/>
        <v>154</v>
      </c>
      <c r="B160" s="182" t="str">
        <f t="shared" ca="1" si="9"/>
        <v>Tổ Hạ tầng Tân Ninh</v>
      </c>
      <c r="C160" s="61" t="str">
        <f t="shared" ca="1" si="2"/>
        <v>Nguyễn Hoàng Đạt</v>
      </c>
      <c r="D160" s="183">
        <f t="shared" ca="1" si="3"/>
        <v>833823127</v>
      </c>
      <c r="E160" s="63" t="str">
        <f t="shared" ca="1" si="4"/>
        <v>datnh.tnh@vnpt.vn</v>
      </c>
      <c r="F160" s="321" t="str">
        <f t="shared" ca="1" si="5"/>
        <v>Lần 10</v>
      </c>
      <c r="G160" s="112">
        <v>46205</v>
      </c>
      <c r="H160" s="113" t="s">
        <v>317</v>
      </c>
      <c r="I160" s="113" t="s">
        <v>308</v>
      </c>
      <c r="J160" s="114" t="s">
        <v>318</v>
      </c>
      <c r="K160" s="114" t="s">
        <v>319</v>
      </c>
      <c r="L160" s="359"/>
      <c r="M160" s="323">
        <f t="shared" ca="1" si="6"/>
        <v>1</v>
      </c>
      <c r="N160" s="332">
        <f t="shared" ca="1" si="7"/>
        <v>1</v>
      </c>
      <c r="O160" s="68">
        <f t="shared" ca="1" si="8"/>
        <v>1</v>
      </c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 ht="15.75" customHeight="1">
      <c r="A161" s="59">
        <f t="shared" ca="1" si="1"/>
        <v>155</v>
      </c>
      <c r="B161" s="182" t="str">
        <f t="shared" ca="1" si="9"/>
        <v>Tổ Hạ tầng Tân Ninh</v>
      </c>
      <c r="C161" s="61" t="str">
        <f t="shared" ca="1" si="2"/>
        <v>Nguyễn Hoàng Đạt</v>
      </c>
      <c r="D161" s="183">
        <f t="shared" ca="1" si="3"/>
        <v>833823127</v>
      </c>
      <c r="E161" s="63" t="str">
        <f t="shared" ca="1" si="4"/>
        <v>datnh.tnh@vnpt.vn</v>
      </c>
      <c r="F161" s="321" t="str">
        <f t="shared" ca="1" si="5"/>
        <v>Lần 11</v>
      </c>
      <c r="G161" s="112">
        <v>46205</v>
      </c>
      <c r="H161" s="113" t="s">
        <v>328</v>
      </c>
      <c r="I161" s="113" t="s">
        <v>495</v>
      </c>
      <c r="J161" s="114" t="s">
        <v>311</v>
      </c>
      <c r="K161" s="114" t="s">
        <v>312</v>
      </c>
      <c r="L161" s="359"/>
      <c r="M161" s="323">
        <f t="shared" ca="1" si="6"/>
        <v>1</v>
      </c>
      <c r="N161" s="332">
        <f t="shared" ca="1" si="7"/>
        <v>1</v>
      </c>
      <c r="O161" s="68">
        <f t="shared" ca="1" si="8"/>
        <v>1</v>
      </c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 ht="15.75" customHeight="1">
      <c r="A162" s="59">
        <f t="shared" ca="1" si="1"/>
        <v>156</v>
      </c>
      <c r="B162" s="182" t="str">
        <f t="shared" ca="1" si="9"/>
        <v>Tổ Hạ tầng Tân Ninh</v>
      </c>
      <c r="C162" s="61" t="str">
        <f t="shared" ca="1" si="2"/>
        <v>Nguyễn Hoàng Đạt</v>
      </c>
      <c r="D162" s="183">
        <f t="shared" ca="1" si="3"/>
        <v>833823127</v>
      </c>
      <c r="E162" s="63" t="str">
        <f t="shared" ca="1" si="4"/>
        <v>datnh.tnh@vnpt.vn</v>
      </c>
      <c r="F162" s="321" t="str">
        <f t="shared" ca="1" si="5"/>
        <v>Lần 12</v>
      </c>
      <c r="G162" s="112">
        <v>46205</v>
      </c>
      <c r="H162" s="113" t="s">
        <v>496</v>
      </c>
      <c r="I162" s="113" t="s">
        <v>333</v>
      </c>
      <c r="J162" s="113" t="s">
        <v>315</v>
      </c>
      <c r="K162" s="113" t="s">
        <v>316</v>
      </c>
      <c r="L162" s="359"/>
      <c r="M162" s="323">
        <f t="shared" ca="1" si="6"/>
        <v>1</v>
      </c>
      <c r="N162" s="332">
        <f t="shared" ca="1" si="7"/>
        <v>1</v>
      </c>
      <c r="O162" s="68">
        <f t="shared" ca="1" si="8"/>
        <v>1</v>
      </c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 ht="15.75" customHeight="1">
      <c r="A163" s="59">
        <f t="shared" ca="1" si="1"/>
        <v>157</v>
      </c>
      <c r="B163" s="182" t="str">
        <f t="shared" ca="1" si="9"/>
        <v>Tổ Hạ tầng Tân Ninh</v>
      </c>
      <c r="C163" s="61" t="str">
        <f t="shared" ca="1" si="2"/>
        <v>Nguyễn Hoàng Đạt</v>
      </c>
      <c r="D163" s="183">
        <f t="shared" ca="1" si="3"/>
        <v>833823127</v>
      </c>
      <c r="E163" s="63" t="str">
        <f t="shared" ca="1" si="4"/>
        <v>datnh.tnh@vnpt.vn</v>
      </c>
      <c r="F163" s="321" t="str">
        <f t="shared" ca="1" si="5"/>
        <v>Lần 13</v>
      </c>
      <c r="G163" s="112">
        <v>46206</v>
      </c>
      <c r="H163" s="113" t="s">
        <v>497</v>
      </c>
      <c r="I163" s="113" t="s">
        <v>498</v>
      </c>
      <c r="J163" s="114" t="s">
        <v>318</v>
      </c>
      <c r="K163" s="114" t="s">
        <v>319</v>
      </c>
      <c r="L163" s="359"/>
      <c r="M163" s="323">
        <f t="shared" ca="1" si="6"/>
        <v>1</v>
      </c>
      <c r="N163" s="332">
        <f t="shared" ca="1" si="7"/>
        <v>1</v>
      </c>
      <c r="O163" s="68">
        <f t="shared" ca="1" si="8"/>
        <v>1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 ht="15.75" customHeight="1">
      <c r="A164" s="59">
        <f t="shared" ca="1" si="1"/>
        <v>158</v>
      </c>
      <c r="B164" s="182" t="str">
        <f t="shared" ca="1" si="9"/>
        <v>Tổ Hạ tầng Tân Ninh</v>
      </c>
      <c r="C164" s="61" t="str">
        <f t="shared" ca="1" si="2"/>
        <v>Nguyễn Hoàng Đạt</v>
      </c>
      <c r="D164" s="183">
        <f t="shared" ca="1" si="3"/>
        <v>833823127</v>
      </c>
      <c r="E164" s="63" t="str">
        <f t="shared" ca="1" si="4"/>
        <v>datnh.tnh@vnpt.vn</v>
      </c>
      <c r="F164" s="321" t="str">
        <f t="shared" ca="1" si="5"/>
        <v>Lần 14</v>
      </c>
      <c r="G164" s="112">
        <v>46206</v>
      </c>
      <c r="H164" s="113" t="s">
        <v>320</v>
      </c>
      <c r="I164" s="113" t="s">
        <v>321</v>
      </c>
      <c r="J164" s="114" t="s">
        <v>311</v>
      </c>
      <c r="K164" s="114" t="s">
        <v>312</v>
      </c>
      <c r="L164" s="359"/>
      <c r="M164" s="323">
        <f t="shared" ca="1" si="6"/>
        <v>1</v>
      </c>
      <c r="N164" s="332">
        <f t="shared" ca="1" si="7"/>
        <v>1</v>
      </c>
      <c r="O164" s="68">
        <f t="shared" ca="1" si="8"/>
        <v>1</v>
      </c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 ht="15.75" customHeight="1">
      <c r="A165" s="59">
        <f t="shared" ca="1" si="1"/>
        <v>159</v>
      </c>
      <c r="B165" s="182" t="str">
        <f t="shared" ca="1" si="9"/>
        <v>Tổ Hạ tầng Tân Ninh</v>
      </c>
      <c r="C165" s="61" t="str">
        <f t="shared" ca="1" si="2"/>
        <v>Nguyễn Hoàng Đạt</v>
      </c>
      <c r="D165" s="183">
        <f t="shared" ca="1" si="3"/>
        <v>833823127</v>
      </c>
      <c r="E165" s="63" t="str">
        <f t="shared" ca="1" si="4"/>
        <v>datnh.tnh@vnpt.vn</v>
      </c>
      <c r="F165" s="321" t="str">
        <f t="shared" ca="1" si="5"/>
        <v>Lần 15</v>
      </c>
      <c r="G165" s="112">
        <v>46206</v>
      </c>
      <c r="H165" s="113" t="s">
        <v>322</v>
      </c>
      <c r="I165" s="113" t="s">
        <v>323</v>
      </c>
      <c r="J165" s="113" t="s">
        <v>315</v>
      </c>
      <c r="K165" s="113" t="s">
        <v>316</v>
      </c>
      <c r="L165" s="359"/>
      <c r="M165" s="323">
        <f t="shared" ca="1" si="6"/>
        <v>1</v>
      </c>
      <c r="N165" s="332">
        <f t="shared" ca="1" si="7"/>
        <v>1</v>
      </c>
      <c r="O165" s="68">
        <f t="shared" ca="1" si="8"/>
        <v>1</v>
      </c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 ht="15.75" customHeight="1">
      <c r="A166" s="59">
        <f t="shared" ca="1" si="1"/>
        <v>160</v>
      </c>
      <c r="B166" s="196" t="str">
        <f t="shared" ca="1" si="9"/>
        <v>Tổ Hạ tầng Tân Ninh</v>
      </c>
      <c r="C166" s="102" t="str">
        <f t="shared" ca="1" si="2"/>
        <v>Nguyễn Hoàng Đạt</v>
      </c>
      <c r="D166" s="197">
        <f t="shared" ca="1" si="3"/>
        <v>833823127</v>
      </c>
      <c r="E166" s="104" t="str">
        <f t="shared" ca="1" si="4"/>
        <v>datnh.tnh@vnpt.vn</v>
      </c>
      <c r="F166" s="335" t="str">
        <f t="shared" ca="1" si="5"/>
        <v>Lần 16</v>
      </c>
      <c r="G166" s="112">
        <v>46206</v>
      </c>
      <c r="H166" s="113" t="s">
        <v>322</v>
      </c>
      <c r="I166" s="113" t="s">
        <v>498</v>
      </c>
      <c r="J166" s="114" t="s">
        <v>318</v>
      </c>
      <c r="K166" s="114" t="s">
        <v>319</v>
      </c>
      <c r="L166" s="360"/>
      <c r="M166" s="337">
        <f t="shared" ca="1" si="6"/>
        <v>1</v>
      </c>
      <c r="N166" s="338">
        <f t="shared" ca="1" si="7"/>
        <v>1</v>
      </c>
      <c r="O166" s="68">
        <f t="shared" ca="1" si="8"/>
        <v>1</v>
      </c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 ht="15.75" customHeight="1">
      <c r="A167" s="59">
        <f t="shared" ca="1" si="1"/>
        <v>161</v>
      </c>
      <c r="B167" s="204" t="str">
        <f t="shared" ca="1" si="9"/>
        <v>Tổ Hạ tầng Tân Ninh</v>
      </c>
      <c r="C167" s="108" t="str">
        <f t="shared" ca="1" si="2"/>
        <v>Lê Quốc Trung Thông</v>
      </c>
      <c r="D167" s="205">
        <f t="shared" ca="1" si="3"/>
        <v>949939268</v>
      </c>
      <c r="E167" s="110" t="str">
        <f t="shared" ca="1" si="4"/>
        <v>thonglqt.tnh@vnpt.vn</v>
      </c>
      <c r="F167" s="339" t="str">
        <f t="shared" ca="1" si="5"/>
        <v>Lần 1</v>
      </c>
      <c r="G167" s="112">
        <v>46206</v>
      </c>
      <c r="H167" s="113" t="s">
        <v>497</v>
      </c>
      <c r="I167" s="113" t="s">
        <v>498</v>
      </c>
      <c r="J167" s="114" t="s">
        <v>318</v>
      </c>
      <c r="K167" s="114" t="s">
        <v>319</v>
      </c>
      <c r="L167" s="358"/>
      <c r="M167" s="341">
        <f t="shared" ca="1" si="6"/>
        <v>1</v>
      </c>
      <c r="N167" s="342">
        <f t="shared" ca="1" si="7"/>
        <v>1</v>
      </c>
      <c r="O167" s="68">
        <f t="shared" ca="1" si="8"/>
        <v>1</v>
      </c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 ht="15.75" customHeight="1">
      <c r="A168" s="59">
        <f t="shared" ca="1" si="1"/>
        <v>162</v>
      </c>
      <c r="B168" s="182" t="str">
        <f t="shared" ca="1" si="9"/>
        <v>Tổ Hạ tầng Tân Ninh</v>
      </c>
      <c r="C168" s="61" t="str">
        <f t="shared" ca="1" si="2"/>
        <v>Lê Quốc Trung Thông</v>
      </c>
      <c r="D168" s="183">
        <f t="shared" ca="1" si="3"/>
        <v>949939268</v>
      </c>
      <c r="E168" s="63" t="str">
        <f t="shared" ca="1" si="4"/>
        <v>thonglqt.tnh@vnpt.vn</v>
      </c>
      <c r="F168" s="321" t="str">
        <f t="shared" ca="1" si="5"/>
        <v>Lần 2</v>
      </c>
      <c r="G168" s="112">
        <v>46206</v>
      </c>
      <c r="H168" s="113" t="s">
        <v>320</v>
      </c>
      <c r="I168" s="113" t="s">
        <v>321</v>
      </c>
      <c r="J168" s="114" t="s">
        <v>311</v>
      </c>
      <c r="K168" s="114" t="s">
        <v>312</v>
      </c>
      <c r="L168" s="322"/>
      <c r="M168" s="323">
        <f t="shared" ca="1" si="6"/>
        <v>1</v>
      </c>
      <c r="N168" s="324">
        <f t="shared" ca="1" si="7"/>
        <v>1</v>
      </c>
      <c r="O168" s="68">
        <f t="shared" ca="1" si="8"/>
        <v>1</v>
      </c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 ht="15.75" customHeight="1">
      <c r="A169" s="59">
        <f t="shared" ca="1" si="1"/>
        <v>163</v>
      </c>
      <c r="B169" s="182" t="str">
        <f t="shared" ca="1" si="9"/>
        <v>Tổ Hạ tầng Tân Ninh</v>
      </c>
      <c r="C169" s="61" t="str">
        <f t="shared" ca="1" si="2"/>
        <v>Lê Quốc Trung Thông</v>
      </c>
      <c r="D169" s="183">
        <f t="shared" ca="1" si="3"/>
        <v>949939268</v>
      </c>
      <c r="E169" s="63" t="str">
        <f t="shared" ca="1" si="4"/>
        <v>thonglqt.tnh@vnpt.vn</v>
      </c>
      <c r="F169" s="321" t="str">
        <f t="shared" ca="1" si="5"/>
        <v>Lần 3</v>
      </c>
      <c r="G169" s="112">
        <v>46206</v>
      </c>
      <c r="H169" s="113" t="s">
        <v>322</v>
      </c>
      <c r="I169" s="113" t="s">
        <v>323</v>
      </c>
      <c r="J169" s="113" t="s">
        <v>315</v>
      </c>
      <c r="K169" s="113" t="s">
        <v>316</v>
      </c>
      <c r="L169" s="322"/>
      <c r="M169" s="323">
        <f t="shared" ca="1" si="6"/>
        <v>1</v>
      </c>
      <c r="N169" s="324">
        <f t="shared" ca="1" si="7"/>
        <v>1</v>
      </c>
      <c r="O169" s="68">
        <f t="shared" ca="1" si="8"/>
        <v>1</v>
      </c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 ht="15.75" customHeight="1">
      <c r="A170" s="59">
        <f t="shared" ca="1" si="1"/>
        <v>164</v>
      </c>
      <c r="B170" s="182" t="str">
        <f t="shared" ca="1" si="9"/>
        <v>Tổ Hạ tầng Tân Ninh</v>
      </c>
      <c r="C170" s="61" t="str">
        <f t="shared" ca="1" si="2"/>
        <v>Lê Quốc Trung Thông</v>
      </c>
      <c r="D170" s="183">
        <f t="shared" ca="1" si="3"/>
        <v>949939268</v>
      </c>
      <c r="E170" s="63" t="str">
        <f t="shared" ca="1" si="4"/>
        <v>thonglqt.tnh@vnpt.vn</v>
      </c>
      <c r="F170" s="321" t="str">
        <f t="shared" ca="1" si="5"/>
        <v>Lần 4</v>
      </c>
      <c r="G170" s="112">
        <v>46214</v>
      </c>
      <c r="H170" s="113" t="s">
        <v>324</v>
      </c>
      <c r="I170" s="113" t="s">
        <v>325</v>
      </c>
      <c r="J170" s="113" t="s">
        <v>326</v>
      </c>
      <c r="K170" s="113" t="s">
        <v>327</v>
      </c>
      <c r="L170" s="322"/>
      <c r="M170" s="323">
        <f t="shared" ca="1" si="6"/>
        <v>1</v>
      </c>
      <c r="N170" s="324">
        <f t="shared" ca="1" si="7"/>
        <v>1</v>
      </c>
      <c r="O170" s="68">
        <f t="shared" ca="1" si="8"/>
        <v>1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 ht="15.75" customHeight="1">
      <c r="A171" s="59">
        <f t="shared" ca="1" si="1"/>
        <v>165</v>
      </c>
      <c r="B171" s="182" t="str">
        <f t="shared" ca="1" si="9"/>
        <v>Tổ Hạ tầng Tân Ninh</v>
      </c>
      <c r="C171" s="61" t="str">
        <f t="shared" ca="1" si="2"/>
        <v>Lê Quốc Trung Thông</v>
      </c>
      <c r="D171" s="183">
        <f t="shared" ca="1" si="3"/>
        <v>949939268</v>
      </c>
      <c r="E171" s="63" t="str">
        <f t="shared" ca="1" si="4"/>
        <v>thonglqt.tnh@vnpt.vn</v>
      </c>
      <c r="F171" s="321" t="str">
        <f t="shared" ca="1" si="5"/>
        <v>Lần 5</v>
      </c>
      <c r="G171" s="112">
        <v>46214</v>
      </c>
      <c r="H171" s="115" t="s">
        <v>328</v>
      </c>
      <c r="I171" s="115" t="s">
        <v>314</v>
      </c>
      <c r="J171" s="114" t="s">
        <v>329</v>
      </c>
      <c r="K171" s="114" t="s">
        <v>330</v>
      </c>
      <c r="L171" s="322"/>
      <c r="M171" s="323">
        <f t="shared" ca="1" si="6"/>
        <v>1</v>
      </c>
      <c r="N171" s="324">
        <f t="shared" ca="1" si="7"/>
        <v>1</v>
      </c>
      <c r="O171" s="68">
        <f t="shared" ca="1" si="8"/>
        <v>1</v>
      </c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 ht="15.75" customHeight="1">
      <c r="A172" s="59">
        <f t="shared" ca="1" si="1"/>
        <v>166</v>
      </c>
      <c r="B172" s="182" t="str">
        <f t="shared" ca="1" si="9"/>
        <v>Tổ Hạ tầng Tân Ninh</v>
      </c>
      <c r="C172" s="61" t="str">
        <f t="shared" ca="1" si="2"/>
        <v>Lê Quốc Trung Thông</v>
      </c>
      <c r="D172" s="183">
        <f t="shared" ca="1" si="3"/>
        <v>949939268</v>
      </c>
      <c r="E172" s="63" t="str">
        <f t="shared" ca="1" si="4"/>
        <v>thonglqt.tnh@vnpt.vn</v>
      </c>
      <c r="F172" s="321" t="str">
        <f t="shared" ca="1" si="5"/>
        <v>Lần 6</v>
      </c>
      <c r="G172" s="93">
        <v>46214</v>
      </c>
      <c r="H172" s="117" t="s">
        <v>331</v>
      </c>
      <c r="I172" s="117" t="s">
        <v>319</v>
      </c>
      <c r="J172" s="118" t="s">
        <v>332</v>
      </c>
      <c r="K172" s="118" t="s">
        <v>333</v>
      </c>
      <c r="L172" s="322"/>
      <c r="M172" s="323">
        <f t="shared" ca="1" si="6"/>
        <v>1</v>
      </c>
      <c r="N172" s="324">
        <f t="shared" ca="1" si="7"/>
        <v>1</v>
      </c>
      <c r="O172" s="68">
        <f t="shared" ca="1" si="8"/>
        <v>1</v>
      </c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 ht="15.75" customHeight="1">
      <c r="A173" s="59">
        <f t="shared" ca="1" si="1"/>
        <v>167</v>
      </c>
      <c r="B173" s="182" t="str">
        <f t="shared" ca="1" si="9"/>
        <v>Tổ Hạ tầng Tân Ninh</v>
      </c>
      <c r="C173" s="61" t="str">
        <f t="shared" ca="1" si="2"/>
        <v>Lê Quốc Trung Thông</v>
      </c>
      <c r="D173" s="183">
        <f t="shared" ca="1" si="3"/>
        <v>949939268</v>
      </c>
      <c r="E173" s="63" t="str">
        <f t="shared" ca="1" si="4"/>
        <v>thonglqt.tnh@vnpt.vn</v>
      </c>
      <c r="F173" s="321" t="str">
        <f t="shared" ca="1" si="5"/>
        <v>Lần 7</v>
      </c>
      <c r="G173" s="93">
        <v>46214</v>
      </c>
      <c r="H173" s="117" t="s">
        <v>334</v>
      </c>
      <c r="I173" s="117" t="s">
        <v>335</v>
      </c>
      <c r="J173" s="118" t="s">
        <v>336</v>
      </c>
      <c r="K173" s="118" t="s">
        <v>337</v>
      </c>
      <c r="L173" s="322"/>
      <c r="M173" s="323">
        <f t="shared" ca="1" si="6"/>
        <v>1</v>
      </c>
      <c r="N173" s="324">
        <f t="shared" ca="1" si="7"/>
        <v>1</v>
      </c>
      <c r="O173" s="68">
        <f t="shared" ca="1" si="8"/>
        <v>1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 ht="15.75" customHeight="1">
      <c r="A174" s="59">
        <f t="shared" ca="1" si="1"/>
        <v>168</v>
      </c>
      <c r="B174" s="182" t="str">
        <f t="shared" ca="1" si="9"/>
        <v>Tổ Hạ tầng Tân Ninh</v>
      </c>
      <c r="C174" s="61" t="str">
        <f t="shared" ca="1" si="2"/>
        <v>Lê Quốc Trung Thông</v>
      </c>
      <c r="D174" s="183">
        <f t="shared" ca="1" si="3"/>
        <v>949939268</v>
      </c>
      <c r="E174" s="63" t="str">
        <f t="shared" ca="1" si="4"/>
        <v>thonglqt.tnh@vnpt.vn</v>
      </c>
      <c r="F174" s="321" t="str">
        <f t="shared" ca="1" si="5"/>
        <v>Lần 8</v>
      </c>
      <c r="G174" s="93">
        <v>46214</v>
      </c>
      <c r="H174" s="117" t="s">
        <v>499</v>
      </c>
      <c r="I174" s="117" t="s">
        <v>500</v>
      </c>
      <c r="J174" s="118" t="s">
        <v>501</v>
      </c>
      <c r="K174" s="118" t="s">
        <v>502</v>
      </c>
      <c r="L174" s="322"/>
      <c r="M174" s="323">
        <f t="shared" ca="1" si="6"/>
        <v>1</v>
      </c>
      <c r="N174" s="324">
        <f t="shared" ca="1" si="7"/>
        <v>1</v>
      </c>
      <c r="O174" s="68">
        <f t="shared" ca="1" si="8"/>
        <v>1</v>
      </c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 ht="15.75" customHeight="1">
      <c r="A175" s="59">
        <f t="shared" ca="1" si="1"/>
        <v>169</v>
      </c>
      <c r="B175" s="182" t="str">
        <f t="shared" ca="1" si="9"/>
        <v>Tổ Hạ tầng Tân Ninh</v>
      </c>
      <c r="C175" s="61" t="str">
        <f t="shared" ca="1" si="2"/>
        <v>Lê Quốc Trung Thông</v>
      </c>
      <c r="D175" s="183">
        <f t="shared" ca="1" si="3"/>
        <v>949939268</v>
      </c>
      <c r="E175" s="63" t="str">
        <f t="shared" ca="1" si="4"/>
        <v>thonglqt.tnh@vnpt.vn</v>
      </c>
      <c r="F175" s="321" t="str">
        <f t="shared" ca="1" si="5"/>
        <v>Lần 9</v>
      </c>
      <c r="G175" s="93"/>
      <c r="H175" s="117"/>
      <c r="I175" s="117"/>
      <c r="J175" s="118"/>
      <c r="K175" s="118"/>
      <c r="L175" s="322"/>
      <c r="M175" s="323">
        <f t="shared" ca="1" si="6"/>
        <v>0</v>
      </c>
      <c r="N175" s="324">
        <f t="shared" ca="1" si="7"/>
        <v>0</v>
      </c>
      <c r="O175" s="68">
        <f t="shared" ca="1" si="8"/>
        <v>0</v>
      </c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 ht="15.75" customHeight="1">
      <c r="A176" s="59">
        <f t="shared" ca="1" si="1"/>
        <v>170</v>
      </c>
      <c r="B176" s="182" t="str">
        <f t="shared" ca="1" si="9"/>
        <v>Tổ Hạ tầng Tân Ninh</v>
      </c>
      <c r="C176" s="61" t="str">
        <f t="shared" ca="1" si="2"/>
        <v>Lê Quốc Trung Thông</v>
      </c>
      <c r="D176" s="183">
        <f t="shared" ca="1" si="3"/>
        <v>949939268</v>
      </c>
      <c r="E176" s="63" t="str">
        <f t="shared" ca="1" si="4"/>
        <v>thonglqt.tnh@vnpt.vn</v>
      </c>
      <c r="F176" s="321" t="str">
        <f t="shared" ca="1" si="5"/>
        <v>Lần 10</v>
      </c>
      <c r="G176" s="93"/>
      <c r="H176" s="117"/>
      <c r="I176" s="117"/>
      <c r="J176" s="118"/>
      <c r="K176" s="118"/>
      <c r="L176" s="322"/>
      <c r="M176" s="323">
        <f t="shared" ca="1" si="6"/>
        <v>0</v>
      </c>
      <c r="N176" s="324">
        <f t="shared" ca="1" si="7"/>
        <v>0</v>
      </c>
      <c r="O176" s="68">
        <f t="shared" ca="1" si="8"/>
        <v>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 ht="15.75" customHeight="1">
      <c r="A177" s="59">
        <f t="shared" ca="1" si="1"/>
        <v>171</v>
      </c>
      <c r="B177" s="182" t="str">
        <f t="shared" ca="1" si="9"/>
        <v>Tổ Hạ tầng Tân Ninh</v>
      </c>
      <c r="C177" s="61" t="str">
        <f t="shared" ca="1" si="2"/>
        <v>Lê Quốc Trung Thông</v>
      </c>
      <c r="D177" s="183">
        <f t="shared" ca="1" si="3"/>
        <v>949939268</v>
      </c>
      <c r="E177" s="63" t="str">
        <f t="shared" ca="1" si="4"/>
        <v>thonglqt.tnh@vnpt.vn</v>
      </c>
      <c r="F177" s="321" t="str">
        <f t="shared" ca="1" si="5"/>
        <v>Lần 11</v>
      </c>
      <c r="G177" s="93"/>
      <c r="H177" s="117"/>
      <c r="I177" s="117"/>
      <c r="J177" s="118"/>
      <c r="K177" s="118"/>
      <c r="L177" s="322"/>
      <c r="M177" s="323">
        <f t="shared" ca="1" si="6"/>
        <v>0</v>
      </c>
      <c r="N177" s="324">
        <f t="shared" ca="1" si="7"/>
        <v>0</v>
      </c>
      <c r="O177" s="68">
        <f t="shared" ca="1" si="8"/>
        <v>0</v>
      </c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 ht="15.75" customHeight="1">
      <c r="A178" s="59">
        <f t="shared" ca="1" si="1"/>
        <v>172</v>
      </c>
      <c r="B178" s="182" t="str">
        <f t="shared" ca="1" si="9"/>
        <v>Tổ Hạ tầng Tân Ninh</v>
      </c>
      <c r="C178" s="61" t="str">
        <f t="shared" ca="1" si="2"/>
        <v>Lê Quốc Trung Thông</v>
      </c>
      <c r="D178" s="183">
        <f t="shared" ca="1" si="3"/>
        <v>949939268</v>
      </c>
      <c r="E178" s="63" t="str">
        <f t="shared" ca="1" si="4"/>
        <v>thonglqt.tnh@vnpt.vn</v>
      </c>
      <c r="F178" s="321" t="str">
        <f t="shared" ca="1" si="5"/>
        <v>Lần 12</v>
      </c>
      <c r="G178" s="93"/>
      <c r="H178" s="117"/>
      <c r="I178" s="117"/>
      <c r="J178" s="118"/>
      <c r="K178" s="118"/>
      <c r="L178" s="322"/>
      <c r="M178" s="323">
        <f t="shared" ca="1" si="6"/>
        <v>0</v>
      </c>
      <c r="N178" s="324">
        <f t="shared" ca="1" si="7"/>
        <v>0</v>
      </c>
      <c r="O178" s="68">
        <f t="shared" ca="1" si="8"/>
        <v>0</v>
      </c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 ht="15.75" customHeight="1">
      <c r="A179" s="59">
        <f t="shared" ca="1" si="1"/>
        <v>173</v>
      </c>
      <c r="B179" s="182" t="str">
        <f t="shared" ca="1" si="9"/>
        <v>Tổ Hạ tầng Tân Ninh</v>
      </c>
      <c r="C179" s="61" t="str">
        <f t="shared" ca="1" si="2"/>
        <v>Lê Quốc Trung Thông</v>
      </c>
      <c r="D179" s="183">
        <f t="shared" ca="1" si="3"/>
        <v>949939268</v>
      </c>
      <c r="E179" s="63" t="str">
        <f t="shared" ca="1" si="4"/>
        <v>thonglqt.tnh@vnpt.vn</v>
      </c>
      <c r="F179" s="321" t="str">
        <f t="shared" ca="1" si="5"/>
        <v>Lần 13</v>
      </c>
      <c r="G179" s="93"/>
      <c r="H179" s="117"/>
      <c r="I179" s="117"/>
      <c r="J179" s="118"/>
      <c r="K179" s="118"/>
      <c r="L179" s="322"/>
      <c r="M179" s="323">
        <f t="shared" ca="1" si="6"/>
        <v>0</v>
      </c>
      <c r="N179" s="324">
        <f t="shared" ca="1" si="7"/>
        <v>0</v>
      </c>
      <c r="O179" s="68">
        <f t="shared" ca="1" si="8"/>
        <v>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 ht="15.75" customHeight="1">
      <c r="A180" s="59">
        <f t="shared" ca="1" si="1"/>
        <v>174</v>
      </c>
      <c r="B180" s="182" t="str">
        <f t="shared" ca="1" si="9"/>
        <v>Tổ Hạ tầng Tân Ninh</v>
      </c>
      <c r="C180" s="61" t="str">
        <f t="shared" ca="1" si="2"/>
        <v>Lê Quốc Trung Thông</v>
      </c>
      <c r="D180" s="183">
        <f t="shared" ca="1" si="3"/>
        <v>949939268</v>
      </c>
      <c r="E180" s="63" t="str">
        <f t="shared" ca="1" si="4"/>
        <v>thonglqt.tnh@vnpt.vn</v>
      </c>
      <c r="F180" s="321" t="str">
        <f t="shared" ca="1" si="5"/>
        <v>Lần 14</v>
      </c>
      <c r="G180" s="93"/>
      <c r="H180" s="117"/>
      <c r="I180" s="117"/>
      <c r="J180" s="118"/>
      <c r="K180" s="118"/>
      <c r="L180" s="322"/>
      <c r="M180" s="323">
        <f t="shared" ca="1" si="6"/>
        <v>0</v>
      </c>
      <c r="N180" s="324">
        <f t="shared" ca="1" si="7"/>
        <v>0</v>
      </c>
      <c r="O180" s="68">
        <f t="shared" ca="1" si="8"/>
        <v>0</v>
      </c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 ht="15.75" customHeight="1">
      <c r="A181" s="59">
        <f t="shared" ca="1" si="1"/>
        <v>175</v>
      </c>
      <c r="B181" s="182" t="str">
        <f t="shared" ca="1" si="9"/>
        <v>Tổ Hạ tầng Tân Ninh</v>
      </c>
      <c r="C181" s="61" t="str">
        <f t="shared" ca="1" si="2"/>
        <v>Lê Quốc Trung Thông</v>
      </c>
      <c r="D181" s="183">
        <f t="shared" ca="1" si="3"/>
        <v>949939268</v>
      </c>
      <c r="E181" s="63" t="str">
        <f t="shared" ca="1" si="4"/>
        <v>thonglqt.tnh@vnpt.vn</v>
      </c>
      <c r="F181" s="321" t="str">
        <f t="shared" ca="1" si="5"/>
        <v>Lần 15</v>
      </c>
      <c r="G181" s="93"/>
      <c r="H181" s="117"/>
      <c r="I181" s="117"/>
      <c r="J181" s="118"/>
      <c r="K181" s="118"/>
      <c r="L181" s="322"/>
      <c r="M181" s="323">
        <f t="shared" ca="1" si="6"/>
        <v>0</v>
      </c>
      <c r="N181" s="324">
        <f t="shared" ca="1" si="7"/>
        <v>0</v>
      </c>
      <c r="O181" s="68">
        <f t="shared" ca="1" si="8"/>
        <v>0</v>
      </c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 ht="15.75" customHeight="1">
      <c r="A182" s="59">
        <f t="shared" ca="1" si="1"/>
        <v>176</v>
      </c>
      <c r="B182" s="185" t="str">
        <f t="shared" ca="1" si="9"/>
        <v>Tổ Hạ tầng Tân Ninh</v>
      </c>
      <c r="C182" s="82" t="str">
        <f t="shared" ca="1" si="2"/>
        <v>Lê Quốc Trung Thông</v>
      </c>
      <c r="D182" s="186">
        <f t="shared" ca="1" si="3"/>
        <v>949939268</v>
      </c>
      <c r="E182" s="84" t="str">
        <f t="shared" ca="1" si="4"/>
        <v>thonglqt.tnh@vnpt.vn</v>
      </c>
      <c r="F182" s="325" t="str">
        <f t="shared" ca="1" si="5"/>
        <v>Lần 16</v>
      </c>
      <c r="G182" s="93"/>
      <c r="H182" s="117"/>
      <c r="I182" s="117"/>
      <c r="J182" s="118"/>
      <c r="K182" s="118"/>
      <c r="L182" s="326"/>
      <c r="M182" s="327">
        <f t="shared" ca="1" si="6"/>
        <v>0</v>
      </c>
      <c r="N182" s="328">
        <f t="shared" ca="1" si="7"/>
        <v>0</v>
      </c>
      <c r="O182" s="68">
        <f t="shared" ca="1" si="8"/>
        <v>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 ht="15.75" customHeight="1">
      <c r="A183" s="59">
        <f t="shared" ca="1" si="1"/>
        <v>177</v>
      </c>
      <c r="B183" s="190" t="str">
        <f t="shared" ca="1" si="9"/>
        <v>Tổ Hạ tầng Tân Ninh</v>
      </c>
      <c r="C183" s="48" t="str">
        <f t="shared" ca="1" si="2"/>
        <v>Trần Thái Hòa</v>
      </c>
      <c r="D183" s="191">
        <f t="shared" ca="1" si="3"/>
        <v>917052852</v>
      </c>
      <c r="E183" s="50" t="str">
        <f t="shared" ca="1" si="4"/>
        <v>hoatt.tnh@vnpt.vn</v>
      </c>
      <c r="F183" s="318" t="str">
        <f t="shared" ca="1" si="5"/>
        <v>Lần 1</v>
      </c>
      <c r="G183" s="93">
        <v>46209</v>
      </c>
      <c r="H183" s="71">
        <v>416.13</v>
      </c>
      <c r="I183" s="71">
        <v>44.28</v>
      </c>
      <c r="J183" s="94">
        <v>612</v>
      </c>
      <c r="K183" s="94">
        <v>73.5</v>
      </c>
      <c r="L183" s="265"/>
      <c r="M183" s="329">
        <f t="shared" ca="1" si="6"/>
        <v>1</v>
      </c>
      <c r="N183" s="330">
        <f t="shared" ca="1" si="7"/>
        <v>1</v>
      </c>
      <c r="O183" s="68">
        <f t="shared" ca="1" si="8"/>
        <v>1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15.75" customHeight="1">
      <c r="A184" s="59">
        <f t="shared" ca="1" si="1"/>
        <v>178</v>
      </c>
      <c r="B184" s="182" t="str">
        <f t="shared" ca="1" si="9"/>
        <v>Tổ Hạ tầng Tân Ninh</v>
      </c>
      <c r="C184" s="61" t="str">
        <f t="shared" ca="1" si="2"/>
        <v>Trần Thái Hòa</v>
      </c>
      <c r="D184" s="183">
        <f t="shared" ca="1" si="3"/>
        <v>917052852</v>
      </c>
      <c r="E184" s="63" t="str">
        <f t="shared" ca="1" si="4"/>
        <v>hoatt.tnh@vnpt.vn</v>
      </c>
      <c r="F184" s="321" t="str">
        <f t="shared" ca="1" si="5"/>
        <v>Lần 2</v>
      </c>
      <c r="G184" s="93">
        <v>46209</v>
      </c>
      <c r="H184" s="71">
        <v>395.17</v>
      </c>
      <c r="I184" s="71">
        <v>41.93</v>
      </c>
      <c r="J184" s="94">
        <v>583</v>
      </c>
      <c r="K184" s="94">
        <v>84.9</v>
      </c>
      <c r="L184" s="331"/>
      <c r="M184" s="323">
        <f t="shared" ca="1" si="6"/>
        <v>1</v>
      </c>
      <c r="N184" s="332">
        <f t="shared" ca="1" si="7"/>
        <v>1</v>
      </c>
      <c r="O184" s="68">
        <f t="shared" ca="1" si="8"/>
        <v>1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 ht="15.75" customHeight="1">
      <c r="A185" s="59">
        <f t="shared" ca="1" si="1"/>
        <v>179</v>
      </c>
      <c r="B185" s="182" t="str">
        <f t="shared" ca="1" si="9"/>
        <v>Tổ Hạ tầng Tân Ninh</v>
      </c>
      <c r="C185" s="61" t="str">
        <f t="shared" ca="1" si="2"/>
        <v>Trần Thái Hòa</v>
      </c>
      <c r="D185" s="183">
        <f t="shared" ca="1" si="3"/>
        <v>917052852</v>
      </c>
      <c r="E185" s="63" t="str">
        <f t="shared" ca="1" si="4"/>
        <v>hoatt.tnh@vnpt.vn</v>
      </c>
      <c r="F185" s="321" t="str">
        <f t="shared" ca="1" si="5"/>
        <v>Lần 3</v>
      </c>
      <c r="G185" s="93">
        <v>46209</v>
      </c>
      <c r="H185" s="71">
        <v>436.96</v>
      </c>
      <c r="I185" s="71">
        <v>48</v>
      </c>
      <c r="J185" s="94">
        <v>555</v>
      </c>
      <c r="K185" s="94">
        <v>94.6</v>
      </c>
      <c r="L185" s="331"/>
      <c r="M185" s="323">
        <f t="shared" ca="1" si="6"/>
        <v>1</v>
      </c>
      <c r="N185" s="332">
        <f t="shared" ca="1" si="7"/>
        <v>1</v>
      </c>
      <c r="O185" s="68">
        <f t="shared" ca="1" si="8"/>
        <v>1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 ht="15.75" customHeight="1">
      <c r="A186" s="59">
        <f t="shared" ca="1" si="1"/>
        <v>180</v>
      </c>
      <c r="B186" s="182" t="str">
        <f t="shared" ca="1" si="9"/>
        <v>Tổ Hạ tầng Tân Ninh</v>
      </c>
      <c r="C186" s="61" t="str">
        <f t="shared" ca="1" si="2"/>
        <v>Trần Thái Hòa</v>
      </c>
      <c r="D186" s="183">
        <f t="shared" ca="1" si="3"/>
        <v>917052852</v>
      </c>
      <c r="E186" s="63" t="str">
        <f t="shared" ca="1" si="4"/>
        <v>hoatt.tnh@vnpt.vn</v>
      </c>
      <c r="F186" s="321" t="str">
        <f t="shared" ca="1" si="5"/>
        <v>Lần 4</v>
      </c>
      <c r="G186" s="93">
        <v>46209</v>
      </c>
      <c r="H186" s="71">
        <v>425.73</v>
      </c>
      <c r="I186" s="71">
        <v>47.72</v>
      </c>
      <c r="J186" s="94">
        <v>577</v>
      </c>
      <c r="K186" s="94">
        <v>101</v>
      </c>
      <c r="L186" s="331"/>
      <c r="M186" s="323">
        <f t="shared" ca="1" si="6"/>
        <v>1</v>
      </c>
      <c r="N186" s="332">
        <f t="shared" ca="1" si="7"/>
        <v>1</v>
      </c>
      <c r="O186" s="68">
        <f t="shared" ca="1" si="8"/>
        <v>1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 ht="15.75" customHeight="1">
      <c r="A187" s="59">
        <f t="shared" ca="1" si="1"/>
        <v>181</v>
      </c>
      <c r="B187" s="182" t="str">
        <f t="shared" ca="1" si="9"/>
        <v>Tổ Hạ tầng Tân Ninh</v>
      </c>
      <c r="C187" s="61" t="str">
        <f t="shared" ca="1" si="2"/>
        <v>Trần Thái Hòa</v>
      </c>
      <c r="D187" s="183">
        <f t="shared" ca="1" si="3"/>
        <v>917052852</v>
      </c>
      <c r="E187" s="63" t="str">
        <f t="shared" ca="1" si="4"/>
        <v>hoatt.tnh@vnpt.vn</v>
      </c>
      <c r="F187" s="321" t="str">
        <f t="shared" ca="1" si="5"/>
        <v>Lần 5</v>
      </c>
      <c r="G187" s="93">
        <v>46209</v>
      </c>
      <c r="H187" s="75">
        <v>423.03</v>
      </c>
      <c r="I187" s="75">
        <v>48.56</v>
      </c>
      <c r="J187" s="94">
        <v>546</v>
      </c>
      <c r="K187" s="94">
        <v>97</v>
      </c>
      <c r="L187" s="331"/>
      <c r="M187" s="323">
        <f t="shared" ca="1" si="6"/>
        <v>1</v>
      </c>
      <c r="N187" s="332">
        <f t="shared" ca="1" si="7"/>
        <v>1</v>
      </c>
      <c r="O187" s="68">
        <f t="shared" ca="1" si="8"/>
        <v>1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 ht="15.75" customHeight="1">
      <c r="A188" s="59">
        <f t="shared" ca="1" si="1"/>
        <v>182</v>
      </c>
      <c r="B188" s="182" t="str">
        <f t="shared" ca="1" si="9"/>
        <v>Tổ Hạ tầng Tân Ninh</v>
      </c>
      <c r="C188" s="61" t="str">
        <f t="shared" ca="1" si="2"/>
        <v>Trần Thái Hòa</v>
      </c>
      <c r="D188" s="183">
        <f t="shared" ca="1" si="3"/>
        <v>917052852</v>
      </c>
      <c r="E188" s="63" t="str">
        <f t="shared" ca="1" si="4"/>
        <v>hoatt.tnh@vnpt.vn</v>
      </c>
      <c r="F188" s="321" t="str">
        <f t="shared" ca="1" si="5"/>
        <v>Lần 6</v>
      </c>
      <c r="G188" s="93">
        <v>46209</v>
      </c>
      <c r="H188" s="75">
        <v>452.71</v>
      </c>
      <c r="I188" s="75">
        <v>46.48</v>
      </c>
      <c r="J188" s="94">
        <v>573</v>
      </c>
      <c r="K188" s="94">
        <v>88</v>
      </c>
      <c r="L188" s="331"/>
      <c r="M188" s="323">
        <f t="shared" ca="1" si="6"/>
        <v>1</v>
      </c>
      <c r="N188" s="332">
        <f t="shared" ca="1" si="7"/>
        <v>1</v>
      </c>
      <c r="O188" s="68">
        <f t="shared" ca="1" si="8"/>
        <v>1</v>
      </c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 ht="15.75" customHeight="1">
      <c r="A189" s="59">
        <f t="shared" ca="1" si="1"/>
        <v>183</v>
      </c>
      <c r="B189" s="182" t="str">
        <f t="shared" ca="1" si="9"/>
        <v>Tổ Hạ tầng Tân Ninh</v>
      </c>
      <c r="C189" s="61" t="str">
        <f t="shared" ca="1" si="2"/>
        <v>Trần Thái Hòa</v>
      </c>
      <c r="D189" s="183">
        <f t="shared" ca="1" si="3"/>
        <v>917052852</v>
      </c>
      <c r="E189" s="63" t="str">
        <f t="shared" ca="1" si="4"/>
        <v>hoatt.tnh@vnpt.vn</v>
      </c>
      <c r="F189" s="321" t="str">
        <f t="shared" ca="1" si="5"/>
        <v>Lần 7</v>
      </c>
      <c r="G189" s="93">
        <v>46209</v>
      </c>
      <c r="H189" s="75">
        <v>420.92</v>
      </c>
      <c r="I189" s="75">
        <v>48.22</v>
      </c>
      <c r="J189" s="94">
        <v>594</v>
      </c>
      <c r="K189" s="94">
        <v>98.3</v>
      </c>
      <c r="L189" s="331"/>
      <c r="M189" s="323">
        <f t="shared" ca="1" si="6"/>
        <v>1</v>
      </c>
      <c r="N189" s="332">
        <f t="shared" ca="1" si="7"/>
        <v>1</v>
      </c>
      <c r="O189" s="68">
        <f t="shared" ca="1" si="8"/>
        <v>1</v>
      </c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 ht="15.75" customHeight="1">
      <c r="A190" s="59">
        <f t="shared" ca="1" si="1"/>
        <v>184</v>
      </c>
      <c r="B190" s="182" t="str">
        <f t="shared" ca="1" si="9"/>
        <v>Tổ Hạ tầng Tân Ninh</v>
      </c>
      <c r="C190" s="61" t="str">
        <f t="shared" ca="1" si="2"/>
        <v>Trần Thái Hòa</v>
      </c>
      <c r="D190" s="183">
        <f t="shared" ca="1" si="3"/>
        <v>917052852</v>
      </c>
      <c r="E190" s="63" t="str">
        <f t="shared" ca="1" si="4"/>
        <v>hoatt.tnh@vnpt.vn</v>
      </c>
      <c r="F190" s="321" t="str">
        <f t="shared" ca="1" si="5"/>
        <v>Lần 8</v>
      </c>
      <c r="G190" s="93">
        <v>46209</v>
      </c>
      <c r="H190" s="75">
        <v>442.63</v>
      </c>
      <c r="I190" s="75">
        <v>50.41</v>
      </c>
      <c r="J190" s="94">
        <v>546</v>
      </c>
      <c r="K190" s="94">
        <v>96.6</v>
      </c>
      <c r="L190" s="331"/>
      <c r="M190" s="323">
        <f t="shared" ca="1" si="6"/>
        <v>1</v>
      </c>
      <c r="N190" s="332">
        <f t="shared" ca="1" si="7"/>
        <v>1</v>
      </c>
      <c r="O190" s="68">
        <f t="shared" ca="1" si="8"/>
        <v>1</v>
      </c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 ht="15.75" customHeight="1">
      <c r="A191" s="59">
        <f t="shared" ca="1" si="1"/>
        <v>185</v>
      </c>
      <c r="B191" s="182" t="str">
        <f t="shared" ca="1" si="9"/>
        <v>Tổ Hạ tầng Tân Ninh</v>
      </c>
      <c r="C191" s="61" t="str">
        <f t="shared" ca="1" si="2"/>
        <v>Trần Thái Hòa</v>
      </c>
      <c r="D191" s="183">
        <f t="shared" ca="1" si="3"/>
        <v>917052852</v>
      </c>
      <c r="E191" s="63" t="str">
        <f t="shared" ca="1" si="4"/>
        <v>hoatt.tnh@vnpt.vn</v>
      </c>
      <c r="F191" s="321" t="str">
        <f t="shared" ca="1" si="5"/>
        <v>Lần 9</v>
      </c>
      <c r="G191" s="93">
        <v>46209</v>
      </c>
      <c r="H191" s="75">
        <v>421.56</v>
      </c>
      <c r="I191" s="75">
        <v>49.41</v>
      </c>
      <c r="J191" s="94">
        <v>599</v>
      </c>
      <c r="K191" s="94">
        <v>113</v>
      </c>
      <c r="L191" s="331"/>
      <c r="M191" s="323">
        <f t="shared" ca="1" si="6"/>
        <v>1</v>
      </c>
      <c r="N191" s="332">
        <f t="shared" ca="1" si="7"/>
        <v>1</v>
      </c>
      <c r="O191" s="68">
        <f t="shared" ca="1" si="8"/>
        <v>1</v>
      </c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 ht="15.75" customHeight="1">
      <c r="A192" s="59">
        <f t="shared" ca="1" si="1"/>
        <v>186</v>
      </c>
      <c r="B192" s="182" t="str">
        <f t="shared" ca="1" si="9"/>
        <v>Tổ Hạ tầng Tân Ninh</v>
      </c>
      <c r="C192" s="61" t="str">
        <f t="shared" ca="1" si="2"/>
        <v>Trần Thái Hòa</v>
      </c>
      <c r="D192" s="183">
        <f t="shared" ca="1" si="3"/>
        <v>917052852</v>
      </c>
      <c r="E192" s="63" t="str">
        <f t="shared" ca="1" si="4"/>
        <v>hoatt.tnh@vnpt.vn</v>
      </c>
      <c r="F192" s="321" t="str">
        <f t="shared" ca="1" si="5"/>
        <v>Lần 10</v>
      </c>
      <c r="G192" s="93">
        <v>46209</v>
      </c>
      <c r="H192" s="75">
        <v>442.13</v>
      </c>
      <c r="I192" s="75">
        <v>47.69</v>
      </c>
      <c r="J192" s="94">
        <v>650</v>
      </c>
      <c r="K192" s="94">
        <v>116</v>
      </c>
      <c r="L192" s="331"/>
      <c r="M192" s="323">
        <f t="shared" ca="1" si="6"/>
        <v>1</v>
      </c>
      <c r="N192" s="332">
        <f t="shared" ca="1" si="7"/>
        <v>1</v>
      </c>
      <c r="O192" s="68">
        <f t="shared" ca="1" si="8"/>
        <v>1</v>
      </c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 ht="15.75" customHeight="1">
      <c r="A193" s="59">
        <f t="shared" ca="1" si="1"/>
        <v>187</v>
      </c>
      <c r="B193" s="182" t="str">
        <f t="shared" ca="1" si="9"/>
        <v>Tổ Hạ tầng Tân Ninh</v>
      </c>
      <c r="C193" s="61" t="str">
        <f t="shared" ca="1" si="2"/>
        <v>Trần Thái Hòa</v>
      </c>
      <c r="D193" s="183">
        <f t="shared" ca="1" si="3"/>
        <v>917052852</v>
      </c>
      <c r="E193" s="63" t="str">
        <f t="shared" ca="1" si="4"/>
        <v>hoatt.tnh@vnpt.vn</v>
      </c>
      <c r="F193" s="321" t="str">
        <f t="shared" ca="1" si="5"/>
        <v>Lần 11</v>
      </c>
      <c r="G193" s="93">
        <v>46209</v>
      </c>
      <c r="H193" s="75">
        <v>417.95</v>
      </c>
      <c r="I193" s="75">
        <v>48.21</v>
      </c>
      <c r="J193" s="94">
        <v>661</v>
      </c>
      <c r="K193" s="94">
        <v>91.1</v>
      </c>
      <c r="L193" s="331"/>
      <c r="M193" s="323">
        <f t="shared" ca="1" si="6"/>
        <v>1</v>
      </c>
      <c r="N193" s="332">
        <f t="shared" ca="1" si="7"/>
        <v>1</v>
      </c>
      <c r="O193" s="68">
        <f t="shared" ca="1" si="8"/>
        <v>1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 ht="15.75" customHeight="1">
      <c r="A194" s="59">
        <f t="shared" ca="1" si="1"/>
        <v>188</v>
      </c>
      <c r="B194" s="182" t="str">
        <f t="shared" ca="1" si="9"/>
        <v>Tổ Hạ tầng Tân Ninh</v>
      </c>
      <c r="C194" s="61" t="str">
        <f t="shared" ca="1" si="2"/>
        <v>Trần Thái Hòa</v>
      </c>
      <c r="D194" s="183">
        <f t="shared" ca="1" si="3"/>
        <v>917052852</v>
      </c>
      <c r="E194" s="63" t="str">
        <f t="shared" ca="1" si="4"/>
        <v>hoatt.tnh@vnpt.vn</v>
      </c>
      <c r="F194" s="321" t="str">
        <f t="shared" ca="1" si="5"/>
        <v>Lần 12</v>
      </c>
      <c r="G194" s="93">
        <v>46209</v>
      </c>
      <c r="H194" s="75">
        <v>437.17</v>
      </c>
      <c r="I194" s="75">
        <v>45.5</v>
      </c>
      <c r="J194" s="94">
        <v>630</v>
      </c>
      <c r="K194" s="94">
        <v>109</v>
      </c>
      <c r="L194" s="331"/>
      <c r="M194" s="323">
        <f t="shared" ca="1" si="6"/>
        <v>1</v>
      </c>
      <c r="N194" s="332">
        <f t="shared" ca="1" si="7"/>
        <v>1</v>
      </c>
      <c r="O194" s="68">
        <f t="shared" ca="1" si="8"/>
        <v>1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 ht="15.75" customHeight="1">
      <c r="A195" s="59">
        <f t="shared" ca="1" si="1"/>
        <v>189</v>
      </c>
      <c r="B195" s="182" t="str">
        <f t="shared" ca="1" si="9"/>
        <v>Tổ Hạ tầng Tân Ninh</v>
      </c>
      <c r="C195" s="61" t="str">
        <f t="shared" ca="1" si="2"/>
        <v>Trần Thái Hòa</v>
      </c>
      <c r="D195" s="183">
        <f t="shared" ca="1" si="3"/>
        <v>917052852</v>
      </c>
      <c r="E195" s="63" t="str">
        <f t="shared" ca="1" si="4"/>
        <v>hoatt.tnh@vnpt.vn</v>
      </c>
      <c r="F195" s="321" t="str">
        <f t="shared" ca="1" si="5"/>
        <v>Lần 13</v>
      </c>
      <c r="G195" s="93">
        <v>46209</v>
      </c>
      <c r="H195" s="75">
        <v>413.61</v>
      </c>
      <c r="I195" s="75">
        <v>44.38</v>
      </c>
      <c r="J195" s="94">
        <v>640</v>
      </c>
      <c r="K195" s="94">
        <v>78.5</v>
      </c>
      <c r="L195" s="331"/>
      <c r="M195" s="323">
        <f t="shared" ca="1" si="6"/>
        <v>1</v>
      </c>
      <c r="N195" s="332">
        <f t="shared" ca="1" si="7"/>
        <v>1</v>
      </c>
      <c r="O195" s="68">
        <f t="shared" ca="1" si="8"/>
        <v>1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 ht="15.75" customHeight="1">
      <c r="A196" s="59">
        <f t="shared" ca="1" si="1"/>
        <v>190</v>
      </c>
      <c r="B196" s="182" t="str">
        <f t="shared" ca="1" si="9"/>
        <v>Tổ Hạ tầng Tân Ninh</v>
      </c>
      <c r="C196" s="61" t="str">
        <f t="shared" ca="1" si="2"/>
        <v>Trần Thái Hòa</v>
      </c>
      <c r="D196" s="183">
        <f t="shared" ca="1" si="3"/>
        <v>917052852</v>
      </c>
      <c r="E196" s="63" t="str">
        <f t="shared" ca="1" si="4"/>
        <v>hoatt.tnh@vnpt.vn</v>
      </c>
      <c r="F196" s="321" t="str">
        <f t="shared" ca="1" si="5"/>
        <v>Lần 14</v>
      </c>
      <c r="G196" s="93">
        <v>46209</v>
      </c>
      <c r="H196" s="75">
        <v>456.96</v>
      </c>
      <c r="I196" s="75">
        <v>44.46</v>
      </c>
      <c r="J196" s="94">
        <v>579</v>
      </c>
      <c r="K196" s="94">
        <v>65.7</v>
      </c>
      <c r="L196" s="331"/>
      <c r="M196" s="323">
        <f t="shared" ca="1" si="6"/>
        <v>1</v>
      </c>
      <c r="N196" s="332">
        <f t="shared" ca="1" si="7"/>
        <v>1</v>
      </c>
      <c r="O196" s="68">
        <f t="shared" ca="1" si="8"/>
        <v>1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 ht="15.75" customHeight="1">
      <c r="A197" s="59">
        <f t="shared" ca="1" si="1"/>
        <v>191</v>
      </c>
      <c r="B197" s="182" t="str">
        <f t="shared" ca="1" si="9"/>
        <v>Tổ Hạ tầng Tân Ninh</v>
      </c>
      <c r="C197" s="61" t="str">
        <f t="shared" ca="1" si="2"/>
        <v>Trần Thái Hòa</v>
      </c>
      <c r="D197" s="183">
        <f t="shared" ca="1" si="3"/>
        <v>917052852</v>
      </c>
      <c r="E197" s="63" t="str">
        <f t="shared" ca="1" si="4"/>
        <v>hoatt.tnh@vnpt.vn</v>
      </c>
      <c r="F197" s="321" t="str">
        <f t="shared" ca="1" si="5"/>
        <v>Lần 15</v>
      </c>
      <c r="G197" s="93">
        <v>46209</v>
      </c>
      <c r="H197" s="75">
        <v>410.54</v>
      </c>
      <c r="I197" s="75">
        <v>44.05</v>
      </c>
      <c r="J197" s="94">
        <v>571</v>
      </c>
      <c r="K197" s="94">
        <v>40.700000000000003</v>
      </c>
      <c r="L197" s="331"/>
      <c r="M197" s="323">
        <f t="shared" ca="1" si="6"/>
        <v>1</v>
      </c>
      <c r="N197" s="332">
        <f t="shared" ca="1" si="7"/>
        <v>1</v>
      </c>
      <c r="O197" s="68">
        <f t="shared" ca="1" si="8"/>
        <v>1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 ht="15.75" customHeight="1">
      <c r="A198" s="59">
        <f t="shared" ca="1" si="1"/>
        <v>192</v>
      </c>
      <c r="B198" s="196" t="str">
        <f t="shared" ca="1" si="9"/>
        <v>Tổ Hạ tầng Tân Ninh</v>
      </c>
      <c r="C198" s="102" t="str">
        <f t="shared" ca="1" si="2"/>
        <v>Trần Thái Hòa</v>
      </c>
      <c r="D198" s="197">
        <f t="shared" ca="1" si="3"/>
        <v>917052852</v>
      </c>
      <c r="E198" s="104" t="str">
        <f t="shared" ca="1" si="4"/>
        <v>hoatt.tnh@vnpt.vn</v>
      </c>
      <c r="F198" s="335" t="str">
        <f t="shared" ca="1" si="5"/>
        <v>Lần 16</v>
      </c>
      <c r="G198" s="93">
        <v>46209</v>
      </c>
      <c r="H198" s="75">
        <v>449.59</v>
      </c>
      <c r="I198" s="75">
        <v>43.98</v>
      </c>
      <c r="J198" s="94">
        <v>525</v>
      </c>
      <c r="K198" s="94">
        <v>45.5</v>
      </c>
      <c r="L198" s="347"/>
      <c r="M198" s="337">
        <f t="shared" ca="1" si="6"/>
        <v>1</v>
      </c>
      <c r="N198" s="338">
        <f t="shared" ca="1" si="7"/>
        <v>1</v>
      </c>
      <c r="O198" s="68">
        <f t="shared" ca="1" si="8"/>
        <v>1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 ht="15.75" customHeight="1">
      <c r="A199" s="59">
        <f t="shared" ca="1" si="1"/>
        <v>193</v>
      </c>
      <c r="B199" s="204" t="str">
        <f t="shared" ca="1" si="9"/>
        <v>Tổ Hạ tầng Tân Ninh</v>
      </c>
      <c r="C199" s="108" t="str">
        <f t="shared" ca="1" si="2"/>
        <v>Ngô Trung Hiếu</v>
      </c>
      <c r="D199" s="205">
        <f t="shared" ca="1" si="3"/>
        <v>834241286</v>
      </c>
      <c r="E199" s="110" t="str">
        <f t="shared" ca="1" si="4"/>
        <v>hieunt.tnh@vnpt.vn</v>
      </c>
      <c r="F199" s="339" t="str">
        <f t="shared" ca="1" si="5"/>
        <v>Lần 1</v>
      </c>
      <c r="G199" s="361"/>
      <c r="H199" s="122"/>
      <c r="I199" s="122"/>
      <c r="J199" s="362"/>
      <c r="K199" s="362"/>
      <c r="L199" s="363"/>
      <c r="M199" s="341">
        <f t="shared" ca="1" si="6"/>
        <v>0</v>
      </c>
      <c r="N199" s="342">
        <f t="shared" ca="1" si="7"/>
        <v>0</v>
      </c>
      <c r="O199" s="68">
        <f t="shared" ca="1" si="8"/>
        <v>0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 ht="15.75" customHeight="1">
      <c r="A200" s="59">
        <f t="shared" ca="1" si="1"/>
        <v>194</v>
      </c>
      <c r="B200" s="182" t="str">
        <f t="shared" ca="1" si="9"/>
        <v>Tổ Hạ tầng Tân Ninh</v>
      </c>
      <c r="C200" s="61" t="str">
        <f t="shared" ca="1" si="2"/>
        <v>Ngô Trung Hiếu</v>
      </c>
      <c r="D200" s="183">
        <f t="shared" ca="1" si="3"/>
        <v>834241286</v>
      </c>
      <c r="E200" s="63" t="str">
        <f t="shared" ca="1" si="4"/>
        <v>hieunt.tnh@vnpt.vn</v>
      </c>
      <c r="F200" s="321" t="str">
        <f t="shared" ca="1" si="5"/>
        <v>Lần 2</v>
      </c>
      <c r="G200" s="361"/>
      <c r="H200" s="122"/>
      <c r="I200" s="122"/>
      <c r="J200" s="362"/>
      <c r="K200" s="362"/>
      <c r="L200" s="351"/>
      <c r="M200" s="323">
        <f t="shared" ca="1" si="6"/>
        <v>0</v>
      </c>
      <c r="N200" s="324">
        <f t="shared" ca="1" si="7"/>
        <v>0</v>
      </c>
      <c r="O200" s="68">
        <f t="shared" ca="1" si="8"/>
        <v>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 ht="15.75" customHeight="1">
      <c r="A201" s="59">
        <f t="shared" ca="1" si="1"/>
        <v>195</v>
      </c>
      <c r="B201" s="182" t="str">
        <f t="shared" ca="1" si="9"/>
        <v>Tổ Hạ tầng Tân Ninh</v>
      </c>
      <c r="C201" s="61" t="str">
        <f t="shared" ca="1" si="2"/>
        <v>Ngô Trung Hiếu</v>
      </c>
      <c r="D201" s="183">
        <f t="shared" ca="1" si="3"/>
        <v>834241286</v>
      </c>
      <c r="E201" s="63" t="str">
        <f t="shared" ca="1" si="4"/>
        <v>hieunt.tnh@vnpt.vn</v>
      </c>
      <c r="F201" s="321" t="str">
        <f t="shared" ca="1" si="5"/>
        <v>Lần 3</v>
      </c>
      <c r="G201" s="361"/>
      <c r="H201" s="122"/>
      <c r="I201" s="122"/>
      <c r="J201" s="362"/>
      <c r="K201" s="362"/>
      <c r="L201" s="351"/>
      <c r="M201" s="323">
        <f t="shared" ca="1" si="6"/>
        <v>0</v>
      </c>
      <c r="N201" s="324">
        <f t="shared" ca="1" si="7"/>
        <v>0</v>
      </c>
      <c r="O201" s="68">
        <f t="shared" ca="1" si="8"/>
        <v>0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 ht="15.75" customHeight="1">
      <c r="A202" s="59">
        <f t="shared" ca="1" si="1"/>
        <v>196</v>
      </c>
      <c r="B202" s="182" t="str">
        <f t="shared" ca="1" si="9"/>
        <v>Tổ Hạ tầng Tân Ninh</v>
      </c>
      <c r="C202" s="61" t="str">
        <f t="shared" ca="1" si="2"/>
        <v>Ngô Trung Hiếu</v>
      </c>
      <c r="D202" s="183">
        <f t="shared" ca="1" si="3"/>
        <v>834241286</v>
      </c>
      <c r="E202" s="63" t="str">
        <f t="shared" ca="1" si="4"/>
        <v>hieunt.tnh@vnpt.vn</v>
      </c>
      <c r="F202" s="321" t="str">
        <f t="shared" ca="1" si="5"/>
        <v>Lần 4</v>
      </c>
      <c r="G202" s="361"/>
      <c r="H202" s="75"/>
      <c r="I202" s="75"/>
      <c r="J202" s="362"/>
      <c r="K202" s="362"/>
      <c r="L202" s="351"/>
      <c r="M202" s="323">
        <f t="shared" ca="1" si="6"/>
        <v>0</v>
      </c>
      <c r="N202" s="324">
        <f t="shared" ca="1" si="7"/>
        <v>0</v>
      </c>
      <c r="O202" s="68">
        <f t="shared" ca="1" si="8"/>
        <v>0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 ht="15.75" customHeight="1">
      <c r="A203" s="59">
        <f t="shared" ca="1" si="1"/>
        <v>197</v>
      </c>
      <c r="B203" s="182" t="str">
        <f t="shared" ca="1" si="9"/>
        <v>Tổ Hạ tầng Tân Ninh</v>
      </c>
      <c r="C203" s="61" t="str">
        <f t="shared" ca="1" si="2"/>
        <v>Ngô Trung Hiếu</v>
      </c>
      <c r="D203" s="183">
        <f t="shared" ca="1" si="3"/>
        <v>834241286</v>
      </c>
      <c r="E203" s="63" t="str">
        <f t="shared" ca="1" si="4"/>
        <v>hieunt.tnh@vnpt.vn</v>
      </c>
      <c r="F203" s="321" t="str">
        <f t="shared" ca="1" si="5"/>
        <v>Lần 5</v>
      </c>
      <c r="G203" s="361"/>
      <c r="H203" s="75"/>
      <c r="I203" s="75"/>
      <c r="J203" s="362"/>
      <c r="K203" s="362"/>
      <c r="L203" s="351"/>
      <c r="M203" s="323">
        <f t="shared" ca="1" si="6"/>
        <v>0</v>
      </c>
      <c r="N203" s="324">
        <f t="shared" ca="1" si="7"/>
        <v>0</v>
      </c>
      <c r="O203" s="68">
        <f t="shared" ca="1" si="8"/>
        <v>0</v>
      </c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 ht="15.75" customHeight="1">
      <c r="A204" s="59">
        <f t="shared" ca="1" si="1"/>
        <v>198</v>
      </c>
      <c r="B204" s="182" t="str">
        <f t="shared" ca="1" si="9"/>
        <v>Tổ Hạ tầng Tân Ninh</v>
      </c>
      <c r="C204" s="61" t="str">
        <f t="shared" ca="1" si="2"/>
        <v>Ngô Trung Hiếu</v>
      </c>
      <c r="D204" s="183">
        <f t="shared" ca="1" si="3"/>
        <v>834241286</v>
      </c>
      <c r="E204" s="63" t="str">
        <f t="shared" ca="1" si="4"/>
        <v>hieunt.tnh@vnpt.vn</v>
      </c>
      <c r="F204" s="321" t="str">
        <f t="shared" ca="1" si="5"/>
        <v>Lần 6</v>
      </c>
      <c r="G204" s="361"/>
      <c r="H204" s="75"/>
      <c r="I204" s="75"/>
      <c r="J204" s="362"/>
      <c r="K204" s="362"/>
      <c r="L204" s="351"/>
      <c r="M204" s="323">
        <f t="shared" ca="1" si="6"/>
        <v>0</v>
      </c>
      <c r="N204" s="324">
        <f t="shared" ca="1" si="7"/>
        <v>0</v>
      </c>
      <c r="O204" s="68">
        <f t="shared" ca="1" si="8"/>
        <v>0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 ht="15.75" customHeight="1">
      <c r="A205" s="59">
        <f t="shared" ca="1" si="1"/>
        <v>199</v>
      </c>
      <c r="B205" s="182" t="str">
        <f t="shared" ca="1" si="9"/>
        <v>Tổ Hạ tầng Tân Ninh</v>
      </c>
      <c r="C205" s="61" t="str">
        <f t="shared" ca="1" si="2"/>
        <v>Ngô Trung Hiếu</v>
      </c>
      <c r="D205" s="183">
        <f t="shared" ca="1" si="3"/>
        <v>834241286</v>
      </c>
      <c r="E205" s="63" t="str">
        <f t="shared" ca="1" si="4"/>
        <v>hieunt.tnh@vnpt.vn</v>
      </c>
      <c r="F205" s="321" t="str">
        <f t="shared" ca="1" si="5"/>
        <v>Lần 7</v>
      </c>
      <c r="G205" s="361"/>
      <c r="H205" s="123"/>
      <c r="I205" s="123"/>
      <c r="J205" s="362"/>
      <c r="K205" s="362"/>
      <c r="L205" s="351"/>
      <c r="M205" s="323">
        <f t="shared" ca="1" si="6"/>
        <v>0</v>
      </c>
      <c r="N205" s="324">
        <f t="shared" ca="1" si="7"/>
        <v>0</v>
      </c>
      <c r="O205" s="68">
        <f t="shared" ca="1" si="8"/>
        <v>0</v>
      </c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 ht="15.75" customHeight="1">
      <c r="A206" s="59">
        <f t="shared" ca="1" si="1"/>
        <v>200</v>
      </c>
      <c r="B206" s="182" t="str">
        <f t="shared" ca="1" si="9"/>
        <v>Tổ Hạ tầng Tân Ninh</v>
      </c>
      <c r="C206" s="61" t="str">
        <f t="shared" ca="1" si="2"/>
        <v>Ngô Trung Hiếu</v>
      </c>
      <c r="D206" s="183">
        <f t="shared" ca="1" si="3"/>
        <v>834241286</v>
      </c>
      <c r="E206" s="63" t="str">
        <f t="shared" ca="1" si="4"/>
        <v>hieunt.tnh@vnpt.vn</v>
      </c>
      <c r="F206" s="321" t="str">
        <f t="shared" ca="1" si="5"/>
        <v>Lần 8</v>
      </c>
      <c r="G206" s="361"/>
      <c r="H206" s="123"/>
      <c r="I206" s="123"/>
      <c r="J206" s="362"/>
      <c r="K206" s="362"/>
      <c r="L206" s="351"/>
      <c r="M206" s="323">
        <f t="shared" ca="1" si="6"/>
        <v>0</v>
      </c>
      <c r="N206" s="324">
        <f t="shared" ca="1" si="7"/>
        <v>0</v>
      </c>
      <c r="O206" s="68">
        <f t="shared" ca="1" si="8"/>
        <v>0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 ht="15.75" customHeight="1">
      <c r="A207" s="59">
        <f t="shared" ca="1" si="1"/>
        <v>201</v>
      </c>
      <c r="B207" s="182" t="str">
        <f t="shared" ca="1" si="9"/>
        <v>Tổ Hạ tầng Tân Ninh</v>
      </c>
      <c r="C207" s="61" t="str">
        <f t="shared" ca="1" si="2"/>
        <v>Ngô Trung Hiếu</v>
      </c>
      <c r="D207" s="183">
        <f t="shared" ca="1" si="3"/>
        <v>834241286</v>
      </c>
      <c r="E207" s="63" t="str">
        <f t="shared" ca="1" si="4"/>
        <v>hieunt.tnh@vnpt.vn</v>
      </c>
      <c r="F207" s="321" t="str">
        <f t="shared" ca="1" si="5"/>
        <v>Lần 9</v>
      </c>
      <c r="G207" s="361"/>
      <c r="H207" s="123"/>
      <c r="I207" s="123"/>
      <c r="J207" s="362"/>
      <c r="K207" s="362"/>
      <c r="L207" s="351"/>
      <c r="M207" s="323">
        <f t="shared" ca="1" si="6"/>
        <v>0</v>
      </c>
      <c r="N207" s="324">
        <f t="shared" ca="1" si="7"/>
        <v>0</v>
      </c>
      <c r="O207" s="68">
        <f t="shared" ca="1" si="8"/>
        <v>0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 ht="15.75" customHeight="1">
      <c r="A208" s="59">
        <f t="shared" ca="1" si="1"/>
        <v>202</v>
      </c>
      <c r="B208" s="182" t="str">
        <f t="shared" ca="1" si="9"/>
        <v>Tổ Hạ tầng Tân Ninh</v>
      </c>
      <c r="C208" s="61" t="str">
        <f t="shared" ca="1" si="2"/>
        <v>Ngô Trung Hiếu</v>
      </c>
      <c r="D208" s="183">
        <f t="shared" ca="1" si="3"/>
        <v>834241286</v>
      </c>
      <c r="E208" s="63" t="str">
        <f t="shared" ca="1" si="4"/>
        <v>hieunt.tnh@vnpt.vn</v>
      </c>
      <c r="F208" s="321" t="str">
        <f t="shared" ca="1" si="5"/>
        <v>Lần 10</v>
      </c>
      <c r="G208" s="361"/>
      <c r="H208" s="123"/>
      <c r="I208" s="123"/>
      <c r="J208" s="362"/>
      <c r="K208" s="362"/>
      <c r="L208" s="351"/>
      <c r="M208" s="323">
        <f t="shared" ca="1" si="6"/>
        <v>0</v>
      </c>
      <c r="N208" s="324">
        <f t="shared" ca="1" si="7"/>
        <v>0</v>
      </c>
      <c r="O208" s="68">
        <f t="shared" ca="1" si="8"/>
        <v>0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 ht="15.75" customHeight="1">
      <c r="A209" s="59">
        <f t="shared" ca="1" si="1"/>
        <v>203</v>
      </c>
      <c r="B209" s="182" t="str">
        <f t="shared" ca="1" si="9"/>
        <v>Tổ Hạ tầng Tân Ninh</v>
      </c>
      <c r="C209" s="61" t="str">
        <f t="shared" ca="1" si="2"/>
        <v>Ngô Trung Hiếu</v>
      </c>
      <c r="D209" s="183">
        <f t="shared" ca="1" si="3"/>
        <v>834241286</v>
      </c>
      <c r="E209" s="63" t="str">
        <f t="shared" ca="1" si="4"/>
        <v>hieunt.tnh@vnpt.vn</v>
      </c>
      <c r="F209" s="321" t="str">
        <f t="shared" ca="1" si="5"/>
        <v>Lần 11</v>
      </c>
      <c r="G209" s="361"/>
      <c r="H209" s="75"/>
      <c r="I209" s="75"/>
      <c r="J209" s="362"/>
      <c r="K209" s="362"/>
      <c r="L209" s="351"/>
      <c r="M209" s="323">
        <f t="shared" ca="1" si="6"/>
        <v>0</v>
      </c>
      <c r="N209" s="324">
        <f t="shared" ca="1" si="7"/>
        <v>0</v>
      </c>
      <c r="O209" s="68">
        <f t="shared" ca="1" si="8"/>
        <v>0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 ht="15.75" customHeight="1">
      <c r="A210" s="59">
        <f t="shared" ca="1" si="1"/>
        <v>204</v>
      </c>
      <c r="B210" s="182" t="str">
        <f t="shared" ca="1" si="9"/>
        <v>Tổ Hạ tầng Tân Ninh</v>
      </c>
      <c r="C210" s="61" t="str">
        <f t="shared" ca="1" si="2"/>
        <v>Ngô Trung Hiếu</v>
      </c>
      <c r="D210" s="183">
        <f t="shared" ca="1" si="3"/>
        <v>834241286</v>
      </c>
      <c r="E210" s="63" t="str">
        <f t="shared" ca="1" si="4"/>
        <v>hieunt.tnh@vnpt.vn</v>
      </c>
      <c r="F210" s="321" t="str">
        <f t="shared" ca="1" si="5"/>
        <v>Lần 12</v>
      </c>
      <c r="G210" s="361"/>
      <c r="H210" s="75"/>
      <c r="I210" s="75"/>
      <c r="J210" s="362"/>
      <c r="K210" s="362"/>
      <c r="L210" s="351"/>
      <c r="M210" s="323">
        <f t="shared" ca="1" si="6"/>
        <v>0</v>
      </c>
      <c r="N210" s="324">
        <f t="shared" ca="1" si="7"/>
        <v>0</v>
      </c>
      <c r="O210" s="68">
        <f t="shared" ca="1" si="8"/>
        <v>0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 ht="15.75" customHeight="1">
      <c r="A211" s="59">
        <f t="shared" ca="1" si="1"/>
        <v>205</v>
      </c>
      <c r="B211" s="182" t="str">
        <f t="shared" ca="1" si="9"/>
        <v>Tổ Hạ tầng Tân Ninh</v>
      </c>
      <c r="C211" s="61" t="str">
        <f t="shared" ca="1" si="2"/>
        <v>Ngô Trung Hiếu</v>
      </c>
      <c r="D211" s="183">
        <f t="shared" ca="1" si="3"/>
        <v>834241286</v>
      </c>
      <c r="E211" s="63" t="str">
        <f t="shared" ca="1" si="4"/>
        <v>hieunt.tnh@vnpt.vn</v>
      </c>
      <c r="F211" s="321" t="str">
        <f t="shared" ca="1" si="5"/>
        <v>Lần 13</v>
      </c>
      <c r="G211" s="361"/>
      <c r="H211" s="75"/>
      <c r="I211" s="75"/>
      <c r="J211" s="362"/>
      <c r="K211" s="362"/>
      <c r="L211" s="351"/>
      <c r="M211" s="323">
        <f t="shared" ca="1" si="6"/>
        <v>0</v>
      </c>
      <c r="N211" s="324">
        <f t="shared" ca="1" si="7"/>
        <v>0</v>
      </c>
      <c r="O211" s="68">
        <f t="shared" ca="1" si="8"/>
        <v>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 ht="15.75" customHeight="1">
      <c r="A212" s="59">
        <f t="shared" ca="1" si="1"/>
        <v>206</v>
      </c>
      <c r="B212" s="182" t="str">
        <f t="shared" ca="1" si="9"/>
        <v>Tổ Hạ tầng Tân Ninh</v>
      </c>
      <c r="C212" s="61" t="str">
        <f t="shared" ca="1" si="2"/>
        <v>Ngô Trung Hiếu</v>
      </c>
      <c r="D212" s="183">
        <f t="shared" ca="1" si="3"/>
        <v>834241286</v>
      </c>
      <c r="E212" s="63" t="str">
        <f t="shared" ca="1" si="4"/>
        <v>hieunt.tnh@vnpt.vn</v>
      </c>
      <c r="F212" s="321" t="str">
        <f t="shared" ca="1" si="5"/>
        <v>Lần 14</v>
      </c>
      <c r="G212" s="361"/>
      <c r="H212" s="75"/>
      <c r="I212" s="75"/>
      <c r="J212" s="362"/>
      <c r="K212" s="362"/>
      <c r="L212" s="351"/>
      <c r="M212" s="323">
        <f t="shared" ca="1" si="6"/>
        <v>0</v>
      </c>
      <c r="N212" s="324">
        <f t="shared" ca="1" si="7"/>
        <v>0</v>
      </c>
      <c r="O212" s="68">
        <f t="shared" ca="1" si="8"/>
        <v>0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 ht="15.75" customHeight="1">
      <c r="A213" s="59">
        <f t="shared" ca="1" si="1"/>
        <v>207</v>
      </c>
      <c r="B213" s="182" t="str">
        <f t="shared" ca="1" si="9"/>
        <v>Tổ Hạ tầng Tân Ninh</v>
      </c>
      <c r="C213" s="61" t="str">
        <f t="shared" ca="1" si="2"/>
        <v>Ngô Trung Hiếu</v>
      </c>
      <c r="D213" s="183">
        <f t="shared" ca="1" si="3"/>
        <v>834241286</v>
      </c>
      <c r="E213" s="63" t="str">
        <f t="shared" ca="1" si="4"/>
        <v>hieunt.tnh@vnpt.vn</v>
      </c>
      <c r="F213" s="321" t="str">
        <f t="shared" ca="1" si="5"/>
        <v>Lần 15</v>
      </c>
      <c r="G213" s="361"/>
      <c r="H213" s="71"/>
      <c r="I213" s="71"/>
      <c r="J213" s="362"/>
      <c r="K213" s="362"/>
      <c r="L213" s="351"/>
      <c r="M213" s="323">
        <f t="shared" ca="1" si="6"/>
        <v>0</v>
      </c>
      <c r="N213" s="324">
        <f t="shared" ca="1" si="7"/>
        <v>0</v>
      </c>
      <c r="O213" s="68">
        <f t="shared" ca="1" si="8"/>
        <v>0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 ht="15.75" customHeight="1">
      <c r="A214" s="59">
        <f t="shared" ca="1" si="1"/>
        <v>208</v>
      </c>
      <c r="B214" s="185" t="str">
        <f t="shared" ca="1" si="9"/>
        <v>Tổ Hạ tầng Tân Ninh</v>
      </c>
      <c r="C214" s="82" t="str">
        <f t="shared" ca="1" si="2"/>
        <v>Ngô Trung Hiếu</v>
      </c>
      <c r="D214" s="186">
        <f t="shared" ca="1" si="3"/>
        <v>834241286</v>
      </c>
      <c r="E214" s="84" t="str">
        <f t="shared" ca="1" si="4"/>
        <v>hieunt.tnh@vnpt.vn</v>
      </c>
      <c r="F214" s="325" t="str">
        <f t="shared" ca="1" si="5"/>
        <v>Lần 16</v>
      </c>
      <c r="G214" s="361"/>
      <c r="H214" s="71"/>
      <c r="I214" s="71"/>
      <c r="J214" s="362"/>
      <c r="K214" s="362"/>
      <c r="L214" s="364"/>
      <c r="M214" s="327">
        <f t="shared" ca="1" si="6"/>
        <v>0</v>
      </c>
      <c r="N214" s="328">
        <f t="shared" ca="1" si="7"/>
        <v>0</v>
      </c>
      <c r="O214" s="68">
        <f t="shared" ca="1" si="8"/>
        <v>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 ht="15.75" customHeight="1">
      <c r="A215" s="59">
        <f t="shared" ca="1" si="1"/>
        <v>209</v>
      </c>
      <c r="B215" s="190" t="str">
        <f t="shared" ca="1" si="9"/>
        <v>Tổ Hạ tầng Tân Ninh</v>
      </c>
      <c r="C215" s="48" t="str">
        <f t="shared" ca="1" si="2"/>
        <v>Lâm Bình Chi</v>
      </c>
      <c r="D215" s="191">
        <f t="shared" ca="1" si="3"/>
        <v>913955468</v>
      </c>
      <c r="E215" s="50" t="str">
        <f t="shared" ca="1" si="4"/>
        <v>chiib.tnh@vnpt.vn</v>
      </c>
      <c r="F215" s="318" t="str">
        <f t="shared" ca="1" si="5"/>
        <v>Lần 1</v>
      </c>
      <c r="G215" s="112"/>
      <c r="H215" s="121">
        <v>83.8</v>
      </c>
      <c r="I215" s="121">
        <v>45.2</v>
      </c>
      <c r="J215" s="99">
        <v>101</v>
      </c>
      <c r="K215" s="99">
        <v>54.8</v>
      </c>
      <c r="L215" s="265"/>
      <c r="M215" s="329">
        <f t="shared" ca="1" si="6"/>
        <v>0</v>
      </c>
      <c r="N215" s="330">
        <f t="shared" ca="1" si="7"/>
        <v>0</v>
      </c>
      <c r="O215" s="68">
        <f t="shared" ca="1" si="8"/>
        <v>0</v>
      </c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 ht="15.75" customHeight="1">
      <c r="A216" s="59">
        <f t="shared" ca="1" si="1"/>
        <v>210</v>
      </c>
      <c r="B216" s="182" t="str">
        <f t="shared" ca="1" si="9"/>
        <v>Tổ Hạ tầng Tân Ninh</v>
      </c>
      <c r="C216" s="61" t="str">
        <f t="shared" ca="1" si="2"/>
        <v>Lâm Bình Chi</v>
      </c>
      <c r="D216" s="183">
        <f t="shared" ca="1" si="3"/>
        <v>913955468</v>
      </c>
      <c r="E216" s="63" t="str">
        <f t="shared" ca="1" si="4"/>
        <v>chiib.tnh@vnpt.vn</v>
      </c>
      <c r="F216" s="321" t="str">
        <f t="shared" ca="1" si="5"/>
        <v>Lần 2</v>
      </c>
      <c r="G216" s="112"/>
      <c r="H216" s="121">
        <v>80.099999999999994</v>
      </c>
      <c r="I216" s="121">
        <v>42.1</v>
      </c>
      <c r="J216" s="99">
        <v>116</v>
      </c>
      <c r="K216" s="99">
        <v>55.3</v>
      </c>
      <c r="L216" s="331"/>
      <c r="M216" s="323">
        <f t="shared" ca="1" si="6"/>
        <v>0</v>
      </c>
      <c r="N216" s="332">
        <f t="shared" ca="1" si="7"/>
        <v>0</v>
      </c>
      <c r="O216" s="68">
        <f t="shared" ca="1" si="8"/>
        <v>0</v>
      </c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 ht="15.75" customHeight="1">
      <c r="A217" s="59">
        <f t="shared" ca="1" si="1"/>
        <v>211</v>
      </c>
      <c r="B217" s="182" t="str">
        <f t="shared" ca="1" si="9"/>
        <v>Tổ Hạ tầng Tân Ninh</v>
      </c>
      <c r="C217" s="61" t="str">
        <f t="shared" ca="1" si="2"/>
        <v>Lâm Bình Chi</v>
      </c>
      <c r="D217" s="183">
        <f t="shared" ca="1" si="3"/>
        <v>913955468</v>
      </c>
      <c r="E217" s="63" t="str">
        <f t="shared" ca="1" si="4"/>
        <v>chiib.tnh@vnpt.vn</v>
      </c>
      <c r="F217" s="321" t="str">
        <f t="shared" ca="1" si="5"/>
        <v>Lần 3</v>
      </c>
      <c r="G217" s="112"/>
      <c r="H217" s="121">
        <v>115</v>
      </c>
      <c r="I217" s="121">
        <v>11.1</v>
      </c>
      <c r="J217" s="99">
        <v>102</v>
      </c>
      <c r="K217" s="99">
        <v>57.6</v>
      </c>
      <c r="L217" s="331"/>
      <c r="M217" s="323">
        <f t="shared" ca="1" si="6"/>
        <v>0</v>
      </c>
      <c r="N217" s="332">
        <f t="shared" ca="1" si="7"/>
        <v>0</v>
      </c>
      <c r="O217" s="68">
        <f t="shared" ca="1" si="8"/>
        <v>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 ht="15.75" customHeight="1">
      <c r="A218" s="59">
        <f t="shared" ca="1" si="1"/>
        <v>212</v>
      </c>
      <c r="B218" s="182" t="str">
        <f t="shared" ca="1" si="9"/>
        <v>Tổ Hạ tầng Tân Ninh</v>
      </c>
      <c r="C218" s="61" t="str">
        <f t="shared" ca="1" si="2"/>
        <v>Lâm Bình Chi</v>
      </c>
      <c r="D218" s="183">
        <f t="shared" ca="1" si="3"/>
        <v>913955468</v>
      </c>
      <c r="E218" s="63" t="str">
        <f t="shared" ca="1" si="4"/>
        <v>chiib.tnh@vnpt.vn</v>
      </c>
      <c r="F218" s="321" t="str">
        <f t="shared" ca="1" si="5"/>
        <v>Lần 4</v>
      </c>
      <c r="G218" s="112"/>
      <c r="H218" s="121">
        <v>95.6</v>
      </c>
      <c r="I218" s="121">
        <v>46.9</v>
      </c>
      <c r="J218" s="99">
        <v>117</v>
      </c>
      <c r="K218" s="99">
        <v>58</v>
      </c>
      <c r="L218" s="331"/>
      <c r="M218" s="323">
        <f t="shared" ca="1" si="6"/>
        <v>0</v>
      </c>
      <c r="N218" s="332">
        <f t="shared" ca="1" si="7"/>
        <v>0</v>
      </c>
      <c r="O218" s="68">
        <f t="shared" ca="1" si="8"/>
        <v>0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 ht="15.75" customHeight="1">
      <c r="A219" s="59">
        <f t="shared" ca="1" si="1"/>
        <v>213</v>
      </c>
      <c r="B219" s="182" t="str">
        <f t="shared" ca="1" si="9"/>
        <v>Tổ Hạ tầng Tân Ninh</v>
      </c>
      <c r="C219" s="61" t="str">
        <f t="shared" ca="1" si="2"/>
        <v>Lâm Bình Chi</v>
      </c>
      <c r="D219" s="183">
        <f t="shared" ca="1" si="3"/>
        <v>913955468</v>
      </c>
      <c r="E219" s="63" t="str">
        <f t="shared" ca="1" si="4"/>
        <v>chiib.tnh@vnpt.vn</v>
      </c>
      <c r="F219" s="321" t="str">
        <f t="shared" ca="1" si="5"/>
        <v>Lần 5</v>
      </c>
      <c r="G219" s="112"/>
      <c r="H219" s="122">
        <v>116</v>
      </c>
      <c r="I219" s="122">
        <v>50</v>
      </c>
      <c r="J219" s="98">
        <v>90.6</v>
      </c>
      <c r="K219" s="98">
        <v>55</v>
      </c>
      <c r="L219" s="365"/>
      <c r="M219" s="323">
        <f t="shared" ca="1" si="6"/>
        <v>0</v>
      </c>
      <c r="N219" s="332">
        <f t="shared" ca="1" si="7"/>
        <v>0</v>
      </c>
      <c r="O219" s="68">
        <f t="shared" ca="1" si="8"/>
        <v>0</v>
      </c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 ht="15.75" customHeight="1">
      <c r="A220" s="59">
        <f t="shared" ca="1" si="1"/>
        <v>214</v>
      </c>
      <c r="B220" s="182" t="str">
        <f t="shared" ca="1" si="9"/>
        <v>Tổ Hạ tầng Tân Ninh</v>
      </c>
      <c r="C220" s="61" t="str">
        <f t="shared" ca="1" si="2"/>
        <v>Lâm Bình Chi</v>
      </c>
      <c r="D220" s="183">
        <f t="shared" ca="1" si="3"/>
        <v>913955468</v>
      </c>
      <c r="E220" s="63" t="str">
        <f t="shared" ca="1" si="4"/>
        <v>chiib.tnh@vnpt.vn</v>
      </c>
      <c r="F220" s="321" t="str">
        <f t="shared" ca="1" si="5"/>
        <v>Lần 6</v>
      </c>
      <c r="G220" s="93"/>
      <c r="H220" s="122">
        <v>103</v>
      </c>
      <c r="I220" s="122">
        <v>50.5</v>
      </c>
      <c r="J220" s="98">
        <v>94.7</v>
      </c>
      <c r="K220" s="98">
        <v>11.4</v>
      </c>
      <c r="L220" s="365"/>
      <c r="M220" s="323">
        <f t="shared" ca="1" si="6"/>
        <v>0</v>
      </c>
      <c r="N220" s="332">
        <f t="shared" ca="1" si="7"/>
        <v>0</v>
      </c>
      <c r="O220" s="68">
        <f t="shared" ca="1" si="8"/>
        <v>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 ht="15.75" customHeight="1">
      <c r="A221" s="59">
        <f t="shared" ca="1" si="1"/>
        <v>215</v>
      </c>
      <c r="B221" s="182" t="str">
        <f t="shared" ca="1" si="9"/>
        <v>Tổ Hạ tầng Tân Ninh</v>
      </c>
      <c r="C221" s="61" t="str">
        <f t="shared" ca="1" si="2"/>
        <v>Lâm Bình Chi</v>
      </c>
      <c r="D221" s="183">
        <f t="shared" ca="1" si="3"/>
        <v>913955468</v>
      </c>
      <c r="E221" s="63" t="str">
        <f t="shared" ca="1" si="4"/>
        <v>chiib.tnh@vnpt.vn</v>
      </c>
      <c r="F221" s="321" t="str">
        <f t="shared" ca="1" si="5"/>
        <v>Lần 7</v>
      </c>
      <c r="G221" s="93"/>
      <c r="H221" s="122">
        <v>108</v>
      </c>
      <c r="I221" s="122">
        <v>51.8</v>
      </c>
      <c r="J221" s="98">
        <v>96.1</v>
      </c>
      <c r="K221" s="98">
        <v>11.7</v>
      </c>
      <c r="L221" s="365"/>
      <c r="M221" s="323">
        <f t="shared" ca="1" si="6"/>
        <v>0</v>
      </c>
      <c r="N221" s="332">
        <f t="shared" ca="1" si="7"/>
        <v>0</v>
      </c>
      <c r="O221" s="68">
        <f t="shared" ca="1" si="8"/>
        <v>0</v>
      </c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 ht="15.75" customHeight="1">
      <c r="A222" s="59">
        <f t="shared" ca="1" si="1"/>
        <v>216</v>
      </c>
      <c r="B222" s="182" t="str">
        <f t="shared" ca="1" si="9"/>
        <v>Tổ Hạ tầng Tân Ninh</v>
      </c>
      <c r="C222" s="61" t="str">
        <f t="shared" ca="1" si="2"/>
        <v>Lâm Bình Chi</v>
      </c>
      <c r="D222" s="183">
        <f t="shared" ca="1" si="3"/>
        <v>913955468</v>
      </c>
      <c r="E222" s="63" t="str">
        <f t="shared" ca="1" si="4"/>
        <v>chiib.tnh@vnpt.vn</v>
      </c>
      <c r="F222" s="321" t="str">
        <f t="shared" ca="1" si="5"/>
        <v>Lần 8</v>
      </c>
      <c r="G222" s="93"/>
      <c r="H222" s="122">
        <v>95.9</v>
      </c>
      <c r="I222" s="122">
        <v>49.2</v>
      </c>
      <c r="J222" s="98">
        <v>127</v>
      </c>
      <c r="K222" s="98">
        <v>10.8</v>
      </c>
      <c r="L222" s="365"/>
      <c r="M222" s="323">
        <f t="shared" ca="1" si="6"/>
        <v>0</v>
      </c>
      <c r="N222" s="332">
        <f t="shared" ca="1" si="7"/>
        <v>0</v>
      </c>
      <c r="O222" s="68">
        <f t="shared" ca="1" si="8"/>
        <v>0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 ht="15.75" customHeight="1">
      <c r="A223" s="59">
        <f t="shared" ca="1" si="1"/>
        <v>217</v>
      </c>
      <c r="B223" s="182" t="str">
        <f t="shared" ca="1" si="9"/>
        <v>Tổ Hạ tầng Tân Ninh</v>
      </c>
      <c r="C223" s="61" t="str">
        <f t="shared" ca="1" si="2"/>
        <v>Lâm Bình Chi</v>
      </c>
      <c r="D223" s="183">
        <f t="shared" ca="1" si="3"/>
        <v>913955468</v>
      </c>
      <c r="E223" s="63" t="str">
        <f t="shared" ca="1" si="4"/>
        <v>chiib.tnh@vnpt.vn</v>
      </c>
      <c r="F223" s="321" t="str">
        <f t="shared" ca="1" si="5"/>
        <v>Lần 9</v>
      </c>
      <c r="G223" s="93"/>
      <c r="H223" s="122">
        <v>81</v>
      </c>
      <c r="I223" s="122">
        <v>11.4</v>
      </c>
      <c r="J223" s="98">
        <v>130</v>
      </c>
      <c r="K223" s="98">
        <v>11.5</v>
      </c>
      <c r="L223" s="365"/>
      <c r="M223" s="323">
        <f t="shared" ca="1" si="6"/>
        <v>0</v>
      </c>
      <c r="N223" s="332">
        <f t="shared" ca="1" si="7"/>
        <v>0</v>
      </c>
      <c r="O223" s="68">
        <f t="shared" ca="1" si="8"/>
        <v>0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 ht="15.75" customHeight="1">
      <c r="A224" s="59">
        <f t="shared" ca="1" si="1"/>
        <v>218</v>
      </c>
      <c r="B224" s="182" t="str">
        <f t="shared" ca="1" si="9"/>
        <v>Tổ Hạ tầng Tân Ninh</v>
      </c>
      <c r="C224" s="61" t="str">
        <f t="shared" ca="1" si="2"/>
        <v>Lâm Bình Chi</v>
      </c>
      <c r="D224" s="183">
        <f t="shared" ca="1" si="3"/>
        <v>913955468</v>
      </c>
      <c r="E224" s="63" t="str">
        <f t="shared" ca="1" si="4"/>
        <v>chiib.tnh@vnpt.vn</v>
      </c>
      <c r="F224" s="321" t="str">
        <f t="shared" ca="1" si="5"/>
        <v>Lần 10</v>
      </c>
      <c r="G224" s="93"/>
      <c r="H224" s="122">
        <v>82.7</v>
      </c>
      <c r="I224" s="122">
        <v>11.5</v>
      </c>
      <c r="J224" s="98">
        <v>126</v>
      </c>
      <c r="K224" s="98">
        <v>11.4</v>
      </c>
      <c r="L224" s="365"/>
      <c r="M224" s="323">
        <f t="shared" ca="1" si="6"/>
        <v>0</v>
      </c>
      <c r="N224" s="332">
        <f t="shared" ca="1" si="7"/>
        <v>0</v>
      </c>
      <c r="O224" s="68">
        <f t="shared" ca="1" si="8"/>
        <v>0</v>
      </c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 ht="15.75" customHeight="1">
      <c r="A225" s="59">
        <f t="shared" ca="1" si="1"/>
        <v>219</v>
      </c>
      <c r="B225" s="182" t="str">
        <f t="shared" ca="1" si="9"/>
        <v>Tổ Hạ tầng Tân Ninh</v>
      </c>
      <c r="C225" s="61" t="str">
        <f t="shared" ca="1" si="2"/>
        <v>Lâm Bình Chi</v>
      </c>
      <c r="D225" s="183">
        <f t="shared" ca="1" si="3"/>
        <v>913955468</v>
      </c>
      <c r="E225" s="63" t="str">
        <f t="shared" ca="1" si="4"/>
        <v>chiib.tnh@vnpt.vn</v>
      </c>
      <c r="F225" s="321" t="str">
        <f t="shared" ca="1" si="5"/>
        <v>Lần 11</v>
      </c>
      <c r="G225" s="93"/>
      <c r="H225" s="122">
        <v>77</v>
      </c>
      <c r="I225" s="122">
        <v>11.9</v>
      </c>
      <c r="J225" s="98">
        <v>119</v>
      </c>
      <c r="K225" s="98">
        <v>11.6</v>
      </c>
      <c r="L225" s="365"/>
      <c r="M225" s="323">
        <f t="shared" ca="1" si="6"/>
        <v>0</v>
      </c>
      <c r="N225" s="332">
        <f t="shared" ca="1" si="7"/>
        <v>0</v>
      </c>
      <c r="O225" s="68">
        <f t="shared" ca="1" si="8"/>
        <v>0</v>
      </c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 ht="15.75" customHeight="1">
      <c r="A226" s="59">
        <f t="shared" ca="1" si="1"/>
        <v>220</v>
      </c>
      <c r="B226" s="182" t="str">
        <f t="shared" ca="1" si="9"/>
        <v>Tổ Hạ tầng Tân Ninh</v>
      </c>
      <c r="C226" s="61" t="str">
        <f t="shared" ca="1" si="2"/>
        <v>Lâm Bình Chi</v>
      </c>
      <c r="D226" s="183">
        <f t="shared" ca="1" si="3"/>
        <v>913955468</v>
      </c>
      <c r="E226" s="63" t="str">
        <f t="shared" ca="1" si="4"/>
        <v>chiib.tnh@vnpt.vn</v>
      </c>
      <c r="F226" s="321" t="str">
        <f t="shared" ca="1" si="5"/>
        <v>Lần 12</v>
      </c>
      <c r="G226" s="93"/>
      <c r="H226" s="122">
        <v>85.4</v>
      </c>
      <c r="I226" s="122">
        <v>11.7</v>
      </c>
      <c r="J226" s="98">
        <v>82.5</v>
      </c>
      <c r="K226" s="98">
        <v>11.8</v>
      </c>
      <c r="L226" s="365"/>
      <c r="M226" s="323">
        <f t="shared" ca="1" si="6"/>
        <v>0</v>
      </c>
      <c r="N226" s="332">
        <f t="shared" ca="1" si="7"/>
        <v>0</v>
      </c>
      <c r="O226" s="68">
        <f t="shared" ca="1" si="8"/>
        <v>0</v>
      </c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 ht="15.75" customHeight="1">
      <c r="A227" s="59">
        <f t="shared" ca="1" si="1"/>
        <v>221</v>
      </c>
      <c r="B227" s="182" t="str">
        <f t="shared" ca="1" si="9"/>
        <v>Tổ Hạ tầng Tân Ninh</v>
      </c>
      <c r="C227" s="61" t="str">
        <f t="shared" ca="1" si="2"/>
        <v>Lâm Bình Chi</v>
      </c>
      <c r="D227" s="183">
        <f t="shared" ca="1" si="3"/>
        <v>913955468</v>
      </c>
      <c r="E227" s="63" t="str">
        <f t="shared" ca="1" si="4"/>
        <v>chiib.tnh@vnpt.vn</v>
      </c>
      <c r="F227" s="321" t="str">
        <f t="shared" ca="1" si="5"/>
        <v>Lần 13</v>
      </c>
      <c r="G227" s="93"/>
      <c r="H227" s="122">
        <v>82.2</v>
      </c>
      <c r="I227" s="122">
        <v>11.7</v>
      </c>
      <c r="J227" s="98">
        <v>93</v>
      </c>
      <c r="K227" s="98">
        <v>11.9</v>
      </c>
      <c r="L227" s="365"/>
      <c r="M227" s="323">
        <f t="shared" ca="1" si="6"/>
        <v>0</v>
      </c>
      <c r="N227" s="332">
        <f t="shared" ca="1" si="7"/>
        <v>0</v>
      </c>
      <c r="O227" s="68">
        <f t="shared" ca="1" si="8"/>
        <v>0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 ht="15.75" customHeight="1">
      <c r="A228" s="59">
        <f t="shared" ca="1" si="1"/>
        <v>222</v>
      </c>
      <c r="B228" s="182" t="str">
        <f t="shared" ca="1" si="9"/>
        <v>Tổ Hạ tầng Tân Ninh</v>
      </c>
      <c r="C228" s="61" t="str">
        <f t="shared" ca="1" si="2"/>
        <v>Lâm Bình Chi</v>
      </c>
      <c r="D228" s="183">
        <f t="shared" ca="1" si="3"/>
        <v>913955468</v>
      </c>
      <c r="E228" s="63" t="str">
        <f t="shared" ca="1" si="4"/>
        <v>chiib.tnh@vnpt.vn</v>
      </c>
      <c r="F228" s="321" t="str">
        <f t="shared" ca="1" si="5"/>
        <v>Lần 14</v>
      </c>
      <c r="G228" s="93"/>
      <c r="H228" s="122">
        <v>95.7</v>
      </c>
      <c r="I228" s="122">
        <v>11.8</v>
      </c>
      <c r="J228" s="98">
        <v>94.2</v>
      </c>
      <c r="K228" s="98">
        <v>19.2</v>
      </c>
      <c r="L228" s="365"/>
      <c r="M228" s="323">
        <f t="shared" ca="1" si="6"/>
        <v>0</v>
      </c>
      <c r="N228" s="332">
        <f t="shared" ca="1" si="7"/>
        <v>0</v>
      </c>
      <c r="O228" s="68">
        <f t="shared" ca="1" si="8"/>
        <v>0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 ht="15.75" customHeight="1">
      <c r="A229" s="59">
        <f t="shared" ca="1" si="1"/>
        <v>223</v>
      </c>
      <c r="B229" s="182" t="str">
        <f t="shared" ca="1" si="9"/>
        <v>Tổ Hạ tầng Tân Ninh</v>
      </c>
      <c r="C229" s="61" t="str">
        <f t="shared" ca="1" si="2"/>
        <v>Lâm Bình Chi</v>
      </c>
      <c r="D229" s="183">
        <f t="shared" ca="1" si="3"/>
        <v>913955468</v>
      </c>
      <c r="E229" s="63" t="str">
        <f t="shared" ca="1" si="4"/>
        <v>chiib.tnh@vnpt.vn</v>
      </c>
      <c r="F229" s="321" t="str">
        <f t="shared" ca="1" si="5"/>
        <v>Lần 15</v>
      </c>
      <c r="G229" s="93"/>
      <c r="H229" s="122">
        <v>92</v>
      </c>
      <c r="I229" s="122">
        <v>11.8</v>
      </c>
      <c r="J229" s="98">
        <v>99</v>
      </c>
      <c r="K229" s="98">
        <v>18.399999999999999</v>
      </c>
      <c r="L229" s="365"/>
      <c r="M229" s="323">
        <f t="shared" ca="1" si="6"/>
        <v>0</v>
      </c>
      <c r="N229" s="332">
        <f t="shared" ca="1" si="7"/>
        <v>0</v>
      </c>
      <c r="O229" s="68">
        <f t="shared" ca="1" si="8"/>
        <v>0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 ht="15.75" customHeight="1">
      <c r="A230" s="59">
        <f t="shared" ca="1" si="1"/>
        <v>224</v>
      </c>
      <c r="B230" s="196" t="str">
        <f t="shared" ca="1" si="9"/>
        <v>Tổ Hạ tầng Tân Ninh</v>
      </c>
      <c r="C230" s="102" t="str">
        <f t="shared" ca="1" si="2"/>
        <v>Lâm Bình Chi</v>
      </c>
      <c r="D230" s="197">
        <f t="shared" ca="1" si="3"/>
        <v>913955468</v>
      </c>
      <c r="E230" s="104" t="str">
        <f t="shared" ca="1" si="4"/>
        <v>chiib.tnh@vnpt.vn</v>
      </c>
      <c r="F230" s="335" t="str">
        <f t="shared" ca="1" si="5"/>
        <v>Lần 16</v>
      </c>
      <c r="G230" s="93"/>
      <c r="H230" s="122">
        <v>77.5</v>
      </c>
      <c r="I230" s="122">
        <v>11.8</v>
      </c>
      <c r="J230" s="98">
        <v>101</v>
      </c>
      <c r="K230" s="98">
        <v>16.8</v>
      </c>
      <c r="L230" s="366"/>
      <c r="M230" s="337">
        <f t="shared" ca="1" si="6"/>
        <v>0</v>
      </c>
      <c r="N230" s="338">
        <f t="shared" ca="1" si="7"/>
        <v>0</v>
      </c>
      <c r="O230" s="68">
        <f t="shared" ca="1" si="8"/>
        <v>0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 ht="15.75" customHeight="1">
      <c r="A231" s="59">
        <f t="shared" ca="1" si="1"/>
        <v>225</v>
      </c>
      <c r="B231" s="204" t="str">
        <f t="shared" ca="1" si="9"/>
        <v>Tổ Hạ tầng Tân Ninh</v>
      </c>
      <c r="C231" s="108" t="str">
        <f t="shared" ca="1" si="2"/>
        <v>Đặng võ thừa Phong</v>
      </c>
      <c r="D231" s="315" t="str">
        <f t="shared" ca="1" si="3"/>
        <v>0917893993</v>
      </c>
      <c r="E231" s="110" t="str">
        <f t="shared" ca="1" si="4"/>
        <v>phongdvt.tnh@vnpt.vn</v>
      </c>
      <c r="F231" s="339" t="str">
        <f t="shared" ca="1" si="5"/>
        <v>Lần 1</v>
      </c>
      <c r="G231" s="112"/>
      <c r="H231" s="71"/>
      <c r="I231" s="73"/>
      <c r="J231" s="72"/>
      <c r="K231" s="72"/>
      <c r="L231" s="358"/>
      <c r="M231" s="341">
        <f t="shared" ca="1" si="6"/>
        <v>0</v>
      </c>
      <c r="N231" s="342">
        <f t="shared" ca="1" si="7"/>
        <v>0</v>
      </c>
      <c r="O231" s="68">
        <f t="shared" ca="1" si="8"/>
        <v>0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 ht="15.75" customHeight="1">
      <c r="A232" s="59">
        <f t="shared" ca="1" si="1"/>
        <v>226</v>
      </c>
      <c r="B232" s="182" t="str">
        <f t="shared" ca="1" si="9"/>
        <v>Tổ Hạ tầng Tân Ninh</v>
      </c>
      <c r="C232" s="61" t="str">
        <f t="shared" ca="1" si="2"/>
        <v>Đặng võ thừa Phong</v>
      </c>
      <c r="D232" s="239" t="str">
        <f t="shared" ca="1" si="3"/>
        <v>0917893993</v>
      </c>
      <c r="E232" s="63" t="str">
        <f t="shared" ca="1" si="4"/>
        <v>phongdvt.tnh@vnpt.vn</v>
      </c>
      <c r="F232" s="321" t="str">
        <f t="shared" ca="1" si="5"/>
        <v>Lần 2</v>
      </c>
      <c r="G232" s="112"/>
      <c r="H232" s="71"/>
      <c r="I232" s="73"/>
      <c r="J232" s="72"/>
      <c r="K232" s="72"/>
      <c r="L232" s="322"/>
      <c r="M232" s="323">
        <f t="shared" ca="1" si="6"/>
        <v>0</v>
      </c>
      <c r="N232" s="324">
        <f t="shared" ca="1" si="7"/>
        <v>0</v>
      </c>
      <c r="O232" s="68">
        <f t="shared" ca="1" si="8"/>
        <v>0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 ht="15.75" customHeight="1">
      <c r="A233" s="59">
        <f t="shared" ca="1" si="1"/>
        <v>227</v>
      </c>
      <c r="B233" s="182" t="str">
        <f t="shared" ca="1" si="9"/>
        <v>Tổ Hạ tầng Tân Ninh</v>
      </c>
      <c r="C233" s="61" t="str">
        <f t="shared" ca="1" si="2"/>
        <v>Đặng võ thừa Phong</v>
      </c>
      <c r="D233" s="239" t="str">
        <f t="shared" ca="1" si="3"/>
        <v>0917893993</v>
      </c>
      <c r="E233" s="63" t="str">
        <f t="shared" ca="1" si="4"/>
        <v>phongdvt.tnh@vnpt.vn</v>
      </c>
      <c r="F233" s="321" t="str">
        <f t="shared" ca="1" si="5"/>
        <v>Lần 3</v>
      </c>
      <c r="G233" s="112"/>
      <c r="H233" s="71"/>
      <c r="I233" s="73"/>
      <c r="J233" s="72"/>
      <c r="K233" s="72"/>
      <c r="L233" s="322"/>
      <c r="M233" s="323">
        <f t="shared" ca="1" si="6"/>
        <v>0</v>
      </c>
      <c r="N233" s="324">
        <f t="shared" ca="1" si="7"/>
        <v>0</v>
      </c>
      <c r="O233" s="68">
        <f t="shared" ca="1" si="8"/>
        <v>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 ht="15.75" customHeight="1">
      <c r="A234" s="59">
        <f t="shared" ca="1" si="1"/>
        <v>228</v>
      </c>
      <c r="B234" s="182" t="str">
        <f t="shared" ca="1" si="9"/>
        <v>Tổ Hạ tầng Tân Ninh</v>
      </c>
      <c r="C234" s="61" t="str">
        <f t="shared" ca="1" si="2"/>
        <v>Đặng võ thừa Phong</v>
      </c>
      <c r="D234" s="239" t="str">
        <f t="shared" ca="1" si="3"/>
        <v>0917893993</v>
      </c>
      <c r="E234" s="63" t="str">
        <f t="shared" ca="1" si="4"/>
        <v>phongdvt.tnh@vnpt.vn</v>
      </c>
      <c r="F234" s="321" t="str">
        <f t="shared" ca="1" si="5"/>
        <v>Lần 4</v>
      </c>
      <c r="G234" s="112"/>
      <c r="H234" s="71"/>
      <c r="I234" s="73"/>
      <c r="J234" s="72"/>
      <c r="K234" s="72"/>
      <c r="L234" s="322"/>
      <c r="M234" s="323">
        <f t="shared" ca="1" si="6"/>
        <v>0</v>
      </c>
      <c r="N234" s="324">
        <f t="shared" ca="1" si="7"/>
        <v>0</v>
      </c>
      <c r="O234" s="68">
        <f t="shared" ca="1" si="8"/>
        <v>0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 ht="15.75" customHeight="1">
      <c r="A235" s="59">
        <f t="shared" ca="1" si="1"/>
        <v>229</v>
      </c>
      <c r="B235" s="182" t="str">
        <f t="shared" ca="1" si="9"/>
        <v>Tổ Hạ tầng Tân Ninh</v>
      </c>
      <c r="C235" s="61" t="str">
        <f t="shared" ca="1" si="2"/>
        <v>Đặng võ thừa Phong</v>
      </c>
      <c r="D235" s="239" t="str">
        <f t="shared" ca="1" si="3"/>
        <v>0917893993</v>
      </c>
      <c r="E235" s="63" t="str">
        <f t="shared" ca="1" si="4"/>
        <v>phongdvt.tnh@vnpt.vn</v>
      </c>
      <c r="F235" s="321" t="str">
        <f t="shared" ca="1" si="5"/>
        <v>Lần 5</v>
      </c>
      <c r="G235" s="112"/>
      <c r="H235" s="75"/>
      <c r="I235" s="133"/>
      <c r="J235" s="72"/>
      <c r="K235" s="72"/>
      <c r="L235" s="322"/>
      <c r="M235" s="323">
        <f t="shared" ca="1" si="6"/>
        <v>0</v>
      </c>
      <c r="N235" s="324">
        <f t="shared" ca="1" si="7"/>
        <v>0</v>
      </c>
      <c r="O235" s="68">
        <f t="shared" ca="1" si="8"/>
        <v>0</v>
      </c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 ht="15.75" customHeight="1">
      <c r="A236" s="59">
        <f t="shared" ca="1" si="1"/>
        <v>230</v>
      </c>
      <c r="B236" s="182" t="str">
        <f t="shared" ca="1" si="9"/>
        <v>Tổ Hạ tầng Tân Ninh</v>
      </c>
      <c r="C236" s="61" t="str">
        <f t="shared" ca="1" si="2"/>
        <v>Đặng võ thừa Phong</v>
      </c>
      <c r="D236" s="239" t="str">
        <f t="shared" ca="1" si="3"/>
        <v>0917893993</v>
      </c>
      <c r="E236" s="63" t="str">
        <f t="shared" ca="1" si="4"/>
        <v>phongdvt.tnh@vnpt.vn</v>
      </c>
      <c r="F236" s="321" t="str">
        <f t="shared" ca="1" si="5"/>
        <v>Lần 6</v>
      </c>
      <c r="G236" s="93"/>
      <c r="H236" s="75"/>
      <c r="I236" s="133"/>
      <c r="J236" s="72"/>
      <c r="K236" s="72"/>
      <c r="L236" s="322"/>
      <c r="M236" s="323">
        <f t="shared" ca="1" si="6"/>
        <v>0</v>
      </c>
      <c r="N236" s="324">
        <f t="shared" ca="1" si="7"/>
        <v>0</v>
      </c>
      <c r="O236" s="68">
        <f t="shared" ca="1" si="8"/>
        <v>0</v>
      </c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 ht="15.75" customHeight="1">
      <c r="A237" s="59">
        <f t="shared" ca="1" si="1"/>
        <v>231</v>
      </c>
      <c r="B237" s="182" t="str">
        <f t="shared" ca="1" si="9"/>
        <v>Tổ Hạ tầng Tân Ninh</v>
      </c>
      <c r="C237" s="61" t="str">
        <f t="shared" ca="1" si="2"/>
        <v>Đặng võ thừa Phong</v>
      </c>
      <c r="D237" s="239" t="str">
        <f t="shared" ca="1" si="3"/>
        <v>0917893993</v>
      </c>
      <c r="E237" s="63" t="str">
        <f t="shared" ca="1" si="4"/>
        <v>phongdvt.tnh@vnpt.vn</v>
      </c>
      <c r="F237" s="321" t="str">
        <f t="shared" ca="1" si="5"/>
        <v>Lần 7</v>
      </c>
      <c r="G237" s="93"/>
      <c r="H237" s="75"/>
      <c r="I237" s="133"/>
      <c r="J237" s="72"/>
      <c r="K237" s="72"/>
      <c r="L237" s="322"/>
      <c r="M237" s="323">
        <f t="shared" ca="1" si="6"/>
        <v>0</v>
      </c>
      <c r="N237" s="324">
        <f t="shared" ca="1" si="7"/>
        <v>0</v>
      </c>
      <c r="O237" s="68">
        <f t="shared" ca="1" si="8"/>
        <v>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 ht="15.75" customHeight="1">
      <c r="A238" s="59">
        <f t="shared" ca="1" si="1"/>
        <v>232</v>
      </c>
      <c r="B238" s="182" t="str">
        <f t="shared" ca="1" si="9"/>
        <v>Tổ Hạ tầng Tân Ninh</v>
      </c>
      <c r="C238" s="61" t="str">
        <f t="shared" ca="1" si="2"/>
        <v>Đặng võ thừa Phong</v>
      </c>
      <c r="D238" s="239" t="str">
        <f t="shared" ca="1" si="3"/>
        <v>0917893993</v>
      </c>
      <c r="E238" s="63" t="str">
        <f t="shared" ca="1" si="4"/>
        <v>phongdvt.tnh@vnpt.vn</v>
      </c>
      <c r="F238" s="321" t="str">
        <f t="shared" ca="1" si="5"/>
        <v>Lần 8</v>
      </c>
      <c r="G238" s="93"/>
      <c r="H238" s="75"/>
      <c r="I238" s="133"/>
      <c r="J238" s="72"/>
      <c r="K238" s="72"/>
      <c r="L238" s="322"/>
      <c r="M238" s="323">
        <f t="shared" ca="1" si="6"/>
        <v>0</v>
      </c>
      <c r="N238" s="324">
        <f t="shared" ca="1" si="7"/>
        <v>0</v>
      </c>
      <c r="O238" s="68">
        <f t="shared" ca="1" si="8"/>
        <v>0</v>
      </c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 ht="15.75" customHeight="1">
      <c r="A239" s="59">
        <f t="shared" ca="1" si="1"/>
        <v>233</v>
      </c>
      <c r="B239" s="182" t="str">
        <f t="shared" ca="1" si="9"/>
        <v>Tổ Hạ tầng Tân Ninh</v>
      </c>
      <c r="C239" s="61" t="str">
        <f t="shared" ca="1" si="2"/>
        <v>Đặng võ thừa Phong</v>
      </c>
      <c r="D239" s="239" t="str">
        <f t="shared" ca="1" si="3"/>
        <v>0917893993</v>
      </c>
      <c r="E239" s="63" t="str">
        <f t="shared" ca="1" si="4"/>
        <v>phongdvt.tnh@vnpt.vn</v>
      </c>
      <c r="F239" s="321" t="str">
        <f t="shared" ca="1" si="5"/>
        <v>Lần 9</v>
      </c>
      <c r="G239" s="93"/>
      <c r="H239" s="133"/>
      <c r="I239" s="133"/>
      <c r="J239" s="72"/>
      <c r="K239" s="72"/>
      <c r="L239" s="322"/>
      <c r="M239" s="323">
        <f t="shared" ca="1" si="6"/>
        <v>0</v>
      </c>
      <c r="N239" s="324">
        <f t="shared" ca="1" si="7"/>
        <v>0</v>
      </c>
      <c r="O239" s="68">
        <f t="shared" ca="1" si="8"/>
        <v>0</v>
      </c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 ht="15.75" customHeight="1">
      <c r="A240" s="59">
        <f t="shared" ca="1" si="1"/>
        <v>234</v>
      </c>
      <c r="B240" s="182" t="str">
        <f t="shared" ca="1" si="9"/>
        <v>Tổ Hạ tầng Tân Ninh</v>
      </c>
      <c r="C240" s="61" t="str">
        <f t="shared" ca="1" si="2"/>
        <v>Đặng võ thừa Phong</v>
      </c>
      <c r="D240" s="239" t="str">
        <f t="shared" ca="1" si="3"/>
        <v>0917893993</v>
      </c>
      <c r="E240" s="63" t="str">
        <f t="shared" ca="1" si="4"/>
        <v>phongdvt.tnh@vnpt.vn</v>
      </c>
      <c r="F240" s="321" t="str">
        <f t="shared" ca="1" si="5"/>
        <v>Lần 10</v>
      </c>
      <c r="G240" s="93"/>
      <c r="H240" s="133"/>
      <c r="I240" s="133"/>
      <c r="J240" s="72"/>
      <c r="K240" s="72"/>
      <c r="L240" s="322"/>
      <c r="M240" s="323">
        <f t="shared" ca="1" si="6"/>
        <v>0</v>
      </c>
      <c r="N240" s="324">
        <f t="shared" ca="1" si="7"/>
        <v>0</v>
      </c>
      <c r="O240" s="68">
        <f t="shared" ca="1" si="8"/>
        <v>0</v>
      </c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 ht="15.75" customHeight="1">
      <c r="A241" s="59">
        <f t="shared" ca="1" si="1"/>
        <v>235</v>
      </c>
      <c r="B241" s="182" t="str">
        <f t="shared" ca="1" si="9"/>
        <v>Tổ Hạ tầng Tân Ninh</v>
      </c>
      <c r="C241" s="61" t="str">
        <f t="shared" ca="1" si="2"/>
        <v>Đặng võ thừa Phong</v>
      </c>
      <c r="D241" s="239" t="str">
        <f t="shared" ca="1" si="3"/>
        <v>0917893993</v>
      </c>
      <c r="E241" s="63" t="str">
        <f t="shared" ca="1" si="4"/>
        <v>phongdvt.tnh@vnpt.vn</v>
      </c>
      <c r="F241" s="321" t="str">
        <f t="shared" ca="1" si="5"/>
        <v>Lần 11</v>
      </c>
      <c r="G241" s="93"/>
      <c r="H241" s="133"/>
      <c r="I241" s="133"/>
      <c r="J241" s="72"/>
      <c r="K241" s="72"/>
      <c r="L241" s="322"/>
      <c r="M241" s="323">
        <f t="shared" ca="1" si="6"/>
        <v>0</v>
      </c>
      <c r="N241" s="324">
        <f t="shared" ca="1" si="7"/>
        <v>0</v>
      </c>
      <c r="O241" s="68">
        <f t="shared" ca="1" si="8"/>
        <v>0</v>
      </c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15.75" customHeight="1">
      <c r="A242" s="59">
        <f t="shared" ca="1" si="1"/>
        <v>236</v>
      </c>
      <c r="B242" s="182" t="str">
        <f t="shared" ca="1" si="9"/>
        <v>Tổ Hạ tầng Tân Ninh</v>
      </c>
      <c r="C242" s="61" t="str">
        <f t="shared" ca="1" si="2"/>
        <v>Đặng võ thừa Phong</v>
      </c>
      <c r="D242" s="239" t="str">
        <f t="shared" ca="1" si="3"/>
        <v>0917893993</v>
      </c>
      <c r="E242" s="63" t="str">
        <f t="shared" ca="1" si="4"/>
        <v>phongdvt.tnh@vnpt.vn</v>
      </c>
      <c r="F242" s="321" t="str">
        <f t="shared" ca="1" si="5"/>
        <v>Lần 12</v>
      </c>
      <c r="G242" s="93"/>
      <c r="H242" s="75"/>
      <c r="I242" s="133"/>
      <c r="J242" s="72"/>
      <c r="K242" s="72"/>
      <c r="L242" s="322"/>
      <c r="M242" s="323">
        <f t="shared" ca="1" si="6"/>
        <v>0</v>
      </c>
      <c r="N242" s="324">
        <f t="shared" ca="1" si="7"/>
        <v>0</v>
      </c>
      <c r="O242" s="68">
        <f t="shared" ca="1" si="8"/>
        <v>0</v>
      </c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 ht="15.75" customHeight="1">
      <c r="A243" s="59">
        <f t="shared" ca="1" si="1"/>
        <v>237</v>
      </c>
      <c r="B243" s="182" t="str">
        <f t="shared" ca="1" si="9"/>
        <v>Tổ Hạ tầng Tân Ninh</v>
      </c>
      <c r="C243" s="61" t="str">
        <f t="shared" ca="1" si="2"/>
        <v>Đặng võ thừa Phong</v>
      </c>
      <c r="D243" s="239" t="str">
        <f t="shared" ca="1" si="3"/>
        <v>0917893993</v>
      </c>
      <c r="E243" s="63" t="str">
        <f t="shared" ca="1" si="4"/>
        <v>phongdvt.tnh@vnpt.vn</v>
      </c>
      <c r="F243" s="321" t="str">
        <f t="shared" ca="1" si="5"/>
        <v>Lần 13</v>
      </c>
      <c r="G243" s="93"/>
      <c r="H243" s="75"/>
      <c r="I243" s="133"/>
      <c r="J243" s="72"/>
      <c r="K243" s="72"/>
      <c r="L243" s="322"/>
      <c r="M243" s="323">
        <f t="shared" ca="1" si="6"/>
        <v>0</v>
      </c>
      <c r="N243" s="324">
        <f t="shared" ca="1" si="7"/>
        <v>0</v>
      </c>
      <c r="O243" s="68">
        <f t="shared" ca="1" si="8"/>
        <v>0</v>
      </c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 ht="15.75" customHeight="1">
      <c r="A244" s="59">
        <f t="shared" ca="1" si="1"/>
        <v>238</v>
      </c>
      <c r="B244" s="182" t="str">
        <f t="shared" ca="1" si="9"/>
        <v>Tổ Hạ tầng Tân Ninh</v>
      </c>
      <c r="C244" s="61" t="str">
        <f t="shared" ca="1" si="2"/>
        <v>Đặng võ thừa Phong</v>
      </c>
      <c r="D244" s="239" t="str">
        <f t="shared" ca="1" si="3"/>
        <v>0917893993</v>
      </c>
      <c r="E244" s="63" t="str">
        <f t="shared" ca="1" si="4"/>
        <v>phongdvt.tnh@vnpt.vn</v>
      </c>
      <c r="F244" s="321" t="str">
        <f t="shared" ca="1" si="5"/>
        <v>Lần 14</v>
      </c>
      <c r="G244" s="93"/>
      <c r="H244" s="75"/>
      <c r="I244" s="133"/>
      <c r="J244" s="72"/>
      <c r="K244" s="72"/>
      <c r="L244" s="322"/>
      <c r="M244" s="323">
        <f t="shared" ca="1" si="6"/>
        <v>0</v>
      </c>
      <c r="N244" s="324">
        <f t="shared" ca="1" si="7"/>
        <v>0</v>
      </c>
      <c r="O244" s="68">
        <f t="shared" ca="1" si="8"/>
        <v>0</v>
      </c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 ht="15.75" customHeight="1">
      <c r="A245" s="59">
        <f t="shared" ca="1" si="1"/>
        <v>239</v>
      </c>
      <c r="B245" s="182" t="str">
        <f t="shared" ca="1" si="9"/>
        <v>Tổ Hạ tầng Tân Ninh</v>
      </c>
      <c r="C245" s="61" t="str">
        <f t="shared" ca="1" si="2"/>
        <v>Đặng võ thừa Phong</v>
      </c>
      <c r="D245" s="239" t="str">
        <f t="shared" ca="1" si="3"/>
        <v>0917893993</v>
      </c>
      <c r="E245" s="63" t="str">
        <f t="shared" ca="1" si="4"/>
        <v>phongdvt.tnh@vnpt.vn</v>
      </c>
      <c r="F245" s="321" t="str">
        <f t="shared" ca="1" si="5"/>
        <v>Lần 15</v>
      </c>
      <c r="G245" s="93"/>
      <c r="H245" s="75"/>
      <c r="I245" s="133"/>
      <c r="J245" s="72"/>
      <c r="K245" s="72"/>
      <c r="L245" s="322"/>
      <c r="M245" s="323">
        <f t="shared" ca="1" si="6"/>
        <v>0</v>
      </c>
      <c r="N245" s="324">
        <f t="shared" ca="1" si="7"/>
        <v>0</v>
      </c>
      <c r="O245" s="68">
        <f t="shared" ca="1" si="8"/>
        <v>0</v>
      </c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 ht="15.75" customHeight="1">
      <c r="A246" s="59">
        <f t="shared" ca="1" si="1"/>
        <v>240</v>
      </c>
      <c r="B246" s="185" t="str">
        <f t="shared" ca="1" si="9"/>
        <v>Tổ Hạ tầng Tân Ninh</v>
      </c>
      <c r="C246" s="82" t="str">
        <f t="shared" ca="1" si="2"/>
        <v>Đặng võ thừa Phong</v>
      </c>
      <c r="D246" s="316" t="str">
        <f t="shared" ca="1" si="3"/>
        <v>0917893993</v>
      </c>
      <c r="E246" s="84" t="str">
        <f t="shared" ca="1" si="4"/>
        <v>phongdvt.tnh@vnpt.vn</v>
      </c>
      <c r="F246" s="325" t="str">
        <f t="shared" ca="1" si="5"/>
        <v>Lần 16</v>
      </c>
      <c r="G246" s="93"/>
      <c r="H246" s="75"/>
      <c r="I246" s="133"/>
      <c r="J246" s="72"/>
      <c r="K246" s="72"/>
      <c r="L246" s="326"/>
      <c r="M246" s="327">
        <f t="shared" ca="1" si="6"/>
        <v>0</v>
      </c>
      <c r="N246" s="328">
        <f t="shared" ca="1" si="7"/>
        <v>0</v>
      </c>
      <c r="O246" s="68">
        <f t="shared" ca="1" si="8"/>
        <v>0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 ht="15.75" customHeight="1">
      <c r="A247" s="59">
        <f t="shared" ca="1" si="1"/>
        <v>241</v>
      </c>
      <c r="B247" s="190" t="str">
        <f t="shared" ca="1" si="9"/>
        <v>Tổ Hạ tầng Tân Ninh</v>
      </c>
      <c r="C247" s="48" t="str">
        <f t="shared" ca="1" si="2"/>
        <v>Võ Minh Tuấn An</v>
      </c>
      <c r="D247" s="238" t="str">
        <f t="shared" ca="1" si="3"/>
        <v>0942666870</v>
      </c>
      <c r="E247" s="50" t="str">
        <f t="shared" ca="1" si="4"/>
        <v>anvmt.tnh@vnpt.vn</v>
      </c>
      <c r="F247" s="318" t="str">
        <f t="shared" ca="1" si="5"/>
        <v>Lần 1</v>
      </c>
      <c r="G247" s="367">
        <v>46204</v>
      </c>
      <c r="H247" s="71">
        <v>385</v>
      </c>
      <c r="I247" s="71">
        <v>25</v>
      </c>
      <c r="J247" s="71">
        <v>728</v>
      </c>
      <c r="K247" s="71">
        <v>76</v>
      </c>
      <c r="L247" s="368"/>
      <c r="M247" s="329">
        <f t="shared" ca="1" si="6"/>
        <v>1</v>
      </c>
      <c r="N247" s="330">
        <f t="shared" ca="1" si="7"/>
        <v>1</v>
      </c>
      <c r="O247" s="68">
        <f t="shared" ca="1" si="8"/>
        <v>1</v>
      </c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 ht="15.75" customHeight="1">
      <c r="A248" s="59">
        <f t="shared" ca="1" si="1"/>
        <v>242</v>
      </c>
      <c r="B248" s="182" t="str">
        <f t="shared" ca="1" si="9"/>
        <v>Tổ Hạ tầng Tân Ninh</v>
      </c>
      <c r="C248" s="61" t="str">
        <f t="shared" ca="1" si="2"/>
        <v>Võ Minh Tuấn An</v>
      </c>
      <c r="D248" s="239" t="str">
        <f t="shared" ca="1" si="3"/>
        <v>0942666870</v>
      </c>
      <c r="E248" s="63" t="str">
        <f t="shared" ca="1" si="4"/>
        <v>anvmt.tnh@vnpt.vn</v>
      </c>
      <c r="F248" s="321" t="str">
        <f t="shared" ca="1" si="5"/>
        <v>Lần 2</v>
      </c>
      <c r="G248" s="367">
        <v>46205</v>
      </c>
      <c r="H248" s="71">
        <v>371</v>
      </c>
      <c r="I248" s="71">
        <v>34</v>
      </c>
      <c r="J248" s="71">
        <v>659</v>
      </c>
      <c r="K248" s="71">
        <v>34</v>
      </c>
      <c r="L248" s="369"/>
      <c r="M248" s="323">
        <f t="shared" ca="1" si="6"/>
        <v>1</v>
      </c>
      <c r="N248" s="332">
        <f t="shared" ca="1" si="7"/>
        <v>1</v>
      </c>
      <c r="O248" s="68">
        <f t="shared" ca="1" si="8"/>
        <v>1</v>
      </c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 ht="15.75" customHeight="1">
      <c r="A249" s="59">
        <f t="shared" ca="1" si="1"/>
        <v>243</v>
      </c>
      <c r="B249" s="182" t="str">
        <f t="shared" ca="1" si="9"/>
        <v>Tổ Hạ tầng Tân Ninh</v>
      </c>
      <c r="C249" s="61" t="str">
        <f t="shared" ca="1" si="2"/>
        <v>Võ Minh Tuấn An</v>
      </c>
      <c r="D249" s="239" t="str">
        <f t="shared" ca="1" si="3"/>
        <v>0942666870</v>
      </c>
      <c r="E249" s="63" t="str">
        <f t="shared" ca="1" si="4"/>
        <v>anvmt.tnh@vnpt.vn</v>
      </c>
      <c r="F249" s="321" t="str">
        <f t="shared" ca="1" si="5"/>
        <v>Lần 3</v>
      </c>
      <c r="G249" s="367">
        <v>46205</v>
      </c>
      <c r="H249" s="71">
        <v>429</v>
      </c>
      <c r="I249" s="71">
        <v>26</v>
      </c>
      <c r="J249" s="71">
        <v>587</v>
      </c>
      <c r="K249" s="71">
        <v>37</v>
      </c>
      <c r="L249" s="369"/>
      <c r="M249" s="323">
        <f t="shared" ca="1" si="6"/>
        <v>1</v>
      </c>
      <c r="N249" s="332">
        <f t="shared" ca="1" si="7"/>
        <v>1</v>
      </c>
      <c r="O249" s="68">
        <f t="shared" ca="1" si="8"/>
        <v>1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15.75" customHeight="1">
      <c r="A250" s="59">
        <f t="shared" ca="1" si="1"/>
        <v>244</v>
      </c>
      <c r="B250" s="182" t="str">
        <f t="shared" ca="1" si="9"/>
        <v>Tổ Hạ tầng Tân Ninh</v>
      </c>
      <c r="C250" s="61" t="str">
        <f t="shared" ca="1" si="2"/>
        <v>Võ Minh Tuấn An</v>
      </c>
      <c r="D250" s="239" t="str">
        <f t="shared" ca="1" si="3"/>
        <v>0942666870</v>
      </c>
      <c r="E250" s="63" t="str">
        <f t="shared" ca="1" si="4"/>
        <v>anvmt.tnh@vnpt.vn</v>
      </c>
      <c r="F250" s="321" t="str">
        <f t="shared" ca="1" si="5"/>
        <v>Lần 4</v>
      </c>
      <c r="G250" s="367">
        <v>46205</v>
      </c>
      <c r="H250" s="71">
        <v>361</v>
      </c>
      <c r="I250" s="71">
        <v>26</v>
      </c>
      <c r="J250" s="71">
        <v>526</v>
      </c>
      <c r="K250" s="71">
        <v>30</v>
      </c>
      <c r="L250" s="369"/>
      <c r="M250" s="323">
        <f t="shared" ca="1" si="6"/>
        <v>1</v>
      </c>
      <c r="N250" s="332">
        <f t="shared" ca="1" si="7"/>
        <v>1</v>
      </c>
      <c r="O250" s="68">
        <f t="shared" ca="1" si="8"/>
        <v>1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 ht="15.75" customHeight="1">
      <c r="A251" s="59">
        <f t="shared" ca="1" si="1"/>
        <v>245</v>
      </c>
      <c r="B251" s="182" t="str">
        <f t="shared" ca="1" si="9"/>
        <v>Tổ Hạ tầng Tân Ninh</v>
      </c>
      <c r="C251" s="61" t="str">
        <f t="shared" ca="1" si="2"/>
        <v>Võ Minh Tuấn An</v>
      </c>
      <c r="D251" s="239" t="str">
        <f t="shared" ca="1" si="3"/>
        <v>0942666870</v>
      </c>
      <c r="E251" s="63" t="str">
        <f t="shared" ca="1" si="4"/>
        <v>anvmt.tnh@vnpt.vn</v>
      </c>
      <c r="F251" s="321" t="str">
        <f t="shared" ca="1" si="5"/>
        <v>Lần 5</v>
      </c>
      <c r="G251" s="367">
        <v>46205</v>
      </c>
      <c r="H251" s="71">
        <v>254</v>
      </c>
      <c r="I251" s="71">
        <v>21</v>
      </c>
      <c r="J251" s="71">
        <v>449</v>
      </c>
      <c r="K251" s="71">
        <v>26</v>
      </c>
      <c r="L251" s="369"/>
      <c r="M251" s="323">
        <f t="shared" ca="1" si="6"/>
        <v>1</v>
      </c>
      <c r="N251" s="332">
        <f t="shared" ca="1" si="7"/>
        <v>1</v>
      </c>
      <c r="O251" s="68">
        <f t="shared" ca="1" si="8"/>
        <v>1</v>
      </c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 ht="15.75" customHeight="1">
      <c r="A252" s="59">
        <f t="shared" ca="1" si="1"/>
        <v>246</v>
      </c>
      <c r="B252" s="182" t="str">
        <f t="shared" ca="1" si="9"/>
        <v>Tổ Hạ tầng Tân Ninh</v>
      </c>
      <c r="C252" s="61" t="str">
        <f t="shared" ca="1" si="2"/>
        <v>Võ Minh Tuấn An</v>
      </c>
      <c r="D252" s="239" t="str">
        <f t="shared" ca="1" si="3"/>
        <v>0942666870</v>
      </c>
      <c r="E252" s="63" t="str">
        <f t="shared" ca="1" si="4"/>
        <v>anvmt.tnh@vnpt.vn</v>
      </c>
      <c r="F252" s="321" t="str">
        <f t="shared" ca="1" si="5"/>
        <v>Lần 6</v>
      </c>
      <c r="G252" s="367">
        <v>46205</v>
      </c>
      <c r="H252" s="71">
        <v>268</v>
      </c>
      <c r="I252" s="71">
        <v>20</v>
      </c>
      <c r="J252" s="71">
        <v>577</v>
      </c>
      <c r="K252" s="71">
        <v>25</v>
      </c>
      <c r="L252" s="369"/>
      <c r="M252" s="323">
        <f t="shared" ca="1" si="6"/>
        <v>1</v>
      </c>
      <c r="N252" s="332">
        <f t="shared" ca="1" si="7"/>
        <v>1</v>
      </c>
      <c r="O252" s="68">
        <f t="shared" ca="1" si="8"/>
        <v>1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 ht="15.75" customHeight="1">
      <c r="A253" s="59">
        <f t="shared" ca="1" si="1"/>
        <v>247</v>
      </c>
      <c r="B253" s="182" t="str">
        <f t="shared" ca="1" si="9"/>
        <v>Tổ Hạ tầng Tân Ninh</v>
      </c>
      <c r="C253" s="61" t="str">
        <f t="shared" ca="1" si="2"/>
        <v>Võ Minh Tuấn An</v>
      </c>
      <c r="D253" s="239" t="str">
        <f t="shared" ca="1" si="3"/>
        <v>0942666870</v>
      </c>
      <c r="E253" s="63" t="str">
        <f t="shared" ca="1" si="4"/>
        <v>anvmt.tnh@vnpt.vn</v>
      </c>
      <c r="F253" s="321" t="str">
        <f t="shared" ca="1" si="5"/>
        <v>Lần 7</v>
      </c>
      <c r="G253" s="367">
        <v>46205</v>
      </c>
      <c r="H253" s="71">
        <v>308</v>
      </c>
      <c r="I253" s="71">
        <v>21</v>
      </c>
      <c r="J253" s="71">
        <v>418</v>
      </c>
      <c r="K253" s="71">
        <v>22</v>
      </c>
      <c r="L253" s="369"/>
      <c r="M253" s="323">
        <f t="shared" ca="1" si="6"/>
        <v>1</v>
      </c>
      <c r="N253" s="332">
        <f t="shared" ca="1" si="7"/>
        <v>1</v>
      </c>
      <c r="O253" s="68">
        <f t="shared" ca="1" si="8"/>
        <v>1</v>
      </c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 ht="15.75" customHeight="1">
      <c r="A254" s="59">
        <f t="shared" ca="1" si="1"/>
        <v>248</v>
      </c>
      <c r="B254" s="182" t="str">
        <f t="shared" ca="1" si="9"/>
        <v>Tổ Hạ tầng Tân Ninh</v>
      </c>
      <c r="C254" s="61" t="str">
        <f t="shared" ca="1" si="2"/>
        <v>Võ Minh Tuấn An</v>
      </c>
      <c r="D254" s="239" t="str">
        <f t="shared" ca="1" si="3"/>
        <v>0942666870</v>
      </c>
      <c r="E254" s="63" t="str">
        <f t="shared" ca="1" si="4"/>
        <v>anvmt.tnh@vnpt.vn</v>
      </c>
      <c r="F254" s="321" t="str">
        <f t="shared" ca="1" si="5"/>
        <v>Lần 8</v>
      </c>
      <c r="G254" s="367">
        <v>46205</v>
      </c>
      <c r="H254" s="71">
        <v>308</v>
      </c>
      <c r="I254" s="71">
        <v>20</v>
      </c>
      <c r="J254" s="71">
        <v>499</v>
      </c>
      <c r="K254" s="71">
        <v>22</v>
      </c>
      <c r="L254" s="369"/>
      <c r="M254" s="323">
        <f t="shared" ca="1" si="6"/>
        <v>1</v>
      </c>
      <c r="N254" s="332">
        <f t="shared" ca="1" si="7"/>
        <v>1</v>
      </c>
      <c r="O254" s="68">
        <f t="shared" ca="1" si="8"/>
        <v>1</v>
      </c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 ht="15.75" customHeight="1">
      <c r="A255" s="59">
        <f t="shared" ca="1" si="1"/>
        <v>249</v>
      </c>
      <c r="B255" s="182" t="str">
        <f t="shared" ca="1" si="9"/>
        <v>Tổ Hạ tầng Tân Ninh</v>
      </c>
      <c r="C255" s="61" t="str">
        <f t="shared" ca="1" si="2"/>
        <v>Võ Minh Tuấn An</v>
      </c>
      <c r="D255" s="239" t="str">
        <f t="shared" ca="1" si="3"/>
        <v>0942666870</v>
      </c>
      <c r="E255" s="63" t="str">
        <f t="shared" ca="1" si="4"/>
        <v>anvmt.tnh@vnpt.vn</v>
      </c>
      <c r="F255" s="321" t="str">
        <f t="shared" ca="1" si="5"/>
        <v>Lần 9</v>
      </c>
      <c r="G255" s="367">
        <v>46207</v>
      </c>
      <c r="H255" s="71">
        <v>256</v>
      </c>
      <c r="I255" s="71">
        <v>23</v>
      </c>
      <c r="J255" s="71">
        <v>262</v>
      </c>
      <c r="K255" s="71">
        <v>19</v>
      </c>
      <c r="L255" s="369"/>
      <c r="M255" s="323">
        <f t="shared" ca="1" si="6"/>
        <v>1</v>
      </c>
      <c r="N255" s="332">
        <f t="shared" ca="1" si="7"/>
        <v>1</v>
      </c>
      <c r="O255" s="68">
        <f t="shared" ca="1" si="8"/>
        <v>1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 ht="15.75" customHeight="1">
      <c r="A256" s="59">
        <f t="shared" ca="1" si="1"/>
        <v>250</v>
      </c>
      <c r="B256" s="182" t="str">
        <f t="shared" ca="1" si="9"/>
        <v>Tổ Hạ tầng Tân Ninh</v>
      </c>
      <c r="C256" s="61" t="str">
        <f t="shared" ca="1" si="2"/>
        <v>Võ Minh Tuấn An</v>
      </c>
      <c r="D256" s="239" t="str">
        <f t="shared" ca="1" si="3"/>
        <v>0942666870</v>
      </c>
      <c r="E256" s="63" t="str">
        <f t="shared" ca="1" si="4"/>
        <v>anvmt.tnh@vnpt.vn</v>
      </c>
      <c r="F256" s="321" t="str">
        <f t="shared" ca="1" si="5"/>
        <v>Lần 10</v>
      </c>
      <c r="G256" s="367">
        <v>46207</v>
      </c>
      <c r="H256" s="71">
        <v>243</v>
      </c>
      <c r="I256" s="71">
        <v>24</v>
      </c>
      <c r="J256" s="71">
        <v>308</v>
      </c>
      <c r="K256" s="71">
        <v>32</v>
      </c>
      <c r="L256" s="369"/>
      <c r="M256" s="323">
        <f t="shared" ca="1" si="6"/>
        <v>1</v>
      </c>
      <c r="N256" s="332">
        <f t="shared" ca="1" si="7"/>
        <v>1</v>
      </c>
      <c r="O256" s="68">
        <f t="shared" ca="1" si="8"/>
        <v>1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 ht="15.75" customHeight="1">
      <c r="A257" s="59">
        <f t="shared" ca="1" si="1"/>
        <v>251</v>
      </c>
      <c r="B257" s="182" t="str">
        <f t="shared" ca="1" si="9"/>
        <v>Tổ Hạ tầng Tân Ninh</v>
      </c>
      <c r="C257" s="61" t="str">
        <f t="shared" ca="1" si="2"/>
        <v>Võ Minh Tuấn An</v>
      </c>
      <c r="D257" s="239" t="str">
        <f t="shared" ca="1" si="3"/>
        <v>0942666870</v>
      </c>
      <c r="E257" s="63" t="str">
        <f t="shared" ca="1" si="4"/>
        <v>anvmt.tnh@vnpt.vn</v>
      </c>
      <c r="F257" s="321" t="str">
        <f t="shared" ca="1" si="5"/>
        <v>Lần 11</v>
      </c>
      <c r="G257" s="367">
        <v>46207</v>
      </c>
      <c r="H257" s="71">
        <v>271</v>
      </c>
      <c r="I257" s="71">
        <v>31</v>
      </c>
      <c r="J257" s="71">
        <v>276</v>
      </c>
      <c r="K257" s="71">
        <v>15</v>
      </c>
      <c r="L257" s="369"/>
      <c r="M257" s="323">
        <f t="shared" ca="1" si="6"/>
        <v>1</v>
      </c>
      <c r="N257" s="332">
        <f t="shared" ca="1" si="7"/>
        <v>1</v>
      </c>
      <c r="O257" s="68">
        <f t="shared" ca="1" si="8"/>
        <v>1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 ht="15.75" customHeight="1">
      <c r="A258" s="59">
        <f t="shared" ca="1" si="1"/>
        <v>252</v>
      </c>
      <c r="B258" s="182" t="str">
        <f t="shared" ca="1" si="9"/>
        <v>Tổ Hạ tầng Tân Ninh</v>
      </c>
      <c r="C258" s="61" t="str">
        <f t="shared" ca="1" si="2"/>
        <v>Võ Minh Tuấn An</v>
      </c>
      <c r="D258" s="239" t="str">
        <f t="shared" ca="1" si="3"/>
        <v>0942666870</v>
      </c>
      <c r="E258" s="63" t="str">
        <f t="shared" ca="1" si="4"/>
        <v>anvmt.tnh@vnpt.vn</v>
      </c>
      <c r="F258" s="321" t="str">
        <f t="shared" ca="1" si="5"/>
        <v>Lần 12</v>
      </c>
      <c r="G258" s="367">
        <v>46207</v>
      </c>
      <c r="H258" s="71">
        <v>273</v>
      </c>
      <c r="I258" s="71">
        <v>27</v>
      </c>
      <c r="J258" s="71">
        <v>307</v>
      </c>
      <c r="K258" s="71">
        <v>32</v>
      </c>
      <c r="L258" s="369"/>
      <c r="M258" s="323">
        <f t="shared" ca="1" si="6"/>
        <v>1</v>
      </c>
      <c r="N258" s="332">
        <f t="shared" ca="1" si="7"/>
        <v>1</v>
      </c>
      <c r="O258" s="68">
        <f t="shared" ca="1" si="8"/>
        <v>1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 ht="15.75" customHeight="1">
      <c r="A259" s="59">
        <f t="shared" ca="1" si="1"/>
        <v>253</v>
      </c>
      <c r="B259" s="182" t="str">
        <f t="shared" ca="1" si="9"/>
        <v>Tổ Hạ tầng Tân Ninh</v>
      </c>
      <c r="C259" s="61" t="str">
        <f t="shared" ca="1" si="2"/>
        <v>Võ Minh Tuấn An</v>
      </c>
      <c r="D259" s="239" t="str">
        <f t="shared" ca="1" si="3"/>
        <v>0942666870</v>
      </c>
      <c r="E259" s="63" t="str">
        <f t="shared" ca="1" si="4"/>
        <v>anvmt.tnh@vnpt.vn</v>
      </c>
      <c r="F259" s="321" t="str">
        <f t="shared" ca="1" si="5"/>
        <v>Lần 13</v>
      </c>
      <c r="G259" s="367">
        <v>46207</v>
      </c>
      <c r="H259" s="71">
        <v>245</v>
      </c>
      <c r="I259" s="71">
        <v>22</v>
      </c>
      <c r="J259" s="71">
        <v>326</v>
      </c>
      <c r="K259" s="71">
        <v>24</v>
      </c>
      <c r="L259" s="369"/>
      <c r="M259" s="323">
        <f t="shared" ca="1" si="6"/>
        <v>1</v>
      </c>
      <c r="N259" s="332">
        <f t="shared" ca="1" si="7"/>
        <v>1</v>
      </c>
      <c r="O259" s="68">
        <f t="shared" ca="1" si="8"/>
        <v>1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 ht="15.75" customHeight="1">
      <c r="A260" s="59">
        <f t="shared" ca="1" si="1"/>
        <v>254</v>
      </c>
      <c r="B260" s="182" t="str">
        <f t="shared" ca="1" si="9"/>
        <v>Tổ Hạ tầng Tân Ninh</v>
      </c>
      <c r="C260" s="61" t="str">
        <f t="shared" ca="1" si="2"/>
        <v>Võ Minh Tuấn An</v>
      </c>
      <c r="D260" s="239" t="str">
        <f t="shared" ca="1" si="3"/>
        <v>0942666870</v>
      </c>
      <c r="E260" s="63" t="str">
        <f t="shared" ca="1" si="4"/>
        <v>anvmt.tnh@vnpt.vn</v>
      </c>
      <c r="F260" s="321" t="str">
        <f t="shared" ca="1" si="5"/>
        <v>Lần 14</v>
      </c>
      <c r="G260" s="367">
        <v>46210</v>
      </c>
      <c r="H260" s="71">
        <v>254</v>
      </c>
      <c r="I260" s="71">
        <v>21</v>
      </c>
      <c r="J260" s="71">
        <v>535</v>
      </c>
      <c r="K260" s="71">
        <v>35</v>
      </c>
      <c r="L260" s="369"/>
      <c r="M260" s="323">
        <f t="shared" ca="1" si="6"/>
        <v>1</v>
      </c>
      <c r="N260" s="332">
        <f t="shared" ca="1" si="7"/>
        <v>1</v>
      </c>
      <c r="O260" s="68">
        <f t="shared" ca="1" si="8"/>
        <v>1</v>
      </c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 ht="15.75" customHeight="1">
      <c r="A261" s="59">
        <f t="shared" ca="1" si="1"/>
        <v>255</v>
      </c>
      <c r="B261" s="182" t="str">
        <f t="shared" ca="1" si="9"/>
        <v>Tổ Hạ tầng Tân Ninh</v>
      </c>
      <c r="C261" s="61" t="str">
        <f t="shared" ca="1" si="2"/>
        <v>Võ Minh Tuấn An</v>
      </c>
      <c r="D261" s="239" t="str">
        <f t="shared" ca="1" si="3"/>
        <v>0942666870</v>
      </c>
      <c r="E261" s="63" t="str">
        <f t="shared" ca="1" si="4"/>
        <v>anvmt.tnh@vnpt.vn</v>
      </c>
      <c r="F261" s="321" t="str">
        <f t="shared" ca="1" si="5"/>
        <v>Lần 15</v>
      </c>
      <c r="G261" s="367">
        <v>46210</v>
      </c>
      <c r="H261" s="71">
        <v>338</v>
      </c>
      <c r="I261" s="71">
        <v>27</v>
      </c>
      <c r="J261" s="71">
        <v>561</v>
      </c>
      <c r="K261" s="71">
        <v>28</v>
      </c>
      <c r="L261" s="369"/>
      <c r="M261" s="323">
        <f t="shared" ca="1" si="6"/>
        <v>1</v>
      </c>
      <c r="N261" s="332">
        <f t="shared" ca="1" si="7"/>
        <v>1</v>
      </c>
      <c r="O261" s="68">
        <f t="shared" ca="1" si="8"/>
        <v>1</v>
      </c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 ht="15.75" customHeight="1">
      <c r="A262" s="80">
        <f t="shared" ref="A262:A278" ca="1" si="10">IF(INDIRECT("'DS nhân viên Speedtest'!B"&amp; (111+QUOTIENT(ROW()-ROW($A$7),16)))="","",ROW()-ROW($A$7)+1)</f>
        <v>256</v>
      </c>
      <c r="B262" s="196" t="str">
        <f t="shared" ca="1" si="9"/>
        <v>Tổ Hạ tầng Tân Ninh</v>
      </c>
      <c r="C262" s="102" t="str">
        <f t="shared" ref="C262:C278" ca="1" si="11">IF(A262="","",INDIRECT("'DS nhân viên Speedtest'!B"&amp; (111+QUOTIENT(A262-1,16))))</f>
        <v>Võ Minh Tuấn An</v>
      </c>
      <c r="D262" s="241" t="str">
        <f t="shared" ref="D262:D278" ca="1" si="12">IF(A262="","",INDIRECT("'DS nhân viên Speedtest'!C"&amp; (111+QUOTIENT(A262-1,16))))</f>
        <v>0942666870</v>
      </c>
      <c r="E262" s="104" t="str">
        <f t="shared" ref="E262:E278" ca="1" si="13">IF(A262="","",INDIRECT("'DS nhân viên Speedtest'!D"&amp; (111+QUOTIENT(A262-1,16))))</f>
        <v>anvmt.tnh@vnpt.vn</v>
      </c>
      <c r="F262" s="335" t="str">
        <f t="shared" ref="F262:F278" ca="1" si="14">IF(A262="","","Lần "&amp;(MOD(ROW()-ROW($A$7),16)+1))</f>
        <v>Lần 16</v>
      </c>
      <c r="G262" s="367">
        <v>46210</v>
      </c>
      <c r="H262" s="71">
        <v>364</v>
      </c>
      <c r="I262" s="71">
        <v>26</v>
      </c>
      <c r="J262" s="71">
        <v>589</v>
      </c>
      <c r="K262" s="71">
        <v>29</v>
      </c>
      <c r="L262" s="370"/>
      <c r="M262" s="337">
        <f t="shared" ref="M262:M278" ca="1" si="15">IF(B262="","",IF(OR(G262="",H262="",I262=""),0,1))</f>
        <v>1</v>
      </c>
      <c r="N262" s="338">
        <f t="shared" ref="N262:N278" ca="1" si="16">IF(B262="","",IF(OR(G262="",J262="",K262=""),0,1))</f>
        <v>1</v>
      </c>
      <c r="O262" s="371">
        <f t="shared" ref="O262:O278" ca="1" si="17">IF(B262="","",IF((J262-0)&gt;200,1,0))</f>
        <v>1</v>
      </c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 ht="15.75" customHeight="1">
      <c r="A263" s="46">
        <f t="shared" ca="1" si="10"/>
        <v>257</v>
      </c>
      <c r="B263" s="190" t="str">
        <f t="shared" ref="B263:B278" ca="1" si="18">IF(A263="","",B262)</f>
        <v>Tổ Hạ tầng Tân Ninh</v>
      </c>
      <c r="C263" s="48" t="str">
        <f t="shared" ca="1" si="11"/>
        <v>Nguyễn Hữu Khương</v>
      </c>
      <c r="D263" s="238" t="str">
        <f t="shared" ca="1" si="12"/>
        <v>0916755759</v>
      </c>
      <c r="E263" s="50" t="str">
        <f t="shared" ca="1" si="13"/>
        <v>nhkhuong.tnh@vnpt.vn</v>
      </c>
      <c r="F263" s="339" t="str">
        <f t="shared" ca="1" si="14"/>
        <v>Lần 1</v>
      </c>
      <c r="G263" s="372">
        <v>46209</v>
      </c>
      <c r="H263" s="373">
        <v>70.900000000000006</v>
      </c>
      <c r="I263" s="122">
        <v>47.5</v>
      </c>
      <c r="J263" s="122">
        <v>75.900000000000006</v>
      </c>
      <c r="K263" s="122">
        <v>23.3</v>
      </c>
      <c r="L263" s="374"/>
      <c r="M263" s="329">
        <f t="shared" ca="1" si="15"/>
        <v>1</v>
      </c>
      <c r="N263" s="375">
        <f t="shared" ca="1" si="16"/>
        <v>1</v>
      </c>
      <c r="O263" s="58">
        <f t="shared" ca="1" si="17"/>
        <v>0</v>
      </c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 ht="15.75" customHeight="1">
      <c r="A264" s="59">
        <f t="shared" ca="1" si="10"/>
        <v>258</v>
      </c>
      <c r="B264" s="182" t="str">
        <f t="shared" ca="1" si="18"/>
        <v>Tổ Hạ tầng Tân Ninh</v>
      </c>
      <c r="C264" s="61" t="str">
        <f t="shared" ca="1" si="11"/>
        <v>Nguyễn Hữu Khương</v>
      </c>
      <c r="D264" s="239" t="str">
        <f t="shared" ca="1" si="12"/>
        <v>0916755759</v>
      </c>
      <c r="E264" s="63" t="str">
        <f t="shared" ca="1" si="13"/>
        <v>nhkhuong.tnh@vnpt.vn</v>
      </c>
      <c r="F264" s="321" t="str">
        <f t="shared" ca="1" si="14"/>
        <v>Lần 2</v>
      </c>
      <c r="G264" s="372">
        <v>46210</v>
      </c>
      <c r="H264" s="122">
        <v>114</v>
      </c>
      <c r="I264" s="122">
        <v>11.7</v>
      </c>
      <c r="J264" s="122">
        <v>116</v>
      </c>
      <c r="K264" s="122">
        <v>11.6</v>
      </c>
      <c r="L264" s="369"/>
      <c r="M264" s="323">
        <f t="shared" ca="1" si="15"/>
        <v>1</v>
      </c>
      <c r="N264" s="324">
        <f t="shared" ca="1" si="16"/>
        <v>1</v>
      </c>
      <c r="O264" s="68">
        <f t="shared" ca="1" si="17"/>
        <v>0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 ht="15.75" customHeight="1">
      <c r="A265" s="59">
        <f t="shared" ca="1" si="10"/>
        <v>259</v>
      </c>
      <c r="B265" s="182" t="str">
        <f t="shared" ca="1" si="18"/>
        <v>Tổ Hạ tầng Tân Ninh</v>
      </c>
      <c r="C265" s="61" t="str">
        <f t="shared" ca="1" si="11"/>
        <v>Nguyễn Hữu Khương</v>
      </c>
      <c r="D265" s="239" t="str">
        <f t="shared" ca="1" si="12"/>
        <v>0916755759</v>
      </c>
      <c r="E265" s="63" t="str">
        <f t="shared" ca="1" si="13"/>
        <v>nhkhuong.tnh@vnpt.vn</v>
      </c>
      <c r="F265" s="321" t="str">
        <f t="shared" ca="1" si="14"/>
        <v>Lần 3</v>
      </c>
      <c r="G265" s="372">
        <v>46210</v>
      </c>
      <c r="H265" s="122">
        <v>99.8</v>
      </c>
      <c r="I265" s="122">
        <v>11.7</v>
      </c>
      <c r="J265" s="122">
        <v>82</v>
      </c>
      <c r="K265" s="122">
        <v>11.5</v>
      </c>
      <c r="L265" s="369"/>
      <c r="M265" s="323">
        <f t="shared" ca="1" si="15"/>
        <v>1</v>
      </c>
      <c r="N265" s="324">
        <f t="shared" ca="1" si="16"/>
        <v>1</v>
      </c>
      <c r="O265" s="68">
        <f t="shared" ca="1" si="17"/>
        <v>0</v>
      </c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 ht="15.75" customHeight="1">
      <c r="A266" s="59">
        <f t="shared" ca="1" si="10"/>
        <v>260</v>
      </c>
      <c r="B266" s="182" t="str">
        <f t="shared" ca="1" si="18"/>
        <v>Tổ Hạ tầng Tân Ninh</v>
      </c>
      <c r="C266" s="61" t="str">
        <f t="shared" ca="1" si="11"/>
        <v>Nguyễn Hữu Khương</v>
      </c>
      <c r="D266" s="239" t="str">
        <f t="shared" ca="1" si="12"/>
        <v>0916755759</v>
      </c>
      <c r="E266" s="63" t="str">
        <f t="shared" ca="1" si="13"/>
        <v>nhkhuong.tnh@vnpt.vn</v>
      </c>
      <c r="F266" s="321" t="str">
        <f t="shared" ca="1" si="14"/>
        <v>Lần 4</v>
      </c>
      <c r="G266" s="372">
        <v>46210</v>
      </c>
      <c r="H266" s="122">
        <v>117</v>
      </c>
      <c r="I266" s="122">
        <v>11.4</v>
      </c>
      <c r="J266" s="122">
        <v>113</v>
      </c>
      <c r="K266" s="122">
        <v>11.4</v>
      </c>
      <c r="L266" s="369"/>
      <c r="M266" s="323">
        <f t="shared" ca="1" si="15"/>
        <v>1</v>
      </c>
      <c r="N266" s="324">
        <f t="shared" ca="1" si="16"/>
        <v>1</v>
      </c>
      <c r="O266" s="68">
        <f t="shared" ca="1" si="17"/>
        <v>0</v>
      </c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 ht="15.75" customHeight="1">
      <c r="A267" s="59">
        <f t="shared" ca="1" si="10"/>
        <v>261</v>
      </c>
      <c r="B267" s="182" t="str">
        <f t="shared" ca="1" si="18"/>
        <v>Tổ Hạ tầng Tân Ninh</v>
      </c>
      <c r="C267" s="61" t="str">
        <f t="shared" ca="1" si="11"/>
        <v>Nguyễn Hữu Khương</v>
      </c>
      <c r="D267" s="239" t="str">
        <f t="shared" ca="1" si="12"/>
        <v>0916755759</v>
      </c>
      <c r="E267" s="63" t="str">
        <f t="shared" ca="1" si="13"/>
        <v>nhkhuong.tnh@vnpt.vn</v>
      </c>
      <c r="F267" s="321" t="str">
        <f t="shared" ca="1" si="14"/>
        <v>Lần 5</v>
      </c>
      <c r="G267" s="372">
        <v>46213</v>
      </c>
      <c r="H267" s="157">
        <v>103</v>
      </c>
      <c r="I267" s="157">
        <v>32.200000000000003</v>
      </c>
      <c r="J267" s="122">
        <v>91.4</v>
      </c>
      <c r="K267" s="122">
        <v>53.6</v>
      </c>
      <c r="L267" s="369"/>
      <c r="M267" s="323">
        <f t="shared" ca="1" si="15"/>
        <v>1</v>
      </c>
      <c r="N267" s="324">
        <f t="shared" ca="1" si="16"/>
        <v>1</v>
      </c>
      <c r="O267" s="68">
        <f t="shared" ca="1" si="17"/>
        <v>0</v>
      </c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 ht="15.75" customHeight="1">
      <c r="A268" s="59">
        <f t="shared" ca="1" si="10"/>
        <v>262</v>
      </c>
      <c r="B268" s="182" t="str">
        <f t="shared" ca="1" si="18"/>
        <v>Tổ Hạ tầng Tân Ninh</v>
      </c>
      <c r="C268" s="61" t="str">
        <f t="shared" ca="1" si="11"/>
        <v>Nguyễn Hữu Khương</v>
      </c>
      <c r="D268" s="239" t="str">
        <f t="shared" ca="1" si="12"/>
        <v>0916755759</v>
      </c>
      <c r="E268" s="63" t="str">
        <f t="shared" ca="1" si="13"/>
        <v>nhkhuong.tnh@vnpt.vn</v>
      </c>
      <c r="F268" s="321" t="str">
        <f t="shared" ca="1" si="14"/>
        <v>Lần 6</v>
      </c>
      <c r="G268" s="372">
        <v>46213</v>
      </c>
      <c r="H268" s="157">
        <v>97.8</v>
      </c>
      <c r="I268" s="157">
        <v>38.200000000000003</v>
      </c>
      <c r="J268" s="122">
        <v>89.6</v>
      </c>
      <c r="K268" s="122">
        <v>48.9</v>
      </c>
      <c r="L268" s="369"/>
      <c r="M268" s="323">
        <f t="shared" ca="1" si="15"/>
        <v>1</v>
      </c>
      <c r="N268" s="324">
        <f t="shared" ca="1" si="16"/>
        <v>1</v>
      </c>
      <c r="O268" s="68">
        <f t="shared" ca="1" si="17"/>
        <v>0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 ht="15.75" customHeight="1">
      <c r="A269" s="59">
        <f t="shared" ca="1" si="10"/>
        <v>263</v>
      </c>
      <c r="B269" s="182" t="str">
        <f t="shared" ca="1" si="18"/>
        <v>Tổ Hạ tầng Tân Ninh</v>
      </c>
      <c r="C269" s="61" t="str">
        <f t="shared" ca="1" si="11"/>
        <v>Nguyễn Hữu Khương</v>
      </c>
      <c r="D269" s="239" t="str">
        <f t="shared" ca="1" si="12"/>
        <v>0916755759</v>
      </c>
      <c r="E269" s="63" t="str">
        <f t="shared" ca="1" si="13"/>
        <v>nhkhuong.tnh@vnpt.vn</v>
      </c>
      <c r="F269" s="321" t="str">
        <f t="shared" ca="1" si="14"/>
        <v>Lần 7</v>
      </c>
      <c r="G269" s="372">
        <v>46213</v>
      </c>
      <c r="H269" s="157">
        <v>93.9</v>
      </c>
      <c r="I269" s="157">
        <v>46</v>
      </c>
      <c r="J269" s="122">
        <v>76.5</v>
      </c>
      <c r="K269" s="122">
        <v>51.5</v>
      </c>
      <c r="L269" s="369"/>
      <c r="M269" s="323">
        <f t="shared" ca="1" si="15"/>
        <v>1</v>
      </c>
      <c r="N269" s="324">
        <f t="shared" ca="1" si="16"/>
        <v>1</v>
      </c>
      <c r="O269" s="68">
        <f t="shared" ca="1" si="17"/>
        <v>0</v>
      </c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 ht="15.75" customHeight="1">
      <c r="A270" s="59">
        <f t="shared" ca="1" si="10"/>
        <v>264</v>
      </c>
      <c r="B270" s="182" t="str">
        <f t="shared" ca="1" si="18"/>
        <v>Tổ Hạ tầng Tân Ninh</v>
      </c>
      <c r="C270" s="61" t="str">
        <f t="shared" ca="1" si="11"/>
        <v>Nguyễn Hữu Khương</v>
      </c>
      <c r="D270" s="239" t="str">
        <f t="shared" ca="1" si="12"/>
        <v>0916755759</v>
      </c>
      <c r="E270" s="63" t="str">
        <f t="shared" ca="1" si="13"/>
        <v>nhkhuong.tnh@vnpt.vn</v>
      </c>
      <c r="F270" s="321" t="str">
        <f t="shared" ca="1" si="14"/>
        <v>Lần 8</v>
      </c>
      <c r="G270" s="372">
        <v>46213</v>
      </c>
      <c r="H270" s="157">
        <v>98.1</v>
      </c>
      <c r="I270" s="157">
        <v>38.9</v>
      </c>
      <c r="J270" s="122">
        <v>89.8</v>
      </c>
      <c r="K270" s="122">
        <v>39.6</v>
      </c>
      <c r="L270" s="369"/>
      <c r="M270" s="323">
        <f t="shared" ca="1" si="15"/>
        <v>1</v>
      </c>
      <c r="N270" s="324">
        <f t="shared" ca="1" si="16"/>
        <v>1</v>
      </c>
      <c r="O270" s="68">
        <f t="shared" ca="1" si="17"/>
        <v>0</v>
      </c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 ht="15.75" customHeight="1">
      <c r="A271" s="59">
        <f t="shared" ca="1" si="10"/>
        <v>265</v>
      </c>
      <c r="B271" s="182" t="str">
        <f t="shared" ca="1" si="18"/>
        <v>Tổ Hạ tầng Tân Ninh</v>
      </c>
      <c r="C271" s="61" t="str">
        <f t="shared" ca="1" si="11"/>
        <v>Nguyễn Hữu Khương</v>
      </c>
      <c r="D271" s="239" t="str">
        <f t="shared" ca="1" si="12"/>
        <v>0916755759</v>
      </c>
      <c r="E271" s="63" t="str">
        <f t="shared" ca="1" si="13"/>
        <v>nhkhuong.tnh@vnpt.vn</v>
      </c>
      <c r="F271" s="321" t="str">
        <f t="shared" ca="1" si="14"/>
        <v>Lần 9</v>
      </c>
      <c r="G271" s="372">
        <v>46213</v>
      </c>
      <c r="H271" s="157">
        <v>91.8</v>
      </c>
      <c r="I271" s="157">
        <v>39.200000000000003</v>
      </c>
      <c r="J271" s="122">
        <v>84.6</v>
      </c>
      <c r="K271" s="122">
        <v>36.9</v>
      </c>
      <c r="L271" s="369"/>
      <c r="M271" s="323">
        <f t="shared" ca="1" si="15"/>
        <v>1</v>
      </c>
      <c r="N271" s="324">
        <f t="shared" ca="1" si="16"/>
        <v>1</v>
      </c>
      <c r="O271" s="68">
        <f t="shared" ca="1" si="17"/>
        <v>0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 ht="15.75" customHeight="1">
      <c r="A272" s="59">
        <f t="shared" ca="1" si="10"/>
        <v>266</v>
      </c>
      <c r="B272" s="182" t="str">
        <f t="shared" ca="1" si="18"/>
        <v>Tổ Hạ tầng Tân Ninh</v>
      </c>
      <c r="C272" s="61" t="str">
        <f t="shared" ca="1" si="11"/>
        <v>Nguyễn Hữu Khương</v>
      </c>
      <c r="D272" s="239" t="str">
        <f t="shared" ca="1" si="12"/>
        <v>0916755759</v>
      </c>
      <c r="E272" s="63" t="str">
        <f t="shared" ca="1" si="13"/>
        <v>nhkhuong.tnh@vnpt.vn</v>
      </c>
      <c r="F272" s="321" t="str">
        <f t="shared" ca="1" si="14"/>
        <v>Lần 10</v>
      </c>
      <c r="G272" s="372">
        <v>46213</v>
      </c>
      <c r="H272" s="157">
        <v>82.4</v>
      </c>
      <c r="I272" s="157">
        <v>39.5</v>
      </c>
      <c r="J272" s="122">
        <v>85.3</v>
      </c>
      <c r="K272" s="122">
        <v>43.6</v>
      </c>
      <c r="L272" s="369"/>
      <c r="M272" s="323">
        <f t="shared" ca="1" si="15"/>
        <v>1</v>
      </c>
      <c r="N272" s="324">
        <f t="shared" ca="1" si="16"/>
        <v>1</v>
      </c>
      <c r="O272" s="68">
        <f t="shared" ca="1" si="17"/>
        <v>0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 ht="15.75" customHeight="1">
      <c r="A273" s="59">
        <f t="shared" ca="1" si="10"/>
        <v>267</v>
      </c>
      <c r="B273" s="182" t="str">
        <f t="shared" ca="1" si="18"/>
        <v>Tổ Hạ tầng Tân Ninh</v>
      </c>
      <c r="C273" s="61" t="str">
        <f t="shared" ca="1" si="11"/>
        <v>Nguyễn Hữu Khương</v>
      </c>
      <c r="D273" s="239" t="str">
        <f t="shared" ca="1" si="12"/>
        <v>0916755759</v>
      </c>
      <c r="E273" s="63" t="str">
        <f t="shared" ca="1" si="13"/>
        <v>nhkhuong.tnh@vnpt.vn</v>
      </c>
      <c r="F273" s="321" t="str">
        <f t="shared" ca="1" si="14"/>
        <v>Lần 11</v>
      </c>
      <c r="G273" s="372">
        <v>46215</v>
      </c>
      <c r="H273" s="157">
        <v>78.7</v>
      </c>
      <c r="I273" s="157">
        <v>35.299999999999997</v>
      </c>
      <c r="J273" s="122">
        <v>96.3</v>
      </c>
      <c r="K273" s="122">
        <v>48.8</v>
      </c>
      <c r="L273" s="369"/>
      <c r="M273" s="323">
        <f t="shared" ca="1" si="15"/>
        <v>1</v>
      </c>
      <c r="N273" s="324">
        <f t="shared" ca="1" si="16"/>
        <v>1</v>
      </c>
      <c r="O273" s="68">
        <f t="shared" ca="1" si="17"/>
        <v>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 ht="15.75" customHeight="1">
      <c r="A274" s="59">
        <f t="shared" ca="1" si="10"/>
        <v>268</v>
      </c>
      <c r="B274" s="182" t="str">
        <f t="shared" ca="1" si="18"/>
        <v>Tổ Hạ tầng Tân Ninh</v>
      </c>
      <c r="C274" s="61" t="str">
        <f t="shared" ca="1" si="11"/>
        <v>Nguyễn Hữu Khương</v>
      </c>
      <c r="D274" s="239" t="str">
        <f t="shared" ca="1" si="12"/>
        <v>0916755759</v>
      </c>
      <c r="E274" s="63" t="str">
        <f t="shared" ca="1" si="13"/>
        <v>nhkhuong.tnh@vnpt.vn</v>
      </c>
      <c r="F274" s="321" t="str">
        <f t="shared" ca="1" si="14"/>
        <v>Lần 12</v>
      </c>
      <c r="G274" s="372">
        <v>46215</v>
      </c>
      <c r="H274" s="157">
        <v>87.2</v>
      </c>
      <c r="I274" s="157">
        <v>40.200000000000003</v>
      </c>
      <c r="J274" s="122">
        <v>88.3</v>
      </c>
      <c r="K274" s="122">
        <v>36.200000000000003</v>
      </c>
      <c r="L274" s="369"/>
      <c r="M274" s="323">
        <f t="shared" ca="1" si="15"/>
        <v>1</v>
      </c>
      <c r="N274" s="324">
        <f t="shared" ca="1" si="16"/>
        <v>1</v>
      </c>
      <c r="O274" s="68">
        <f t="shared" ca="1" si="17"/>
        <v>0</v>
      </c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 ht="15.75" customHeight="1">
      <c r="A275" s="59">
        <f t="shared" ca="1" si="10"/>
        <v>269</v>
      </c>
      <c r="B275" s="182" t="str">
        <f t="shared" ca="1" si="18"/>
        <v>Tổ Hạ tầng Tân Ninh</v>
      </c>
      <c r="C275" s="61" t="str">
        <f t="shared" ca="1" si="11"/>
        <v>Nguyễn Hữu Khương</v>
      </c>
      <c r="D275" s="239" t="str">
        <f t="shared" ca="1" si="12"/>
        <v>0916755759</v>
      </c>
      <c r="E275" s="63" t="str">
        <f t="shared" ca="1" si="13"/>
        <v>nhkhuong.tnh@vnpt.vn</v>
      </c>
      <c r="F275" s="321" t="str">
        <f t="shared" ca="1" si="14"/>
        <v>Lần 13</v>
      </c>
      <c r="G275" s="372">
        <v>46215</v>
      </c>
      <c r="H275" s="157">
        <v>81.2</v>
      </c>
      <c r="I275" s="157">
        <v>35.9</v>
      </c>
      <c r="J275" s="122">
        <v>83.5</v>
      </c>
      <c r="K275" s="122">
        <v>49.3</v>
      </c>
      <c r="L275" s="369"/>
      <c r="M275" s="323">
        <f t="shared" ca="1" si="15"/>
        <v>1</v>
      </c>
      <c r="N275" s="324">
        <f t="shared" ca="1" si="16"/>
        <v>1</v>
      </c>
      <c r="O275" s="68">
        <f t="shared" ca="1" si="17"/>
        <v>0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 ht="15.75" customHeight="1">
      <c r="A276" s="59">
        <f t="shared" ca="1" si="10"/>
        <v>270</v>
      </c>
      <c r="B276" s="182" t="str">
        <f t="shared" ca="1" si="18"/>
        <v>Tổ Hạ tầng Tân Ninh</v>
      </c>
      <c r="C276" s="61" t="str">
        <f t="shared" ca="1" si="11"/>
        <v>Nguyễn Hữu Khương</v>
      </c>
      <c r="D276" s="239" t="str">
        <f t="shared" ca="1" si="12"/>
        <v>0916755759</v>
      </c>
      <c r="E276" s="63" t="str">
        <f t="shared" ca="1" si="13"/>
        <v>nhkhuong.tnh@vnpt.vn</v>
      </c>
      <c r="F276" s="321" t="str">
        <f t="shared" ca="1" si="14"/>
        <v>Lần 14</v>
      </c>
      <c r="G276" s="372">
        <v>46215</v>
      </c>
      <c r="H276" s="157">
        <v>74.5</v>
      </c>
      <c r="I276" s="157">
        <v>50.7</v>
      </c>
      <c r="J276" s="122">
        <v>77.2</v>
      </c>
      <c r="K276" s="122">
        <v>45</v>
      </c>
      <c r="L276" s="369"/>
      <c r="M276" s="323">
        <f t="shared" ca="1" si="15"/>
        <v>1</v>
      </c>
      <c r="N276" s="324">
        <f t="shared" ca="1" si="16"/>
        <v>1</v>
      </c>
      <c r="O276" s="68">
        <f t="shared" ca="1" si="17"/>
        <v>0</v>
      </c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 ht="15.75" customHeight="1">
      <c r="A277" s="59">
        <f t="shared" ca="1" si="10"/>
        <v>271</v>
      </c>
      <c r="B277" s="182" t="str">
        <f t="shared" ca="1" si="18"/>
        <v>Tổ Hạ tầng Tân Ninh</v>
      </c>
      <c r="C277" s="61" t="str">
        <f t="shared" ca="1" si="11"/>
        <v>Nguyễn Hữu Khương</v>
      </c>
      <c r="D277" s="239" t="str">
        <f t="shared" ca="1" si="12"/>
        <v>0916755759</v>
      </c>
      <c r="E277" s="63" t="str">
        <f t="shared" ca="1" si="13"/>
        <v>nhkhuong.tnh@vnpt.vn</v>
      </c>
      <c r="F277" s="321" t="str">
        <f t="shared" ca="1" si="14"/>
        <v>Lần 15</v>
      </c>
      <c r="G277" s="372">
        <v>46215</v>
      </c>
      <c r="H277" s="157">
        <v>76.7</v>
      </c>
      <c r="I277" s="157">
        <v>46.5</v>
      </c>
      <c r="J277" s="122">
        <v>79.2</v>
      </c>
      <c r="K277" s="122">
        <v>50.3</v>
      </c>
      <c r="L277" s="369"/>
      <c r="M277" s="323">
        <f t="shared" ca="1" si="15"/>
        <v>1</v>
      </c>
      <c r="N277" s="324">
        <f t="shared" ca="1" si="16"/>
        <v>1</v>
      </c>
      <c r="O277" s="68">
        <f t="shared" ca="1" si="17"/>
        <v>0</v>
      </c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 ht="15.75" customHeight="1">
      <c r="A278" s="100">
        <f t="shared" ca="1" si="10"/>
        <v>272</v>
      </c>
      <c r="B278" s="196" t="str">
        <f t="shared" ca="1" si="18"/>
        <v>Tổ Hạ tầng Tân Ninh</v>
      </c>
      <c r="C278" s="102" t="str">
        <f t="shared" ca="1" si="11"/>
        <v>Nguyễn Hữu Khương</v>
      </c>
      <c r="D278" s="241" t="str">
        <f t="shared" ca="1" si="12"/>
        <v>0916755759</v>
      </c>
      <c r="E278" s="104" t="str">
        <f t="shared" ca="1" si="13"/>
        <v>nhkhuong.tnh@vnpt.vn</v>
      </c>
      <c r="F278" s="335" t="str">
        <f t="shared" ca="1" si="14"/>
        <v>Lần 16</v>
      </c>
      <c r="G278" s="372">
        <v>46215</v>
      </c>
      <c r="H278" s="157">
        <v>77.3</v>
      </c>
      <c r="I278" s="157">
        <v>53.2</v>
      </c>
      <c r="J278" s="122">
        <v>81.5</v>
      </c>
      <c r="K278" s="122">
        <v>42.8</v>
      </c>
      <c r="L278" s="370"/>
      <c r="M278" s="327">
        <f t="shared" ca="1" si="15"/>
        <v>1</v>
      </c>
      <c r="N278" s="328">
        <f t="shared" ca="1" si="16"/>
        <v>1</v>
      </c>
      <c r="O278" s="371">
        <f t="shared" ca="1" si="17"/>
        <v>0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 ht="15.75" customHeight="1">
      <c r="A279" s="37"/>
      <c r="B279" s="37"/>
      <c r="C279" s="37"/>
      <c r="D279" s="37"/>
      <c r="E279" s="173"/>
      <c r="F279" s="37"/>
      <c r="G279" s="174"/>
      <c r="H279" s="174"/>
      <c r="I279" s="174"/>
      <c r="J279" s="175"/>
      <c r="K279" s="175"/>
      <c r="L279" s="174"/>
      <c r="M279" s="376"/>
      <c r="N279" s="376"/>
      <c r="O279" s="376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 ht="15.75" customHeight="1">
      <c r="A280" s="37"/>
      <c r="B280" s="37"/>
      <c r="C280" s="37"/>
      <c r="D280" s="37"/>
      <c r="E280" s="173"/>
      <c r="F280" s="37"/>
      <c r="G280" s="174"/>
      <c r="H280" s="174"/>
      <c r="I280" s="174"/>
      <c r="J280" s="175"/>
      <c r="K280" s="175"/>
      <c r="L280" s="174"/>
      <c r="M280" s="174"/>
      <c r="N280" s="174"/>
      <c r="O280" s="174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 ht="15.75" customHeight="1">
      <c r="A281" s="37"/>
      <c r="B281" s="37"/>
      <c r="C281" s="37"/>
      <c r="D281" s="37"/>
      <c r="E281" s="173"/>
      <c r="F281" s="37"/>
      <c r="G281" s="174"/>
      <c r="H281" s="174"/>
      <c r="I281" s="174"/>
      <c r="J281" s="175"/>
      <c r="K281" s="175"/>
      <c r="L281" s="174"/>
      <c r="M281" s="174"/>
      <c r="N281" s="174"/>
      <c r="O281" s="174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 ht="15.75" customHeight="1">
      <c r="A282" s="37"/>
      <c r="B282" s="37"/>
      <c r="C282" s="37"/>
      <c r="D282" s="37"/>
      <c r="E282" s="173"/>
      <c r="F282" s="37"/>
      <c r="G282" s="174"/>
      <c r="H282" s="174"/>
      <c r="I282" s="174"/>
      <c r="J282" s="175"/>
      <c r="K282" s="175"/>
      <c r="L282" s="174"/>
      <c r="M282" s="174"/>
      <c r="N282" s="174"/>
      <c r="O282" s="174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 ht="15.75" customHeight="1">
      <c r="A283" s="37"/>
      <c r="B283" s="37"/>
      <c r="C283" s="37"/>
      <c r="D283" s="37"/>
      <c r="E283" s="173"/>
      <c r="F283" s="37"/>
      <c r="G283" s="174"/>
      <c r="H283" s="174"/>
      <c r="I283" s="174"/>
      <c r="J283" s="175"/>
      <c r="K283" s="175"/>
      <c r="L283" s="174"/>
      <c r="M283" s="174"/>
      <c r="N283" s="174"/>
      <c r="O283" s="174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 ht="15.75" customHeight="1">
      <c r="A284" s="37"/>
      <c r="B284" s="37"/>
      <c r="C284" s="37"/>
      <c r="D284" s="37"/>
      <c r="E284" s="173"/>
      <c r="F284" s="37"/>
      <c r="G284" s="174"/>
      <c r="H284" s="174"/>
      <c r="I284" s="174"/>
      <c r="J284" s="175"/>
      <c r="K284" s="175"/>
      <c r="L284" s="174"/>
      <c r="M284" s="174"/>
      <c r="N284" s="174"/>
      <c r="O284" s="174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 ht="15.75" customHeight="1">
      <c r="A285" s="37"/>
      <c r="B285" s="37"/>
      <c r="C285" s="37"/>
      <c r="D285" s="37"/>
      <c r="E285" s="173"/>
      <c r="F285" s="37"/>
      <c r="G285" s="174"/>
      <c r="H285" s="174"/>
      <c r="I285" s="174"/>
      <c r="J285" s="175"/>
      <c r="K285" s="175"/>
      <c r="L285" s="174"/>
      <c r="M285" s="174"/>
      <c r="N285" s="174"/>
      <c r="O285" s="174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 ht="15.75" customHeight="1">
      <c r="A286" s="37"/>
      <c r="B286" s="37"/>
      <c r="C286" s="37"/>
      <c r="D286" s="37"/>
      <c r="E286" s="173"/>
      <c r="F286" s="37"/>
      <c r="G286" s="174"/>
      <c r="H286" s="174"/>
      <c r="I286" s="174"/>
      <c r="J286" s="175"/>
      <c r="K286" s="175"/>
      <c r="L286" s="174"/>
      <c r="M286" s="174"/>
      <c r="N286" s="174"/>
      <c r="O286" s="174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 ht="15.75" customHeight="1">
      <c r="A287" s="37"/>
      <c r="B287" s="37"/>
      <c r="C287" s="37"/>
      <c r="D287" s="37"/>
      <c r="E287" s="173"/>
      <c r="F287" s="37"/>
      <c r="G287" s="174"/>
      <c r="H287" s="174"/>
      <c r="I287" s="174"/>
      <c r="J287" s="175"/>
      <c r="K287" s="175"/>
      <c r="L287" s="174"/>
      <c r="M287" s="174"/>
      <c r="N287" s="174"/>
      <c r="O287" s="174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 ht="15.75" customHeight="1">
      <c r="A288" s="37"/>
      <c r="B288" s="37"/>
      <c r="C288" s="37"/>
      <c r="D288" s="37"/>
      <c r="E288" s="173"/>
      <c r="F288" s="37"/>
      <c r="G288" s="174"/>
      <c r="H288" s="174"/>
      <c r="I288" s="174"/>
      <c r="J288" s="175"/>
      <c r="K288" s="175"/>
      <c r="L288" s="174"/>
      <c r="M288" s="174"/>
      <c r="N288" s="174"/>
      <c r="O288" s="174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 ht="15.75" customHeight="1">
      <c r="A289" s="37"/>
      <c r="B289" s="37"/>
      <c r="C289" s="37"/>
      <c r="D289" s="37"/>
      <c r="E289" s="173"/>
      <c r="F289" s="37"/>
      <c r="G289" s="174"/>
      <c r="H289" s="174"/>
      <c r="I289" s="174"/>
      <c r="J289" s="175"/>
      <c r="K289" s="175"/>
      <c r="L289" s="174"/>
      <c r="M289" s="174"/>
      <c r="N289" s="174"/>
      <c r="O289" s="174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 ht="15.75" customHeight="1">
      <c r="A290" s="37"/>
      <c r="B290" s="37"/>
      <c r="C290" s="37"/>
      <c r="D290" s="37"/>
      <c r="E290" s="173"/>
      <c r="F290" s="37"/>
      <c r="G290" s="174"/>
      <c r="H290" s="174"/>
      <c r="I290" s="174"/>
      <c r="J290" s="175"/>
      <c r="K290" s="175"/>
      <c r="L290" s="174"/>
      <c r="M290" s="174"/>
      <c r="N290" s="174"/>
      <c r="O290" s="174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 ht="15.75" customHeight="1">
      <c r="A291" s="37"/>
      <c r="B291" s="37"/>
      <c r="C291" s="37"/>
      <c r="D291" s="37"/>
      <c r="E291" s="173"/>
      <c r="F291" s="37"/>
      <c r="G291" s="174"/>
      <c r="H291" s="174"/>
      <c r="I291" s="174"/>
      <c r="J291" s="175"/>
      <c r="K291" s="175"/>
      <c r="L291" s="174"/>
      <c r="M291" s="174"/>
      <c r="N291" s="174"/>
      <c r="O291" s="174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 ht="15.75" customHeight="1">
      <c r="A292" s="37"/>
      <c r="B292" s="37"/>
      <c r="C292" s="37"/>
      <c r="D292" s="37"/>
      <c r="E292" s="173"/>
      <c r="F292" s="37"/>
      <c r="G292" s="174"/>
      <c r="H292" s="174"/>
      <c r="I292" s="174"/>
      <c r="J292" s="175"/>
      <c r="K292" s="175"/>
      <c r="L292" s="174"/>
      <c r="M292" s="174"/>
      <c r="N292" s="174"/>
      <c r="O292" s="174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 ht="15.75" customHeight="1">
      <c r="A293" s="37"/>
      <c r="B293" s="37"/>
      <c r="C293" s="37"/>
      <c r="D293" s="37"/>
      <c r="E293" s="173"/>
      <c r="F293" s="37"/>
      <c r="G293" s="174"/>
      <c r="H293" s="174"/>
      <c r="I293" s="174"/>
      <c r="J293" s="175"/>
      <c r="K293" s="175"/>
      <c r="L293" s="174"/>
      <c r="M293" s="174"/>
      <c r="N293" s="174"/>
      <c r="O293" s="174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 ht="15.75" customHeight="1">
      <c r="A294" s="37"/>
      <c r="B294" s="37"/>
      <c r="C294" s="37"/>
      <c r="D294" s="37"/>
      <c r="E294" s="173"/>
      <c r="F294" s="37"/>
      <c r="G294" s="174"/>
      <c r="H294" s="174"/>
      <c r="I294" s="174"/>
      <c r="J294" s="175"/>
      <c r="K294" s="175"/>
      <c r="L294" s="174"/>
      <c r="M294" s="174"/>
      <c r="N294" s="174"/>
      <c r="O294" s="174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 ht="15.75" customHeight="1">
      <c r="A295" s="37"/>
      <c r="B295" s="37"/>
      <c r="C295" s="37"/>
      <c r="D295" s="37"/>
      <c r="E295" s="173"/>
      <c r="F295" s="37"/>
      <c r="G295" s="174"/>
      <c r="H295" s="174"/>
      <c r="I295" s="174"/>
      <c r="J295" s="175"/>
      <c r="K295" s="175"/>
      <c r="L295" s="174"/>
      <c r="M295" s="174"/>
      <c r="N295" s="174"/>
      <c r="O295" s="174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 ht="15.75" customHeight="1">
      <c r="A296" s="37"/>
      <c r="B296" s="37"/>
      <c r="C296" s="37"/>
      <c r="D296" s="37"/>
      <c r="E296" s="173"/>
      <c r="F296" s="37"/>
      <c r="G296" s="174"/>
      <c r="H296" s="174"/>
      <c r="I296" s="174"/>
      <c r="J296" s="175"/>
      <c r="K296" s="175"/>
      <c r="L296" s="174"/>
      <c r="M296" s="174"/>
      <c r="N296" s="174"/>
      <c r="O296" s="174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 ht="15.75" customHeight="1">
      <c r="A297" s="37"/>
      <c r="B297" s="37"/>
      <c r="C297" s="37"/>
      <c r="D297" s="37"/>
      <c r="E297" s="173"/>
      <c r="F297" s="37"/>
      <c r="G297" s="174"/>
      <c r="H297" s="174"/>
      <c r="I297" s="174"/>
      <c r="J297" s="175"/>
      <c r="K297" s="175"/>
      <c r="L297" s="174"/>
      <c r="M297" s="174"/>
      <c r="N297" s="174"/>
      <c r="O297" s="174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 ht="15.75" customHeight="1">
      <c r="A298" s="37"/>
      <c r="B298" s="37"/>
      <c r="C298" s="37"/>
      <c r="D298" s="37"/>
      <c r="E298" s="173"/>
      <c r="F298" s="37"/>
      <c r="G298" s="174"/>
      <c r="H298" s="174"/>
      <c r="I298" s="174"/>
      <c r="J298" s="175"/>
      <c r="K298" s="175"/>
      <c r="L298" s="174"/>
      <c r="M298" s="174"/>
      <c r="N298" s="174"/>
      <c r="O298" s="174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 ht="15.75" customHeight="1">
      <c r="A299" s="37"/>
      <c r="B299" s="37"/>
      <c r="C299" s="37"/>
      <c r="D299" s="37"/>
      <c r="E299" s="173"/>
      <c r="F299" s="37"/>
      <c r="G299" s="174"/>
      <c r="H299" s="174"/>
      <c r="I299" s="174"/>
      <c r="J299" s="175"/>
      <c r="K299" s="175"/>
      <c r="L299" s="174"/>
      <c r="M299" s="174"/>
      <c r="N299" s="174"/>
      <c r="O299" s="174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15.75" customHeight="1">
      <c r="A300" s="37"/>
      <c r="B300" s="37"/>
      <c r="C300" s="37"/>
      <c r="D300" s="37"/>
      <c r="E300" s="173"/>
      <c r="F300" s="37"/>
      <c r="G300" s="174"/>
      <c r="H300" s="174"/>
      <c r="I300" s="174"/>
      <c r="J300" s="175"/>
      <c r="K300" s="175"/>
      <c r="L300" s="174"/>
      <c r="M300" s="174"/>
      <c r="N300" s="174"/>
      <c r="O300" s="174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 ht="15.75" customHeight="1">
      <c r="A301" s="37"/>
      <c r="B301" s="37"/>
      <c r="C301" s="37"/>
      <c r="D301" s="37"/>
      <c r="E301" s="173"/>
      <c r="F301" s="37"/>
      <c r="G301" s="174"/>
      <c r="H301" s="174"/>
      <c r="I301" s="174"/>
      <c r="J301" s="175"/>
      <c r="K301" s="175"/>
      <c r="L301" s="174"/>
      <c r="M301" s="174"/>
      <c r="N301" s="174"/>
      <c r="O301" s="174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 ht="15.75" customHeight="1">
      <c r="A302" s="37"/>
      <c r="B302" s="37"/>
      <c r="C302" s="37"/>
      <c r="D302" s="37"/>
      <c r="E302" s="173"/>
      <c r="F302" s="37"/>
      <c r="G302" s="174"/>
      <c r="H302" s="174"/>
      <c r="I302" s="174"/>
      <c r="J302" s="175"/>
      <c r="K302" s="175"/>
      <c r="L302" s="174"/>
      <c r="M302" s="174"/>
      <c r="N302" s="174"/>
      <c r="O302" s="174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 ht="15.75" customHeight="1">
      <c r="A303" s="37"/>
      <c r="B303" s="37"/>
      <c r="C303" s="37"/>
      <c r="D303" s="37"/>
      <c r="E303" s="173"/>
      <c r="F303" s="37"/>
      <c r="G303" s="174"/>
      <c r="H303" s="174"/>
      <c r="I303" s="174"/>
      <c r="J303" s="175"/>
      <c r="K303" s="175"/>
      <c r="L303" s="174"/>
      <c r="M303" s="174"/>
      <c r="N303" s="174"/>
      <c r="O303" s="174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 ht="15.75" customHeight="1">
      <c r="A304" s="37"/>
      <c r="B304" s="37"/>
      <c r="C304" s="37"/>
      <c r="D304" s="37"/>
      <c r="E304" s="173"/>
      <c r="F304" s="37"/>
      <c r="G304" s="174"/>
      <c r="H304" s="174"/>
      <c r="I304" s="174"/>
      <c r="J304" s="175"/>
      <c r="K304" s="175"/>
      <c r="L304" s="174"/>
      <c r="M304" s="174"/>
      <c r="N304" s="174"/>
      <c r="O304" s="174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 ht="15.75" customHeight="1">
      <c r="A305" s="37"/>
      <c r="B305" s="37"/>
      <c r="C305" s="37"/>
      <c r="D305" s="37"/>
      <c r="E305" s="173"/>
      <c r="F305" s="37"/>
      <c r="G305" s="174"/>
      <c r="H305" s="174"/>
      <c r="I305" s="174"/>
      <c r="J305" s="175"/>
      <c r="K305" s="175"/>
      <c r="L305" s="174"/>
      <c r="M305" s="174"/>
      <c r="N305" s="174"/>
      <c r="O305" s="174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 ht="15.75" customHeight="1">
      <c r="A306" s="37"/>
      <c r="B306" s="37"/>
      <c r="C306" s="37"/>
      <c r="D306" s="37"/>
      <c r="E306" s="173"/>
      <c r="F306" s="37"/>
      <c r="G306" s="174"/>
      <c r="H306" s="174"/>
      <c r="I306" s="174"/>
      <c r="J306" s="175"/>
      <c r="K306" s="175"/>
      <c r="L306" s="174"/>
      <c r="M306" s="174"/>
      <c r="N306" s="174"/>
      <c r="O306" s="174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 ht="15.75" customHeight="1">
      <c r="A307" s="37"/>
      <c r="B307" s="37"/>
      <c r="C307" s="37"/>
      <c r="D307" s="37"/>
      <c r="E307" s="173"/>
      <c r="F307" s="37"/>
      <c r="G307" s="174"/>
      <c r="H307" s="174"/>
      <c r="I307" s="174"/>
      <c r="J307" s="175"/>
      <c r="K307" s="175"/>
      <c r="L307" s="174"/>
      <c r="M307" s="174"/>
      <c r="N307" s="174"/>
      <c r="O307" s="174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 ht="15.75" customHeight="1">
      <c r="A308" s="37"/>
      <c r="B308" s="37"/>
      <c r="C308" s="37"/>
      <c r="D308" s="37"/>
      <c r="E308" s="173"/>
      <c r="F308" s="37"/>
      <c r="G308" s="174"/>
      <c r="H308" s="174"/>
      <c r="I308" s="174"/>
      <c r="J308" s="175"/>
      <c r="K308" s="175"/>
      <c r="L308" s="174"/>
      <c r="M308" s="174"/>
      <c r="N308" s="174"/>
      <c r="O308" s="174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 ht="15.75" customHeight="1">
      <c r="A309" s="37"/>
      <c r="B309" s="37"/>
      <c r="C309" s="37"/>
      <c r="D309" s="37"/>
      <c r="E309" s="173"/>
      <c r="F309" s="37"/>
      <c r="G309" s="174"/>
      <c r="H309" s="174"/>
      <c r="I309" s="174"/>
      <c r="J309" s="175"/>
      <c r="K309" s="175"/>
      <c r="L309" s="174"/>
      <c r="M309" s="174"/>
      <c r="N309" s="174"/>
      <c r="O309" s="174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 ht="15.75" customHeight="1">
      <c r="A310" s="37"/>
      <c r="B310" s="37"/>
      <c r="C310" s="37"/>
      <c r="D310" s="37"/>
      <c r="E310" s="173"/>
      <c r="F310" s="37"/>
      <c r="G310" s="174"/>
      <c r="H310" s="174"/>
      <c r="I310" s="174"/>
      <c r="J310" s="175"/>
      <c r="K310" s="175"/>
      <c r="L310" s="174"/>
      <c r="M310" s="174"/>
      <c r="N310" s="174"/>
      <c r="O310" s="174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 ht="15.75" customHeight="1">
      <c r="A311" s="37"/>
      <c r="B311" s="37"/>
      <c r="C311" s="37"/>
      <c r="D311" s="37"/>
      <c r="E311" s="173"/>
      <c r="F311" s="37"/>
      <c r="G311" s="174"/>
      <c r="H311" s="174"/>
      <c r="I311" s="174"/>
      <c r="J311" s="175"/>
      <c r="K311" s="175"/>
      <c r="L311" s="174"/>
      <c r="M311" s="174"/>
      <c r="N311" s="174"/>
      <c r="O311" s="174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 ht="15.75" customHeight="1">
      <c r="A312" s="37"/>
      <c r="B312" s="37"/>
      <c r="C312" s="37"/>
      <c r="D312" s="37"/>
      <c r="E312" s="173"/>
      <c r="F312" s="37"/>
      <c r="G312" s="174"/>
      <c r="H312" s="174"/>
      <c r="I312" s="174"/>
      <c r="J312" s="175"/>
      <c r="K312" s="175"/>
      <c r="L312" s="174"/>
      <c r="M312" s="174"/>
      <c r="N312" s="174"/>
      <c r="O312" s="174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 ht="15.75" customHeight="1">
      <c r="A313" s="37"/>
      <c r="B313" s="37"/>
      <c r="C313" s="37"/>
      <c r="D313" s="37"/>
      <c r="E313" s="173"/>
      <c r="F313" s="37"/>
      <c r="G313" s="174"/>
      <c r="H313" s="174"/>
      <c r="I313" s="174"/>
      <c r="J313" s="175"/>
      <c r="K313" s="175"/>
      <c r="L313" s="174"/>
      <c r="M313" s="174"/>
      <c r="N313" s="174"/>
      <c r="O313" s="174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 ht="15.75" customHeight="1">
      <c r="A314" s="37"/>
      <c r="B314" s="37"/>
      <c r="C314" s="37"/>
      <c r="D314" s="37"/>
      <c r="E314" s="173"/>
      <c r="F314" s="37"/>
      <c r="G314" s="174"/>
      <c r="H314" s="174"/>
      <c r="I314" s="174"/>
      <c r="J314" s="175"/>
      <c r="K314" s="175"/>
      <c r="L314" s="174"/>
      <c r="M314" s="174"/>
      <c r="N314" s="174"/>
      <c r="O314" s="174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 ht="15.75" customHeight="1">
      <c r="A315" s="37"/>
      <c r="B315" s="37"/>
      <c r="C315" s="37"/>
      <c r="D315" s="37"/>
      <c r="E315" s="173"/>
      <c r="F315" s="37"/>
      <c r="G315" s="174"/>
      <c r="H315" s="174"/>
      <c r="I315" s="174"/>
      <c r="J315" s="175"/>
      <c r="K315" s="175"/>
      <c r="L315" s="174"/>
      <c r="M315" s="174"/>
      <c r="N315" s="174"/>
      <c r="O315" s="174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 ht="15.75" customHeight="1">
      <c r="A316" s="37"/>
      <c r="B316" s="37"/>
      <c r="C316" s="37"/>
      <c r="D316" s="37"/>
      <c r="E316" s="173"/>
      <c r="F316" s="37"/>
      <c r="G316" s="174"/>
      <c r="H316" s="174"/>
      <c r="I316" s="174"/>
      <c r="J316" s="175"/>
      <c r="K316" s="175"/>
      <c r="L316" s="174"/>
      <c r="M316" s="174"/>
      <c r="N316" s="174"/>
      <c r="O316" s="174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 ht="15.75" customHeight="1">
      <c r="A317" s="37"/>
      <c r="B317" s="37"/>
      <c r="C317" s="37"/>
      <c r="D317" s="37"/>
      <c r="E317" s="173"/>
      <c r="F317" s="37"/>
      <c r="G317" s="174"/>
      <c r="H317" s="174"/>
      <c r="I317" s="174"/>
      <c r="J317" s="175"/>
      <c r="K317" s="175"/>
      <c r="L317" s="174"/>
      <c r="M317" s="174"/>
      <c r="N317" s="174"/>
      <c r="O317" s="174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 ht="15.75" customHeight="1">
      <c r="A318" s="37"/>
      <c r="B318" s="37"/>
      <c r="C318" s="37"/>
      <c r="D318" s="37"/>
      <c r="E318" s="173"/>
      <c r="F318" s="37"/>
      <c r="G318" s="174"/>
      <c r="H318" s="174"/>
      <c r="I318" s="174"/>
      <c r="J318" s="175"/>
      <c r="K318" s="175"/>
      <c r="L318" s="174"/>
      <c r="M318" s="174"/>
      <c r="N318" s="174"/>
      <c r="O318" s="174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 ht="15.75" customHeight="1">
      <c r="A319" s="37"/>
      <c r="B319" s="37"/>
      <c r="C319" s="37"/>
      <c r="D319" s="37"/>
      <c r="E319" s="173"/>
      <c r="F319" s="37"/>
      <c r="G319" s="174"/>
      <c r="H319" s="174"/>
      <c r="I319" s="174"/>
      <c r="J319" s="175"/>
      <c r="K319" s="175"/>
      <c r="L319" s="174"/>
      <c r="M319" s="174"/>
      <c r="N319" s="174"/>
      <c r="O319" s="174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 ht="15.75" customHeight="1">
      <c r="A320" s="37"/>
      <c r="B320" s="37"/>
      <c r="C320" s="37"/>
      <c r="D320" s="37"/>
      <c r="E320" s="173"/>
      <c r="F320" s="37"/>
      <c r="G320" s="174"/>
      <c r="H320" s="174"/>
      <c r="I320" s="174"/>
      <c r="J320" s="175"/>
      <c r="K320" s="175"/>
      <c r="L320" s="174"/>
      <c r="M320" s="174"/>
      <c r="N320" s="174"/>
      <c r="O320" s="174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 ht="15.75" customHeight="1">
      <c r="A321" s="37"/>
      <c r="B321" s="37"/>
      <c r="C321" s="37"/>
      <c r="D321" s="37"/>
      <c r="E321" s="173"/>
      <c r="F321" s="37"/>
      <c r="G321" s="174"/>
      <c r="H321" s="174"/>
      <c r="I321" s="174"/>
      <c r="J321" s="175"/>
      <c r="K321" s="175"/>
      <c r="L321" s="174"/>
      <c r="M321" s="174"/>
      <c r="N321" s="174"/>
      <c r="O321" s="174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 ht="15.75" customHeight="1">
      <c r="A322" s="37"/>
      <c r="B322" s="37"/>
      <c r="C322" s="37"/>
      <c r="D322" s="37"/>
      <c r="E322" s="173"/>
      <c r="F322" s="37"/>
      <c r="G322" s="174"/>
      <c r="H322" s="174"/>
      <c r="I322" s="174"/>
      <c r="J322" s="175"/>
      <c r="K322" s="175"/>
      <c r="L322" s="174"/>
      <c r="M322" s="174"/>
      <c r="N322" s="174"/>
      <c r="O322" s="174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 ht="15.75" customHeight="1">
      <c r="A323" s="37"/>
      <c r="B323" s="37"/>
      <c r="C323" s="37"/>
      <c r="D323" s="37"/>
      <c r="E323" s="173"/>
      <c r="F323" s="37"/>
      <c r="G323" s="174"/>
      <c r="H323" s="174"/>
      <c r="I323" s="174"/>
      <c r="J323" s="175"/>
      <c r="K323" s="175"/>
      <c r="L323" s="174"/>
      <c r="M323" s="174"/>
      <c r="N323" s="174"/>
      <c r="O323" s="174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 ht="15.75" customHeight="1">
      <c r="A324" s="37"/>
      <c r="B324" s="37"/>
      <c r="C324" s="37"/>
      <c r="D324" s="37"/>
      <c r="E324" s="173"/>
      <c r="F324" s="37"/>
      <c r="G324" s="174"/>
      <c r="H324" s="174"/>
      <c r="I324" s="174"/>
      <c r="J324" s="175"/>
      <c r="K324" s="175"/>
      <c r="L324" s="174"/>
      <c r="M324" s="174"/>
      <c r="N324" s="174"/>
      <c r="O324" s="174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 ht="15.75" customHeight="1">
      <c r="A325" s="37"/>
      <c r="B325" s="37"/>
      <c r="C325" s="37"/>
      <c r="D325" s="37"/>
      <c r="E325" s="173"/>
      <c r="F325" s="37"/>
      <c r="G325" s="174"/>
      <c r="H325" s="174"/>
      <c r="I325" s="174"/>
      <c r="J325" s="175"/>
      <c r="K325" s="175"/>
      <c r="L325" s="174"/>
      <c r="M325" s="174"/>
      <c r="N325" s="174"/>
      <c r="O325" s="174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 ht="15.75" customHeight="1">
      <c r="A326" s="37"/>
      <c r="B326" s="37"/>
      <c r="C326" s="37"/>
      <c r="D326" s="37"/>
      <c r="E326" s="173"/>
      <c r="F326" s="37"/>
      <c r="G326" s="174"/>
      <c r="H326" s="174"/>
      <c r="I326" s="174"/>
      <c r="J326" s="175"/>
      <c r="K326" s="175"/>
      <c r="L326" s="174"/>
      <c r="M326" s="174"/>
      <c r="N326" s="174"/>
      <c r="O326" s="174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 ht="15.75" customHeight="1">
      <c r="A327" s="37"/>
      <c r="B327" s="37"/>
      <c r="C327" s="37"/>
      <c r="D327" s="37"/>
      <c r="E327" s="173"/>
      <c r="F327" s="37"/>
      <c r="G327" s="174"/>
      <c r="H327" s="174"/>
      <c r="I327" s="174"/>
      <c r="J327" s="175"/>
      <c r="K327" s="175"/>
      <c r="L327" s="174"/>
      <c r="M327" s="174"/>
      <c r="N327" s="174"/>
      <c r="O327" s="174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 ht="15.75" customHeight="1">
      <c r="A328" s="37"/>
      <c r="B328" s="37"/>
      <c r="C328" s="37"/>
      <c r="D328" s="37"/>
      <c r="E328" s="173"/>
      <c r="F328" s="37"/>
      <c r="G328" s="174"/>
      <c r="H328" s="174"/>
      <c r="I328" s="174"/>
      <c r="J328" s="175"/>
      <c r="K328" s="175"/>
      <c r="L328" s="174"/>
      <c r="M328" s="174"/>
      <c r="N328" s="174"/>
      <c r="O328" s="174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 ht="15.75" customHeight="1">
      <c r="A329" s="37"/>
      <c r="B329" s="37"/>
      <c r="C329" s="37"/>
      <c r="D329" s="37"/>
      <c r="E329" s="173"/>
      <c r="F329" s="37"/>
      <c r="G329" s="174"/>
      <c r="H329" s="174"/>
      <c r="I329" s="174"/>
      <c r="J329" s="175"/>
      <c r="K329" s="175"/>
      <c r="L329" s="174"/>
      <c r="M329" s="174"/>
      <c r="N329" s="174"/>
      <c r="O329" s="174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 ht="15.75" customHeight="1">
      <c r="A330" s="37"/>
      <c r="B330" s="37"/>
      <c r="C330" s="37"/>
      <c r="D330" s="37"/>
      <c r="E330" s="173"/>
      <c r="F330" s="37"/>
      <c r="G330" s="174"/>
      <c r="H330" s="174"/>
      <c r="I330" s="174"/>
      <c r="J330" s="175"/>
      <c r="K330" s="175"/>
      <c r="L330" s="174"/>
      <c r="M330" s="174"/>
      <c r="N330" s="174"/>
      <c r="O330" s="174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 ht="15.75" customHeight="1">
      <c r="A331" s="37"/>
      <c r="B331" s="37"/>
      <c r="C331" s="37"/>
      <c r="D331" s="37"/>
      <c r="E331" s="173"/>
      <c r="F331" s="37"/>
      <c r="G331" s="174"/>
      <c r="H331" s="174"/>
      <c r="I331" s="174"/>
      <c r="J331" s="175"/>
      <c r="K331" s="175"/>
      <c r="L331" s="174"/>
      <c r="M331" s="174"/>
      <c r="N331" s="174"/>
      <c r="O331" s="174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 ht="15.75" customHeight="1">
      <c r="A332" s="37"/>
      <c r="B332" s="37"/>
      <c r="C332" s="37"/>
      <c r="D332" s="37"/>
      <c r="E332" s="173"/>
      <c r="F332" s="37"/>
      <c r="G332" s="174"/>
      <c r="H332" s="174"/>
      <c r="I332" s="174"/>
      <c r="J332" s="175"/>
      <c r="K332" s="175"/>
      <c r="L332" s="174"/>
      <c r="M332" s="174"/>
      <c r="N332" s="174"/>
      <c r="O332" s="174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 ht="15.75" customHeight="1">
      <c r="A333" s="37"/>
      <c r="B333" s="37"/>
      <c r="C333" s="37"/>
      <c r="D333" s="37"/>
      <c r="E333" s="173"/>
      <c r="F333" s="37"/>
      <c r="G333" s="174"/>
      <c r="H333" s="174"/>
      <c r="I333" s="174"/>
      <c r="J333" s="175"/>
      <c r="K333" s="175"/>
      <c r="L333" s="174"/>
      <c r="M333" s="174"/>
      <c r="N333" s="174"/>
      <c r="O333" s="174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 ht="15.75" customHeight="1">
      <c r="A334" s="37"/>
      <c r="B334" s="37"/>
      <c r="C334" s="37"/>
      <c r="D334" s="37"/>
      <c r="E334" s="173"/>
      <c r="F334" s="37"/>
      <c r="G334" s="174"/>
      <c r="H334" s="174"/>
      <c r="I334" s="174"/>
      <c r="J334" s="175"/>
      <c r="K334" s="175"/>
      <c r="L334" s="174"/>
      <c r="M334" s="174"/>
      <c r="N334" s="174"/>
      <c r="O334" s="174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 ht="15.75" customHeight="1">
      <c r="A335" s="37"/>
      <c r="B335" s="37"/>
      <c r="C335" s="37"/>
      <c r="D335" s="37"/>
      <c r="E335" s="173"/>
      <c r="F335" s="37"/>
      <c r="G335" s="174"/>
      <c r="H335" s="174"/>
      <c r="I335" s="174"/>
      <c r="J335" s="175"/>
      <c r="K335" s="175"/>
      <c r="L335" s="174"/>
      <c r="M335" s="174"/>
      <c r="N335" s="174"/>
      <c r="O335" s="174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 ht="15.75" customHeight="1">
      <c r="A336" s="37"/>
      <c r="B336" s="37"/>
      <c r="C336" s="37"/>
      <c r="D336" s="37"/>
      <c r="E336" s="173"/>
      <c r="F336" s="37"/>
      <c r="G336" s="174"/>
      <c r="H336" s="174"/>
      <c r="I336" s="174"/>
      <c r="J336" s="175"/>
      <c r="K336" s="175"/>
      <c r="L336" s="174"/>
      <c r="M336" s="174"/>
      <c r="N336" s="174"/>
      <c r="O336" s="174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 ht="15.75" customHeight="1">
      <c r="A337" s="37"/>
      <c r="B337" s="37"/>
      <c r="C337" s="37"/>
      <c r="D337" s="37"/>
      <c r="E337" s="173"/>
      <c r="F337" s="37"/>
      <c r="G337" s="174"/>
      <c r="H337" s="174"/>
      <c r="I337" s="174"/>
      <c r="J337" s="175"/>
      <c r="K337" s="175"/>
      <c r="L337" s="174"/>
      <c r="M337" s="174"/>
      <c r="N337" s="174"/>
      <c r="O337" s="174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 ht="15.75" customHeight="1">
      <c r="A338" s="37"/>
      <c r="B338" s="37"/>
      <c r="C338" s="37"/>
      <c r="D338" s="37"/>
      <c r="E338" s="173"/>
      <c r="F338" s="37"/>
      <c r="G338" s="174"/>
      <c r="H338" s="174"/>
      <c r="I338" s="174"/>
      <c r="J338" s="175"/>
      <c r="K338" s="175"/>
      <c r="L338" s="174"/>
      <c r="M338" s="174"/>
      <c r="N338" s="174"/>
      <c r="O338" s="174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 ht="15.75" customHeight="1">
      <c r="A339" s="37"/>
      <c r="B339" s="37"/>
      <c r="C339" s="37"/>
      <c r="D339" s="37"/>
      <c r="E339" s="173"/>
      <c r="F339" s="37"/>
      <c r="G339" s="174"/>
      <c r="H339" s="174"/>
      <c r="I339" s="174"/>
      <c r="J339" s="175"/>
      <c r="K339" s="175"/>
      <c r="L339" s="174"/>
      <c r="M339" s="174"/>
      <c r="N339" s="174"/>
      <c r="O339" s="174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 ht="15.75" customHeight="1">
      <c r="A340" s="37"/>
      <c r="B340" s="37"/>
      <c r="C340" s="37"/>
      <c r="D340" s="37"/>
      <c r="E340" s="173"/>
      <c r="F340" s="37"/>
      <c r="G340" s="174"/>
      <c r="H340" s="174"/>
      <c r="I340" s="174"/>
      <c r="J340" s="175"/>
      <c r="K340" s="175"/>
      <c r="L340" s="174"/>
      <c r="M340" s="174"/>
      <c r="N340" s="174"/>
      <c r="O340" s="174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 ht="15.75" customHeight="1">
      <c r="A341" s="37"/>
      <c r="B341" s="37"/>
      <c r="C341" s="37"/>
      <c r="D341" s="37"/>
      <c r="E341" s="173"/>
      <c r="F341" s="37"/>
      <c r="G341" s="174"/>
      <c r="H341" s="174"/>
      <c r="I341" s="174"/>
      <c r="J341" s="175"/>
      <c r="K341" s="175"/>
      <c r="L341" s="174"/>
      <c r="M341" s="174"/>
      <c r="N341" s="174"/>
      <c r="O341" s="174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 ht="15.75" customHeight="1">
      <c r="A342" s="37"/>
      <c r="B342" s="37"/>
      <c r="C342" s="37"/>
      <c r="D342" s="37"/>
      <c r="E342" s="173"/>
      <c r="F342" s="37"/>
      <c r="G342" s="174"/>
      <c r="H342" s="174"/>
      <c r="I342" s="174"/>
      <c r="J342" s="175"/>
      <c r="K342" s="175"/>
      <c r="L342" s="174"/>
      <c r="M342" s="174"/>
      <c r="N342" s="174"/>
      <c r="O342" s="174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 ht="15.75" customHeight="1">
      <c r="A343" s="37"/>
      <c r="B343" s="37"/>
      <c r="C343" s="37"/>
      <c r="D343" s="37"/>
      <c r="E343" s="173"/>
      <c r="F343" s="37"/>
      <c r="G343" s="174"/>
      <c r="H343" s="174"/>
      <c r="I343" s="174"/>
      <c r="J343" s="175"/>
      <c r="K343" s="175"/>
      <c r="L343" s="174"/>
      <c r="M343" s="174"/>
      <c r="N343" s="174"/>
      <c r="O343" s="174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 ht="15.75" customHeight="1">
      <c r="A344" s="37"/>
      <c r="B344" s="37"/>
      <c r="C344" s="37"/>
      <c r="D344" s="37"/>
      <c r="E344" s="173"/>
      <c r="F344" s="37"/>
      <c r="G344" s="174"/>
      <c r="H344" s="174"/>
      <c r="I344" s="174"/>
      <c r="J344" s="175"/>
      <c r="K344" s="175"/>
      <c r="L344" s="174"/>
      <c r="M344" s="174"/>
      <c r="N344" s="174"/>
      <c r="O344" s="174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 ht="15.75" customHeight="1">
      <c r="A345" s="37"/>
      <c r="B345" s="37"/>
      <c r="C345" s="37"/>
      <c r="D345" s="37"/>
      <c r="E345" s="173"/>
      <c r="F345" s="37"/>
      <c r="G345" s="174"/>
      <c r="H345" s="174"/>
      <c r="I345" s="174"/>
      <c r="J345" s="175"/>
      <c r="K345" s="175"/>
      <c r="L345" s="174"/>
      <c r="M345" s="174"/>
      <c r="N345" s="174"/>
      <c r="O345" s="174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 ht="15.75" customHeight="1">
      <c r="A346" s="37"/>
      <c r="B346" s="37"/>
      <c r="C346" s="37"/>
      <c r="D346" s="37"/>
      <c r="E346" s="173"/>
      <c r="F346" s="37"/>
      <c r="G346" s="174"/>
      <c r="H346" s="174"/>
      <c r="I346" s="174"/>
      <c r="J346" s="175"/>
      <c r="K346" s="175"/>
      <c r="L346" s="174"/>
      <c r="M346" s="174"/>
      <c r="N346" s="174"/>
      <c r="O346" s="174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 ht="15.75" customHeight="1">
      <c r="A347" s="37"/>
      <c r="B347" s="37"/>
      <c r="C347" s="37"/>
      <c r="D347" s="37"/>
      <c r="E347" s="173"/>
      <c r="F347" s="37"/>
      <c r="G347" s="174"/>
      <c r="H347" s="174"/>
      <c r="I347" s="174"/>
      <c r="J347" s="175"/>
      <c r="K347" s="175"/>
      <c r="L347" s="174"/>
      <c r="M347" s="174"/>
      <c r="N347" s="174"/>
      <c r="O347" s="174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 ht="15.75" customHeight="1">
      <c r="A348" s="37"/>
      <c r="B348" s="37"/>
      <c r="C348" s="37"/>
      <c r="D348" s="37"/>
      <c r="E348" s="173"/>
      <c r="F348" s="37"/>
      <c r="G348" s="174"/>
      <c r="H348" s="174"/>
      <c r="I348" s="174"/>
      <c r="J348" s="175"/>
      <c r="K348" s="175"/>
      <c r="L348" s="174"/>
      <c r="M348" s="174"/>
      <c r="N348" s="174"/>
      <c r="O348" s="174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 ht="15.75" customHeight="1">
      <c r="A349" s="37"/>
      <c r="B349" s="37"/>
      <c r="C349" s="37"/>
      <c r="D349" s="37"/>
      <c r="E349" s="173"/>
      <c r="F349" s="37"/>
      <c r="G349" s="174"/>
      <c r="H349" s="174"/>
      <c r="I349" s="174"/>
      <c r="J349" s="175"/>
      <c r="K349" s="175"/>
      <c r="L349" s="174"/>
      <c r="M349" s="174"/>
      <c r="N349" s="174"/>
      <c r="O349" s="174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 ht="15.75" customHeight="1">
      <c r="A350" s="37"/>
      <c r="B350" s="37"/>
      <c r="C350" s="37"/>
      <c r="D350" s="37"/>
      <c r="E350" s="173"/>
      <c r="F350" s="37"/>
      <c r="G350" s="174"/>
      <c r="H350" s="174"/>
      <c r="I350" s="174"/>
      <c r="J350" s="175"/>
      <c r="K350" s="175"/>
      <c r="L350" s="174"/>
      <c r="M350" s="174"/>
      <c r="N350" s="174"/>
      <c r="O350" s="174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 ht="15.75" customHeight="1">
      <c r="A351" s="37"/>
      <c r="B351" s="37"/>
      <c r="C351" s="37"/>
      <c r="D351" s="37"/>
      <c r="E351" s="173"/>
      <c r="F351" s="37"/>
      <c r="G351" s="174"/>
      <c r="H351" s="174"/>
      <c r="I351" s="174"/>
      <c r="J351" s="175"/>
      <c r="K351" s="175"/>
      <c r="L351" s="174"/>
      <c r="M351" s="174"/>
      <c r="N351" s="174"/>
      <c r="O351" s="174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 ht="15.75" customHeight="1">
      <c r="A352" s="37"/>
      <c r="B352" s="37"/>
      <c r="C352" s="37"/>
      <c r="D352" s="37"/>
      <c r="E352" s="173"/>
      <c r="F352" s="37"/>
      <c r="G352" s="174"/>
      <c r="H352" s="174"/>
      <c r="I352" s="174"/>
      <c r="J352" s="175"/>
      <c r="K352" s="175"/>
      <c r="L352" s="174"/>
      <c r="M352" s="174"/>
      <c r="N352" s="174"/>
      <c r="O352" s="174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 ht="15.75" customHeight="1">
      <c r="A353" s="37"/>
      <c r="B353" s="37"/>
      <c r="C353" s="37"/>
      <c r="D353" s="37"/>
      <c r="E353" s="173"/>
      <c r="F353" s="37"/>
      <c r="G353" s="174"/>
      <c r="H353" s="174"/>
      <c r="I353" s="174"/>
      <c r="J353" s="175"/>
      <c r="K353" s="175"/>
      <c r="L353" s="174"/>
      <c r="M353" s="174"/>
      <c r="N353" s="174"/>
      <c r="O353" s="174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 ht="15.75" customHeight="1">
      <c r="A354" s="37"/>
      <c r="B354" s="37"/>
      <c r="C354" s="37"/>
      <c r="D354" s="37"/>
      <c r="E354" s="173"/>
      <c r="F354" s="37"/>
      <c r="G354" s="174"/>
      <c r="H354" s="174"/>
      <c r="I354" s="174"/>
      <c r="J354" s="175"/>
      <c r="K354" s="175"/>
      <c r="L354" s="174"/>
      <c r="M354" s="174"/>
      <c r="N354" s="174"/>
      <c r="O354" s="174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 ht="15.75" customHeight="1">
      <c r="A355" s="37"/>
      <c r="B355" s="37"/>
      <c r="C355" s="37"/>
      <c r="D355" s="37"/>
      <c r="E355" s="173"/>
      <c r="F355" s="37"/>
      <c r="G355" s="174"/>
      <c r="H355" s="174"/>
      <c r="I355" s="174"/>
      <c r="J355" s="175"/>
      <c r="K355" s="175"/>
      <c r="L355" s="174"/>
      <c r="M355" s="174"/>
      <c r="N355" s="174"/>
      <c r="O355" s="174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 ht="15.75" customHeight="1">
      <c r="A356" s="37"/>
      <c r="B356" s="37"/>
      <c r="C356" s="37"/>
      <c r="D356" s="37"/>
      <c r="E356" s="173"/>
      <c r="F356" s="37"/>
      <c r="G356" s="174"/>
      <c r="H356" s="174"/>
      <c r="I356" s="174"/>
      <c r="J356" s="175"/>
      <c r="K356" s="175"/>
      <c r="L356" s="174"/>
      <c r="M356" s="174"/>
      <c r="N356" s="174"/>
      <c r="O356" s="174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 ht="15.75" customHeight="1">
      <c r="A357" s="37"/>
      <c r="B357" s="37"/>
      <c r="C357" s="37"/>
      <c r="D357" s="37"/>
      <c r="E357" s="173"/>
      <c r="F357" s="37"/>
      <c r="G357" s="174"/>
      <c r="H357" s="174"/>
      <c r="I357" s="174"/>
      <c r="J357" s="175"/>
      <c r="K357" s="175"/>
      <c r="L357" s="174"/>
      <c r="M357" s="174"/>
      <c r="N357" s="174"/>
      <c r="O357" s="174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15.75" customHeight="1">
      <c r="A358" s="37"/>
      <c r="B358" s="37"/>
      <c r="C358" s="37"/>
      <c r="D358" s="37"/>
      <c r="E358" s="173"/>
      <c r="F358" s="37"/>
      <c r="G358" s="174"/>
      <c r="H358" s="174"/>
      <c r="I358" s="174"/>
      <c r="J358" s="175"/>
      <c r="K358" s="175"/>
      <c r="L358" s="174"/>
      <c r="M358" s="174"/>
      <c r="N358" s="174"/>
      <c r="O358" s="174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 ht="15.75" customHeight="1">
      <c r="A359" s="37"/>
      <c r="B359" s="37"/>
      <c r="C359" s="37"/>
      <c r="D359" s="37"/>
      <c r="E359" s="173"/>
      <c r="F359" s="37"/>
      <c r="G359" s="174"/>
      <c r="H359" s="174"/>
      <c r="I359" s="174"/>
      <c r="J359" s="175"/>
      <c r="K359" s="175"/>
      <c r="L359" s="174"/>
      <c r="M359" s="174"/>
      <c r="N359" s="174"/>
      <c r="O359" s="174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 ht="15.75" customHeight="1">
      <c r="A360" s="37"/>
      <c r="B360" s="37"/>
      <c r="C360" s="37"/>
      <c r="D360" s="37"/>
      <c r="E360" s="173"/>
      <c r="F360" s="37"/>
      <c r="G360" s="174"/>
      <c r="H360" s="174"/>
      <c r="I360" s="174"/>
      <c r="J360" s="175"/>
      <c r="K360" s="175"/>
      <c r="L360" s="174"/>
      <c r="M360" s="174"/>
      <c r="N360" s="174"/>
      <c r="O360" s="174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 ht="15.75" customHeight="1">
      <c r="A361" s="37"/>
      <c r="B361" s="37"/>
      <c r="C361" s="37"/>
      <c r="D361" s="37"/>
      <c r="E361" s="173"/>
      <c r="F361" s="37"/>
      <c r="G361" s="174"/>
      <c r="H361" s="174"/>
      <c r="I361" s="174"/>
      <c r="J361" s="175"/>
      <c r="K361" s="175"/>
      <c r="L361" s="174"/>
      <c r="M361" s="174"/>
      <c r="N361" s="174"/>
      <c r="O361" s="174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 ht="15.75" customHeight="1">
      <c r="A362" s="37"/>
      <c r="B362" s="37"/>
      <c r="C362" s="37"/>
      <c r="D362" s="37"/>
      <c r="E362" s="173"/>
      <c r="F362" s="37"/>
      <c r="G362" s="174"/>
      <c r="H362" s="174"/>
      <c r="I362" s="174"/>
      <c r="J362" s="175"/>
      <c r="K362" s="175"/>
      <c r="L362" s="174"/>
      <c r="M362" s="174"/>
      <c r="N362" s="174"/>
      <c r="O362" s="174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 ht="15.75" customHeight="1">
      <c r="A363" s="37"/>
      <c r="B363" s="37"/>
      <c r="C363" s="37"/>
      <c r="D363" s="37"/>
      <c r="E363" s="173"/>
      <c r="F363" s="37"/>
      <c r="G363" s="174"/>
      <c r="H363" s="174"/>
      <c r="I363" s="174"/>
      <c r="J363" s="175"/>
      <c r="K363" s="175"/>
      <c r="L363" s="174"/>
      <c r="M363" s="174"/>
      <c r="N363" s="174"/>
      <c r="O363" s="174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 ht="15.75" customHeight="1">
      <c r="A364" s="37"/>
      <c r="B364" s="37"/>
      <c r="C364" s="37"/>
      <c r="D364" s="37"/>
      <c r="E364" s="173"/>
      <c r="F364" s="37"/>
      <c r="G364" s="174"/>
      <c r="H364" s="174"/>
      <c r="I364" s="174"/>
      <c r="J364" s="175"/>
      <c r="K364" s="175"/>
      <c r="L364" s="174"/>
      <c r="M364" s="174"/>
      <c r="N364" s="174"/>
      <c r="O364" s="174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 ht="15.75" customHeight="1">
      <c r="A365" s="37"/>
      <c r="B365" s="37"/>
      <c r="C365" s="37"/>
      <c r="D365" s="37"/>
      <c r="E365" s="173"/>
      <c r="F365" s="37"/>
      <c r="G365" s="174"/>
      <c r="H365" s="174"/>
      <c r="I365" s="174"/>
      <c r="J365" s="175"/>
      <c r="K365" s="175"/>
      <c r="L365" s="174"/>
      <c r="M365" s="174"/>
      <c r="N365" s="174"/>
      <c r="O365" s="174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 ht="15.75" customHeight="1">
      <c r="A366" s="37"/>
      <c r="B366" s="37"/>
      <c r="C366" s="37"/>
      <c r="D366" s="37"/>
      <c r="E366" s="173"/>
      <c r="F366" s="37"/>
      <c r="G366" s="174"/>
      <c r="H366" s="174"/>
      <c r="I366" s="174"/>
      <c r="J366" s="175"/>
      <c r="K366" s="175"/>
      <c r="L366" s="174"/>
      <c r="M366" s="174"/>
      <c r="N366" s="174"/>
      <c r="O366" s="174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 ht="15.75" customHeight="1">
      <c r="A367" s="37"/>
      <c r="B367" s="37"/>
      <c r="C367" s="37"/>
      <c r="D367" s="37"/>
      <c r="E367" s="173"/>
      <c r="F367" s="37"/>
      <c r="G367" s="174"/>
      <c r="H367" s="174"/>
      <c r="I367" s="174"/>
      <c r="J367" s="175"/>
      <c r="K367" s="175"/>
      <c r="L367" s="174"/>
      <c r="M367" s="174"/>
      <c r="N367" s="174"/>
      <c r="O367" s="174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 ht="15.75" customHeight="1">
      <c r="A368" s="37"/>
      <c r="B368" s="37"/>
      <c r="C368" s="37"/>
      <c r="D368" s="37"/>
      <c r="E368" s="173"/>
      <c r="F368" s="37"/>
      <c r="G368" s="174"/>
      <c r="H368" s="174"/>
      <c r="I368" s="174"/>
      <c r="J368" s="175"/>
      <c r="K368" s="175"/>
      <c r="L368" s="174"/>
      <c r="M368" s="174"/>
      <c r="N368" s="174"/>
      <c r="O368" s="174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 ht="15.75" customHeight="1">
      <c r="A369" s="37"/>
      <c r="B369" s="37"/>
      <c r="C369" s="37"/>
      <c r="D369" s="37"/>
      <c r="E369" s="173"/>
      <c r="F369" s="37"/>
      <c r="G369" s="174"/>
      <c r="H369" s="174"/>
      <c r="I369" s="174"/>
      <c r="J369" s="175"/>
      <c r="K369" s="175"/>
      <c r="L369" s="174"/>
      <c r="M369" s="174"/>
      <c r="N369" s="174"/>
      <c r="O369" s="174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 ht="15.75" customHeight="1">
      <c r="A370" s="37"/>
      <c r="B370" s="37"/>
      <c r="C370" s="37"/>
      <c r="D370" s="37"/>
      <c r="E370" s="173"/>
      <c r="F370" s="37"/>
      <c r="G370" s="174"/>
      <c r="H370" s="174"/>
      <c r="I370" s="174"/>
      <c r="J370" s="175"/>
      <c r="K370" s="175"/>
      <c r="L370" s="174"/>
      <c r="M370" s="174"/>
      <c r="N370" s="174"/>
      <c r="O370" s="174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 ht="15.75" customHeight="1">
      <c r="A371" s="37"/>
      <c r="B371" s="37"/>
      <c r="C371" s="37"/>
      <c r="D371" s="37"/>
      <c r="E371" s="173"/>
      <c r="F371" s="37"/>
      <c r="G371" s="174"/>
      <c r="H371" s="174"/>
      <c r="I371" s="174"/>
      <c r="J371" s="175"/>
      <c r="K371" s="175"/>
      <c r="L371" s="174"/>
      <c r="M371" s="174"/>
      <c r="N371" s="174"/>
      <c r="O371" s="174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 ht="15.75" customHeight="1">
      <c r="A372" s="37"/>
      <c r="B372" s="37"/>
      <c r="C372" s="37"/>
      <c r="D372" s="37"/>
      <c r="E372" s="173"/>
      <c r="F372" s="37"/>
      <c r="G372" s="174"/>
      <c r="H372" s="174"/>
      <c r="I372" s="174"/>
      <c r="J372" s="175"/>
      <c r="K372" s="175"/>
      <c r="L372" s="174"/>
      <c r="M372" s="174"/>
      <c r="N372" s="174"/>
      <c r="O372" s="174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 ht="15.75" customHeight="1">
      <c r="A373" s="37"/>
      <c r="B373" s="37"/>
      <c r="C373" s="37"/>
      <c r="D373" s="37"/>
      <c r="E373" s="173"/>
      <c r="F373" s="37"/>
      <c r="G373" s="174"/>
      <c r="H373" s="174"/>
      <c r="I373" s="174"/>
      <c r="J373" s="175"/>
      <c r="K373" s="175"/>
      <c r="L373" s="174"/>
      <c r="M373" s="174"/>
      <c r="N373" s="174"/>
      <c r="O373" s="174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 ht="15.75" customHeight="1">
      <c r="A374" s="37"/>
      <c r="B374" s="37"/>
      <c r="C374" s="37"/>
      <c r="D374" s="37"/>
      <c r="E374" s="173"/>
      <c r="F374" s="37"/>
      <c r="G374" s="174"/>
      <c r="H374" s="174"/>
      <c r="I374" s="174"/>
      <c r="J374" s="175"/>
      <c r="K374" s="175"/>
      <c r="L374" s="174"/>
      <c r="M374" s="174"/>
      <c r="N374" s="174"/>
      <c r="O374" s="174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 ht="15.75" customHeight="1">
      <c r="A375" s="37"/>
      <c r="B375" s="37"/>
      <c r="C375" s="37"/>
      <c r="D375" s="37"/>
      <c r="E375" s="173"/>
      <c r="F375" s="37"/>
      <c r="G375" s="174"/>
      <c r="H375" s="174"/>
      <c r="I375" s="174"/>
      <c r="J375" s="175"/>
      <c r="K375" s="175"/>
      <c r="L375" s="174"/>
      <c r="M375" s="174"/>
      <c r="N375" s="174"/>
      <c r="O375" s="174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 ht="15.75" customHeight="1">
      <c r="A376" s="37"/>
      <c r="B376" s="37"/>
      <c r="C376" s="37"/>
      <c r="D376" s="37"/>
      <c r="E376" s="173"/>
      <c r="F376" s="37"/>
      <c r="G376" s="174"/>
      <c r="H376" s="174"/>
      <c r="I376" s="174"/>
      <c r="J376" s="175"/>
      <c r="K376" s="175"/>
      <c r="L376" s="174"/>
      <c r="M376" s="174"/>
      <c r="N376" s="174"/>
      <c r="O376" s="174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 ht="15.75" customHeight="1">
      <c r="A377" s="37"/>
      <c r="B377" s="37"/>
      <c r="C377" s="37"/>
      <c r="D377" s="37"/>
      <c r="E377" s="173"/>
      <c r="F377" s="37"/>
      <c r="G377" s="174"/>
      <c r="H377" s="174"/>
      <c r="I377" s="174"/>
      <c r="J377" s="175"/>
      <c r="K377" s="175"/>
      <c r="L377" s="174"/>
      <c r="M377" s="174"/>
      <c r="N377" s="174"/>
      <c r="O377" s="174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 ht="15.75" customHeight="1">
      <c r="A378" s="37"/>
      <c r="B378" s="37"/>
      <c r="C378" s="37"/>
      <c r="D378" s="37"/>
      <c r="E378" s="173"/>
      <c r="F378" s="37"/>
      <c r="G378" s="174"/>
      <c r="H378" s="174"/>
      <c r="I378" s="174"/>
      <c r="J378" s="175"/>
      <c r="K378" s="175"/>
      <c r="L378" s="174"/>
      <c r="M378" s="174"/>
      <c r="N378" s="174"/>
      <c r="O378" s="174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 ht="15.75" customHeight="1">
      <c r="A379" s="37"/>
      <c r="B379" s="37"/>
      <c r="C379" s="37"/>
      <c r="D379" s="37"/>
      <c r="E379" s="173"/>
      <c r="F379" s="37"/>
      <c r="G379" s="174"/>
      <c r="H379" s="174"/>
      <c r="I379" s="174"/>
      <c r="J379" s="175"/>
      <c r="K379" s="175"/>
      <c r="L379" s="174"/>
      <c r="M379" s="174"/>
      <c r="N379" s="174"/>
      <c r="O379" s="174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 ht="15.75" customHeight="1">
      <c r="A380" s="37"/>
      <c r="B380" s="37"/>
      <c r="C380" s="37"/>
      <c r="D380" s="37"/>
      <c r="E380" s="173"/>
      <c r="F380" s="37"/>
      <c r="G380" s="174"/>
      <c r="H380" s="174"/>
      <c r="I380" s="174"/>
      <c r="J380" s="175"/>
      <c r="K380" s="175"/>
      <c r="L380" s="174"/>
      <c r="M380" s="174"/>
      <c r="N380" s="174"/>
      <c r="O380" s="174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 ht="15.75" customHeight="1">
      <c r="A381" s="37"/>
      <c r="B381" s="37"/>
      <c r="C381" s="37"/>
      <c r="D381" s="37"/>
      <c r="E381" s="173"/>
      <c r="F381" s="37"/>
      <c r="G381" s="174"/>
      <c r="H381" s="174"/>
      <c r="I381" s="174"/>
      <c r="J381" s="175"/>
      <c r="K381" s="175"/>
      <c r="L381" s="174"/>
      <c r="M381" s="174"/>
      <c r="N381" s="174"/>
      <c r="O381" s="174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 ht="15.75" customHeight="1">
      <c r="A382" s="37"/>
      <c r="B382" s="37"/>
      <c r="C382" s="37"/>
      <c r="D382" s="37"/>
      <c r="E382" s="173"/>
      <c r="F382" s="37"/>
      <c r="G382" s="174"/>
      <c r="H382" s="174"/>
      <c r="I382" s="174"/>
      <c r="J382" s="175"/>
      <c r="K382" s="175"/>
      <c r="L382" s="174"/>
      <c r="M382" s="174"/>
      <c r="N382" s="174"/>
      <c r="O382" s="174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 ht="15.75" customHeight="1">
      <c r="A383" s="37"/>
      <c r="B383" s="37"/>
      <c r="C383" s="37"/>
      <c r="D383" s="37"/>
      <c r="E383" s="173"/>
      <c r="F383" s="37"/>
      <c r="G383" s="174"/>
      <c r="H383" s="174"/>
      <c r="I383" s="174"/>
      <c r="J383" s="175"/>
      <c r="K383" s="175"/>
      <c r="L383" s="174"/>
      <c r="M383" s="174"/>
      <c r="N383" s="174"/>
      <c r="O383" s="174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 ht="15.75" customHeight="1">
      <c r="A384" s="37"/>
      <c r="B384" s="37"/>
      <c r="C384" s="37"/>
      <c r="D384" s="37"/>
      <c r="E384" s="173"/>
      <c r="F384" s="37"/>
      <c r="G384" s="174"/>
      <c r="H384" s="174"/>
      <c r="I384" s="174"/>
      <c r="J384" s="175"/>
      <c r="K384" s="175"/>
      <c r="L384" s="174"/>
      <c r="M384" s="174"/>
      <c r="N384" s="174"/>
      <c r="O384" s="174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 ht="15.75" customHeight="1">
      <c r="A385" s="37"/>
      <c r="B385" s="37"/>
      <c r="C385" s="37"/>
      <c r="D385" s="37"/>
      <c r="E385" s="173"/>
      <c r="F385" s="37"/>
      <c r="G385" s="174"/>
      <c r="H385" s="174"/>
      <c r="I385" s="174"/>
      <c r="J385" s="175"/>
      <c r="K385" s="175"/>
      <c r="L385" s="174"/>
      <c r="M385" s="174"/>
      <c r="N385" s="174"/>
      <c r="O385" s="174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 ht="15.75" customHeight="1">
      <c r="A386" s="37"/>
      <c r="B386" s="37"/>
      <c r="C386" s="37"/>
      <c r="D386" s="37"/>
      <c r="E386" s="173"/>
      <c r="F386" s="37"/>
      <c r="G386" s="174"/>
      <c r="H386" s="174"/>
      <c r="I386" s="174"/>
      <c r="J386" s="175"/>
      <c r="K386" s="175"/>
      <c r="L386" s="174"/>
      <c r="M386" s="174"/>
      <c r="N386" s="174"/>
      <c r="O386" s="174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 ht="15.75" customHeight="1">
      <c r="A387" s="37"/>
      <c r="B387" s="37"/>
      <c r="C387" s="37"/>
      <c r="D387" s="37"/>
      <c r="E387" s="173"/>
      <c r="F387" s="37"/>
      <c r="G387" s="174"/>
      <c r="H387" s="174"/>
      <c r="I387" s="174"/>
      <c r="J387" s="175"/>
      <c r="K387" s="175"/>
      <c r="L387" s="174"/>
      <c r="M387" s="174"/>
      <c r="N387" s="174"/>
      <c r="O387" s="174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 ht="15.75" customHeight="1">
      <c r="A388" s="37"/>
      <c r="B388" s="37"/>
      <c r="C388" s="37"/>
      <c r="D388" s="37"/>
      <c r="E388" s="173"/>
      <c r="F388" s="37"/>
      <c r="G388" s="174"/>
      <c r="H388" s="174"/>
      <c r="I388" s="174"/>
      <c r="J388" s="175"/>
      <c r="K388" s="175"/>
      <c r="L388" s="174"/>
      <c r="M388" s="174"/>
      <c r="N388" s="174"/>
      <c r="O388" s="174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 ht="15.75" customHeight="1">
      <c r="A389" s="37"/>
      <c r="B389" s="37"/>
      <c r="C389" s="37"/>
      <c r="D389" s="37"/>
      <c r="E389" s="173"/>
      <c r="F389" s="37"/>
      <c r="G389" s="174"/>
      <c r="H389" s="174"/>
      <c r="I389" s="174"/>
      <c r="J389" s="175"/>
      <c r="K389" s="175"/>
      <c r="L389" s="174"/>
      <c r="M389" s="174"/>
      <c r="N389" s="174"/>
      <c r="O389" s="174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 ht="15.75" customHeight="1">
      <c r="A390" s="37"/>
      <c r="B390" s="37"/>
      <c r="C390" s="37"/>
      <c r="D390" s="37"/>
      <c r="E390" s="173"/>
      <c r="F390" s="37"/>
      <c r="G390" s="174"/>
      <c r="H390" s="174"/>
      <c r="I390" s="174"/>
      <c r="J390" s="175"/>
      <c r="K390" s="175"/>
      <c r="L390" s="174"/>
      <c r="M390" s="174"/>
      <c r="N390" s="174"/>
      <c r="O390" s="174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 ht="15.75" customHeight="1">
      <c r="A391" s="37"/>
      <c r="B391" s="37"/>
      <c r="C391" s="37"/>
      <c r="D391" s="37"/>
      <c r="E391" s="173"/>
      <c r="F391" s="37"/>
      <c r="G391" s="174"/>
      <c r="H391" s="174"/>
      <c r="I391" s="174"/>
      <c r="J391" s="175"/>
      <c r="K391" s="175"/>
      <c r="L391" s="174"/>
      <c r="M391" s="174"/>
      <c r="N391" s="174"/>
      <c r="O391" s="174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 ht="15.75" customHeight="1">
      <c r="A392" s="37"/>
      <c r="B392" s="37"/>
      <c r="C392" s="37"/>
      <c r="D392" s="37"/>
      <c r="E392" s="173"/>
      <c r="F392" s="37"/>
      <c r="G392" s="174"/>
      <c r="H392" s="174"/>
      <c r="I392" s="174"/>
      <c r="J392" s="175"/>
      <c r="K392" s="175"/>
      <c r="L392" s="174"/>
      <c r="M392" s="174"/>
      <c r="N392" s="174"/>
      <c r="O392" s="174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 ht="15.75" customHeight="1">
      <c r="A393" s="37"/>
      <c r="B393" s="37"/>
      <c r="C393" s="37"/>
      <c r="D393" s="37"/>
      <c r="E393" s="173"/>
      <c r="F393" s="37"/>
      <c r="G393" s="174"/>
      <c r="H393" s="174"/>
      <c r="I393" s="174"/>
      <c r="J393" s="175"/>
      <c r="K393" s="175"/>
      <c r="L393" s="174"/>
      <c r="M393" s="174"/>
      <c r="N393" s="174"/>
      <c r="O393" s="174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 ht="15.75" customHeight="1">
      <c r="A394" s="37"/>
      <c r="B394" s="37"/>
      <c r="C394" s="37"/>
      <c r="D394" s="37"/>
      <c r="E394" s="173"/>
      <c r="F394" s="37"/>
      <c r="G394" s="174"/>
      <c r="H394" s="174"/>
      <c r="I394" s="174"/>
      <c r="J394" s="175"/>
      <c r="K394" s="175"/>
      <c r="L394" s="174"/>
      <c r="M394" s="174"/>
      <c r="N394" s="174"/>
      <c r="O394" s="174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 ht="15.75" customHeight="1">
      <c r="A395" s="37"/>
      <c r="B395" s="37"/>
      <c r="C395" s="37"/>
      <c r="D395" s="37"/>
      <c r="E395" s="173"/>
      <c r="F395" s="37"/>
      <c r="G395" s="174"/>
      <c r="H395" s="174"/>
      <c r="I395" s="174"/>
      <c r="J395" s="175"/>
      <c r="K395" s="175"/>
      <c r="L395" s="174"/>
      <c r="M395" s="174"/>
      <c r="N395" s="174"/>
      <c r="O395" s="174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 ht="15.75" customHeight="1">
      <c r="A396" s="37"/>
      <c r="B396" s="37"/>
      <c r="C396" s="37"/>
      <c r="D396" s="37"/>
      <c r="E396" s="173"/>
      <c r="F396" s="37"/>
      <c r="G396" s="174"/>
      <c r="H396" s="174"/>
      <c r="I396" s="174"/>
      <c r="J396" s="175"/>
      <c r="K396" s="175"/>
      <c r="L396" s="174"/>
      <c r="M396" s="174"/>
      <c r="N396" s="174"/>
      <c r="O396" s="174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 ht="15.75" customHeight="1">
      <c r="A397" s="37"/>
      <c r="B397" s="37"/>
      <c r="C397" s="37"/>
      <c r="D397" s="37"/>
      <c r="E397" s="173"/>
      <c r="F397" s="37"/>
      <c r="G397" s="174"/>
      <c r="H397" s="174"/>
      <c r="I397" s="174"/>
      <c r="J397" s="175"/>
      <c r="K397" s="175"/>
      <c r="L397" s="174"/>
      <c r="M397" s="174"/>
      <c r="N397" s="174"/>
      <c r="O397" s="174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 ht="15.75" customHeight="1">
      <c r="A398" s="37"/>
      <c r="B398" s="37"/>
      <c r="C398" s="37"/>
      <c r="D398" s="37"/>
      <c r="E398" s="173"/>
      <c r="F398" s="37"/>
      <c r="G398" s="174"/>
      <c r="H398" s="174"/>
      <c r="I398" s="174"/>
      <c r="J398" s="175"/>
      <c r="K398" s="175"/>
      <c r="L398" s="174"/>
      <c r="M398" s="174"/>
      <c r="N398" s="174"/>
      <c r="O398" s="174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 ht="15.75" customHeight="1">
      <c r="A399" s="37"/>
      <c r="B399" s="37"/>
      <c r="C399" s="37"/>
      <c r="D399" s="37"/>
      <c r="E399" s="173"/>
      <c r="F399" s="37"/>
      <c r="G399" s="174"/>
      <c r="H399" s="174"/>
      <c r="I399" s="174"/>
      <c r="J399" s="175"/>
      <c r="K399" s="175"/>
      <c r="L399" s="174"/>
      <c r="M399" s="174"/>
      <c r="N399" s="174"/>
      <c r="O399" s="174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 ht="15.75" customHeight="1">
      <c r="A400" s="37"/>
      <c r="B400" s="37"/>
      <c r="C400" s="37"/>
      <c r="D400" s="37"/>
      <c r="E400" s="173"/>
      <c r="F400" s="37"/>
      <c r="G400" s="174"/>
      <c r="H400" s="174"/>
      <c r="I400" s="174"/>
      <c r="J400" s="175"/>
      <c r="K400" s="175"/>
      <c r="L400" s="174"/>
      <c r="M400" s="174"/>
      <c r="N400" s="174"/>
      <c r="O400" s="174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 ht="15.75" customHeight="1">
      <c r="A401" s="37"/>
      <c r="B401" s="37"/>
      <c r="C401" s="37"/>
      <c r="D401" s="37"/>
      <c r="E401" s="173"/>
      <c r="F401" s="37"/>
      <c r="G401" s="174"/>
      <c r="H401" s="174"/>
      <c r="I401" s="174"/>
      <c r="J401" s="175"/>
      <c r="K401" s="175"/>
      <c r="L401" s="174"/>
      <c r="M401" s="174"/>
      <c r="N401" s="174"/>
      <c r="O401" s="174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 ht="15.75" customHeight="1">
      <c r="A402" s="37"/>
      <c r="B402" s="37"/>
      <c r="C402" s="37"/>
      <c r="D402" s="37"/>
      <c r="E402" s="173"/>
      <c r="F402" s="37"/>
      <c r="G402" s="174"/>
      <c r="H402" s="174"/>
      <c r="I402" s="174"/>
      <c r="J402" s="175"/>
      <c r="K402" s="175"/>
      <c r="L402" s="174"/>
      <c r="M402" s="174"/>
      <c r="N402" s="174"/>
      <c r="O402" s="174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 ht="15.75" customHeight="1">
      <c r="A403" s="37"/>
      <c r="B403" s="37"/>
      <c r="C403" s="37"/>
      <c r="D403" s="37"/>
      <c r="E403" s="173"/>
      <c r="F403" s="37"/>
      <c r="G403" s="174"/>
      <c r="H403" s="174"/>
      <c r="I403" s="174"/>
      <c r="J403" s="175"/>
      <c r="K403" s="175"/>
      <c r="L403" s="174"/>
      <c r="M403" s="174"/>
      <c r="N403" s="174"/>
      <c r="O403" s="174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 ht="15.75" customHeight="1">
      <c r="A404" s="37"/>
      <c r="B404" s="37"/>
      <c r="C404" s="37"/>
      <c r="D404" s="37"/>
      <c r="E404" s="173"/>
      <c r="F404" s="37"/>
      <c r="G404" s="174"/>
      <c r="H404" s="174"/>
      <c r="I404" s="174"/>
      <c r="J404" s="175"/>
      <c r="K404" s="175"/>
      <c r="L404" s="174"/>
      <c r="M404" s="174"/>
      <c r="N404" s="174"/>
      <c r="O404" s="174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 ht="15.75" customHeight="1">
      <c r="A405" s="37"/>
      <c r="B405" s="37"/>
      <c r="C405" s="37"/>
      <c r="D405" s="37"/>
      <c r="E405" s="173"/>
      <c r="F405" s="37"/>
      <c r="G405" s="174"/>
      <c r="H405" s="174"/>
      <c r="I405" s="174"/>
      <c r="J405" s="175"/>
      <c r="K405" s="175"/>
      <c r="L405" s="174"/>
      <c r="M405" s="174"/>
      <c r="N405" s="174"/>
      <c r="O405" s="174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 ht="15.75" customHeight="1">
      <c r="A406" s="37"/>
      <c r="B406" s="37"/>
      <c r="C406" s="37"/>
      <c r="D406" s="37"/>
      <c r="E406" s="173"/>
      <c r="F406" s="37"/>
      <c r="G406" s="174"/>
      <c r="H406" s="174"/>
      <c r="I406" s="174"/>
      <c r="J406" s="175"/>
      <c r="K406" s="175"/>
      <c r="L406" s="174"/>
      <c r="M406" s="174"/>
      <c r="N406" s="174"/>
      <c r="O406" s="174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 ht="15.75" customHeight="1">
      <c r="A407" s="37"/>
      <c r="B407" s="37"/>
      <c r="C407" s="37"/>
      <c r="D407" s="37"/>
      <c r="E407" s="173"/>
      <c r="F407" s="37"/>
      <c r="G407" s="174"/>
      <c r="H407" s="174"/>
      <c r="I407" s="174"/>
      <c r="J407" s="175"/>
      <c r="K407" s="175"/>
      <c r="L407" s="174"/>
      <c r="M407" s="174"/>
      <c r="N407" s="174"/>
      <c r="O407" s="174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 ht="15.75" customHeight="1">
      <c r="A408" s="37"/>
      <c r="B408" s="37"/>
      <c r="C408" s="37"/>
      <c r="D408" s="37"/>
      <c r="E408" s="173"/>
      <c r="F408" s="37"/>
      <c r="G408" s="174"/>
      <c r="H408" s="174"/>
      <c r="I408" s="174"/>
      <c r="J408" s="175"/>
      <c r="K408" s="175"/>
      <c r="L408" s="174"/>
      <c r="M408" s="174"/>
      <c r="N408" s="174"/>
      <c r="O408" s="174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 ht="15.75" customHeight="1">
      <c r="A409" s="37"/>
      <c r="B409" s="37"/>
      <c r="C409" s="37"/>
      <c r="D409" s="37"/>
      <c r="E409" s="173"/>
      <c r="F409" s="37"/>
      <c r="G409" s="174"/>
      <c r="H409" s="174"/>
      <c r="I409" s="174"/>
      <c r="J409" s="175"/>
      <c r="K409" s="175"/>
      <c r="L409" s="174"/>
      <c r="M409" s="174"/>
      <c r="N409" s="174"/>
      <c r="O409" s="174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 ht="15.75" customHeight="1">
      <c r="A410" s="37"/>
      <c r="B410" s="37"/>
      <c r="C410" s="37"/>
      <c r="D410" s="37"/>
      <c r="E410" s="173"/>
      <c r="F410" s="37"/>
      <c r="G410" s="174"/>
      <c r="H410" s="174"/>
      <c r="I410" s="174"/>
      <c r="J410" s="175"/>
      <c r="K410" s="175"/>
      <c r="L410" s="174"/>
      <c r="M410" s="174"/>
      <c r="N410" s="174"/>
      <c r="O410" s="174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 ht="15.75" customHeight="1">
      <c r="A411" s="37"/>
      <c r="B411" s="37"/>
      <c r="C411" s="37"/>
      <c r="D411" s="37"/>
      <c r="E411" s="173"/>
      <c r="F411" s="37"/>
      <c r="G411" s="174"/>
      <c r="H411" s="174"/>
      <c r="I411" s="174"/>
      <c r="J411" s="175"/>
      <c r="K411" s="175"/>
      <c r="L411" s="174"/>
      <c r="M411" s="174"/>
      <c r="N411" s="174"/>
      <c r="O411" s="174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 ht="15.75" customHeight="1">
      <c r="A412" s="37"/>
      <c r="B412" s="37"/>
      <c r="C412" s="37"/>
      <c r="D412" s="37"/>
      <c r="E412" s="173"/>
      <c r="F412" s="37"/>
      <c r="G412" s="174"/>
      <c r="H412" s="174"/>
      <c r="I412" s="174"/>
      <c r="J412" s="175"/>
      <c r="K412" s="175"/>
      <c r="L412" s="174"/>
      <c r="M412" s="174"/>
      <c r="N412" s="174"/>
      <c r="O412" s="174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 ht="15.75" customHeight="1">
      <c r="A413" s="37"/>
      <c r="B413" s="37"/>
      <c r="C413" s="37"/>
      <c r="D413" s="37"/>
      <c r="E413" s="173"/>
      <c r="F413" s="37"/>
      <c r="G413" s="174"/>
      <c r="H413" s="174"/>
      <c r="I413" s="174"/>
      <c r="J413" s="175"/>
      <c r="K413" s="175"/>
      <c r="L413" s="174"/>
      <c r="M413" s="174"/>
      <c r="N413" s="174"/>
      <c r="O413" s="174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 ht="15.75" customHeight="1">
      <c r="A414" s="37"/>
      <c r="B414" s="37"/>
      <c r="C414" s="37"/>
      <c r="D414" s="37"/>
      <c r="E414" s="173"/>
      <c r="F414" s="37"/>
      <c r="G414" s="174"/>
      <c r="H414" s="174"/>
      <c r="I414" s="174"/>
      <c r="J414" s="175"/>
      <c r="K414" s="175"/>
      <c r="L414" s="174"/>
      <c r="M414" s="174"/>
      <c r="N414" s="174"/>
      <c r="O414" s="174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 ht="15.75" customHeight="1">
      <c r="A415" s="37"/>
      <c r="B415" s="37"/>
      <c r="C415" s="37"/>
      <c r="D415" s="37"/>
      <c r="E415" s="173"/>
      <c r="F415" s="37"/>
      <c r="G415" s="174"/>
      <c r="H415" s="174"/>
      <c r="I415" s="174"/>
      <c r="J415" s="175"/>
      <c r="K415" s="175"/>
      <c r="L415" s="174"/>
      <c r="M415" s="174"/>
      <c r="N415" s="174"/>
      <c r="O415" s="174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 ht="15.75" customHeight="1">
      <c r="A416" s="37"/>
      <c r="B416" s="37"/>
      <c r="C416" s="37"/>
      <c r="D416" s="37"/>
      <c r="E416" s="173"/>
      <c r="F416" s="37"/>
      <c r="G416" s="174"/>
      <c r="H416" s="174"/>
      <c r="I416" s="174"/>
      <c r="J416" s="37"/>
      <c r="K416" s="37"/>
      <c r="L416" s="174"/>
      <c r="M416" s="174"/>
      <c r="N416" s="174"/>
      <c r="O416" s="174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 ht="15.75" customHeight="1">
      <c r="A417" s="37"/>
      <c r="B417" s="37"/>
      <c r="C417" s="37"/>
      <c r="D417" s="37"/>
      <c r="E417" s="173"/>
      <c r="F417" s="37"/>
      <c r="G417" s="174"/>
      <c r="H417" s="174"/>
      <c r="I417" s="174"/>
      <c r="J417" s="37"/>
      <c r="K417" s="37"/>
      <c r="L417" s="174"/>
      <c r="M417" s="174"/>
      <c r="N417" s="174"/>
      <c r="O417" s="174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 ht="15.75" customHeight="1">
      <c r="A418" s="37"/>
      <c r="B418" s="37"/>
      <c r="C418" s="37"/>
      <c r="D418" s="37"/>
      <c r="E418" s="173"/>
      <c r="F418" s="37"/>
      <c r="G418" s="174"/>
      <c r="H418" s="174"/>
      <c r="I418" s="174"/>
      <c r="J418" s="37"/>
      <c r="K418" s="37"/>
      <c r="L418" s="174"/>
      <c r="M418" s="174"/>
      <c r="N418" s="174"/>
      <c r="O418" s="174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 ht="15.75" customHeight="1">
      <c r="A419" s="37"/>
      <c r="B419" s="37"/>
      <c r="C419" s="37"/>
      <c r="D419" s="37"/>
      <c r="E419" s="173"/>
      <c r="F419" s="37"/>
      <c r="G419" s="174"/>
      <c r="H419" s="174"/>
      <c r="I419" s="174"/>
      <c r="J419" s="37"/>
      <c r="K419" s="37"/>
      <c r="L419" s="174"/>
      <c r="M419" s="174"/>
      <c r="N419" s="174"/>
      <c r="O419" s="174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 ht="15.75" customHeight="1">
      <c r="A420" s="37"/>
      <c r="B420" s="37"/>
      <c r="C420" s="37"/>
      <c r="D420" s="37"/>
      <c r="E420" s="173"/>
      <c r="F420" s="37"/>
      <c r="G420" s="174"/>
      <c r="H420" s="174"/>
      <c r="I420" s="174"/>
      <c r="J420" s="37"/>
      <c r="K420" s="37"/>
      <c r="L420" s="174"/>
      <c r="M420" s="174"/>
      <c r="N420" s="174"/>
      <c r="O420" s="174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 ht="15.75" customHeight="1">
      <c r="A421" s="37"/>
      <c r="B421" s="37"/>
      <c r="C421" s="37"/>
      <c r="D421" s="37"/>
      <c r="E421" s="173"/>
      <c r="F421" s="37"/>
      <c r="G421" s="174"/>
      <c r="H421" s="174"/>
      <c r="I421" s="174"/>
      <c r="J421" s="37"/>
      <c r="K421" s="37"/>
      <c r="L421" s="174"/>
      <c r="M421" s="174"/>
      <c r="N421" s="174"/>
      <c r="O421" s="174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 ht="15.75" customHeight="1">
      <c r="A422" s="37"/>
      <c r="B422" s="37"/>
      <c r="C422" s="37"/>
      <c r="D422" s="37"/>
      <c r="E422" s="173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 ht="15.75" customHeight="1">
      <c r="A423" s="37"/>
      <c r="B423" s="37"/>
      <c r="C423" s="37"/>
      <c r="D423" s="37"/>
      <c r="E423" s="173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 ht="15.75" customHeight="1">
      <c r="A424" s="37"/>
      <c r="B424" s="37"/>
      <c r="C424" s="37"/>
      <c r="D424" s="37"/>
      <c r="E424" s="173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 ht="15.75" customHeight="1">
      <c r="A425" s="37"/>
      <c r="B425" s="37"/>
      <c r="C425" s="37"/>
      <c r="D425" s="37"/>
      <c r="E425" s="173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 ht="15.75" customHeight="1">
      <c r="A426" s="37"/>
      <c r="B426" s="37"/>
      <c r="C426" s="37"/>
      <c r="D426" s="37"/>
      <c r="E426" s="173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 ht="15.75" customHeight="1">
      <c r="A427" s="37"/>
      <c r="B427" s="37"/>
      <c r="C427" s="37"/>
      <c r="D427" s="37"/>
      <c r="E427" s="173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 ht="15.75" customHeight="1">
      <c r="A428" s="37"/>
      <c r="B428" s="37"/>
      <c r="C428" s="37"/>
      <c r="D428" s="37"/>
      <c r="E428" s="173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 ht="15.75" customHeight="1">
      <c r="A429" s="37"/>
      <c r="B429" s="37"/>
      <c r="C429" s="37"/>
      <c r="D429" s="37"/>
      <c r="E429" s="173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 ht="15.75" customHeight="1">
      <c r="A430" s="37"/>
      <c r="B430" s="37"/>
      <c r="C430" s="37"/>
      <c r="D430" s="37"/>
      <c r="E430" s="173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 ht="15.75" customHeight="1">
      <c r="A431" s="37"/>
      <c r="B431" s="37"/>
      <c r="C431" s="37"/>
      <c r="D431" s="37"/>
      <c r="E431" s="173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 ht="15.75" customHeight="1">
      <c r="A432" s="37"/>
      <c r="B432" s="37"/>
      <c r="C432" s="37"/>
      <c r="D432" s="37"/>
      <c r="E432" s="173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 ht="15.75" customHeight="1">
      <c r="A433" s="37"/>
      <c r="B433" s="37"/>
      <c r="C433" s="37"/>
      <c r="D433" s="37"/>
      <c r="E433" s="173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 ht="15.75" customHeight="1">
      <c r="A434" s="37"/>
      <c r="B434" s="37"/>
      <c r="C434" s="37"/>
      <c r="D434" s="37"/>
      <c r="E434" s="173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 ht="15.75" customHeight="1">
      <c r="A435" s="37"/>
      <c r="B435" s="37"/>
      <c r="C435" s="37"/>
      <c r="D435" s="37"/>
      <c r="E435" s="173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 ht="15.75" customHeight="1">
      <c r="A436" s="37"/>
      <c r="B436" s="37"/>
      <c r="C436" s="37"/>
      <c r="D436" s="37"/>
      <c r="E436" s="173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 ht="15.75" customHeight="1">
      <c r="A437" s="37"/>
      <c r="B437" s="37"/>
      <c r="C437" s="37"/>
      <c r="D437" s="37"/>
      <c r="E437" s="173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 ht="15.75" customHeight="1">
      <c r="A438" s="37"/>
      <c r="B438" s="37"/>
      <c r="C438" s="37"/>
      <c r="D438" s="37"/>
      <c r="E438" s="173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 ht="15.75" customHeight="1">
      <c r="A439" s="37"/>
      <c r="B439" s="37"/>
      <c r="C439" s="37"/>
      <c r="D439" s="37"/>
      <c r="E439" s="173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 ht="15.75" customHeight="1">
      <c r="A440" s="37"/>
      <c r="B440" s="37"/>
      <c r="C440" s="37"/>
      <c r="D440" s="37"/>
      <c r="E440" s="173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 ht="15.75" customHeight="1">
      <c r="A441" s="37"/>
      <c r="B441" s="37"/>
      <c r="C441" s="37"/>
      <c r="D441" s="37"/>
      <c r="E441" s="173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 ht="15.75" customHeight="1">
      <c r="A442" s="37"/>
      <c r="B442" s="37"/>
      <c r="C442" s="37"/>
      <c r="D442" s="37"/>
      <c r="E442" s="173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 ht="15.75" customHeight="1">
      <c r="A443" s="37"/>
      <c r="B443" s="37"/>
      <c r="C443" s="37"/>
      <c r="D443" s="37"/>
      <c r="E443" s="173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 ht="15.75" customHeight="1">
      <c r="A444" s="37"/>
      <c r="B444" s="37"/>
      <c r="C444" s="37"/>
      <c r="D444" s="37"/>
      <c r="E444" s="173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 ht="15.75" customHeight="1">
      <c r="A445" s="37"/>
      <c r="B445" s="37"/>
      <c r="C445" s="37"/>
      <c r="D445" s="37"/>
      <c r="E445" s="173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 ht="15.75" customHeight="1">
      <c r="A446" s="37"/>
      <c r="B446" s="37"/>
      <c r="C446" s="37"/>
      <c r="D446" s="37"/>
      <c r="E446" s="173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 ht="15.75" customHeight="1">
      <c r="A447" s="37"/>
      <c r="B447" s="37"/>
      <c r="C447" s="37"/>
      <c r="D447" s="37"/>
      <c r="E447" s="173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 ht="15.75" customHeight="1">
      <c r="A448" s="37"/>
      <c r="B448" s="37"/>
      <c r="C448" s="37"/>
      <c r="D448" s="37"/>
      <c r="E448" s="173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 ht="15.75" customHeight="1">
      <c r="A449" s="37"/>
      <c r="B449" s="37"/>
      <c r="C449" s="37"/>
      <c r="D449" s="37"/>
      <c r="E449" s="173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 ht="15.75" customHeight="1">
      <c r="A450" s="37"/>
      <c r="B450" s="37"/>
      <c r="C450" s="37"/>
      <c r="D450" s="37"/>
      <c r="E450" s="173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 ht="15.75" customHeight="1">
      <c r="A451" s="37"/>
      <c r="B451" s="37"/>
      <c r="C451" s="37"/>
      <c r="D451" s="37"/>
      <c r="E451" s="173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 ht="15.75" customHeight="1">
      <c r="A452" s="37"/>
      <c r="B452" s="37"/>
      <c r="C452" s="37"/>
      <c r="D452" s="37"/>
      <c r="E452" s="173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 ht="15.75" customHeight="1">
      <c r="A453" s="37"/>
      <c r="B453" s="37"/>
      <c r="C453" s="37"/>
      <c r="D453" s="37"/>
      <c r="E453" s="173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 ht="15.75" customHeight="1">
      <c r="A454" s="37"/>
      <c r="B454" s="37"/>
      <c r="C454" s="37"/>
      <c r="D454" s="37"/>
      <c r="E454" s="173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 ht="15.75" customHeight="1">
      <c r="A455" s="37"/>
      <c r="B455" s="37"/>
      <c r="C455" s="37"/>
      <c r="D455" s="37"/>
      <c r="E455" s="173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 ht="15.75" customHeight="1">
      <c r="A456" s="37"/>
      <c r="B456" s="37"/>
      <c r="C456" s="37"/>
      <c r="D456" s="37"/>
      <c r="E456" s="173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 ht="15.75" customHeight="1">
      <c r="A457" s="37"/>
      <c r="B457" s="37"/>
      <c r="C457" s="37"/>
      <c r="D457" s="37"/>
      <c r="E457" s="173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 ht="15.75" customHeight="1">
      <c r="A458" s="37"/>
      <c r="B458" s="37"/>
      <c r="C458" s="37"/>
      <c r="D458" s="37"/>
      <c r="E458" s="173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 ht="15.75" customHeight="1">
      <c r="A459" s="37"/>
      <c r="B459" s="37"/>
      <c r="C459" s="37"/>
      <c r="D459" s="37"/>
      <c r="E459" s="173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 ht="15.75" customHeight="1">
      <c r="A460" s="37"/>
      <c r="B460" s="37"/>
      <c r="C460" s="37"/>
      <c r="D460" s="37"/>
      <c r="E460" s="173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 ht="15.75" customHeight="1">
      <c r="A461" s="37"/>
      <c r="B461" s="37"/>
      <c r="C461" s="37"/>
      <c r="D461" s="37"/>
      <c r="E461" s="173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 ht="15.75" customHeight="1">
      <c r="A462" s="37"/>
      <c r="B462" s="37"/>
      <c r="C462" s="37"/>
      <c r="D462" s="37"/>
      <c r="E462" s="173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 ht="15.75" customHeight="1">
      <c r="A463" s="37"/>
      <c r="B463" s="37"/>
      <c r="C463" s="37"/>
      <c r="D463" s="37"/>
      <c r="E463" s="173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 ht="15.75" customHeight="1">
      <c r="A464" s="37"/>
      <c r="B464" s="37"/>
      <c r="C464" s="37"/>
      <c r="D464" s="37"/>
      <c r="E464" s="173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 ht="15.75" customHeight="1">
      <c r="A465" s="37"/>
      <c r="B465" s="37"/>
      <c r="C465" s="37"/>
      <c r="D465" s="37"/>
      <c r="E465" s="173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 ht="15.75" customHeight="1">
      <c r="A466" s="37"/>
      <c r="B466" s="37"/>
      <c r="C466" s="37"/>
      <c r="D466" s="37"/>
      <c r="E466" s="173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 ht="15.75" customHeight="1">
      <c r="A467" s="37"/>
      <c r="B467" s="37"/>
      <c r="C467" s="37"/>
      <c r="D467" s="37"/>
      <c r="E467" s="173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 ht="15.75" customHeight="1">
      <c r="A468" s="37"/>
      <c r="B468" s="37"/>
      <c r="C468" s="37"/>
      <c r="D468" s="37"/>
      <c r="E468" s="173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 ht="15.75" customHeight="1">
      <c r="A469" s="37"/>
      <c r="B469" s="37"/>
      <c r="C469" s="37"/>
      <c r="D469" s="37"/>
      <c r="E469" s="173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 ht="15.75" customHeight="1">
      <c r="A470" s="37"/>
      <c r="B470" s="37"/>
      <c r="C470" s="37"/>
      <c r="D470" s="37"/>
      <c r="E470" s="173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 ht="15.75" customHeight="1">
      <c r="A471" s="37"/>
      <c r="B471" s="37"/>
      <c r="C471" s="37"/>
      <c r="D471" s="37"/>
      <c r="E471" s="173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 ht="15.75" customHeight="1">
      <c r="A472" s="37"/>
      <c r="B472" s="37"/>
      <c r="C472" s="37"/>
      <c r="D472" s="37"/>
      <c r="E472" s="173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 ht="15.75" customHeight="1">
      <c r="A473" s="37"/>
      <c r="B473" s="37"/>
      <c r="C473" s="37"/>
      <c r="D473" s="37"/>
      <c r="E473" s="173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15.75" customHeight="1">
      <c r="A474" s="37"/>
      <c r="B474" s="37"/>
      <c r="C474" s="37"/>
      <c r="D474" s="37"/>
      <c r="E474" s="173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 ht="15.75" customHeight="1">
      <c r="A475" s="37"/>
      <c r="B475" s="37"/>
      <c r="C475" s="37"/>
      <c r="D475" s="37"/>
      <c r="E475" s="173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 ht="15.75" customHeight="1">
      <c r="A476" s="37"/>
      <c r="B476" s="37"/>
      <c r="C476" s="37"/>
      <c r="D476" s="37"/>
      <c r="E476" s="173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 ht="15.75" customHeight="1">
      <c r="A477" s="37"/>
      <c r="B477" s="37"/>
      <c r="C477" s="37"/>
      <c r="D477" s="37"/>
      <c r="E477" s="173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 ht="15.75" customHeight="1">
      <c r="A478" s="37"/>
      <c r="B478" s="37"/>
      <c r="C478" s="37"/>
      <c r="D478" s="37"/>
      <c r="E478" s="173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 ht="15.75" customHeight="1">
      <c r="A479" s="37"/>
      <c r="B479" s="37"/>
      <c r="C479" s="37"/>
      <c r="D479" s="37"/>
      <c r="E479" s="173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 ht="15.75" customHeight="1">
      <c r="A480" s="37"/>
      <c r="B480" s="37"/>
      <c r="C480" s="37"/>
      <c r="D480" s="37"/>
      <c r="E480" s="173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 ht="15.75" customHeight="1">
      <c r="A481" s="37"/>
      <c r="B481" s="37"/>
      <c r="C481" s="37"/>
      <c r="D481" s="37"/>
      <c r="E481" s="173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 ht="15.75" customHeight="1">
      <c r="A482" s="37"/>
      <c r="B482" s="37"/>
      <c r="C482" s="37"/>
      <c r="D482" s="37"/>
      <c r="E482" s="173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 ht="15.75" customHeight="1">
      <c r="A483" s="37"/>
      <c r="B483" s="37"/>
      <c r="C483" s="37"/>
      <c r="D483" s="37"/>
      <c r="E483" s="173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 ht="15.75" customHeight="1">
      <c r="A484" s="37"/>
      <c r="B484" s="37"/>
      <c r="C484" s="37"/>
      <c r="D484" s="37"/>
      <c r="E484" s="173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 ht="15.75" customHeight="1">
      <c r="A485" s="37"/>
      <c r="B485" s="37"/>
      <c r="C485" s="37"/>
      <c r="D485" s="37"/>
      <c r="E485" s="173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 ht="15.75" customHeight="1">
      <c r="A486" s="37"/>
      <c r="B486" s="37"/>
      <c r="C486" s="37"/>
      <c r="D486" s="37"/>
      <c r="E486" s="173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 ht="15.75" customHeight="1">
      <c r="A487" s="37"/>
      <c r="B487" s="37"/>
      <c r="C487" s="37"/>
      <c r="D487" s="37"/>
      <c r="E487" s="173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 ht="15.75" customHeight="1">
      <c r="A488" s="37"/>
      <c r="B488" s="37"/>
      <c r="C488" s="37"/>
      <c r="D488" s="37"/>
      <c r="E488" s="173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 ht="15.75" customHeight="1">
      <c r="A489" s="37"/>
      <c r="B489" s="37"/>
      <c r="C489" s="37"/>
      <c r="D489" s="37"/>
      <c r="E489" s="173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 ht="15.75" customHeight="1">
      <c r="A490" s="37"/>
      <c r="B490" s="37"/>
      <c r="C490" s="37"/>
      <c r="D490" s="37"/>
      <c r="E490" s="173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 ht="15.75" customHeight="1">
      <c r="A491" s="37"/>
      <c r="B491" s="37"/>
      <c r="C491" s="37"/>
      <c r="D491" s="37"/>
      <c r="E491" s="173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 ht="15.75" customHeight="1">
      <c r="A492" s="37"/>
      <c r="B492" s="37"/>
      <c r="C492" s="37"/>
      <c r="D492" s="37"/>
      <c r="E492" s="173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 ht="15.75" customHeight="1">
      <c r="A493" s="37"/>
      <c r="B493" s="37"/>
      <c r="C493" s="37"/>
      <c r="D493" s="37"/>
      <c r="E493" s="173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 ht="15.75" customHeight="1">
      <c r="A494" s="37"/>
      <c r="B494" s="37"/>
      <c r="C494" s="37"/>
      <c r="D494" s="37"/>
      <c r="E494" s="173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 ht="15.75" customHeight="1">
      <c r="A495" s="37"/>
      <c r="B495" s="37"/>
      <c r="C495" s="37"/>
      <c r="D495" s="37"/>
      <c r="E495" s="173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 ht="15.75" customHeight="1">
      <c r="A496" s="37"/>
      <c r="B496" s="37"/>
      <c r="C496" s="37"/>
      <c r="D496" s="37"/>
      <c r="E496" s="173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 ht="15.75" customHeight="1">
      <c r="A497" s="37"/>
      <c r="B497" s="37"/>
      <c r="C497" s="37"/>
      <c r="D497" s="37"/>
      <c r="E497" s="173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 ht="15.75" customHeight="1">
      <c r="A498" s="37"/>
      <c r="B498" s="37"/>
      <c r="C498" s="37"/>
      <c r="D498" s="37"/>
      <c r="E498" s="173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 ht="15.75" customHeight="1">
      <c r="A499" s="37"/>
      <c r="B499" s="37"/>
      <c r="C499" s="37"/>
      <c r="D499" s="37"/>
      <c r="E499" s="173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 ht="15.75" customHeight="1">
      <c r="A500" s="37"/>
      <c r="B500" s="37"/>
      <c r="C500" s="37"/>
      <c r="D500" s="37"/>
      <c r="E500" s="173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 ht="15.75" customHeight="1">
      <c r="A501" s="37"/>
      <c r="B501" s="37"/>
      <c r="C501" s="37"/>
      <c r="D501" s="37"/>
      <c r="E501" s="173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 ht="15.75" customHeight="1">
      <c r="A502" s="37"/>
      <c r="B502" s="37"/>
      <c r="C502" s="37"/>
      <c r="D502" s="37"/>
      <c r="E502" s="173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 ht="15.75" customHeight="1">
      <c r="A503" s="37"/>
      <c r="B503" s="37"/>
      <c r="C503" s="37"/>
      <c r="D503" s="37"/>
      <c r="E503" s="173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 ht="15.75" customHeight="1">
      <c r="A504" s="37"/>
      <c r="B504" s="37"/>
      <c r="C504" s="37"/>
      <c r="D504" s="37"/>
      <c r="E504" s="173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 ht="15.75" customHeight="1">
      <c r="A505" s="37"/>
      <c r="B505" s="37"/>
      <c r="C505" s="37"/>
      <c r="D505" s="37"/>
      <c r="E505" s="173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 ht="15.75" customHeight="1">
      <c r="A506" s="37"/>
      <c r="B506" s="37"/>
      <c r="C506" s="37"/>
      <c r="D506" s="37"/>
      <c r="E506" s="173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 ht="15.75" customHeight="1">
      <c r="A507" s="37"/>
      <c r="B507" s="37"/>
      <c r="C507" s="37"/>
      <c r="D507" s="37"/>
      <c r="E507" s="173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 ht="15.75" customHeight="1">
      <c r="A508" s="37"/>
      <c r="B508" s="37"/>
      <c r="C508" s="37"/>
      <c r="D508" s="37"/>
      <c r="E508" s="173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 ht="15.75" customHeight="1">
      <c r="A509" s="37"/>
      <c r="B509" s="37"/>
      <c r="C509" s="37"/>
      <c r="D509" s="37"/>
      <c r="E509" s="173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 ht="15.75" customHeight="1">
      <c r="A510" s="37"/>
      <c r="B510" s="37"/>
      <c r="C510" s="37"/>
      <c r="D510" s="37"/>
      <c r="E510" s="173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 ht="15.75" customHeight="1">
      <c r="A511" s="37"/>
      <c r="B511" s="37"/>
      <c r="C511" s="37"/>
      <c r="D511" s="37"/>
      <c r="E511" s="173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 ht="15.75" customHeight="1">
      <c r="A512" s="37"/>
      <c r="B512" s="37"/>
      <c r="C512" s="37"/>
      <c r="D512" s="37"/>
      <c r="E512" s="173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 ht="15.75" customHeight="1">
      <c r="A513" s="37"/>
      <c r="B513" s="37"/>
      <c r="C513" s="37"/>
      <c r="D513" s="37"/>
      <c r="E513" s="173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 ht="15.75" customHeight="1">
      <c r="A514" s="37"/>
      <c r="B514" s="37"/>
      <c r="C514" s="37"/>
      <c r="D514" s="37"/>
      <c r="E514" s="173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 ht="15.75" customHeight="1">
      <c r="A515" s="37"/>
      <c r="B515" s="37"/>
      <c r="C515" s="37"/>
      <c r="D515" s="37"/>
      <c r="E515" s="173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 ht="15.75" customHeight="1">
      <c r="A516" s="37"/>
      <c r="B516" s="37"/>
      <c r="C516" s="37"/>
      <c r="D516" s="37"/>
      <c r="E516" s="173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 ht="15.75" customHeight="1">
      <c r="A517" s="37"/>
      <c r="B517" s="37"/>
      <c r="C517" s="37"/>
      <c r="D517" s="37"/>
      <c r="E517" s="173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 ht="15.75" customHeight="1">
      <c r="A518" s="37"/>
      <c r="B518" s="37"/>
      <c r="C518" s="37"/>
      <c r="D518" s="37"/>
      <c r="E518" s="173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 ht="15.75" customHeight="1">
      <c r="A519" s="37"/>
      <c r="B519" s="37"/>
      <c r="C519" s="37"/>
      <c r="D519" s="37"/>
      <c r="E519" s="173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 ht="15.75" customHeight="1">
      <c r="A520" s="37"/>
      <c r="B520" s="37"/>
      <c r="C520" s="37"/>
      <c r="D520" s="37"/>
      <c r="E520" s="173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 ht="15.75" customHeight="1">
      <c r="A521" s="37"/>
      <c r="B521" s="37"/>
      <c r="C521" s="37"/>
      <c r="D521" s="37"/>
      <c r="E521" s="173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 ht="15.75" customHeight="1">
      <c r="A522" s="37"/>
      <c r="B522" s="37"/>
      <c r="C522" s="37"/>
      <c r="D522" s="37"/>
      <c r="E522" s="173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 ht="15.75" customHeight="1">
      <c r="A523" s="37"/>
      <c r="B523" s="37"/>
      <c r="C523" s="37"/>
      <c r="D523" s="37"/>
      <c r="E523" s="173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 ht="15.75" customHeight="1">
      <c r="A524" s="37"/>
      <c r="B524" s="37"/>
      <c r="C524" s="37"/>
      <c r="D524" s="37"/>
      <c r="E524" s="173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 ht="15.75" customHeight="1">
      <c r="A525" s="37"/>
      <c r="B525" s="37"/>
      <c r="C525" s="37"/>
      <c r="D525" s="37"/>
      <c r="E525" s="173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 ht="15.75" customHeight="1">
      <c r="A526" s="37"/>
      <c r="B526" s="37"/>
      <c r="C526" s="37"/>
      <c r="D526" s="37"/>
      <c r="E526" s="173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 ht="15.75" customHeight="1">
      <c r="A527" s="37"/>
      <c r="B527" s="37"/>
      <c r="C527" s="37"/>
      <c r="D527" s="37"/>
      <c r="E527" s="173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 ht="15.75" customHeight="1">
      <c r="A528" s="37"/>
      <c r="B528" s="37"/>
      <c r="C528" s="37"/>
      <c r="D528" s="37"/>
      <c r="E528" s="173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 ht="15.75" customHeight="1">
      <c r="A529" s="37"/>
      <c r="B529" s="37"/>
      <c r="C529" s="37"/>
      <c r="D529" s="37"/>
      <c r="E529" s="173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 ht="15.75" customHeight="1">
      <c r="A530" s="37"/>
      <c r="B530" s="37"/>
      <c r="C530" s="37"/>
      <c r="D530" s="37"/>
      <c r="E530" s="173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 ht="15.75" customHeight="1">
      <c r="A531" s="37"/>
      <c r="B531" s="37"/>
      <c r="C531" s="37"/>
      <c r="D531" s="37"/>
      <c r="E531" s="173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15.75" customHeight="1">
      <c r="A532" s="37"/>
      <c r="B532" s="37"/>
      <c r="C532" s="37"/>
      <c r="D532" s="37"/>
      <c r="E532" s="173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 ht="15.75" customHeight="1">
      <c r="A533" s="37"/>
      <c r="B533" s="37"/>
      <c r="C533" s="37"/>
      <c r="D533" s="37"/>
      <c r="E533" s="173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 ht="15.75" customHeight="1">
      <c r="A534" s="37"/>
      <c r="B534" s="37"/>
      <c r="C534" s="37"/>
      <c r="D534" s="37"/>
      <c r="E534" s="173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 ht="15.75" customHeight="1">
      <c r="A535" s="37"/>
      <c r="B535" s="37"/>
      <c r="C535" s="37"/>
      <c r="D535" s="37"/>
      <c r="E535" s="173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 ht="15.75" customHeight="1">
      <c r="A536" s="37"/>
      <c r="B536" s="37"/>
      <c r="C536" s="37"/>
      <c r="D536" s="37"/>
      <c r="E536" s="173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 ht="15.75" customHeight="1">
      <c r="A537" s="37"/>
      <c r="B537" s="37"/>
      <c r="C537" s="37"/>
      <c r="D537" s="37"/>
      <c r="E537" s="173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 ht="15.75" customHeight="1">
      <c r="A538" s="37"/>
      <c r="B538" s="37"/>
      <c r="C538" s="37"/>
      <c r="D538" s="37"/>
      <c r="E538" s="173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 ht="15.75" customHeight="1">
      <c r="A539" s="37"/>
      <c r="B539" s="37"/>
      <c r="C539" s="37"/>
      <c r="D539" s="37"/>
      <c r="E539" s="173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 ht="15.75" customHeight="1">
      <c r="A540" s="37"/>
      <c r="B540" s="37"/>
      <c r="C540" s="37"/>
      <c r="D540" s="37"/>
      <c r="E540" s="173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 ht="15.75" customHeight="1">
      <c r="A541" s="37"/>
      <c r="B541" s="37"/>
      <c r="C541" s="37"/>
      <c r="D541" s="37"/>
      <c r="E541" s="173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 ht="15.75" customHeight="1">
      <c r="A542" s="37"/>
      <c r="B542" s="37"/>
      <c r="C542" s="37"/>
      <c r="D542" s="37"/>
      <c r="E542" s="173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 ht="15.75" customHeight="1">
      <c r="A543" s="37"/>
      <c r="B543" s="37"/>
      <c r="C543" s="37"/>
      <c r="D543" s="37"/>
      <c r="E543" s="173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 ht="15.75" customHeight="1">
      <c r="A544" s="37"/>
      <c r="B544" s="37"/>
      <c r="C544" s="37"/>
      <c r="D544" s="37"/>
      <c r="E544" s="173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 ht="15.75" customHeight="1">
      <c r="A545" s="37"/>
      <c r="B545" s="37"/>
      <c r="C545" s="37"/>
      <c r="D545" s="37"/>
      <c r="E545" s="173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 ht="15.75" customHeight="1">
      <c r="A546" s="37"/>
      <c r="B546" s="37"/>
      <c r="C546" s="37"/>
      <c r="D546" s="37"/>
      <c r="E546" s="173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 ht="15.75" customHeight="1">
      <c r="A547" s="37"/>
      <c r="B547" s="37"/>
      <c r="C547" s="37"/>
      <c r="D547" s="37"/>
      <c r="E547" s="173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 ht="15.75" customHeight="1">
      <c r="A548" s="37"/>
      <c r="B548" s="37"/>
      <c r="C548" s="37"/>
      <c r="D548" s="37"/>
      <c r="E548" s="173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 ht="15.75" customHeight="1">
      <c r="A549" s="37"/>
      <c r="B549" s="37"/>
      <c r="C549" s="37"/>
      <c r="D549" s="37"/>
      <c r="E549" s="173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 ht="15.75" customHeight="1">
      <c r="A550" s="37"/>
      <c r="B550" s="37"/>
      <c r="C550" s="37"/>
      <c r="D550" s="37"/>
      <c r="E550" s="173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 ht="15.75" customHeight="1">
      <c r="A551" s="37"/>
      <c r="B551" s="37"/>
      <c r="C551" s="37"/>
      <c r="D551" s="37"/>
      <c r="E551" s="173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 ht="15.75" customHeight="1">
      <c r="A552" s="37"/>
      <c r="B552" s="37"/>
      <c r="C552" s="37"/>
      <c r="D552" s="37"/>
      <c r="E552" s="173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 ht="15.75" customHeight="1">
      <c r="A553" s="37"/>
      <c r="B553" s="37"/>
      <c r="C553" s="37"/>
      <c r="D553" s="37"/>
      <c r="E553" s="173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 ht="15.75" customHeight="1">
      <c r="A554" s="37"/>
      <c r="B554" s="37"/>
      <c r="C554" s="37"/>
      <c r="D554" s="37"/>
      <c r="E554" s="173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 ht="15.75" customHeight="1">
      <c r="A555" s="37"/>
      <c r="B555" s="37"/>
      <c r="C555" s="37"/>
      <c r="D555" s="37"/>
      <c r="E555" s="173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 ht="15.75" customHeight="1">
      <c r="A556" s="37"/>
      <c r="B556" s="37"/>
      <c r="C556" s="37"/>
      <c r="D556" s="37"/>
      <c r="E556" s="173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 ht="15.75" customHeight="1">
      <c r="A557" s="37"/>
      <c r="B557" s="37"/>
      <c r="C557" s="37"/>
      <c r="D557" s="37"/>
      <c r="E557" s="173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 ht="15.75" customHeight="1">
      <c r="A558" s="37"/>
      <c r="B558" s="37"/>
      <c r="C558" s="37"/>
      <c r="D558" s="37"/>
      <c r="E558" s="173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 ht="15.75" customHeight="1">
      <c r="A559" s="37"/>
      <c r="B559" s="37"/>
      <c r="C559" s="37"/>
      <c r="D559" s="37"/>
      <c r="E559" s="173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 ht="15.75" customHeight="1">
      <c r="A560" s="37"/>
      <c r="B560" s="37"/>
      <c r="C560" s="37"/>
      <c r="D560" s="37"/>
      <c r="E560" s="173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 ht="15.75" customHeight="1">
      <c r="A561" s="37"/>
      <c r="B561" s="37"/>
      <c r="C561" s="37"/>
      <c r="D561" s="37"/>
      <c r="E561" s="173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 ht="15.75" customHeight="1">
      <c r="A562" s="37"/>
      <c r="B562" s="37"/>
      <c r="C562" s="37"/>
      <c r="D562" s="37"/>
      <c r="E562" s="173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 ht="15.75" customHeight="1">
      <c r="A563" s="37"/>
      <c r="B563" s="37"/>
      <c r="C563" s="37"/>
      <c r="D563" s="37"/>
      <c r="E563" s="173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 ht="15.75" customHeight="1">
      <c r="A564" s="37"/>
      <c r="B564" s="37"/>
      <c r="C564" s="37"/>
      <c r="D564" s="37"/>
      <c r="E564" s="173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 ht="15.75" customHeight="1">
      <c r="A565" s="37"/>
      <c r="B565" s="37"/>
      <c r="C565" s="37"/>
      <c r="D565" s="37"/>
      <c r="E565" s="173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 ht="15.75" customHeight="1">
      <c r="A566" s="37"/>
      <c r="B566" s="37"/>
      <c r="C566" s="37"/>
      <c r="D566" s="37"/>
      <c r="E566" s="173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15.75" customHeight="1">
      <c r="A567" s="37"/>
      <c r="B567" s="37"/>
      <c r="C567" s="37"/>
      <c r="D567" s="37"/>
      <c r="E567" s="173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 ht="15.75" customHeight="1">
      <c r="A568" s="37"/>
      <c r="B568" s="37"/>
      <c r="C568" s="37"/>
      <c r="D568" s="37"/>
      <c r="E568" s="173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 ht="15.75" customHeight="1">
      <c r="A569" s="37"/>
      <c r="B569" s="37"/>
      <c r="C569" s="37"/>
      <c r="D569" s="37"/>
      <c r="E569" s="173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 ht="15.75" customHeight="1">
      <c r="A570" s="37"/>
      <c r="B570" s="37"/>
      <c r="C570" s="37"/>
      <c r="D570" s="37"/>
      <c r="E570" s="173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 ht="15.75" customHeight="1">
      <c r="A571" s="37"/>
      <c r="B571" s="37"/>
      <c r="C571" s="37"/>
      <c r="D571" s="37"/>
      <c r="E571" s="173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 ht="15.75" customHeight="1">
      <c r="A572" s="37"/>
      <c r="B572" s="37"/>
      <c r="C572" s="37"/>
      <c r="D572" s="37"/>
      <c r="E572" s="173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 ht="15.75" customHeight="1">
      <c r="A573" s="37"/>
      <c r="B573" s="37"/>
      <c r="C573" s="37"/>
      <c r="D573" s="37"/>
      <c r="E573" s="173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 ht="15.75" customHeight="1">
      <c r="A574" s="37"/>
      <c r="B574" s="37"/>
      <c r="C574" s="37"/>
      <c r="D574" s="37"/>
      <c r="E574" s="173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 ht="15.75" customHeight="1">
      <c r="A575" s="37"/>
      <c r="B575" s="37"/>
      <c r="C575" s="37"/>
      <c r="D575" s="37"/>
      <c r="E575" s="173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 ht="15.75" customHeight="1">
      <c r="A576" s="37"/>
      <c r="B576" s="37"/>
      <c r="C576" s="37"/>
      <c r="D576" s="37"/>
      <c r="E576" s="173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 ht="15.75" customHeight="1">
      <c r="A577" s="37"/>
      <c r="B577" s="37"/>
      <c r="C577" s="37"/>
      <c r="D577" s="37"/>
      <c r="E577" s="173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 ht="15.75" customHeight="1">
      <c r="A578" s="37"/>
      <c r="B578" s="37"/>
      <c r="C578" s="37"/>
      <c r="D578" s="37"/>
      <c r="E578" s="173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 ht="15.75" customHeight="1">
      <c r="A579" s="37"/>
      <c r="B579" s="37"/>
      <c r="C579" s="37"/>
      <c r="D579" s="37"/>
      <c r="E579" s="173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 ht="15.75" customHeight="1">
      <c r="A580" s="37"/>
      <c r="B580" s="37"/>
      <c r="C580" s="37"/>
      <c r="D580" s="37"/>
      <c r="E580" s="173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 ht="15.75" customHeight="1">
      <c r="A581" s="37"/>
      <c r="B581" s="37"/>
      <c r="C581" s="37"/>
      <c r="D581" s="37"/>
      <c r="E581" s="173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 ht="15.75" customHeight="1">
      <c r="A582" s="37"/>
      <c r="B582" s="37"/>
      <c r="C582" s="37"/>
      <c r="D582" s="37"/>
      <c r="E582" s="173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 ht="15.75" customHeight="1">
      <c r="A583" s="37"/>
      <c r="B583" s="37"/>
      <c r="C583" s="37"/>
      <c r="D583" s="37"/>
      <c r="E583" s="173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 ht="15.75" customHeight="1">
      <c r="A584" s="37"/>
      <c r="B584" s="37"/>
      <c r="C584" s="37"/>
      <c r="D584" s="37"/>
      <c r="E584" s="173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 ht="15.75" customHeight="1">
      <c r="A585" s="37"/>
      <c r="B585" s="37"/>
      <c r="C585" s="37"/>
      <c r="D585" s="37"/>
      <c r="E585" s="173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 ht="15.75" customHeight="1">
      <c r="A586" s="37"/>
      <c r="B586" s="37"/>
      <c r="C586" s="37"/>
      <c r="D586" s="37"/>
      <c r="E586" s="173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 ht="15.75" customHeight="1">
      <c r="A587" s="37"/>
      <c r="B587" s="37"/>
      <c r="C587" s="37"/>
      <c r="D587" s="37"/>
      <c r="E587" s="173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 ht="15.75" customHeight="1">
      <c r="A588" s="37"/>
      <c r="B588" s="37"/>
      <c r="C588" s="37"/>
      <c r="D588" s="37"/>
      <c r="E588" s="173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 ht="15.75" customHeight="1">
      <c r="A589" s="37"/>
      <c r="B589" s="37"/>
      <c r="C589" s="37"/>
      <c r="D589" s="37"/>
      <c r="E589" s="173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15.75" customHeight="1">
      <c r="A590" s="37"/>
      <c r="B590" s="37"/>
      <c r="C590" s="37"/>
      <c r="D590" s="37"/>
      <c r="E590" s="173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 ht="15.75" customHeight="1">
      <c r="A591" s="37"/>
      <c r="B591" s="37"/>
      <c r="C591" s="37"/>
      <c r="D591" s="37"/>
      <c r="E591" s="173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 ht="15.75" customHeight="1">
      <c r="A592" s="37"/>
      <c r="B592" s="37"/>
      <c r="C592" s="37"/>
      <c r="D592" s="37"/>
      <c r="E592" s="173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 ht="15.75" customHeight="1">
      <c r="A593" s="37"/>
      <c r="B593" s="37"/>
      <c r="C593" s="37"/>
      <c r="D593" s="37"/>
      <c r="E593" s="173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 ht="15.75" customHeight="1">
      <c r="A594" s="37"/>
      <c r="B594" s="37"/>
      <c r="C594" s="37"/>
      <c r="D594" s="37"/>
      <c r="E594" s="173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 ht="15.75" customHeight="1">
      <c r="A595" s="37"/>
      <c r="B595" s="37"/>
      <c r="C595" s="37"/>
      <c r="D595" s="37"/>
      <c r="E595" s="173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 ht="15.75" customHeight="1">
      <c r="A596" s="37"/>
      <c r="B596" s="37"/>
      <c r="C596" s="37"/>
      <c r="D596" s="37"/>
      <c r="E596" s="173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 ht="15.75" customHeight="1">
      <c r="A597" s="37"/>
      <c r="B597" s="37"/>
      <c r="C597" s="37"/>
      <c r="D597" s="37"/>
      <c r="E597" s="173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 ht="15.75" customHeight="1">
      <c r="A598" s="37"/>
      <c r="B598" s="37"/>
      <c r="C598" s="37"/>
      <c r="D598" s="37"/>
      <c r="E598" s="173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 ht="15.75" customHeight="1">
      <c r="A599" s="37"/>
      <c r="B599" s="37"/>
      <c r="C599" s="37"/>
      <c r="D599" s="37"/>
      <c r="E599" s="173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 ht="15.75" customHeight="1">
      <c r="A600" s="37"/>
      <c r="B600" s="37"/>
      <c r="C600" s="37"/>
      <c r="D600" s="37"/>
      <c r="E600" s="173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 ht="15.75" customHeight="1">
      <c r="A601" s="37"/>
      <c r="B601" s="37"/>
      <c r="C601" s="37"/>
      <c r="D601" s="37"/>
      <c r="E601" s="173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 ht="15.75" customHeight="1">
      <c r="A602" s="37"/>
      <c r="B602" s="37"/>
      <c r="C602" s="37"/>
      <c r="D602" s="37"/>
      <c r="E602" s="173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 ht="15.75" customHeight="1">
      <c r="A603" s="37"/>
      <c r="B603" s="37"/>
      <c r="C603" s="37"/>
      <c r="D603" s="37"/>
      <c r="E603" s="173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 ht="15.75" customHeight="1">
      <c r="A604" s="37"/>
      <c r="B604" s="37"/>
      <c r="C604" s="37"/>
      <c r="D604" s="37"/>
      <c r="E604" s="173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 ht="15.75" customHeight="1">
      <c r="A605" s="37"/>
      <c r="B605" s="37"/>
      <c r="C605" s="37"/>
      <c r="D605" s="37"/>
      <c r="E605" s="173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 ht="15.75" customHeight="1">
      <c r="A606" s="37"/>
      <c r="B606" s="37"/>
      <c r="C606" s="37"/>
      <c r="D606" s="37"/>
      <c r="E606" s="173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 ht="15.75" customHeight="1">
      <c r="A607" s="37"/>
      <c r="B607" s="37"/>
      <c r="C607" s="37"/>
      <c r="D607" s="37"/>
      <c r="E607" s="173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 ht="15.75" customHeight="1">
      <c r="A608" s="37"/>
      <c r="B608" s="37"/>
      <c r="C608" s="37"/>
      <c r="D608" s="37"/>
      <c r="E608" s="173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 ht="15.75" customHeight="1">
      <c r="A609" s="37"/>
      <c r="B609" s="37"/>
      <c r="C609" s="37"/>
      <c r="D609" s="37"/>
      <c r="E609" s="173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 ht="15.75" customHeight="1">
      <c r="A610" s="37"/>
      <c r="B610" s="37"/>
      <c r="C610" s="37"/>
      <c r="D610" s="37"/>
      <c r="E610" s="173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 ht="15.75" customHeight="1">
      <c r="A611" s="37"/>
      <c r="B611" s="37"/>
      <c r="C611" s="37"/>
      <c r="D611" s="37"/>
      <c r="E611" s="173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 ht="15.75" customHeight="1">
      <c r="A612" s="37"/>
      <c r="B612" s="37"/>
      <c r="C612" s="37"/>
      <c r="D612" s="37"/>
      <c r="E612" s="173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 ht="15.75" customHeight="1">
      <c r="A613" s="37"/>
      <c r="B613" s="37"/>
      <c r="C613" s="37"/>
      <c r="D613" s="37"/>
      <c r="E613" s="173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 ht="15.75" customHeight="1">
      <c r="A614" s="37"/>
      <c r="B614" s="37"/>
      <c r="C614" s="37"/>
      <c r="D614" s="37"/>
      <c r="E614" s="173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 ht="15.75" customHeight="1">
      <c r="A615" s="37"/>
      <c r="B615" s="37"/>
      <c r="C615" s="37"/>
      <c r="D615" s="37"/>
      <c r="E615" s="173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 ht="15.75" customHeight="1">
      <c r="A616" s="37"/>
      <c r="B616" s="37"/>
      <c r="C616" s="37"/>
      <c r="D616" s="37"/>
      <c r="E616" s="173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 ht="15.75" customHeight="1">
      <c r="A617" s="37"/>
      <c r="B617" s="37"/>
      <c r="C617" s="37"/>
      <c r="D617" s="37"/>
      <c r="E617" s="173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 ht="15.75" customHeight="1">
      <c r="A618" s="37"/>
      <c r="B618" s="37"/>
      <c r="C618" s="37"/>
      <c r="D618" s="37"/>
      <c r="E618" s="173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 ht="15.75" customHeight="1">
      <c r="A619" s="37"/>
      <c r="B619" s="37"/>
      <c r="C619" s="37"/>
      <c r="D619" s="37"/>
      <c r="E619" s="173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 ht="15.75" customHeight="1">
      <c r="A620" s="37"/>
      <c r="B620" s="37"/>
      <c r="C620" s="37"/>
      <c r="D620" s="37"/>
      <c r="E620" s="173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 ht="15.75" customHeight="1">
      <c r="A621" s="37"/>
      <c r="B621" s="37"/>
      <c r="C621" s="37"/>
      <c r="D621" s="37"/>
      <c r="E621" s="173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 ht="15.75" customHeight="1">
      <c r="A622" s="37"/>
      <c r="B622" s="37"/>
      <c r="C622" s="37"/>
      <c r="D622" s="37"/>
      <c r="E622" s="173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 ht="15.75" customHeight="1">
      <c r="A623" s="37"/>
      <c r="B623" s="37"/>
      <c r="C623" s="37"/>
      <c r="D623" s="37"/>
      <c r="E623" s="173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 ht="15.75" customHeight="1">
      <c r="A624" s="37"/>
      <c r="B624" s="37"/>
      <c r="C624" s="37"/>
      <c r="D624" s="37"/>
      <c r="E624" s="173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 ht="15.75" customHeight="1">
      <c r="A625" s="37"/>
      <c r="B625" s="37"/>
      <c r="C625" s="37"/>
      <c r="D625" s="37"/>
      <c r="E625" s="173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 ht="15.75" customHeight="1">
      <c r="A626" s="37"/>
      <c r="B626" s="37"/>
      <c r="C626" s="37"/>
      <c r="D626" s="37"/>
      <c r="E626" s="173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 ht="15.75" customHeight="1">
      <c r="A627" s="37"/>
      <c r="B627" s="37"/>
      <c r="C627" s="37"/>
      <c r="D627" s="37"/>
      <c r="E627" s="173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 ht="15.75" customHeight="1">
      <c r="A628" s="37"/>
      <c r="B628" s="37"/>
      <c r="C628" s="37"/>
      <c r="D628" s="37"/>
      <c r="E628" s="173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 ht="15.75" customHeight="1">
      <c r="A629" s="37"/>
      <c r="B629" s="37"/>
      <c r="C629" s="37"/>
      <c r="D629" s="37"/>
      <c r="E629" s="173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 ht="15.75" customHeight="1">
      <c r="A630" s="37"/>
      <c r="B630" s="37"/>
      <c r="C630" s="37"/>
      <c r="D630" s="37"/>
      <c r="E630" s="173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 ht="15.75" customHeight="1">
      <c r="A631" s="37"/>
      <c r="B631" s="37"/>
      <c r="C631" s="37"/>
      <c r="D631" s="37"/>
      <c r="E631" s="173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 ht="15.75" customHeight="1">
      <c r="A632" s="37"/>
      <c r="B632" s="37"/>
      <c r="C632" s="37"/>
      <c r="D632" s="37"/>
      <c r="E632" s="173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 ht="15.75" customHeight="1">
      <c r="A633" s="37"/>
      <c r="B633" s="37"/>
      <c r="C633" s="37"/>
      <c r="D633" s="37"/>
      <c r="E633" s="173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 ht="15.75" customHeight="1">
      <c r="A634" s="37"/>
      <c r="B634" s="37"/>
      <c r="C634" s="37"/>
      <c r="D634" s="37"/>
      <c r="E634" s="173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 ht="15.75" customHeight="1">
      <c r="A635" s="37"/>
      <c r="B635" s="37"/>
      <c r="C635" s="37"/>
      <c r="D635" s="37"/>
      <c r="E635" s="173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 ht="15.75" customHeight="1">
      <c r="A636" s="37"/>
      <c r="B636" s="37"/>
      <c r="C636" s="37"/>
      <c r="D636" s="37"/>
      <c r="E636" s="173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 ht="15.75" customHeight="1">
      <c r="A637" s="37"/>
      <c r="B637" s="37"/>
      <c r="C637" s="37"/>
      <c r="D637" s="37"/>
      <c r="E637" s="173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 ht="15.75" customHeight="1">
      <c r="A638" s="37"/>
      <c r="B638" s="37"/>
      <c r="C638" s="37"/>
      <c r="D638" s="37"/>
      <c r="E638" s="173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 ht="15.75" customHeight="1">
      <c r="A639" s="37"/>
      <c r="B639" s="37"/>
      <c r="C639" s="37"/>
      <c r="D639" s="37"/>
      <c r="E639" s="173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 ht="15.75" customHeight="1">
      <c r="A640" s="37"/>
      <c r="B640" s="37"/>
      <c r="C640" s="37"/>
      <c r="D640" s="37"/>
      <c r="E640" s="173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 ht="15.75" customHeight="1">
      <c r="A641" s="37"/>
      <c r="B641" s="37"/>
      <c r="C641" s="37"/>
      <c r="D641" s="37"/>
      <c r="E641" s="173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 ht="15.75" customHeight="1">
      <c r="A642" s="37"/>
      <c r="B642" s="37"/>
      <c r="C642" s="37"/>
      <c r="D642" s="37"/>
      <c r="E642" s="173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 ht="15.75" customHeight="1">
      <c r="A643" s="37"/>
      <c r="B643" s="37"/>
      <c r="C643" s="37"/>
      <c r="D643" s="37"/>
      <c r="E643" s="173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 ht="15.75" customHeight="1">
      <c r="A644" s="37"/>
      <c r="B644" s="37"/>
      <c r="C644" s="37"/>
      <c r="D644" s="37"/>
      <c r="E644" s="173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 ht="15.75" customHeight="1">
      <c r="A645" s="37"/>
      <c r="B645" s="37"/>
      <c r="C645" s="37"/>
      <c r="D645" s="37"/>
      <c r="E645" s="173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 ht="15.75" customHeight="1">
      <c r="A646" s="37"/>
      <c r="B646" s="37"/>
      <c r="C646" s="37"/>
      <c r="D646" s="37"/>
      <c r="E646" s="173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 ht="15.75" customHeight="1">
      <c r="A647" s="37"/>
      <c r="B647" s="37"/>
      <c r="C647" s="37"/>
      <c r="D647" s="37"/>
      <c r="E647" s="173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15.75" customHeight="1">
      <c r="A648" s="37"/>
      <c r="B648" s="37"/>
      <c r="C648" s="37"/>
      <c r="D648" s="37"/>
      <c r="E648" s="173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 ht="15.75" customHeight="1">
      <c r="A649" s="37"/>
      <c r="B649" s="37"/>
      <c r="C649" s="37"/>
      <c r="D649" s="37"/>
      <c r="E649" s="173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 ht="15.75" customHeight="1">
      <c r="A650" s="37"/>
      <c r="B650" s="37"/>
      <c r="C650" s="37"/>
      <c r="D650" s="37"/>
      <c r="E650" s="173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 ht="15.75" customHeight="1">
      <c r="A651" s="37"/>
      <c r="B651" s="37"/>
      <c r="C651" s="37"/>
      <c r="D651" s="37"/>
      <c r="E651" s="173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 ht="15.75" customHeight="1">
      <c r="A652" s="37"/>
      <c r="B652" s="37"/>
      <c r="C652" s="37"/>
      <c r="D652" s="37"/>
      <c r="E652" s="173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 ht="15.75" customHeight="1">
      <c r="A653" s="37"/>
      <c r="B653" s="37"/>
      <c r="C653" s="37"/>
      <c r="D653" s="37"/>
      <c r="E653" s="173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 ht="15.75" customHeight="1">
      <c r="A654" s="37"/>
      <c r="B654" s="37"/>
      <c r="C654" s="37"/>
      <c r="D654" s="37"/>
      <c r="E654" s="173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 ht="15.75" customHeight="1">
      <c r="A655" s="37"/>
      <c r="B655" s="37"/>
      <c r="C655" s="37"/>
      <c r="D655" s="37"/>
      <c r="E655" s="173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 ht="15.75" customHeight="1">
      <c r="A656" s="37"/>
      <c r="B656" s="37"/>
      <c r="C656" s="37"/>
      <c r="D656" s="37"/>
      <c r="E656" s="173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 ht="15.75" customHeight="1">
      <c r="A657" s="37"/>
      <c r="B657" s="37"/>
      <c r="C657" s="37"/>
      <c r="D657" s="37"/>
      <c r="E657" s="173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 ht="15.75" customHeight="1">
      <c r="A658" s="37"/>
      <c r="B658" s="37"/>
      <c r="C658" s="37"/>
      <c r="D658" s="37"/>
      <c r="E658" s="173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 ht="15.75" customHeight="1">
      <c r="A659" s="37"/>
      <c r="B659" s="37"/>
      <c r="C659" s="37"/>
      <c r="D659" s="37"/>
      <c r="E659" s="173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 ht="15.75" customHeight="1">
      <c r="A660" s="37"/>
      <c r="B660" s="37"/>
      <c r="C660" s="37"/>
      <c r="D660" s="37"/>
      <c r="E660" s="173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 ht="15.75" customHeight="1">
      <c r="A661" s="37"/>
      <c r="B661" s="37"/>
      <c r="C661" s="37"/>
      <c r="D661" s="37"/>
      <c r="E661" s="173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 ht="15.75" customHeight="1">
      <c r="A662" s="37"/>
      <c r="B662" s="37"/>
      <c r="C662" s="37"/>
      <c r="D662" s="37"/>
      <c r="E662" s="173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 ht="15.75" customHeight="1">
      <c r="A663" s="37"/>
      <c r="B663" s="37"/>
      <c r="C663" s="37"/>
      <c r="D663" s="37"/>
      <c r="E663" s="173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 ht="15.75" customHeight="1">
      <c r="A664" s="37"/>
      <c r="B664" s="37"/>
      <c r="C664" s="37"/>
      <c r="D664" s="37"/>
      <c r="E664" s="173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 ht="15.75" customHeight="1">
      <c r="A665" s="37"/>
      <c r="B665" s="37"/>
      <c r="C665" s="37"/>
      <c r="D665" s="37"/>
      <c r="E665" s="173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 ht="15.75" customHeight="1">
      <c r="A666" s="37"/>
      <c r="B666" s="37"/>
      <c r="C666" s="37"/>
      <c r="D666" s="37"/>
      <c r="E666" s="173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 ht="15.75" customHeight="1">
      <c r="A667" s="37"/>
      <c r="B667" s="37"/>
      <c r="C667" s="37"/>
      <c r="D667" s="37"/>
      <c r="E667" s="173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 ht="15.75" customHeight="1">
      <c r="A668" s="37"/>
      <c r="B668" s="37"/>
      <c r="C668" s="37"/>
      <c r="D668" s="37"/>
      <c r="E668" s="173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 ht="15.75" customHeight="1">
      <c r="A669" s="37"/>
      <c r="B669" s="37"/>
      <c r="C669" s="37"/>
      <c r="D669" s="37"/>
      <c r="E669" s="173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 ht="15.75" customHeight="1">
      <c r="A670" s="37"/>
      <c r="B670" s="37"/>
      <c r="C670" s="37"/>
      <c r="D670" s="37"/>
      <c r="E670" s="173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 ht="15.75" customHeight="1">
      <c r="A671" s="37"/>
      <c r="B671" s="37"/>
      <c r="C671" s="37"/>
      <c r="D671" s="37"/>
      <c r="E671" s="173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 ht="15.75" customHeight="1">
      <c r="A672" s="37"/>
      <c r="B672" s="37"/>
      <c r="C672" s="37"/>
      <c r="D672" s="37"/>
      <c r="E672" s="173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 ht="15.75" customHeight="1">
      <c r="A673" s="37"/>
      <c r="B673" s="37"/>
      <c r="C673" s="37"/>
      <c r="D673" s="37"/>
      <c r="E673" s="173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 ht="15.75" customHeight="1">
      <c r="A674" s="37"/>
      <c r="B674" s="37"/>
      <c r="C674" s="37"/>
      <c r="D674" s="37"/>
      <c r="E674" s="173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 ht="15.75" customHeight="1">
      <c r="A675" s="37"/>
      <c r="B675" s="37"/>
      <c r="C675" s="37"/>
      <c r="D675" s="37"/>
      <c r="E675" s="173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 ht="15.75" customHeight="1">
      <c r="A676" s="37"/>
      <c r="B676" s="37"/>
      <c r="C676" s="37"/>
      <c r="D676" s="37"/>
      <c r="E676" s="173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 ht="15.75" customHeight="1">
      <c r="A677" s="37"/>
      <c r="B677" s="37"/>
      <c r="C677" s="37"/>
      <c r="D677" s="37"/>
      <c r="E677" s="173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 ht="15.75" customHeight="1">
      <c r="A678" s="37"/>
      <c r="B678" s="37"/>
      <c r="C678" s="37"/>
      <c r="D678" s="37"/>
      <c r="E678" s="173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 ht="15.75" customHeight="1">
      <c r="A679" s="37"/>
      <c r="B679" s="37"/>
      <c r="C679" s="37"/>
      <c r="D679" s="37"/>
      <c r="E679" s="173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 ht="15.75" customHeight="1">
      <c r="A680" s="37"/>
      <c r="B680" s="37"/>
      <c r="C680" s="37"/>
      <c r="D680" s="37"/>
      <c r="E680" s="173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 ht="15.75" customHeight="1">
      <c r="A681" s="37"/>
      <c r="B681" s="37"/>
      <c r="C681" s="37"/>
      <c r="D681" s="37"/>
      <c r="E681" s="173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 ht="15.75" customHeight="1">
      <c r="A682" s="37"/>
      <c r="B682" s="37"/>
      <c r="C682" s="37"/>
      <c r="D682" s="37"/>
      <c r="E682" s="173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 ht="15.75" customHeight="1">
      <c r="A683" s="37"/>
      <c r="B683" s="37"/>
      <c r="C683" s="37"/>
      <c r="D683" s="37"/>
      <c r="E683" s="173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 ht="15.75" customHeight="1">
      <c r="A684" s="37"/>
      <c r="B684" s="37"/>
      <c r="C684" s="37"/>
      <c r="D684" s="37"/>
      <c r="E684" s="173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 ht="15.75" customHeight="1">
      <c r="A685" s="37"/>
      <c r="B685" s="37"/>
      <c r="C685" s="37"/>
      <c r="D685" s="37"/>
      <c r="E685" s="173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 ht="15.75" customHeight="1">
      <c r="A686" s="37"/>
      <c r="B686" s="37"/>
      <c r="C686" s="37"/>
      <c r="D686" s="37"/>
      <c r="E686" s="173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 ht="15.75" customHeight="1">
      <c r="A687" s="37"/>
      <c r="B687" s="37"/>
      <c r="C687" s="37"/>
      <c r="D687" s="37"/>
      <c r="E687" s="173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 ht="15.75" customHeight="1">
      <c r="A688" s="37"/>
      <c r="B688" s="37"/>
      <c r="C688" s="37"/>
      <c r="D688" s="37"/>
      <c r="E688" s="173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 ht="15.75" customHeight="1">
      <c r="A689" s="37"/>
      <c r="B689" s="37"/>
      <c r="C689" s="37"/>
      <c r="D689" s="37"/>
      <c r="E689" s="173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 ht="15.75" customHeight="1">
      <c r="A690" s="37"/>
      <c r="B690" s="37"/>
      <c r="C690" s="37"/>
      <c r="D690" s="37"/>
      <c r="E690" s="173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 ht="15.75" customHeight="1">
      <c r="A691" s="37"/>
      <c r="B691" s="37"/>
      <c r="C691" s="37"/>
      <c r="D691" s="37"/>
      <c r="E691" s="173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 ht="15.75" customHeight="1">
      <c r="A692" s="37"/>
      <c r="B692" s="37"/>
      <c r="C692" s="37"/>
      <c r="D692" s="37"/>
      <c r="E692" s="173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 ht="15.75" customHeight="1">
      <c r="A693" s="37"/>
      <c r="B693" s="37"/>
      <c r="C693" s="37"/>
      <c r="D693" s="37"/>
      <c r="E693" s="173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 ht="15.75" customHeight="1">
      <c r="A694" s="37"/>
      <c r="B694" s="37"/>
      <c r="C694" s="37"/>
      <c r="D694" s="37"/>
      <c r="E694" s="173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 ht="15.75" customHeight="1">
      <c r="A695" s="37"/>
      <c r="B695" s="37"/>
      <c r="C695" s="37"/>
      <c r="D695" s="37"/>
      <c r="E695" s="173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 ht="15.75" customHeight="1">
      <c r="A696" s="37"/>
      <c r="B696" s="37"/>
      <c r="C696" s="37"/>
      <c r="D696" s="37"/>
      <c r="E696" s="173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 ht="15.75" customHeight="1">
      <c r="A697" s="37"/>
      <c r="B697" s="37"/>
      <c r="C697" s="37"/>
      <c r="D697" s="37"/>
      <c r="E697" s="173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 ht="15.75" customHeight="1">
      <c r="A698" s="37"/>
      <c r="B698" s="37"/>
      <c r="C698" s="37"/>
      <c r="D698" s="37"/>
      <c r="E698" s="173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 ht="15.75" customHeight="1">
      <c r="A699" s="37"/>
      <c r="B699" s="37"/>
      <c r="C699" s="37"/>
      <c r="D699" s="37"/>
      <c r="E699" s="173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 ht="15.75" customHeight="1">
      <c r="A700" s="37"/>
      <c r="B700" s="37"/>
      <c r="C700" s="37"/>
      <c r="D700" s="37"/>
      <c r="E700" s="173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 ht="15.75" customHeight="1">
      <c r="A701" s="37"/>
      <c r="B701" s="37"/>
      <c r="C701" s="37"/>
      <c r="D701" s="37"/>
      <c r="E701" s="173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 ht="15.75" customHeight="1">
      <c r="A702" s="37"/>
      <c r="B702" s="37"/>
      <c r="C702" s="37"/>
      <c r="D702" s="37"/>
      <c r="E702" s="173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 ht="15.75" customHeight="1">
      <c r="A703" s="37"/>
      <c r="B703" s="37"/>
      <c r="C703" s="37"/>
      <c r="D703" s="37"/>
      <c r="E703" s="173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 ht="15.75" customHeight="1">
      <c r="A704" s="37"/>
      <c r="B704" s="37"/>
      <c r="C704" s="37"/>
      <c r="D704" s="37"/>
      <c r="E704" s="173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 ht="15.75" customHeight="1">
      <c r="A705" s="37"/>
      <c r="B705" s="37"/>
      <c r="C705" s="37"/>
      <c r="D705" s="37"/>
      <c r="E705" s="173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15.75" customHeight="1">
      <c r="A706" s="37"/>
      <c r="B706" s="37"/>
      <c r="C706" s="37"/>
      <c r="D706" s="37"/>
      <c r="E706" s="173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 ht="15.75" customHeight="1">
      <c r="A707" s="37"/>
      <c r="B707" s="37"/>
      <c r="C707" s="37"/>
      <c r="D707" s="37"/>
      <c r="E707" s="173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 ht="15.75" customHeight="1">
      <c r="A708" s="37"/>
      <c r="B708" s="37"/>
      <c r="C708" s="37"/>
      <c r="D708" s="37"/>
      <c r="E708" s="173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 ht="15.75" customHeight="1">
      <c r="A709" s="37"/>
      <c r="B709" s="37"/>
      <c r="C709" s="37"/>
      <c r="D709" s="37"/>
      <c r="E709" s="173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 ht="15.75" customHeight="1">
      <c r="A710" s="37"/>
      <c r="B710" s="37"/>
      <c r="C710" s="37"/>
      <c r="D710" s="37"/>
      <c r="E710" s="173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 ht="15.75" customHeight="1">
      <c r="A711" s="37"/>
      <c r="B711" s="37"/>
      <c r="C711" s="37"/>
      <c r="D711" s="37"/>
      <c r="E711" s="173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 ht="15.75" customHeight="1">
      <c r="A712" s="37"/>
      <c r="B712" s="37"/>
      <c r="C712" s="37"/>
      <c r="D712" s="37"/>
      <c r="E712" s="173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 ht="15.75" customHeight="1">
      <c r="A713" s="37"/>
      <c r="B713" s="37"/>
      <c r="C713" s="37"/>
      <c r="D713" s="37"/>
      <c r="E713" s="173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 ht="15.75" customHeight="1">
      <c r="A714" s="37"/>
      <c r="B714" s="37"/>
      <c r="C714" s="37"/>
      <c r="D714" s="37"/>
      <c r="E714" s="173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 ht="15.75" customHeight="1">
      <c r="A715" s="37"/>
      <c r="B715" s="37"/>
      <c r="C715" s="37"/>
      <c r="D715" s="37"/>
      <c r="E715" s="173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 ht="15.75" customHeight="1">
      <c r="A716" s="37"/>
      <c r="B716" s="37"/>
      <c r="C716" s="37"/>
      <c r="D716" s="37"/>
      <c r="E716" s="173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 ht="15.75" customHeight="1">
      <c r="A717" s="37"/>
      <c r="B717" s="37"/>
      <c r="C717" s="37"/>
      <c r="D717" s="37"/>
      <c r="E717" s="173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 ht="15.75" customHeight="1">
      <c r="A718" s="37"/>
      <c r="B718" s="37"/>
      <c r="C718" s="37"/>
      <c r="D718" s="37"/>
      <c r="E718" s="173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 ht="15.75" customHeight="1">
      <c r="A719" s="37"/>
      <c r="B719" s="37"/>
      <c r="C719" s="37"/>
      <c r="D719" s="37"/>
      <c r="E719" s="173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 ht="15.75" customHeight="1">
      <c r="A720" s="37"/>
      <c r="B720" s="37"/>
      <c r="C720" s="37"/>
      <c r="D720" s="37"/>
      <c r="E720" s="173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 ht="15.75" customHeight="1">
      <c r="A721" s="37"/>
      <c r="B721" s="37"/>
      <c r="C721" s="37"/>
      <c r="D721" s="37"/>
      <c r="E721" s="173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 ht="15.75" customHeight="1">
      <c r="A722" s="37"/>
      <c r="B722" s="37"/>
      <c r="C722" s="37"/>
      <c r="D722" s="37"/>
      <c r="E722" s="173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 ht="15.75" customHeight="1">
      <c r="A723" s="37"/>
      <c r="B723" s="37"/>
      <c r="C723" s="37"/>
      <c r="D723" s="37"/>
      <c r="E723" s="173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 ht="15.75" customHeight="1">
      <c r="A724" s="37"/>
      <c r="B724" s="37"/>
      <c r="C724" s="37"/>
      <c r="D724" s="37"/>
      <c r="E724" s="173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 ht="15.75" customHeight="1">
      <c r="A725" s="37"/>
      <c r="B725" s="37"/>
      <c r="C725" s="37"/>
      <c r="D725" s="37"/>
      <c r="E725" s="173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 ht="15.75" customHeight="1">
      <c r="A726" s="37"/>
      <c r="B726" s="37"/>
      <c r="C726" s="37"/>
      <c r="D726" s="37"/>
      <c r="E726" s="173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 ht="15.75" customHeight="1">
      <c r="A727" s="37"/>
      <c r="B727" s="37"/>
      <c r="C727" s="37"/>
      <c r="D727" s="37"/>
      <c r="E727" s="173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 ht="15.75" customHeight="1">
      <c r="A728" s="37"/>
      <c r="B728" s="37"/>
      <c r="C728" s="37"/>
      <c r="D728" s="37"/>
      <c r="E728" s="173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 ht="15.75" customHeight="1">
      <c r="A729" s="37"/>
      <c r="B729" s="37"/>
      <c r="C729" s="37"/>
      <c r="D729" s="37"/>
      <c r="E729" s="173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 ht="15.75" customHeight="1">
      <c r="A730" s="37"/>
      <c r="B730" s="37"/>
      <c r="C730" s="37"/>
      <c r="D730" s="37"/>
      <c r="E730" s="173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 ht="15.75" customHeight="1">
      <c r="A731" s="37"/>
      <c r="B731" s="37"/>
      <c r="C731" s="37"/>
      <c r="D731" s="37"/>
      <c r="E731" s="173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 ht="15.75" customHeight="1">
      <c r="A732" s="37"/>
      <c r="B732" s="37"/>
      <c r="C732" s="37"/>
      <c r="D732" s="37"/>
      <c r="E732" s="173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 ht="15.75" customHeight="1">
      <c r="A733" s="37"/>
      <c r="B733" s="37"/>
      <c r="C733" s="37"/>
      <c r="D733" s="37"/>
      <c r="E733" s="173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 ht="15.75" customHeight="1">
      <c r="A734" s="37"/>
      <c r="B734" s="37"/>
      <c r="C734" s="37"/>
      <c r="D734" s="37"/>
      <c r="E734" s="173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 ht="15.75" customHeight="1">
      <c r="A735" s="37"/>
      <c r="B735" s="37"/>
      <c r="C735" s="37"/>
      <c r="D735" s="37"/>
      <c r="E735" s="173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 ht="15.75" customHeight="1">
      <c r="A736" s="37"/>
      <c r="B736" s="37"/>
      <c r="C736" s="37"/>
      <c r="D736" s="37"/>
      <c r="E736" s="173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 ht="15.75" customHeight="1">
      <c r="A737" s="37"/>
      <c r="B737" s="37"/>
      <c r="C737" s="37"/>
      <c r="D737" s="37"/>
      <c r="E737" s="173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 ht="15.75" customHeight="1">
      <c r="A738" s="37"/>
      <c r="B738" s="37"/>
      <c r="C738" s="37"/>
      <c r="D738" s="37"/>
      <c r="E738" s="173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 ht="15.75" customHeight="1">
      <c r="A739" s="37"/>
      <c r="B739" s="37"/>
      <c r="C739" s="37"/>
      <c r="D739" s="37"/>
      <c r="E739" s="173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 ht="15.75" customHeight="1">
      <c r="A740" s="37"/>
      <c r="B740" s="37"/>
      <c r="C740" s="37"/>
      <c r="D740" s="37"/>
      <c r="E740" s="173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 ht="15.75" customHeight="1">
      <c r="A741" s="37"/>
      <c r="B741" s="37"/>
      <c r="C741" s="37"/>
      <c r="D741" s="37"/>
      <c r="E741" s="173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 ht="15.75" customHeight="1">
      <c r="A742" s="37"/>
      <c r="B742" s="37"/>
      <c r="C742" s="37"/>
      <c r="D742" s="37"/>
      <c r="E742" s="173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 ht="15.75" customHeight="1">
      <c r="A743" s="37"/>
      <c r="B743" s="37"/>
      <c r="C743" s="37"/>
      <c r="D743" s="37"/>
      <c r="E743" s="173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 ht="15.75" customHeight="1">
      <c r="A744" s="37"/>
      <c r="B744" s="37"/>
      <c r="C744" s="37"/>
      <c r="D744" s="37"/>
      <c r="E744" s="173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 ht="15.75" customHeight="1">
      <c r="A745" s="37"/>
      <c r="B745" s="37"/>
      <c r="C745" s="37"/>
      <c r="D745" s="37"/>
      <c r="E745" s="173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 ht="15.75" customHeight="1">
      <c r="A746" s="37"/>
      <c r="B746" s="37"/>
      <c r="C746" s="37"/>
      <c r="D746" s="37"/>
      <c r="E746" s="173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 ht="15.75" customHeight="1">
      <c r="A747" s="37"/>
      <c r="B747" s="37"/>
      <c r="C747" s="37"/>
      <c r="D747" s="37"/>
      <c r="E747" s="173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 ht="15.75" customHeight="1">
      <c r="A748" s="37"/>
      <c r="B748" s="37"/>
      <c r="C748" s="37"/>
      <c r="D748" s="37"/>
      <c r="E748" s="173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 ht="15.75" customHeight="1">
      <c r="A749" s="37"/>
      <c r="B749" s="37"/>
      <c r="C749" s="37"/>
      <c r="D749" s="37"/>
      <c r="E749" s="173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 ht="15.75" customHeight="1">
      <c r="A750" s="37"/>
      <c r="B750" s="37"/>
      <c r="C750" s="37"/>
      <c r="D750" s="37"/>
      <c r="E750" s="173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 ht="15.75" customHeight="1">
      <c r="A751" s="37"/>
      <c r="B751" s="37"/>
      <c r="C751" s="37"/>
      <c r="D751" s="37"/>
      <c r="E751" s="173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 ht="15.75" customHeight="1">
      <c r="A752" s="37"/>
      <c r="B752" s="37"/>
      <c r="C752" s="37"/>
      <c r="D752" s="37"/>
      <c r="E752" s="173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 ht="15.75" customHeight="1">
      <c r="A753" s="37"/>
      <c r="B753" s="37"/>
      <c r="C753" s="37"/>
      <c r="D753" s="37"/>
      <c r="E753" s="173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 ht="15.75" customHeight="1">
      <c r="A754" s="37"/>
      <c r="B754" s="37"/>
      <c r="C754" s="37"/>
      <c r="D754" s="37"/>
      <c r="E754" s="173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 ht="15.75" customHeight="1">
      <c r="A755" s="37"/>
      <c r="B755" s="37"/>
      <c r="C755" s="37"/>
      <c r="D755" s="37"/>
      <c r="E755" s="173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 ht="15.75" customHeight="1">
      <c r="A756" s="37"/>
      <c r="B756" s="37"/>
      <c r="C756" s="37"/>
      <c r="D756" s="37"/>
      <c r="E756" s="173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 ht="15.75" customHeight="1">
      <c r="A757" s="37"/>
      <c r="B757" s="37"/>
      <c r="C757" s="37"/>
      <c r="D757" s="37"/>
      <c r="E757" s="173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 ht="15.75" customHeight="1">
      <c r="A758" s="37"/>
      <c r="B758" s="37"/>
      <c r="C758" s="37"/>
      <c r="D758" s="37"/>
      <c r="E758" s="173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 ht="15.75" customHeight="1">
      <c r="A759" s="37"/>
      <c r="B759" s="37"/>
      <c r="C759" s="37"/>
      <c r="D759" s="37"/>
      <c r="E759" s="173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 ht="15.75" customHeight="1">
      <c r="A760" s="37"/>
      <c r="B760" s="37"/>
      <c r="C760" s="37"/>
      <c r="D760" s="37"/>
      <c r="E760" s="173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 ht="15.75" customHeight="1">
      <c r="A761" s="37"/>
      <c r="B761" s="37"/>
      <c r="C761" s="37"/>
      <c r="D761" s="37"/>
      <c r="E761" s="173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 ht="15.75" customHeight="1">
      <c r="A762" s="37"/>
      <c r="B762" s="37"/>
      <c r="C762" s="37"/>
      <c r="D762" s="37"/>
      <c r="E762" s="173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 ht="15.75" customHeight="1">
      <c r="A763" s="37"/>
      <c r="B763" s="37"/>
      <c r="C763" s="37"/>
      <c r="D763" s="37"/>
      <c r="E763" s="173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15.75" customHeight="1">
      <c r="A764" s="37"/>
      <c r="B764" s="37"/>
      <c r="C764" s="37"/>
      <c r="D764" s="37"/>
      <c r="E764" s="173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 ht="15.75" customHeight="1">
      <c r="A765" s="37"/>
      <c r="B765" s="37"/>
      <c r="C765" s="37"/>
      <c r="D765" s="37"/>
      <c r="E765" s="173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 ht="15.75" customHeight="1">
      <c r="A766" s="37"/>
      <c r="B766" s="37"/>
      <c r="C766" s="37"/>
      <c r="D766" s="37"/>
      <c r="E766" s="173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 ht="15.75" customHeight="1">
      <c r="A767" s="37"/>
      <c r="B767" s="37"/>
      <c r="C767" s="37"/>
      <c r="D767" s="37"/>
      <c r="E767" s="173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 ht="15.75" customHeight="1">
      <c r="A768" s="37"/>
      <c r="B768" s="37"/>
      <c r="C768" s="37"/>
      <c r="D768" s="37"/>
      <c r="E768" s="173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 ht="15.75" customHeight="1">
      <c r="A769" s="37"/>
      <c r="B769" s="37"/>
      <c r="C769" s="37"/>
      <c r="D769" s="37"/>
      <c r="E769" s="173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 ht="15.75" customHeight="1">
      <c r="A770" s="37"/>
      <c r="B770" s="37"/>
      <c r="C770" s="37"/>
      <c r="D770" s="37"/>
      <c r="E770" s="173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 ht="15.75" customHeight="1">
      <c r="A771" s="37"/>
      <c r="B771" s="37"/>
      <c r="C771" s="37"/>
      <c r="D771" s="37"/>
      <c r="E771" s="173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 ht="15.75" customHeight="1">
      <c r="A772" s="37"/>
      <c r="B772" s="37"/>
      <c r="C772" s="37"/>
      <c r="D772" s="37"/>
      <c r="E772" s="173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 ht="15.75" customHeight="1">
      <c r="A773" s="37"/>
      <c r="B773" s="37"/>
      <c r="C773" s="37"/>
      <c r="D773" s="37"/>
      <c r="E773" s="173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 ht="15.75" customHeight="1">
      <c r="A774" s="37"/>
      <c r="B774" s="37"/>
      <c r="C774" s="37"/>
      <c r="D774" s="37"/>
      <c r="E774" s="173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 ht="15.75" customHeight="1">
      <c r="A775" s="37"/>
      <c r="B775" s="37"/>
      <c r="C775" s="37"/>
      <c r="D775" s="37"/>
      <c r="E775" s="173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 ht="15.75" customHeight="1">
      <c r="A776" s="37"/>
      <c r="B776" s="37"/>
      <c r="C776" s="37"/>
      <c r="D776" s="37"/>
      <c r="E776" s="173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 ht="15.75" customHeight="1">
      <c r="A777" s="37"/>
      <c r="B777" s="37"/>
      <c r="C777" s="37"/>
      <c r="D777" s="37"/>
      <c r="E777" s="173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 ht="15.75" customHeight="1">
      <c r="A778" s="37"/>
      <c r="B778" s="37"/>
      <c r="C778" s="37"/>
      <c r="D778" s="37"/>
      <c r="E778" s="173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 ht="15.75" customHeight="1">
      <c r="A779" s="37"/>
      <c r="B779" s="37"/>
      <c r="C779" s="37"/>
      <c r="D779" s="37"/>
      <c r="E779" s="173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 ht="15.75" customHeight="1">
      <c r="A780" s="37"/>
      <c r="B780" s="37"/>
      <c r="C780" s="37"/>
      <c r="D780" s="37"/>
      <c r="E780" s="173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 ht="15.75" customHeight="1">
      <c r="A781" s="37"/>
      <c r="B781" s="37"/>
      <c r="C781" s="37"/>
      <c r="D781" s="37"/>
      <c r="E781" s="173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 ht="15.75" customHeight="1">
      <c r="A782" s="37"/>
      <c r="B782" s="37"/>
      <c r="C782" s="37"/>
      <c r="D782" s="37"/>
      <c r="E782" s="173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 ht="15.75" customHeight="1">
      <c r="A783" s="37"/>
      <c r="B783" s="37"/>
      <c r="C783" s="37"/>
      <c r="D783" s="37"/>
      <c r="E783" s="173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 ht="15.75" customHeight="1">
      <c r="A784" s="37"/>
      <c r="B784" s="37"/>
      <c r="C784" s="37"/>
      <c r="D784" s="37"/>
      <c r="E784" s="173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 ht="15.75" customHeight="1">
      <c r="A785" s="37"/>
      <c r="B785" s="37"/>
      <c r="C785" s="37"/>
      <c r="D785" s="37"/>
      <c r="E785" s="173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 ht="15.75" customHeight="1">
      <c r="A786" s="37"/>
      <c r="B786" s="37"/>
      <c r="C786" s="37"/>
      <c r="D786" s="37"/>
      <c r="E786" s="173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 ht="15.75" customHeight="1">
      <c r="A787" s="37"/>
      <c r="B787" s="37"/>
      <c r="C787" s="37"/>
      <c r="D787" s="37"/>
      <c r="E787" s="173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 ht="15.75" customHeight="1">
      <c r="A788" s="37"/>
      <c r="B788" s="37"/>
      <c r="C788" s="37"/>
      <c r="D788" s="37"/>
      <c r="E788" s="173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 ht="15.75" customHeight="1">
      <c r="A789" s="37"/>
      <c r="B789" s="37"/>
      <c r="C789" s="37"/>
      <c r="D789" s="37"/>
      <c r="E789" s="173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 ht="15.75" customHeight="1">
      <c r="A790" s="37"/>
      <c r="B790" s="37"/>
      <c r="C790" s="37"/>
      <c r="D790" s="37"/>
      <c r="E790" s="173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 ht="15.75" customHeight="1">
      <c r="A791" s="37"/>
      <c r="B791" s="37"/>
      <c r="C791" s="37"/>
      <c r="D791" s="37"/>
      <c r="E791" s="173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 ht="15.75" customHeight="1">
      <c r="A792" s="37"/>
      <c r="B792" s="37"/>
      <c r="C792" s="37"/>
      <c r="D792" s="37"/>
      <c r="E792" s="173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 ht="15.75" customHeight="1">
      <c r="A793" s="37"/>
      <c r="B793" s="37"/>
      <c r="C793" s="37"/>
      <c r="D793" s="37"/>
      <c r="E793" s="173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 ht="15.75" customHeight="1">
      <c r="A794" s="37"/>
      <c r="B794" s="37"/>
      <c r="C794" s="37"/>
      <c r="D794" s="37"/>
      <c r="E794" s="173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 ht="15.75" customHeight="1">
      <c r="A795" s="37"/>
      <c r="B795" s="37"/>
      <c r="C795" s="37"/>
      <c r="D795" s="37"/>
      <c r="E795" s="173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 ht="15.75" customHeight="1">
      <c r="A796" s="37"/>
      <c r="B796" s="37"/>
      <c r="C796" s="37"/>
      <c r="D796" s="37"/>
      <c r="E796" s="173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 ht="15.75" customHeight="1">
      <c r="A797" s="37"/>
      <c r="B797" s="37"/>
      <c r="C797" s="37"/>
      <c r="D797" s="37"/>
      <c r="E797" s="173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 ht="15.75" customHeight="1">
      <c r="A798" s="37"/>
      <c r="B798" s="37"/>
      <c r="C798" s="37"/>
      <c r="D798" s="37"/>
      <c r="E798" s="173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 ht="15.75" customHeight="1">
      <c r="A799" s="37"/>
      <c r="B799" s="37"/>
      <c r="C799" s="37"/>
      <c r="D799" s="37"/>
      <c r="E799" s="173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 ht="15.75" customHeight="1">
      <c r="A800" s="37"/>
      <c r="B800" s="37"/>
      <c r="C800" s="37"/>
      <c r="D800" s="37"/>
      <c r="E800" s="173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 ht="15.75" customHeight="1">
      <c r="A801" s="37"/>
      <c r="B801" s="37"/>
      <c r="C801" s="37"/>
      <c r="D801" s="37"/>
      <c r="E801" s="173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 ht="15.75" customHeight="1">
      <c r="A802" s="37"/>
      <c r="B802" s="37"/>
      <c r="C802" s="37"/>
      <c r="D802" s="37"/>
      <c r="E802" s="173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 ht="15.75" customHeight="1">
      <c r="A803" s="37"/>
      <c r="B803" s="37"/>
      <c r="C803" s="37"/>
      <c r="D803" s="37"/>
      <c r="E803" s="173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 ht="15.75" customHeight="1">
      <c r="A804" s="37"/>
      <c r="B804" s="37"/>
      <c r="C804" s="37"/>
      <c r="D804" s="37"/>
      <c r="E804" s="173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 ht="15.75" customHeight="1">
      <c r="A805" s="37"/>
      <c r="B805" s="37"/>
      <c r="C805" s="37"/>
      <c r="D805" s="37"/>
      <c r="E805" s="173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 ht="15.75" customHeight="1">
      <c r="A806" s="37"/>
      <c r="B806" s="37"/>
      <c r="C806" s="37"/>
      <c r="D806" s="37"/>
      <c r="E806" s="173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 ht="15.75" customHeight="1">
      <c r="A807" s="37"/>
      <c r="B807" s="37"/>
      <c r="C807" s="37"/>
      <c r="D807" s="37"/>
      <c r="E807" s="173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 ht="15.75" customHeight="1">
      <c r="A808" s="37"/>
      <c r="B808" s="37"/>
      <c r="C808" s="37"/>
      <c r="D808" s="37"/>
      <c r="E808" s="173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 ht="15.75" customHeight="1">
      <c r="A809" s="37"/>
      <c r="B809" s="37"/>
      <c r="C809" s="37"/>
      <c r="D809" s="37"/>
      <c r="E809" s="173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 ht="15.75" customHeight="1">
      <c r="A810" s="37"/>
      <c r="B810" s="37"/>
      <c r="C810" s="37"/>
      <c r="D810" s="37"/>
      <c r="E810" s="173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 ht="15.75" customHeight="1">
      <c r="A811" s="37"/>
      <c r="B811" s="37"/>
      <c r="C811" s="37"/>
      <c r="D811" s="37"/>
      <c r="E811" s="173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 ht="15.75" customHeight="1">
      <c r="A812" s="37"/>
      <c r="B812" s="37"/>
      <c r="C812" s="37"/>
      <c r="D812" s="37"/>
      <c r="E812" s="173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 ht="15.75" customHeight="1">
      <c r="A813" s="37"/>
      <c r="B813" s="37"/>
      <c r="C813" s="37"/>
      <c r="D813" s="37"/>
      <c r="E813" s="173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 ht="15.75" customHeight="1">
      <c r="A814" s="37"/>
      <c r="B814" s="37"/>
      <c r="C814" s="37"/>
      <c r="D814" s="37"/>
      <c r="E814" s="173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 ht="15.75" customHeight="1">
      <c r="A815" s="37"/>
      <c r="B815" s="37"/>
      <c r="C815" s="37"/>
      <c r="D815" s="37"/>
      <c r="E815" s="173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 ht="15.75" customHeight="1">
      <c r="A816" s="37"/>
      <c r="B816" s="37"/>
      <c r="C816" s="37"/>
      <c r="D816" s="37"/>
      <c r="E816" s="173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 ht="15.75" customHeight="1">
      <c r="A817" s="37"/>
      <c r="B817" s="37"/>
      <c r="C817" s="37"/>
      <c r="D817" s="37"/>
      <c r="E817" s="173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 ht="15.75" customHeight="1">
      <c r="A818" s="37"/>
      <c r="B818" s="37"/>
      <c r="C818" s="37"/>
      <c r="D818" s="37"/>
      <c r="E818" s="173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 ht="15.75" customHeight="1">
      <c r="A819" s="37"/>
      <c r="B819" s="37"/>
      <c r="C819" s="37"/>
      <c r="D819" s="37"/>
      <c r="E819" s="173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 ht="15.75" customHeight="1">
      <c r="A820" s="37"/>
      <c r="B820" s="37"/>
      <c r="C820" s="37"/>
      <c r="D820" s="37"/>
      <c r="E820" s="173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 ht="15.75" customHeight="1">
      <c r="A821" s="37"/>
      <c r="B821" s="37"/>
      <c r="C821" s="37"/>
      <c r="D821" s="37"/>
      <c r="E821" s="173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15.75" customHeight="1">
      <c r="A822" s="37"/>
      <c r="B822" s="37"/>
      <c r="C822" s="37"/>
      <c r="D822" s="37"/>
      <c r="E822" s="173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 ht="15.75" customHeight="1">
      <c r="A823" s="37"/>
      <c r="B823" s="37"/>
      <c r="C823" s="37"/>
      <c r="D823" s="37"/>
      <c r="E823" s="173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 ht="15.75" customHeight="1">
      <c r="A824" s="37"/>
      <c r="B824" s="37"/>
      <c r="C824" s="37"/>
      <c r="D824" s="37"/>
      <c r="E824" s="173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 ht="15.75" customHeight="1">
      <c r="A825" s="37"/>
      <c r="B825" s="37"/>
      <c r="C825" s="37"/>
      <c r="D825" s="37"/>
      <c r="E825" s="173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 ht="15.75" customHeight="1">
      <c r="A826" s="37"/>
      <c r="B826" s="37"/>
      <c r="C826" s="37"/>
      <c r="D826" s="37"/>
      <c r="E826" s="173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 ht="15.75" customHeight="1">
      <c r="A827" s="37"/>
      <c r="B827" s="37"/>
      <c r="C827" s="37"/>
      <c r="D827" s="37"/>
      <c r="E827" s="173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 ht="15.75" customHeight="1">
      <c r="A828" s="37"/>
      <c r="B828" s="37"/>
      <c r="C828" s="37"/>
      <c r="D828" s="37"/>
      <c r="E828" s="173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 ht="15.75" customHeight="1">
      <c r="A829" s="37"/>
      <c r="B829" s="37"/>
      <c r="C829" s="37"/>
      <c r="D829" s="37"/>
      <c r="E829" s="173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 ht="15.75" customHeight="1">
      <c r="A830" s="37"/>
      <c r="B830" s="37"/>
      <c r="C830" s="37"/>
      <c r="D830" s="37"/>
      <c r="E830" s="173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 ht="15.75" customHeight="1">
      <c r="A831" s="37"/>
      <c r="B831" s="37"/>
      <c r="C831" s="37"/>
      <c r="D831" s="37"/>
      <c r="E831" s="173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 ht="15.75" customHeight="1">
      <c r="A832" s="37"/>
      <c r="B832" s="37"/>
      <c r="C832" s="37"/>
      <c r="D832" s="37"/>
      <c r="E832" s="173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 ht="15.75" customHeight="1">
      <c r="A833" s="37"/>
      <c r="B833" s="37"/>
      <c r="C833" s="37"/>
      <c r="D833" s="37"/>
      <c r="E833" s="173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 ht="15.75" customHeight="1">
      <c r="A834" s="37"/>
      <c r="B834" s="37"/>
      <c r="C834" s="37"/>
      <c r="D834" s="37"/>
      <c r="E834" s="173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 ht="15.75" customHeight="1">
      <c r="A835" s="37"/>
      <c r="B835" s="37"/>
      <c r="C835" s="37"/>
      <c r="D835" s="37"/>
      <c r="E835" s="173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 ht="15.75" customHeight="1">
      <c r="A836" s="37"/>
      <c r="B836" s="37"/>
      <c r="C836" s="37"/>
      <c r="D836" s="37"/>
      <c r="E836" s="173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 ht="15.75" customHeight="1">
      <c r="A837" s="37"/>
      <c r="B837" s="37"/>
      <c r="C837" s="37"/>
      <c r="D837" s="37"/>
      <c r="E837" s="173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 ht="15.75" customHeight="1">
      <c r="A838" s="37"/>
      <c r="B838" s="37"/>
      <c r="C838" s="37"/>
      <c r="D838" s="37"/>
      <c r="E838" s="173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 ht="15.75" customHeight="1">
      <c r="A839" s="37"/>
      <c r="B839" s="37"/>
      <c r="C839" s="37"/>
      <c r="D839" s="37"/>
      <c r="E839" s="173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 ht="15.75" customHeight="1">
      <c r="A840" s="37"/>
      <c r="B840" s="37"/>
      <c r="C840" s="37"/>
      <c r="D840" s="37"/>
      <c r="E840" s="173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 ht="15.75" customHeight="1">
      <c r="A841" s="37"/>
      <c r="B841" s="37"/>
      <c r="C841" s="37"/>
      <c r="D841" s="37"/>
      <c r="E841" s="173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 ht="15.75" customHeight="1">
      <c r="A842" s="37"/>
      <c r="B842" s="37"/>
      <c r="C842" s="37"/>
      <c r="D842" s="37"/>
      <c r="E842" s="173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 ht="15.75" customHeight="1">
      <c r="A843" s="37"/>
      <c r="B843" s="37"/>
      <c r="C843" s="37"/>
      <c r="D843" s="37"/>
      <c r="E843" s="173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 ht="15.75" customHeight="1">
      <c r="A844" s="37"/>
      <c r="B844" s="37"/>
      <c r="C844" s="37"/>
      <c r="D844" s="37"/>
      <c r="E844" s="173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 ht="15.75" customHeight="1">
      <c r="A845" s="37"/>
      <c r="B845" s="37"/>
      <c r="C845" s="37"/>
      <c r="D845" s="37"/>
      <c r="E845" s="173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 ht="15.75" customHeight="1">
      <c r="A846" s="37"/>
      <c r="B846" s="37"/>
      <c r="C846" s="37"/>
      <c r="D846" s="37"/>
      <c r="E846" s="173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 ht="15.75" customHeight="1">
      <c r="A847" s="37"/>
      <c r="B847" s="37"/>
      <c r="C847" s="37"/>
      <c r="D847" s="37"/>
      <c r="E847" s="173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 ht="15.75" customHeight="1">
      <c r="A848" s="37"/>
      <c r="B848" s="37"/>
      <c r="C848" s="37"/>
      <c r="D848" s="37"/>
      <c r="E848" s="173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 ht="15.75" customHeight="1">
      <c r="A849" s="37"/>
      <c r="B849" s="37"/>
      <c r="C849" s="37"/>
      <c r="D849" s="37"/>
      <c r="E849" s="173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 ht="15.75" customHeight="1">
      <c r="A850" s="37"/>
      <c r="B850" s="37"/>
      <c r="C850" s="37"/>
      <c r="D850" s="37"/>
      <c r="E850" s="173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 ht="15.75" customHeight="1">
      <c r="A851" s="37"/>
      <c r="B851" s="37"/>
      <c r="C851" s="37"/>
      <c r="D851" s="37"/>
      <c r="E851" s="173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 ht="15.75" customHeight="1">
      <c r="A852" s="37"/>
      <c r="B852" s="37"/>
      <c r="C852" s="37"/>
      <c r="D852" s="37"/>
      <c r="E852" s="173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 ht="15.75" customHeight="1">
      <c r="A853" s="37"/>
      <c r="B853" s="37"/>
      <c r="C853" s="37"/>
      <c r="D853" s="37"/>
      <c r="E853" s="173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 ht="15.75" customHeight="1">
      <c r="A854" s="37"/>
      <c r="B854" s="37"/>
      <c r="C854" s="37"/>
      <c r="D854" s="37"/>
      <c r="E854" s="173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 ht="15.75" customHeight="1">
      <c r="A855" s="37"/>
      <c r="B855" s="37"/>
      <c r="C855" s="37"/>
      <c r="D855" s="37"/>
      <c r="E855" s="173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 ht="15.75" customHeight="1">
      <c r="A856" s="37"/>
      <c r="B856" s="37"/>
      <c r="C856" s="37"/>
      <c r="D856" s="37"/>
      <c r="E856" s="173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 ht="15.75" customHeight="1">
      <c r="A857" s="37"/>
      <c r="B857" s="37"/>
      <c r="C857" s="37"/>
      <c r="D857" s="37"/>
      <c r="E857" s="173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 ht="15.75" customHeight="1">
      <c r="A858" s="37"/>
      <c r="B858" s="37"/>
      <c r="C858" s="37"/>
      <c r="D858" s="37"/>
      <c r="E858" s="173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 ht="15.75" customHeight="1">
      <c r="A859" s="37"/>
      <c r="B859" s="37"/>
      <c r="C859" s="37"/>
      <c r="D859" s="37"/>
      <c r="E859" s="173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15.75" customHeight="1">
      <c r="A860" s="37"/>
      <c r="B860" s="37"/>
      <c r="C860" s="37"/>
      <c r="D860" s="37"/>
      <c r="E860" s="173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 ht="15.75" customHeight="1">
      <c r="A861" s="37"/>
      <c r="B861" s="37"/>
      <c r="C861" s="37"/>
      <c r="D861" s="37"/>
      <c r="E861" s="173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 ht="15.75" customHeight="1">
      <c r="A862" s="37"/>
      <c r="B862" s="37"/>
      <c r="C862" s="37"/>
      <c r="D862" s="37"/>
      <c r="E862" s="173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 ht="15.75" customHeight="1">
      <c r="A863" s="37"/>
      <c r="B863" s="37"/>
      <c r="C863" s="37"/>
      <c r="D863" s="37"/>
      <c r="E863" s="173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 ht="15.75" customHeight="1">
      <c r="A864" s="37"/>
      <c r="B864" s="37"/>
      <c r="C864" s="37"/>
      <c r="D864" s="37"/>
      <c r="E864" s="173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 ht="15.75" customHeight="1">
      <c r="A865" s="37"/>
      <c r="B865" s="37"/>
      <c r="C865" s="37"/>
      <c r="D865" s="37"/>
      <c r="E865" s="173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 ht="15.75" customHeight="1">
      <c r="A866" s="37"/>
      <c r="B866" s="37"/>
      <c r="C866" s="37"/>
      <c r="D866" s="37"/>
      <c r="E866" s="173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 ht="15.75" customHeight="1">
      <c r="A867" s="37"/>
      <c r="B867" s="37"/>
      <c r="C867" s="37"/>
      <c r="D867" s="37"/>
      <c r="E867" s="173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 ht="15.75" customHeight="1">
      <c r="A868" s="37"/>
      <c r="B868" s="37"/>
      <c r="C868" s="37"/>
      <c r="D868" s="37"/>
      <c r="E868" s="173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 ht="15.75" customHeight="1">
      <c r="A869" s="37"/>
      <c r="B869" s="37"/>
      <c r="C869" s="37"/>
      <c r="D869" s="37"/>
      <c r="E869" s="173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 ht="15.75" customHeight="1">
      <c r="A870" s="37"/>
      <c r="B870" s="37"/>
      <c r="C870" s="37"/>
      <c r="D870" s="37"/>
      <c r="E870" s="173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 ht="15.75" customHeight="1">
      <c r="A871" s="37"/>
      <c r="B871" s="37"/>
      <c r="C871" s="37"/>
      <c r="D871" s="37"/>
      <c r="E871" s="173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 ht="15.75" customHeight="1">
      <c r="A872" s="37"/>
      <c r="B872" s="37"/>
      <c r="C872" s="37"/>
      <c r="D872" s="37"/>
      <c r="E872" s="173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 ht="15.75" customHeight="1">
      <c r="A873" s="37"/>
      <c r="B873" s="37"/>
      <c r="C873" s="37"/>
      <c r="D873" s="37"/>
      <c r="E873" s="173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 ht="15.75" customHeight="1">
      <c r="A874" s="37"/>
      <c r="B874" s="37"/>
      <c r="C874" s="37"/>
      <c r="D874" s="37"/>
      <c r="E874" s="173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 ht="15.75" customHeight="1">
      <c r="A875" s="37"/>
      <c r="B875" s="37"/>
      <c r="C875" s="37"/>
      <c r="D875" s="37"/>
      <c r="E875" s="173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 ht="15.75" customHeight="1">
      <c r="A876" s="37"/>
      <c r="B876" s="37"/>
      <c r="C876" s="37"/>
      <c r="D876" s="37"/>
      <c r="E876" s="173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 ht="15.75" customHeight="1">
      <c r="A877" s="37"/>
      <c r="B877" s="37"/>
      <c r="C877" s="37"/>
      <c r="D877" s="37"/>
      <c r="E877" s="173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 ht="15.75" customHeight="1">
      <c r="A878" s="37"/>
      <c r="B878" s="37"/>
      <c r="C878" s="37"/>
      <c r="D878" s="37"/>
      <c r="E878" s="173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 ht="15.75" customHeight="1">
      <c r="A879" s="37"/>
      <c r="B879" s="37"/>
      <c r="C879" s="37"/>
      <c r="D879" s="37"/>
      <c r="E879" s="173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 ht="15.75" customHeight="1">
      <c r="A880" s="37"/>
      <c r="B880" s="37"/>
      <c r="C880" s="37"/>
      <c r="D880" s="37"/>
      <c r="E880" s="173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 ht="15.75" customHeight="1">
      <c r="A881" s="37"/>
      <c r="B881" s="37"/>
      <c r="C881" s="37"/>
      <c r="D881" s="37"/>
      <c r="E881" s="173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 ht="15.75" customHeight="1">
      <c r="A882" s="37"/>
      <c r="B882" s="37"/>
      <c r="C882" s="37"/>
      <c r="D882" s="37"/>
      <c r="E882" s="173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 ht="15.75" customHeight="1">
      <c r="A883" s="37"/>
      <c r="B883" s="37"/>
      <c r="C883" s="37"/>
      <c r="D883" s="37"/>
      <c r="E883" s="173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 ht="15.75" customHeight="1">
      <c r="A884" s="37"/>
      <c r="B884" s="37"/>
      <c r="C884" s="37"/>
      <c r="D884" s="37"/>
      <c r="E884" s="173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 ht="15.75" customHeight="1">
      <c r="A885" s="37"/>
      <c r="B885" s="37"/>
      <c r="C885" s="37"/>
      <c r="D885" s="37"/>
      <c r="E885" s="173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 ht="15.75" customHeight="1">
      <c r="A886" s="37"/>
      <c r="B886" s="37"/>
      <c r="C886" s="37"/>
      <c r="D886" s="37"/>
      <c r="E886" s="173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 ht="15.75" customHeight="1">
      <c r="A887" s="37"/>
      <c r="B887" s="37"/>
      <c r="C887" s="37"/>
      <c r="D887" s="37"/>
      <c r="E887" s="173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 ht="15.75" customHeight="1">
      <c r="A888" s="37"/>
      <c r="B888" s="37"/>
      <c r="C888" s="37"/>
      <c r="D888" s="37"/>
      <c r="E888" s="173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 ht="15.75" customHeight="1">
      <c r="A889" s="37"/>
      <c r="B889" s="37"/>
      <c r="C889" s="37"/>
      <c r="D889" s="37"/>
      <c r="E889" s="173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 ht="15.75" customHeight="1">
      <c r="A890" s="37"/>
      <c r="B890" s="37"/>
      <c r="C890" s="37"/>
      <c r="D890" s="37"/>
      <c r="E890" s="173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 ht="15.75" customHeight="1">
      <c r="A891" s="37"/>
      <c r="B891" s="37"/>
      <c r="C891" s="37"/>
      <c r="D891" s="37"/>
      <c r="E891" s="173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 ht="15.75" customHeight="1">
      <c r="A892" s="37"/>
      <c r="B892" s="37"/>
      <c r="C892" s="37"/>
      <c r="D892" s="37"/>
      <c r="E892" s="173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 ht="15.75" customHeight="1">
      <c r="A893" s="37"/>
      <c r="B893" s="37"/>
      <c r="C893" s="37"/>
      <c r="D893" s="37"/>
      <c r="E893" s="173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 ht="15.75" customHeight="1">
      <c r="A894" s="37"/>
      <c r="B894" s="37"/>
      <c r="C894" s="37"/>
      <c r="D894" s="37"/>
      <c r="E894" s="173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 ht="15.75" customHeight="1">
      <c r="A895" s="37"/>
      <c r="B895" s="37"/>
      <c r="C895" s="37"/>
      <c r="D895" s="37"/>
      <c r="E895" s="173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 ht="15.75" customHeight="1">
      <c r="A896" s="37"/>
      <c r="B896" s="37"/>
      <c r="C896" s="37"/>
      <c r="D896" s="37"/>
      <c r="E896" s="173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 ht="15.75" customHeight="1">
      <c r="A897" s="37"/>
      <c r="B897" s="37"/>
      <c r="C897" s="37"/>
      <c r="D897" s="37"/>
      <c r="E897" s="173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 ht="15.75" customHeight="1">
      <c r="A898" s="37"/>
      <c r="B898" s="37"/>
      <c r="C898" s="37"/>
      <c r="D898" s="37"/>
      <c r="E898" s="173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 ht="15.75" customHeight="1">
      <c r="A899" s="37"/>
      <c r="B899" s="37"/>
      <c r="C899" s="37"/>
      <c r="D899" s="37"/>
      <c r="E899" s="173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 ht="15.75" customHeight="1">
      <c r="A900" s="37"/>
      <c r="B900" s="37"/>
      <c r="C900" s="37"/>
      <c r="D900" s="37"/>
      <c r="E900" s="173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 ht="15.75" customHeight="1">
      <c r="A901" s="37"/>
      <c r="B901" s="37"/>
      <c r="C901" s="37"/>
      <c r="D901" s="37"/>
      <c r="E901" s="173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 ht="15.75" customHeight="1">
      <c r="A902" s="37"/>
      <c r="B902" s="37"/>
      <c r="C902" s="37"/>
      <c r="D902" s="37"/>
      <c r="E902" s="173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 ht="15.75" customHeight="1">
      <c r="A903" s="37"/>
      <c r="B903" s="37"/>
      <c r="C903" s="37"/>
      <c r="D903" s="37"/>
      <c r="E903" s="173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 ht="15.75" customHeight="1">
      <c r="A904" s="37"/>
      <c r="B904" s="37"/>
      <c r="C904" s="37"/>
      <c r="D904" s="37"/>
      <c r="E904" s="173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 ht="15.75" customHeight="1">
      <c r="A905" s="37"/>
      <c r="B905" s="37"/>
      <c r="C905" s="37"/>
      <c r="D905" s="37"/>
      <c r="E905" s="173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 ht="15.75" customHeight="1">
      <c r="A906" s="37"/>
      <c r="B906" s="37"/>
      <c r="C906" s="37"/>
      <c r="D906" s="37"/>
      <c r="E906" s="173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 ht="15.75" customHeight="1">
      <c r="A907" s="37"/>
      <c r="B907" s="37"/>
      <c r="C907" s="37"/>
      <c r="D907" s="37"/>
      <c r="E907" s="173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 ht="15.75" customHeight="1">
      <c r="A908" s="37"/>
      <c r="B908" s="37"/>
      <c r="C908" s="37"/>
      <c r="D908" s="37"/>
      <c r="E908" s="173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 ht="15.75" customHeight="1">
      <c r="A909" s="37"/>
      <c r="B909" s="37"/>
      <c r="C909" s="37"/>
      <c r="D909" s="37"/>
      <c r="E909" s="173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 ht="15.75" customHeight="1">
      <c r="A910" s="37"/>
      <c r="B910" s="37"/>
      <c r="C910" s="37"/>
      <c r="D910" s="37"/>
      <c r="E910" s="173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 ht="15.75" customHeight="1">
      <c r="A911" s="37"/>
      <c r="B911" s="37"/>
      <c r="C911" s="37"/>
      <c r="D911" s="37"/>
      <c r="E911" s="173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 ht="15.75" customHeight="1">
      <c r="A912" s="37"/>
      <c r="B912" s="37"/>
      <c r="C912" s="37"/>
      <c r="D912" s="37"/>
      <c r="E912" s="173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 ht="15.75" customHeight="1">
      <c r="A913" s="37"/>
      <c r="B913" s="37"/>
      <c r="C913" s="37"/>
      <c r="D913" s="37"/>
      <c r="E913" s="173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 ht="15.75" customHeight="1">
      <c r="A914" s="37"/>
      <c r="B914" s="37"/>
      <c r="C914" s="37"/>
      <c r="D914" s="37"/>
      <c r="E914" s="173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 ht="15.75" customHeight="1">
      <c r="A915" s="37"/>
      <c r="B915" s="37"/>
      <c r="C915" s="37"/>
      <c r="D915" s="37"/>
      <c r="E915" s="173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 ht="15.75" customHeight="1">
      <c r="A916" s="37"/>
      <c r="B916" s="37"/>
      <c r="C916" s="37"/>
      <c r="D916" s="37"/>
      <c r="E916" s="173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 ht="15.75" customHeight="1">
      <c r="A917" s="37"/>
      <c r="B917" s="37"/>
      <c r="C917" s="37"/>
      <c r="D917" s="37"/>
      <c r="E917" s="173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 ht="15.75" customHeight="1">
      <c r="A918" s="37"/>
      <c r="B918" s="37"/>
      <c r="C918" s="37"/>
      <c r="D918" s="37"/>
      <c r="E918" s="173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 ht="15.75" customHeight="1">
      <c r="A919" s="37"/>
      <c r="B919" s="37"/>
      <c r="C919" s="37"/>
      <c r="D919" s="37"/>
      <c r="E919" s="173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 ht="15.75" customHeight="1">
      <c r="A920" s="37"/>
      <c r="B920" s="37"/>
      <c r="C920" s="37"/>
      <c r="D920" s="37"/>
      <c r="E920" s="173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 ht="15.75" customHeight="1">
      <c r="A921" s="37"/>
      <c r="B921" s="37"/>
      <c r="C921" s="37"/>
      <c r="D921" s="37"/>
      <c r="E921" s="173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 ht="15.75" customHeight="1">
      <c r="A922" s="37"/>
      <c r="B922" s="37"/>
      <c r="C922" s="37"/>
      <c r="D922" s="37"/>
      <c r="E922" s="173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 ht="15.75" customHeight="1">
      <c r="A923" s="37"/>
      <c r="B923" s="37"/>
      <c r="C923" s="37"/>
      <c r="D923" s="37"/>
      <c r="E923" s="173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 ht="15.75" customHeight="1">
      <c r="A924" s="37"/>
      <c r="B924" s="37"/>
      <c r="C924" s="37"/>
      <c r="D924" s="37"/>
      <c r="E924" s="173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 ht="15.75" customHeight="1">
      <c r="A925" s="37"/>
      <c r="B925" s="37"/>
      <c r="C925" s="37"/>
      <c r="D925" s="37"/>
      <c r="E925" s="173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 ht="15.75" customHeight="1">
      <c r="A926" s="37"/>
      <c r="B926" s="37"/>
      <c r="C926" s="37"/>
      <c r="D926" s="37"/>
      <c r="E926" s="173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 ht="15.75" customHeight="1">
      <c r="A927" s="37"/>
      <c r="B927" s="37"/>
      <c r="C927" s="37"/>
      <c r="D927" s="37"/>
      <c r="E927" s="173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 ht="15.75" customHeight="1">
      <c r="A928" s="37"/>
      <c r="B928" s="37"/>
      <c r="C928" s="37"/>
      <c r="D928" s="37"/>
      <c r="E928" s="173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 ht="15.75" customHeight="1">
      <c r="A929" s="37"/>
      <c r="B929" s="37"/>
      <c r="C929" s="37"/>
      <c r="D929" s="37"/>
      <c r="E929" s="173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 ht="15.75" customHeight="1">
      <c r="A930" s="37"/>
      <c r="B930" s="37"/>
      <c r="C930" s="37"/>
      <c r="D930" s="37"/>
      <c r="E930" s="173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 ht="15.75" customHeight="1">
      <c r="A931" s="37"/>
      <c r="B931" s="37"/>
      <c r="C931" s="37"/>
      <c r="D931" s="37"/>
      <c r="E931" s="173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 ht="15.75" customHeight="1">
      <c r="A932" s="37"/>
      <c r="B932" s="37"/>
      <c r="C932" s="37"/>
      <c r="D932" s="37"/>
      <c r="E932" s="173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 ht="15.75" customHeight="1">
      <c r="A933" s="37"/>
      <c r="B933" s="37"/>
      <c r="C933" s="37"/>
      <c r="D933" s="37"/>
      <c r="E933" s="173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 ht="15.75" customHeight="1">
      <c r="A934" s="37"/>
      <c r="B934" s="37"/>
      <c r="C934" s="37"/>
      <c r="D934" s="37"/>
      <c r="E934" s="173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 ht="15.75" customHeight="1">
      <c r="A935" s="37"/>
      <c r="B935" s="37"/>
      <c r="C935" s="37"/>
      <c r="D935" s="37"/>
      <c r="E935" s="173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 ht="15.75" customHeight="1">
      <c r="A936" s="37"/>
      <c r="B936" s="37"/>
      <c r="C936" s="37"/>
      <c r="D936" s="37"/>
      <c r="E936" s="173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 ht="15.75" customHeight="1">
      <c r="A937" s="37"/>
      <c r="B937" s="37"/>
      <c r="C937" s="37"/>
      <c r="D937" s="37"/>
      <c r="E937" s="173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15.75" customHeight="1">
      <c r="A938" s="37"/>
      <c r="B938" s="37"/>
      <c r="C938" s="37"/>
      <c r="D938" s="37"/>
      <c r="E938" s="173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 ht="15.75" customHeight="1">
      <c r="A939" s="37"/>
      <c r="B939" s="37"/>
      <c r="C939" s="37"/>
      <c r="D939" s="37"/>
      <c r="E939" s="173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 ht="15.75" customHeight="1">
      <c r="A940" s="37"/>
      <c r="B940" s="37"/>
      <c r="C940" s="37"/>
      <c r="D940" s="37"/>
      <c r="E940" s="173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 ht="15.75" customHeight="1">
      <c r="A941" s="37"/>
      <c r="B941" s="37"/>
      <c r="C941" s="37"/>
      <c r="D941" s="37"/>
      <c r="E941" s="173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 ht="15.75" customHeight="1">
      <c r="A942" s="37"/>
      <c r="B942" s="37"/>
      <c r="C942" s="37"/>
      <c r="D942" s="37"/>
      <c r="E942" s="173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 ht="15.75" customHeight="1">
      <c r="A943" s="37"/>
      <c r="B943" s="37"/>
      <c r="C943" s="37"/>
      <c r="D943" s="37"/>
      <c r="E943" s="173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 ht="15.75" customHeight="1">
      <c r="A944" s="37"/>
      <c r="B944" s="37"/>
      <c r="C944" s="37"/>
      <c r="D944" s="37"/>
      <c r="E944" s="173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 ht="15.75" customHeight="1">
      <c r="A945" s="37"/>
      <c r="B945" s="37"/>
      <c r="C945" s="37"/>
      <c r="D945" s="37"/>
      <c r="E945" s="173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 ht="15.75" customHeight="1">
      <c r="A946" s="37"/>
      <c r="B946" s="37"/>
      <c r="C946" s="37"/>
      <c r="D946" s="37"/>
      <c r="E946" s="173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 ht="15.75" customHeight="1">
      <c r="A947" s="37"/>
      <c r="B947" s="37"/>
      <c r="C947" s="37"/>
      <c r="D947" s="37"/>
      <c r="E947" s="173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 ht="15.75" customHeight="1">
      <c r="A948" s="37"/>
      <c r="B948" s="37"/>
      <c r="C948" s="37"/>
      <c r="D948" s="37"/>
      <c r="E948" s="173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 ht="15.75" customHeight="1">
      <c r="A949" s="37"/>
      <c r="B949" s="37"/>
      <c r="C949" s="37"/>
      <c r="D949" s="37"/>
      <c r="E949" s="173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 ht="15.75" customHeight="1">
      <c r="A950" s="37"/>
      <c r="B950" s="37"/>
      <c r="C950" s="37"/>
      <c r="D950" s="37"/>
      <c r="E950" s="173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 ht="15.75" customHeight="1">
      <c r="A951" s="37"/>
      <c r="B951" s="37"/>
      <c r="C951" s="37"/>
      <c r="D951" s="37"/>
      <c r="E951" s="173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 ht="15.75" customHeight="1">
      <c r="A952" s="37"/>
      <c r="B952" s="37"/>
      <c r="C952" s="37"/>
      <c r="D952" s="37"/>
      <c r="E952" s="173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 ht="15.75" customHeight="1">
      <c r="A953" s="37"/>
      <c r="B953" s="37"/>
      <c r="C953" s="37"/>
      <c r="D953" s="37"/>
      <c r="E953" s="173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 ht="15.75" customHeight="1">
      <c r="A954" s="37"/>
      <c r="B954" s="37"/>
      <c r="C954" s="37"/>
      <c r="D954" s="37"/>
      <c r="E954" s="173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</sheetData>
  <mergeCells count="12">
    <mergeCell ref="M1:N4"/>
    <mergeCell ref="A5:A6"/>
    <mergeCell ref="B5:B6"/>
    <mergeCell ref="C5:C6"/>
    <mergeCell ref="D5:D6"/>
    <mergeCell ref="E5:E6"/>
    <mergeCell ref="L5:L6"/>
    <mergeCell ref="F5:F6"/>
    <mergeCell ref="G5:G6"/>
    <mergeCell ref="H5:I5"/>
    <mergeCell ref="J5:K5"/>
    <mergeCell ref="A1:L4"/>
  </mergeCells>
  <conditionalFormatting sqref="A7:M278">
    <cfRule type="expression" dxfId="17" priority="1">
      <formula>ISEVEN(QUOTIENT(ROW()-ROW($A$7),16))</formula>
    </cfRule>
  </conditionalFormatting>
  <conditionalFormatting sqref="A7:O278">
    <cfRule type="expression" dxfId="16" priority="2">
      <formula>ISODD(QUOTIENT(ROW()-ROW($A$7),16))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46"/>
  <sheetViews>
    <sheetView workbookViewId="0"/>
  </sheetViews>
  <sheetFormatPr defaultColWidth="12.7109375" defaultRowHeight="15" customHeight="1"/>
  <cols>
    <col min="1" max="1" width="7" customWidth="1"/>
    <col min="2" max="2" width="26.28515625" customWidth="1"/>
    <col min="3" max="3" width="12.140625" customWidth="1"/>
    <col min="4" max="4" width="19.85546875" customWidth="1"/>
    <col min="5" max="5" width="43.42578125" customWidth="1"/>
    <col min="6" max="6" width="10.42578125" customWidth="1"/>
    <col min="7" max="7" width="28.7109375" customWidth="1"/>
    <col min="8" max="9" width="14" hidden="1" customWidth="1"/>
    <col min="10" max="10" width="15.140625" hidden="1" customWidth="1"/>
  </cols>
  <sheetData>
    <row r="1" spans="1:28" ht="15.75" customHeight="1">
      <c r="A1" s="377" t="s">
        <v>0</v>
      </c>
      <c r="B1" s="377" t="s">
        <v>21</v>
      </c>
      <c r="C1" s="378" t="s">
        <v>23</v>
      </c>
      <c r="D1" s="377" t="s">
        <v>22</v>
      </c>
      <c r="E1" s="379" t="s">
        <v>503</v>
      </c>
      <c r="F1" s="380" t="s">
        <v>504</v>
      </c>
      <c r="G1" s="381" t="s">
        <v>505</v>
      </c>
      <c r="H1" s="382" t="s">
        <v>506</v>
      </c>
      <c r="I1" s="383" t="s">
        <v>507</v>
      </c>
      <c r="J1" s="384" t="str">
        <f ca="1">"Tuần: " &amp; (WEEKNUM(TODAY(),2) - WEEKNUM(EOMONTH(TODAY(),-1)+1,2))</f>
        <v>Tuần: 2</v>
      </c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</row>
    <row r="2" spans="1:28" ht="15.75" customHeight="1">
      <c r="A2" s="386">
        <v>1</v>
      </c>
      <c r="B2" s="387" t="s">
        <v>508</v>
      </c>
      <c r="C2" s="388">
        <v>918606989</v>
      </c>
      <c r="D2" s="387" t="s">
        <v>509</v>
      </c>
      <c r="E2" s="389" t="s">
        <v>510</v>
      </c>
      <c r="F2" s="388" t="s">
        <v>11</v>
      </c>
      <c r="G2" s="390" t="s">
        <v>29</v>
      </c>
      <c r="H2" s="391">
        <f>IF(B2="","",COUNTIF('KQ đo kiểm Speedtest'!O:O,B2))</f>
        <v>4</v>
      </c>
      <c r="I2" s="392" t="str">
        <f t="shared" ref="I2:I129" ca="1" si="0">IF(B2="","", IF(H2&gt;0, IF(H2 &gt; (TRUNC(DAY(TODAY())/7)*4)-1, "Đã hoàn thành", "Chưa đủ mẫu đo"), "Chưa thực hiện"))</f>
        <v>Chưa đủ mẫu đo</v>
      </c>
      <c r="J2" s="393">
        <f t="shared" ref="J2:J129" ca="1" si="1">IF(I2="","",IF(I2="Đã hoàn thành",1,0))</f>
        <v>0</v>
      </c>
      <c r="K2" s="394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</row>
    <row r="3" spans="1:28" ht="15.75" customHeight="1">
      <c r="A3" s="395">
        <f t="shared" ref="A3:A89" ca="1" si="2">IF(B3="","",IF(A2="",IF(INDIRECT("A"&amp;ROW()-3)&lt;&gt;"",INDIRECT("A"&amp;ROW()-3)+1,INDIRECT("A"&amp;ROW()-4)+1),A2+1))</f>
        <v>2</v>
      </c>
      <c r="B3" s="387" t="s">
        <v>511</v>
      </c>
      <c r="C3" s="388">
        <v>813232338</v>
      </c>
      <c r="D3" s="387" t="s">
        <v>512</v>
      </c>
      <c r="E3" s="389" t="s">
        <v>513</v>
      </c>
      <c r="F3" s="388" t="s">
        <v>11</v>
      </c>
      <c r="G3" s="396"/>
      <c r="H3" s="397">
        <f>IF(B3="","",COUNTIF('KQ đo kiểm Speedtest'!O:O,B3))</f>
        <v>5</v>
      </c>
      <c r="I3" s="398" t="str">
        <f t="shared" ca="1" si="0"/>
        <v>Chưa đủ mẫu đo</v>
      </c>
      <c r="J3" s="399">
        <f t="shared" ca="1" si="1"/>
        <v>0</v>
      </c>
      <c r="K3" s="394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</row>
    <row r="4" spans="1:28" ht="15.75" customHeight="1">
      <c r="A4" s="395">
        <f t="shared" ca="1" si="2"/>
        <v>3</v>
      </c>
      <c r="B4" s="387" t="s">
        <v>514</v>
      </c>
      <c r="C4" s="388">
        <v>913443091</v>
      </c>
      <c r="D4" s="387" t="s">
        <v>515</v>
      </c>
      <c r="E4" s="389" t="s">
        <v>516</v>
      </c>
      <c r="F4" s="388" t="s">
        <v>11</v>
      </c>
      <c r="G4" s="396"/>
      <c r="H4" s="397">
        <f>IF(B4="","",COUNTIF('KQ đo kiểm Speedtest'!O:O,B4))</f>
        <v>24</v>
      </c>
      <c r="I4" s="398" t="str">
        <f t="shared" ca="1" si="0"/>
        <v>Đã hoàn thành</v>
      </c>
      <c r="J4" s="399">
        <f t="shared" ca="1" si="1"/>
        <v>1</v>
      </c>
      <c r="K4" s="394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</row>
    <row r="5" spans="1:28" ht="15.75" customHeight="1">
      <c r="A5" s="395">
        <f t="shared" ca="1" si="2"/>
        <v>4</v>
      </c>
      <c r="B5" s="387" t="s">
        <v>517</v>
      </c>
      <c r="C5" s="388">
        <v>918760639</v>
      </c>
      <c r="D5" s="387" t="s">
        <v>518</v>
      </c>
      <c r="E5" s="389" t="s">
        <v>519</v>
      </c>
      <c r="F5" s="388" t="s">
        <v>11</v>
      </c>
      <c r="G5" s="396"/>
      <c r="H5" s="397">
        <f>IF(B5="","",COUNTIF('KQ đo kiểm Speedtest'!O:O,B5))</f>
        <v>14</v>
      </c>
      <c r="I5" s="398" t="str">
        <f t="shared" ca="1" si="0"/>
        <v>Đã hoàn thành</v>
      </c>
      <c r="J5" s="399">
        <f t="shared" ca="1" si="1"/>
        <v>1</v>
      </c>
      <c r="K5" s="394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</row>
    <row r="6" spans="1:28" ht="15.75" customHeight="1">
      <c r="A6" s="395">
        <f t="shared" ca="1" si="2"/>
        <v>5</v>
      </c>
      <c r="B6" s="400" t="s">
        <v>520</v>
      </c>
      <c r="C6" s="401">
        <v>949250049</v>
      </c>
      <c r="D6" s="400" t="s">
        <v>521</v>
      </c>
      <c r="E6" s="389" t="s">
        <v>522</v>
      </c>
      <c r="F6" s="401" t="s">
        <v>11</v>
      </c>
      <c r="G6" s="396"/>
      <c r="H6" s="397">
        <f>IF(B6="","",COUNTIF('KQ đo kiểm Speedtest'!O:O,B6))</f>
        <v>0</v>
      </c>
      <c r="I6" s="398" t="str">
        <f t="shared" ca="1" si="0"/>
        <v>Chưa thực hiện</v>
      </c>
      <c r="J6" s="399">
        <f t="shared" ca="1" si="1"/>
        <v>0</v>
      </c>
      <c r="K6" s="394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</row>
    <row r="7" spans="1:28" ht="15.75" customHeight="1">
      <c r="A7" s="395">
        <f t="shared" ca="1" si="2"/>
        <v>6</v>
      </c>
      <c r="B7" s="387" t="s">
        <v>523</v>
      </c>
      <c r="C7" s="388">
        <v>835880097</v>
      </c>
      <c r="D7" s="387" t="s">
        <v>524</v>
      </c>
      <c r="E7" s="389" t="s">
        <v>525</v>
      </c>
      <c r="F7" s="388" t="s">
        <v>11</v>
      </c>
      <c r="G7" s="402" t="s">
        <v>29</v>
      </c>
      <c r="H7" s="397">
        <f>IF(B7="","",COUNTIF('KQ đo kiểm Speedtest'!O:O,B7))</f>
        <v>6</v>
      </c>
      <c r="I7" s="398" t="str">
        <f t="shared" ca="1" si="0"/>
        <v>Chưa đủ mẫu đo</v>
      </c>
      <c r="J7" s="399">
        <f t="shared" ca="1" si="1"/>
        <v>0</v>
      </c>
      <c r="K7" s="394"/>
      <c r="L7" s="385"/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385"/>
    </row>
    <row r="8" spans="1:28" ht="15.75" customHeight="1">
      <c r="A8" s="395">
        <f t="shared" ca="1" si="2"/>
        <v>7</v>
      </c>
      <c r="B8" s="387" t="s">
        <v>526</v>
      </c>
      <c r="C8" s="388">
        <v>916234929</v>
      </c>
      <c r="D8" s="387" t="s">
        <v>527</v>
      </c>
      <c r="E8" s="389" t="s">
        <v>528</v>
      </c>
      <c r="F8" s="388" t="s">
        <v>11</v>
      </c>
      <c r="G8" s="396"/>
      <c r="H8" s="397">
        <f>IF(B8="","",COUNTIF('KQ đo kiểm Speedtest'!O:O,B8))</f>
        <v>2</v>
      </c>
      <c r="I8" s="398" t="str">
        <f t="shared" ca="1" si="0"/>
        <v>Chưa đủ mẫu đo</v>
      </c>
      <c r="J8" s="399">
        <f t="shared" ca="1" si="1"/>
        <v>0</v>
      </c>
      <c r="K8" s="394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</row>
    <row r="9" spans="1:28" ht="15.75" customHeight="1">
      <c r="A9" s="395">
        <f t="shared" ca="1" si="2"/>
        <v>8</v>
      </c>
      <c r="B9" s="387" t="s">
        <v>529</v>
      </c>
      <c r="C9" s="388">
        <v>918616787</v>
      </c>
      <c r="D9" s="387" t="s">
        <v>530</v>
      </c>
      <c r="E9" s="389" t="s">
        <v>531</v>
      </c>
      <c r="F9" s="388" t="s">
        <v>11</v>
      </c>
      <c r="G9" s="396"/>
      <c r="H9" s="397">
        <f>IF(B9="","",COUNTIF('KQ đo kiểm Speedtest'!O:O,B9))</f>
        <v>14</v>
      </c>
      <c r="I9" s="398" t="str">
        <f t="shared" ca="1" si="0"/>
        <v>Đã hoàn thành</v>
      </c>
      <c r="J9" s="399">
        <f t="shared" ca="1" si="1"/>
        <v>1</v>
      </c>
      <c r="K9" s="394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</row>
    <row r="10" spans="1:28" ht="15.75" customHeight="1">
      <c r="A10" s="395">
        <f t="shared" ca="1" si="2"/>
        <v>9</v>
      </c>
      <c r="B10" s="387" t="s">
        <v>532</v>
      </c>
      <c r="C10" s="388">
        <v>919113959</v>
      </c>
      <c r="D10" s="387" t="s">
        <v>533</v>
      </c>
      <c r="E10" s="389" t="s">
        <v>534</v>
      </c>
      <c r="F10" s="388" t="s">
        <v>11</v>
      </c>
      <c r="G10" s="396"/>
      <c r="H10" s="397">
        <f>IF(B10="","",COUNTIF('KQ đo kiểm Speedtest'!O:O,B10))</f>
        <v>0</v>
      </c>
      <c r="I10" s="398" t="str">
        <f t="shared" ca="1" si="0"/>
        <v>Chưa thực hiện</v>
      </c>
      <c r="J10" s="399">
        <f t="shared" ca="1" si="1"/>
        <v>0</v>
      </c>
      <c r="K10" s="394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</row>
    <row r="11" spans="1:28" ht="15.75" customHeight="1">
      <c r="A11" s="395">
        <f t="shared" ca="1" si="2"/>
        <v>10</v>
      </c>
      <c r="B11" s="387" t="s">
        <v>535</v>
      </c>
      <c r="C11" s="388">
        <v>919684007</v>
      </c>
      <c r="D11" s="387" t="s">
        <v>536</v>
      </c>
      <c r="E11" s="389" t="s">
        <v>537</v>
      </c>
      <c r="F11" s="388" t="s">
        <v>11</v>
      </c>
      <c r="G11" s="396" t="s">
        <v>29</v>
      </c>
      <c r="H11" s="397">
        <f>IF(B11="","",COUNTIF('KQ đo kiểm Speedtest'!O:O,B11))</f>
        <v>4</v>
      </c>
      <c r="I11" s="398" t="str">
        <f t="shared" ca="1" si="0"/>
        <v>Chưa đủ mẫu đo</v>
      </c>
      <c r="J11" s="399">
        <f t="shared" ca="1" si="1"/>
        <v>0</v>
      </c>
      <c r="K11" s="394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</row>
    <row r="12" spans="1:28" ht="15.75" customHeight="1">
      <c r="A12" s="395">
        <f t="shared" ca="1" si="2"/>
        <v>11</v>
      </c>
      <c r="B12" s="387" t="s">
        <v>538</v>
      </c>
      <c r="C12" s="388">
        <v>838800286</v>
      </c>
      <c r="D12" s="387" t="s">
        <v>539</v>
      </c>
      <c r="E12" s="403"/>
      <c r="F12" s="388" t="s">
        <v>11</v>
      </c>
      <c r="G12" s="396"/>
      <c r="H12" s="397">
        <f>IF(B12="","",COUNTIF('KQ đo kiểm Speedtest'!O:O,B12))</f>
        <v>0</v>
      </c>
      <c r="I12" s="398" t="str">
        <f t="shared" ca="1" si="0"/>
        <v>Chưa thực hiện</v>
      </c>
      <c r="J12" s="399">
        <f t="shared" ca="1" si="1"/>
        <v>0</v>
      </c>
      <c r="K12" s="394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  <c r="AA12" s="385"/>
      <c r="AB12" s="385"/>
    </row>
    <row r="13" spans="1:28" ht="15.75" customHeight="1">
      <c r="A13" s="395">
        <f t="shared" ca="1" si="2"/>
        <v>12</v>
      </c>
      <c r="B13" s="387" t="s">
        <v>540</v>
      </c>
      <c r="C13" s="404">
        <v>918278345</v>
      </c>
      <c r="D13" s="387" t="s">
        <v>541</v>
      </c>
      <c r="E13" s="405" t="s">
        <v>542</v>
      </c>
      <c r="F13" s="388" t="s">
        <v>11</v>
      </c>
      <c r="G13" s="396"/>
      <c r="H13" s="397">
        <f>IF(B13="","",COUNTIF('KQ đo kiểm Speedtest'!O:O,B13))</f>
        <v>27</v>
      </c>
      <c r="I13" s="398" t="str">
        <f t="shared" ca="1" si="0"/>
        <v>Đã hoàn thành</v>
      </c>
      <c r="J13" s="399">
        <f t="shared" ca="1" si="1"/>
        <v>1</v>
      </c>
      <c r="K13" s="394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</row>
    <row r="14" spans="1:28" ht="15.75" customHeight="1">
      <c r="A14" s="395">
        <f t="shared" ca="1" si="2"/>
        <v>13</v>
      </c>
      <c r="B14" s="387" t="s">
        <v>543</v>
      </c>
      <c r="C14" s="388">
        <v>839859849</v>
      </c>
      <c r="D14" s="387" t="s">
        <v>544</v>
      </c>
      <c r="E14" s="389" t="s">
        <v>545</v>
      </c>
      <c r="F14" s="388" t="s">
        <v>11</v>
      </c>
      <c r="G14" s="396"/>
      <c r="H14" s="397">
        <f>IF(B14="","",COUNTIF('KQ đo kiểm Speedtest'!O:O,B14))</f>
        <v>0</v>
      </c>
      <c r="I14" s="398" t="str">
        <f t="shared" ca="1" si="0"/>
        <v>Chưa thực hiện</v>
      </c>
      <c r="J14" s="399">
        <f t="shared" ca="1" si="1"/>
        <v>0</v>
      </c>
      <c r="K14" s="394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</row>
    <row r="15" spans="1:28" ht="15.75" customHeight="1">
      <c r="A15" s="395">
        <f t="shared" ca="1" si="2"/>
        <v>14</v>
      </c>
      <c r="B15" s="387" t="s">
        <v>546</v>
      </c>
      <c r="C15" s="388">
        <v>916127115</v>
      </c>
      <c r="D15" s="387" t="s">
        <v>547</v>
      </c>
      <c r="E15" s="389" t="s">
        <v>548</v>
      </c>
      <c r="F15" s="388" t="s">
        <v>11</v>
      </c>
      <c r="G15" s="396"/>
      <c r="H15" s="397">
        <f>IF(B15="","",COUNTIF('KQ đo kiểm Speedtest'!O:O,B15))</f>
        <v>0</v>
      </c>
      <c r="I15" s="398" t="str">
        <f t="shared" ca="1" si="0"/>
        <v>Chưa thực hiện</v>
      </c>
      <c r="J15" s="399">
        <f t="shared" ca="1" si="1"/>
        <v>0</v>
      </c>
      <c r="K15" s="394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</row>
    <row r="16" spans="1:28" ht="15.75" customHeight="1">
      <c r="A16" s="395" t="str">
        <f t="shared" ca="1" si="2"/>
        <v/>
      </c>
      <c r="B16" s="387"/>
      <c r="C16" s="388"/>
      <c r="D16" s="387"/>
      <c r="E16" s="403"/>
      <c r="F16" s="388"/>
      <c r="G16" s="396"/>
      <c r="H16" s="397" t="str">
        <f>IF(B16="","",COUNTIF('KQ đo kiểm Speedtest'!O:O,B16))</f>
        <v/>
      </c>
      <c r="I16" s="398" t="str">
        <f t="shared" ca="1" si="0"/>
        <v/>
      </c>
      <c r="J16" s="399" t="str">
        <f t="shared" ca="1" si="1"/>
        <v/>
      </c>
      <c r="K16" s="394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</row>
    <row r="17" spans="1:28" ht="15.75" customHeight="1">
      <c r="A17" s="395" t="str">
        <f t="shared" ca="1" si="2"/>
        <v/>
      </c>
      <c r="B17" s="387"/>
      <c r="C17" s="388"/>
      <c r="D17" s="387"/>
      <c r="E17" s="403"/>
      <c r="F17" s="388"/>
      <c r="G17" s="396"/>
      <c r="H17" s="397" t="str">
        <f>IF(B17="","",COUNTIF('KQ đo kiểm Speedtest'!O:O,B17))</f>
        <v/>
      </c>
      <c r="I17" s="398" t="str">
        <f t="shared" ca="1" si="0"/>
        <v/>
      </c>
      <c r="J17" s="399" t="str">
        <f t="shared" ca="1" si="1"/>
        <v/>
      </c>
      <c r="K17" s="394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</row>
    <row r="18" spans="1:28" ht="15.75" customHeight="1">
      <c r="A18" s="395" t="str">
        <f t="shared" ca="1" si="2"/>
        <v/>
      </c>
      <c r="B18" s="406"/>
      <c r="C18" s="407"/>
      <c r="D18" s="406"/>
      <c r="E18" s="408"/>
      <c r="F18" s="407"/>
      <c r="G18" s="409"/>
      <c r="H18" s="397" t="str">
        <f>IF(B18="","",COUNTIF('KQ đo kiểm Speedtest'!O:O,B18))</f>
        <v/>
      </c>
      <c r="I18" s="398" t="str">
        <f t="shared" ca="1" si="0"/>
        <v/>
      </c>
      <c r="J18" s="399" t="str">
        <f t="shared" ca="1" si="1"/>
        <v/>
      </c>
      <c r="K18" s="394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  <c r="AA18" s="385"/>
      <c r="AB18" s="385"/>
    </row>
    <row r="19" spans="1:28" ht="15.75" customHeight="1">
      <c r="A19" s="410" t="str">
        <f t="shared" ca="1" si="2"/>
        <v/>
      </c>
      <c r="B19" s="411"/>
      <c r="C19" s="412"/>
      <c r="D19" s="411"/>
      <c r="E19" s="413"/>
      <c r="F19" s="412"/>
      <c r="G19" s="414"/>
      <c r="H19" s="397" t="str">
        <f>IF(B19="","",COUNTIF('KQ đo kiểm Speedtest'!O:O,B19))</f>
        <v/>
      </c>
      <c r="I19" s="398" t="str">
        <f t="shared" ca="1" si="0"/>
        <v/>
      </c>
      <c r="J19" s="399" t="str">
        <f t="shared" ca="1" si="1"/>
        <v/>
      </c>
      <c r="K19" s="394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</row>
    <row r="20" spans="1:28" ht="15.75" customHeight="1">
      <c r="A20" s="415" t="e">
        <f t="shared" ca="1" si="2"/>
        <v>#VALUE!</v>
      </c>
      <c r="B20" s="416" t="s">
        <v>549</v>
      </c>
      <c r="C20" s="417">
        <v>919786039</v>
      </c>
      <c r="D20" s="416" t="s">
        <v>550</v>
      </c>
      <c r="E20" s="418" t="s">
        <v>551</v>
      </c>
      <c r="F20" s="417" t="s">
        <v>12</v>
      </c>
      <c r="G20" s="419" t="s">
        <v>552</v>
      </c>
      <c r="H20" s="397">
        <f>IF(B20="","",COUNTIF('KQ đo kiểm Speedtest'!O:O,B20))</f>
        <v>17</v>
      </c>
      <c r="I20" s="398" t="str">
        <f t="shared" ca="1" si="0"/>
        <v>Đã hoàn thành</v>
      </c>
      <c r="J20" s="399">
        <f t="shared" ca="1" si="1"/>
        <v>1</v>
      </c>
      <c r="K20" s="420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421"/>
    </row>
    <row r="21" spans="1:28" ht="15.75" customHeight="1">
      <c r="A21" s="422" t="e">
        <f t="shared" ca="1" si="2"/>
        <v>#VALUE!</v>
      </c>
      <c r="B21" s="423" t="s">
        <v>553</v>
      </c>
      <c r="C21" s="424">
        <v>941254259</v>
      </c>
      <c r="D21" s="423" t="s">
        <v>554</v>
      </c>
      <c r="E21" s="425" t="s">
        <v>555</v>
      </c>
      <c r="F21" s="424" t="s">
        <v>12</v>
      </c>
      <c r="G21" s="426"/>
      <c r="H21" s="397">
        <f>IF(B21="","",COUNTIF('KQ đo kiểm Speedtest'!O:O,B21))</f>
        <v>2</v>
      </c>
      <c r="I21" s="398" t="str">
        <f t="shared" ca="1" si="0"/>
        <v>Chưa đủ mẫu đo</v>
      </c>
      <c r="J21" s="399">
        <f t="shared" ca="1" si="1"/>
        <v>0</v>
      </c>
      <c r="K21" s="420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</row>
    <row r="22" spans="1:28" ht="15.75" customHeight="1">
      <c r="A22" s="422" t="e">
        <f t="shared" ca="1" si="2"/>
        <v>#VALUE!</v>
      </c>
      <c r="B22" s="423" t="s">
        <v>511</v>
      </c>
      <c r="C22" s="424">
        <v>888802064</v>
      </c>
      <c r="D22" s="423" t="s">
        <v>556</v>
      </c>
      <c r="E22" s="425" t="s">
        <v>557</v>
      </c>
      <c r="F22" s="424" t="s">
        <v>12</v>
      </c>
      <c r="G22" s="426" t="s">
        <v>552</v>
      </c>
      <c r="H22" s="397">
        <f>IF(B22="","",COUNTIF('KQ đo kiểm Speedtest'!O:O,B22))</f>
        <v>5</v>
      </c>
      <c r="I22" s="398" t="str">
        <f t="shared" ca="1" si="0"/>
        <v>Chưa đủ mẫu đo</v>
      </c>
      <c r="J22" s="399">
        <f t="shared" ca="1" si="1"/>
        <v>0</v>
      </c>
      <c r="K22" s="420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1"/>
      <c r="AA22" s="421"/>
      <c r="AB22" s="421"/>
    </row>
    <row r="23" spans="1:28" ht="15.75" customHeight="1">
      <c r="A23" s="422" t="e">
        <f t="shared" ca="1" si="2"/>
        <v>#VALUE!</v>
      </c>
      <c r="B23" s="423" t="s">
        <v>558</v>
      </c>
      <c r="C23" s="424">
        <v>915907377</v>
      </c>
      <c r="D23" s="423" t="s">
        <v>559</v>
      </c>
      <c r="E23" s="425" t="s">
        <v>560</v>
      </c>
      <c r="F23" s="424" t="s">
        <v>12</v>
      </c>
      <c r="G23" s="426"/>
      <c r="H23" s="397">
        <f>IF(B23="","",COUNTIF('KQ đo kiểm Speedtest'!O:O,B23))</f>
        <v>24</v>
      </c>
      <c r="I23" s="398" t="str">
        <f t="shared" ca="1" si="0"/>
        <v>Đã hoàn thành</v>
      </c>
      <c r="J23" s="399">
        <f t="shared" ca="1" si="1"/>
        <v>1</v>
      </c>
      <c r="K23" s="420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421"/>
      <c r="Y23" s="421"/>
      <c r="Z23" s="421"/>
      <c r="AA23" s="421"/>
      <c r="AB23" s="421"/>
    </row>
    <row r="24" spans="1:28" ht="15.75" customHeight="1">
      <c r="A24" s="422" t="e">
        <f t="shared" ca="1" si="2"/>
        <v>#VALUE!</v>
      </c>
      <c r="B24" s="427" t="s">
        <v>561</v>
      </c>
      <c r="C24" s="428">
        <v>945562692</v>
      </c>
      <c r="D24" s="427" t="s">
        <v>562</v>
      </c>
      <c r="E24" s="425" t="s">
        <v>563</v>
      </c>
      <c r="F24" s="428" t="s">
        <v>12</v>
      </c>
      <c r="G24" s="429"/>
      <c r="H24" s="397">
        <f>IF(B24="","",COUNTIF('KQ đo kiểm Speedtest'!O:O,B24))</f>
        <v>28</v>
      </c>
      <c r="I24" s="398" t="str">
        <f t="shared" ca="1" si="0"/>
        <v>Đã hoàn thành</v>
      </c>
      <c r="J24" s="399">
        <f t="shared" ca="1" si="1"/>
        <v>1</v>
      </c>
      <c r="K24" s="420"/>
      <c r="L24" s="421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1"/>
      <c r="AA24" s="421"/>
      <c r="AB24" s="421"/>
    </row>
    <row r="25" spans="1:28" ht="15.75" customHeight="1">
      <c r="A25" s="422" t="e">
        <f t="shared" ca="1" si="2"/>
        <v>#VALUE!</v>
      </c>
      <c r="B25" s="423" t="s">
        <v>564</v>
      </c>
      <c r="C25" s="424">
        <v>911917719</v>
      </c>
      <c r="D25" s="423" t="s">
        <v>565</v>
      </c>
      <c r="E25" s="425" t="s">
        <v>566</v>
      </c>
      <c r="F25" s="424" t="s">
        <v>12</v>
      </c>
      <c r="G25" s="426" t="s">
        <v>552</v>
      </c>
      <c r="H25" s="397">
        <f>IF(B25="","",COUNTIF('KQ đo kiểm Speedtest'!O:O,B25))</f>
        <v>0</v>
      </c>
      <c r="I25" s="398" t="str">
        <f t="shared" ca="1" si="0"/>
        <v>Chưa thực hiện</v>
      </c>
      <c r="J25" s="399">
        <f t="shared" ca="1" si="1"/>
        <v>0</v>
      </c>
      <c r="K25" s="420"/>
      <c r="L25" s="421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1"/>
      <c r="AA25" s="421"/>
      <c r="AB25" s="421"/>
    </row>
    <row r="26" spans="1:28" ht="15.75" customHeight="1">
      <c r="A26" s="422" t="e">
        <f t="shared" ca="1" si="2"/>
        <v>#VALUE!</v>
      </c>
      <c r="B26" s="423" t="s">
        <v>567</v>
      </c>
      <c r="C26" s="424">
        <v>912223973</v>
      </c>
      <c r="D26" s="423" t="s">
        <v>568</v>
      </c>
      <c r="E26" s="430" t="s">
        <v>569</v>
      </c>
      <c r="F26" s="424" t="s">
        <v>12</v>
      </c>
      <c r="G26" s="426"/>
      <c r="H26" s="397">
        <f>IF(B26="","",COUNTIF('KQ đo kiểm Speedtest'!O:O,B26))</f>
        <v>23</v>
      </c>
      <c r="I26" s="398" t="str">
        <f t="shared" ca="1" si="0"/>
        <v>Đã hoàn thành</v>
      </c>
      <c r="J26" s="399">
        <f t="shared" ca="1" si="1"/>
        <v>1</v>
      </c>
      <c r="K26" s="420"/>
      <c r="L26" s="421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21"/>
      <c r="X26" s="421"/>
      <c r="Y26" s="421"/>
      <c r="Z26" s="421"/>
      <c r="AA26" s="421"/>
      <c r="AB26" s="421"/>
    </row>
    <row r="27" spans="1:28" ht="15.75" customHeight="1">
      <c r="A27" s="422" t="e">
        <f t="shared" ca="1" si="2"/>
        <v>#VALUE!</v>
      </c>
      <c r="B27" s="423" t="s">
        <v>570</v>
      </c>
      <c r="C27" s="431" t="s">
        <v>571</v>
      </c>
      <c r="D27" s="423" t="s">
        <v>572</v>
      </c>
      <c r="E27" s="425" t="s">
        <v>573</v>
      </c>
      <c r="F27" s="424" t="s">
        <v>12</v>
      </c>
      <c r="G27" s="426" t="s">
        <v>552</v>
      </c>
      <c r="H27" s="397">
        <f>IF(B27="","",COUNTIF('KQ đo kiểm Speedtest'!O:O,B27))</f>
        <v>0</v>
      </c>
      <c r="I27" s="398" t="str">
        <f t="shared" ca="1" si="0"/>
        <v>Chưa thực hiện</v>
      </c>
      <c r="J27" s="399">
        <f t="shared" ca="1" si="1"/>
        <v>0</v>
      </c>
      <c r="K27" s="420"/>
      <c r="L27" s="421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1"/>
    </row>
    <row r="28" spans="1:28" ht="15.75" customHeight="1">
      <c r="A28" s="422" t="e">
        <f t="shared" ca="1" si="2"/>
        <v>#VALUE!</v>
      </c>
      <c r="B28" s="423" t="s">
        <v>574</v>
      </c>
      <c r="C28" s="424">
        <v>945796839</v>
      </c>
      <c r="D28" s="423" t="s">
        <v>575</v>
      </c>
      <c r="E28" s="425" t="s">
        <v>576</v>
      </c>
      <c r="F28" s="424" t="s">
        <v>12</v>
      </c>
      <c r="G28" s="426" t="s">
        <v>552</v>
      </c>
      <c r="H28" s="397">
        <f>IF(B28="","",COUNTIF('KQ đo kiểm Speedtest'!O:O,B28))</f>
        <v>7</v>
      </c>
      <c r="I28" s="398" t="str">
        <f t="shared" ca="1" si="0"/>
        <v>Chưa đủ mẫu đo</v>
      </c>
      <c r="J28" s="399">
        <f t="shared" ca="1" si="1"/>
        <v>0</v>
      </c>
      <c r="K28" s="420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</row>
    <row r="29" spans="1:28" ht="15.75" customHeight="1">
      <c r="A29" s="422" t="e">
        <f t="shared" ca="1" si="2"/>
        <v>#VALUE!</v>
      </c>
      <c r="B29" s="423" t="s">
        <v>577</v>
      </c>
      <c r="C29" s="424">
        <v>916245738</v>
      </c>
      <c r="D29" s="423" t="s">
        <v>578</v>
      </c>
      <c r="E29" s="425" t="s">
        <v>579</v>
      </c>
      <c r="F29" s="424" t="s">
        <v>12</v>
      </c>
      <c r="G29" s="426" t="s">
        <v>552</v>
      </c>
      <c r="H29" s="397">
        <f>IF(B29="","",COUNTIF('KQ đo kiểm Speedtest'!O:O,B29))</f>
        <v>3</v>
      </c>
      <c r="I29" s="398" t="str">
        <f t="shared" ca="1" si="0"/>
        <v>Chưa đủ mẫu đo</v>
      </c>
      <c r="J29" s="399">
        <f t="shared" ca="1" si="1"/>
        <v>0</v>
      </c>
      <c r="K29" s="420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</row>
    <row r="30" spans="1:28" ht="15.75" customHeight="1">
      <c r="A30" s="422" t="e">
        <f t="shared" ca="1" si="2"/>
        <v>#VALUE!</v>
      </c>
      <c r="B30" s="423" t="s">
        <v>580</v>
      </c>
      <c r="C30" s="424">
        <v>941202345</v>
      </c>
      <c r="D30" s="423" t="s">
        <v>581</v>
      </c>
      <c r="E30" s="425" t="s">
        <v>582</v>
      </c>
      <c r="F30" s="424" t="s">
        <v>12</v>
      </c>
      <c r="G30" s="426"/>
      <c r="H30" s="397">
        <f>IF(B30="","",COUNTIF('KQ đo kiểm Speedtest'!O:O,B30))</f>
        <v>2</v>
      </c>
      <c r="I30" s="398" t="str">
        <f t="shared" ca="1" si="0"/>
        <v>Chưa đủ mẫu đo</v>
      </c>
      <c r="J30" s="399">
        <f t="shared" ca="1" si="1"/>
        <v>0</v>
      </c>
      <c r="K30" s="420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</row>
    <row r="31" spans="1:28" ht="15.75" customHeight="1">
      <c r="A31" s="422" t="e">
        <f t="shared" ca="1" si="2"/>
        <v>#VALUE!</v>
      </c>
      <c r="B31" s="423" t="s">
        <v>583</v>
      </c>
      <c r="C31" s="424">
        <v>819577699</v>
      </c>
      <c r="D31" s="423"/>
      <c r="E31" s="432"/>
      <c r="F31" s="424" t="s">
        <v>12</v>
      </c>
      <c r="G31" s="426" t="s">
        <v>552</v>
      </c>
      <c r="H31" s="397">
        <f>IF(B31="","",COUNTIF('KQ đo kiểm Speedtest'!O:O,B31))</f>
        <v>0</v>
      </c>
      <c r="I31" s="398" t="str">
        <f t="shared" ca="1" si="0"/>
        <v>Chưa thực hiện</v>
      </c>
      <c r="J31" s="399">
        <f t="shared" ca="1" si="1"/>
        <v>0</v>
      </c>
      <c r="K31" s="420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</row>
    <row r="32" spans="1:28" ht="15.75" customHeight="1">
      <c r="A32" s="422" t="e">
        <f t="shared" ca="1" si="2"/>
        <v>#VALUE!</v>
      </c>
      <c r="B32" s="423" t="s">
        <v>584</v>
      </c>
      <c r="C32" s="424">
        <v>853837837</v>
      </c>
      <c r="D32" s="423" t="s">
        <v>585</v>
      </c>
      <c r="E32" s="430" t="s">
        <v>586</v>
      </c>
      <c r="F32" s="424" t="s">
        <v>12</v>
      </c>
      <c r="G32" s="426" t="s">
        <v>552</v>
      </c>
      <c r="H32" s="397">
        <f>IF(B32="","",COUNTIF('KQ đo kiểm Speedtest'!O:O,B32))</f>
        <v>10</v>
      </c>
      <c r="I32" s="398" t="str">
        <f t="shared" ca="1" si="0"/>
        <v>Đã hoàn thành</v>
      </c>
      <c r="J32" s="399">
        <f t="shared" ca="1" si="1"/>
        <v>1</v>
      </c>
      <c r="K32" s="420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</row>
    <row r="33" spans="1:28" ht="15.75" customHeight="1">
      <c r="A33" s="422" t="str">
        <f t="shared" ca="1" si="2"/>
        <v/>
      </c>
      <c r="B33" s="423"/>
      <c r="C33" s="424"/>
      <c r="D33" s="423"/>
      <c r="E33" s="433"/>
      <c r="F33" s="424"/>
      <c r="G33" s="426"/>
      <c r="H33" s="397" t="str">
        <f>IF(B33="","",COUNTIF('KQ đo kiểm Speedtest'!O:O,B33))</f>
        <v/>
      </c>
      <c r="I33" s="398" t="str">
        <f t="shared" ca="1" si="0"/>
        <v/>
      </c>
      <c r="J33" s="399" t="str">
        <f t="shared" ca="1" si="1"/>
        <v/>
      </c>
      <c r="K33" s="420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</row>
    <row r="34" spans="1:28" ht="15.75" customHeight="1">
      <c r="A34" s="422" t="str">
        <f t="shared" ca="1" si="2"/>
        <v/>
      </c>
      <c r="B34" s="423"/>
      <c r="C34" s="424"/>
      <c r="D34" s="423"/>
      <c r="E34" s="433"/>
      <c r="F34" s="424"/>
      <c r="G34" s="426"/>
      <c r="H34" s="397" t="str">
        <f>IF(B34="","",COUNTIF('KQ đo kiểm Speedtest'!O:O,B34))</f>
        <v/>
      </c>
      <c r="I34" s="398" t="str">
        <f t="shared" ca="1" si="0"/>
        <v/>
      </c>
      <c r="J34" s="399" t="str">
        <f t="shared" ca="1" si="1"/>
        <v/>
      </c>
      <c r="K34" s="420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</row>
    <row r="35" spans="1:28" ht="15.75" customHeight="1">
      <c r="A35" s="422" t="str">
        <f t="shared" ca="1" si="2"/>
        <v/>
      </c>
      <c r="B35" s="423"/>
      <c r="C35" s="424"/>
      <c r="D35" s="423"/>
      <c r="E35" s="434"/>
      <c r="F35" s="424"/>
      <c r="G35" s="426"/>
      <c r="H35" s="397" t="str">
        <f>IF(B35="","",COUNTIF('KQ đo kiểm Speedtest'!O:O,B35))</f>
        <v/>
      </c>
      <c r="I35" s="398" t="str">
        <f t="shared" ca="1" si="0"/>
        <v/>
      </c>
      <c r="J35" s="399" t="str">
        <f t="shared" ca="1" si="1"/>
        <v/>
      </c>
      <c r="K35" s="420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</row>
    <row r="36" spans="1:28" ht="15.75" customHeight="1">
      <c r="A36" s="422" t="str">
        <f t="shared" ca="1" si="2"/>
        <v/>
      </c>
      <c r="B36" s="423"/>
      <c r="C36" s="424"/>
      <c r="D36" s="423"/>
      <c r="E36" s="434"/>
      <c r="F36" s="424"/>
      <c r="G36" s="426"/>
      <c r="H36" s="397" t="str">
        <f>IF(B36="","",COUNTIF('KQ đo kiểm Speedtest'!O:O,B36))</f>
        <v/>
      </c>
      <c r="I36" s="398" t="str">
        <f t="shared" ca="1" si="0"/>
        <v/>
      </c>
      <c r="J36" s="399" t="str">
        <f t="shared" ca="1" si="1"/>
        <v/>
      </c>
      <c r="K36" s="420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</row>
    <row r="37" spans="1:28" ht="15.75" customHeight="1">
      <c r="A37" s="435" t="str">
        <f t="shared" ca="1" si="2"/>
        <v/>
      </c>
      <c r="B37" s="436"/>
      <c r="C37" s="437"/>
      <c r="D37" s="436"/>
      <c r="E37" s="438"/>
      <c r="F37" s="437"/>
      <c r="G37" s="439"/>
      <c r="H37" s="397" t="str">
        <f>IF(B37="","",COUNTIF('KQ đo kiểm Speedtest'!O:O,B37))</f>
        <v/>
      </c>
      <c r="I37" s="398" t="str">
        <f t="shared" ca="1" si="0"/>
        <v/>
      </c>
      <c r="J37" s="399" t="str">
        <f t="shared" ca="1" si="1"/>
        <v/>
      </c>
      <c r="K37" s="420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</row>
    <row r="38" spans="1:28" ht="15.75" customHeight="1">
      <c r="A38" s="440" t="e">
        <f t="shared" ca="1" si="2"/>
        <v>#VALUE!</v>
      </c>
      <c r="B38" s="441" t="s">
        <v>587</v>
      </c>
      <c r="C38" s="442">
        <v>942900404</v>
      </c>
      <c r="D38" s="441" t="s">
        <v>588</v>
      </c>
      <c r="E38" s="443" t="s">
        <v>589</v>
      </c>
      <c r="F38" s="442" t="s">
        <v>13</v>
      </c>
      <c r="G38" s="444" t="s">
        <v>552</v>
      </c>
      <c r="H38" s="397">
        <f>IF(B38="","",COUNTIF('KQ đo kiểm Speedtest'!O:O,B38))</f>
        <v>0</v>
      </c>
      <c r="I38" s="398" t="str">
        <f t="shared" ca="1" si="0"/>
        <v>Chưa thực hiện</v>
      </c>
      <c r="J38" s="399">
        <f t="shared" ca="1" si="1"/>
        <v>0</v>
      </c>
      <c r="K38" s="394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</row>
    <row r="39" spans="1:28" ht="15.75" customHeight="1">
      <c r="A39" s="445" t="e">
        <f t="shared" ca="1" si="2"/>
        <v>#VALUE!</v>
      </c>
      <c r="B39" s="446" t="s">
        <v>590</v>
      </c>
      <c r="C39" s="447">
        <v>888444008</v>
      </c>
      <c r="D39" s="446" t="s">
        <v>552</v>
      </c>
      <c r="E39" s="448" t="s">
        <v>552</v>
      </c>
      <c r="F39" s="447" t="s">
        <v>13</v>
      </c>
      <c r="G39" s="449" t="s">
        <v>552</v>
      </c>
      <c r="H39" s="397">
        <f>IF(B39="","",COUNTIF('KQ đo kiểm Speedtest'!O:O,B39))</f>
        <v>0</v>
      </c>
      <c r="I39" s="398" t="str">
        <f t="shared" ca="1" si="0"/>
        <v>Chưa thực hiện</v>
      </c>
      <c r="J39" s="399">
        <f t="shared" ca="1" si="1"/>
        <v>0</v>
      </c>
      <c r="K39" s="394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</row>
    <row r="40" spans="1:28" ht="15.75" customHeight="1">
      <c r="A40" s="445" t="e">
        <f t="shared" ca="1" si="2"/>
        <v>#VALUE!</v>
      </c>
      <c r="B40" s="446" t="s">
        <v>591</v>
      </c>
      <c r="C40" s="447">
        <v>835159879</v>
      </c>
      <c r="D40" s="446" t="s">
        <v>592</v>
      </c>
      <c r="E40" s="450" t="s">
        <v>593</v>
      </c>
      <c r="F40" s="447" t="s">
        <v>13</v>
      </c>
      <c r="G40" s="449"/>
      <c r="H40" s="397">
        <f>IF(B40="","",COUNTIF('KQ đo kiểm Speedtest'!O:O,B40))</f>
        <v>18</v>
      </c>
      <c r="I40" s="398" t="str">
        <f t="shared" ca="1" si="0"/>
        <v>Đã hoàn thành</v>
      </c>
      <c r="J40" s="399">
        <f t="shared" ca="1" si="1"/>
        <v>1</v>
      </c>
      <c r="K40" s="394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</row>
    <row r="41" spans="1:28" ht="15.75" customHeight="1">
      <c r="A41" s="445" t="e">
        <f t="shared" ca="1" si="2"/>
        <v>#VALUE!</v>
      </c>
      <c r="B41" s="446" t="s">
        <v>594</v>
      </c>
      <c r="C41" s="447">
        <v>812456561</v>
      </c>
      <c r="D41" s="446" t="s">
        <v>595</v>
      </c>
      <c r="E41" s="450" t="s">
        <v>596</v>
      </c>
      <c r="F41" s="447" t="s">
        <v>13</v>
      </c>
      <c r="G41" s="449" t="s">
        <v>552</v>
      </c>
      <c r="H41" s="397">
        <f>IF(B41="","",COUNTIF('KQ đo kiểm Speedtest'!O:O,B41))</f>
        <v>22</v>
      </c>
      <c r="I41" s="398" t="str">
        <f t="shared" ca="1" si="0"/>
        <v>Đã hoàn thành</v>
      </c>
      <c r="J41" s="399">
        <f t="shared" ca="1" si="1"/>
        <v>1</v>
      </c>
      <c r="K41" s="394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</row>
    <row r="42" spans="1:28" ht="15.75" customHeight="1">
      <c r="A42" s="445" t="e">
        <f t="shared" ca="1" si="2"/>
        <v>#VALUE!</v>
      </c>
      <c r="B42" s="446" t="s">
        <v>597</v>
      </c>
      <c r="C42" s="447">
        <v>824903077</v>
      </c>
      <c r="D42" s="446" t="s">
        <v>598</v>
      </c>
      <c r="E42" s="450" t="s">
        <v>599</v>
      </c>
      <c r="F42" s="447" t="s">
        <v>13</v>
      </c>
      <c r="G42" s="449"/>
      <c r="H42" s="397">
        <f>IF(B42="","",COUNTIF('KQ đo kiểm Speedtest'!O:O,B42))</f>
        <v>15</v>
      </c>
      <c r="I42" s="398" t="str">
        <f t="shared" ca="1" si="0"/>
        <v>Đã hoàn thành</v>
      </c>
      <c r="J42" s="399">
        <f t="shared" ca="1" si="1"/>
        <v>1</v>
      </c>
      <c r="K42" s="394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</row>
    <row r="43" spans="1:28" ht="15.75" customHeight="1">
      <c r="A43" s="445" t="e">
        <f t="shared" ca="1" si="2"/>
        <v>#VALUE!</v>
      </c>
      <c r="B43" s="446" t="s">
        <v>600</v>
      </c>
      <c r="C43" s="447">
        <v>948308539</v>
      </c>
      <c r="D43" s="446" t="s">
        <v>601</v>
      </c>
      <c r="E43" s="450" t="s">
        <v>602</v>
      </c>
      <c r="F43" s="447" t="s">
        <v>13</v>
      </c>
      <c r="G43" s="449"/>
      <c r="H43" s="397">
        <f>IF(B43="","",COUNTIF('KQ đo kiểm Speedtest'!O:O,B43))</f>
        <v>0</v>
      </c>
      <c r="I43" s="398" t="str">
        <f t="shared" ca="1" si="0"/>
        <v>Chưa thực hiện</v>
      </c>
      <c r="J43" s="399">
        <f t="shared" ca="1" si="1"/>
        <v>0</v>
      </c>
      <c r="K43" s="394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</row>
    <row r="44" spans="1:28" ht="15.75" customHeight="1">
      <c r="A44" s="445" t="e">
        <f t="shared" ca="1" si="2"/>
        <v>#VALUE!</v>
      </c>
      <c r="B44" s="446" t="s">
        <v>603</v>
      </c>
      <c r="C44" s="447">
        <v>917088072</v>
      </c>
      <c r="D44" s="446" t="s">
        <v>604</v>
      </c>
      <c r="E44" s="450" t="s">
        <v>605</v>
      </c>
      <c r="F44" s="447" t="s">
        <v>13</v>
      </c>
      <c r="G44" s="449"/>
      <c r="H44" s="397">
        <f>IF(B44="","",COUNTIF('KQ đo kiểm Speedtest'!O:O,B44))</f>
        <v>25</v>
      </c>
      <c r="I44" s="398" t="str">
        <f t="shared" ca="1" si="0"/>
        <v>Đã hoàn thành</v>
      </c>
      <c r="J44" s="399">
        <f t="shared" ca="1" si="1"/>
        <v>1</v>
      </c>
      <c r="K44" s="394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</row>
    <row r="45" spans="1:28" ht="15.75" customHeight="1">
      <c r="A45" s="445" t="e">
        <f t="shared" ca="1" si="2"/>
        <v>#VALUE!</v>
      </c>
      <c r="B45" s="446" t="s">
        <v>606</v>
      </c>
      <c r="C45" s="447">
        <v>949502705</v>
      </c>
      <c r="D45" s="446" t="s">
        <v>607</v>
      </c>
      <c r="E45" s="450" t="s">
        <v>608</v>
      </c>
      <c r="F45" s="447" t="s">
        <v>13</v>
      </c>
      <c r="G45" s="449" t="s">
        <v>552</v>
      </c>
      <c r="H45" s="397">
        <f>IF(B45="","",COUNTIF('KQ đo kiểm Speedtest'!O:O,B45))</f>
        <v>16</v>
      </c>
      <c r="I45" s="398" t="str">
        <f t="shared" ca="1" si="0"/>
        <v>Đã hoàn thành</v>
      </c>
      <c r="J45" s="399">
        <f t="shared" ca="1" si="1"/>
        <v>1</v>
      </c>
      <c r="K45" s="394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</row>
    <row r="46" spans="1:28" ht="15.75" customHeight="1">
      <c r="A46" s="445" t="e">
        <f t="shared" ca="1" si="2"/>
        <v>#VALUE!</v>
      </c>
      <c r="B46" s="446" t="s">
        <v>609</v>
      </c>
      <c r="C46" s="447">
        <v>946432493</v>
      </c>
      <c r="D46" s="446" t="s">
        <v>610</v>
      </c>
      <c r="E46" s="450" t="s">
        <v>611</v>
      </c>
      <c r="F46" s="447" t="s">
        <v>13</v>
      </c>
      <c r="G46" s="449" t="s">
        <v>552</v>
      </c>
      <c r="H46" s="397">
        <f>IF(B46="","",COUNTIF('KQ đo kiểm Speedtest'!O:O,B46))</f>
        <v>17</v>
      </c>
      <c r="I46" s="398" t="str">
        <f t="shared" ca="1" si="0"/>
        <v>Đã hoàn thành</v>
      </c>
      <c r="J46" s="399">
        <f t="shared" ca="1" si="1"/>
        <v>1</v>
      </c>
      <c r="K46" s="394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</row>
    <row r="47" spans="1:28" ht="15.75" customHeight="1">
      <c r="A47" s="445" t="e">
        <f t="shared" ca="1" si="2"/>
        <v>#VALUE!</v>
      </c>
      <c r="B47" s="446" t="s">
        <v>612</v>
      </c>
      <c r="C47" s="447">
        <v>919990052</v>
      </c>
      <c r="D47" s="446" t="s">
        <v>613</v>
      </c>
      <c r="E47" s="450" t="s">
        <v>614</v>
      </c>
      <c r="F47" s="447" t="s">
        <v>13</v>
      </c>
      <c r="G47" s="449" t="s">
        <v>552</v>
      </c>
      <c r="H47" s="397">
        <f>IF(B47="","",COUNTIF('KQ đo kiểm Speedtest'!O:O,B47))</f>
        <v>20</v>
      </c>
      <c r="I47" s="398" t="str">
        <f t="shared" ca="1" si="0"/>
        <v>Đã hoàn thành</v>
      </c>
      <c r="J47" s="399">
        <f t="shared" ca="1" si="1"/>
        <v>1</v>
      </c>
      <c r="K47" s="394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</row>
    <row r="48" spans="1:28" ht="15.75" customHeight="1">
      <c r="A48" s="445" t="e">
        <f t="shared" ca="1" si="2"/>
        <v>#VALUE!</v>
      </c>
      <c r="B48" s="446" t="s">
        <v>615</v>
      </c>
      <c r="C48" s="447">
        <v>915502804</v>
      </c>
      <c r="D48" s="446" t="s">
        <v>616</v>
      </c>
      <c r="E48" s="450" t="s">
        <v>617</v>
      </c>
      <c r="F48" s="447" t="s">
        <v>13</v>
      </c>
      <c r="G48" s="449"/>
      <c r="H48" s="397">
        <f>IF(B48="","",COUNTIF('KQ đo kiểm Speedtest'!O:O,B48))</f>
        <v>25</v>
      </c>
      <c r="I48" s="398" t="str">
        <f t="shared" ca="1" si="0"/>
        <v>Đã hoàn thành</v>
      </c>
      <c r="J48" s="399">
        <f t="shared" ca="1" si="1"/>
        <v>1</v>
      </c>
      <c r="K48" s="394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</row>
    <row r="49" spans="1:28" ht="15.75" customHeight="1">
      <c r="A49" s="445" t="e">
        <f t="shared" ca="1" si="2"/>
        <v>#VALUE!</v>
      </c>
      <c r="B49" s="451" t="s">
        <v>618</v>
      </c>
      <c r="C49" s="452">
        <v>828585258</v>
      </c>
      <c r="D49" s="451" t="s">
        <v>619</v>
      </c>
      <c r="E49" s="450" t="s">
        <v>620</v>
      </c>
      <c r="F49" s="452" t="s">
        <v>13</v>
      </c>
      <c r="G49" s="453"/>
      <c r="H49" s="397">
        <f>IF(B49="","",COUNTIF('KQ đo kiểm Speedtest'!O:O,B49))</f>
        <v>13</v>
      </c>
      <c r="I49" s="398" t="str">
        <f t="shared" ca="1" si="0"/>
        <v>Đã hoàn thành</v>
      </c>
      <c r="J49" s="399">
        <f t="shared" ca="1" si="1"/>
        <v>1</v>
      </c>
      <c r="K49" s="394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</row>
    <row r="50" spans="1:28" ht="15.75" customHeight="1">
      <c r="A50" s="445" t="e">
        <f t="shared" ca="1" si="2"/>
        <v>#VALUE!</v>
      </c>
      <c r="B50" s="446" t="s">
        <v>621</v>
      </c>
      <c r="C50" s="447">
        <v>833406690</v>
      </c>
      <c r="D50" s="446" t="s">
        <v>622</v>
      </c>
      <c r="E50" s="450" t="s">
        <v>623</v>
      </c>
      <c r="F50" s="447" t="s">
        <v>13</v>
      </c>
      <c r="G50" s="449" t="s">
        <v>552</v>
      </c>
      <c r="H50" s="397">
        <f>IF(B50="","",COUNTIF('KQ đo kiểm Speedtest'!O:O,B50))</f>
        <v>10</v>
      </c>
      <c r="I50" s="398" t="str">
        <f t="shared" ca="1" si="0"/>
        <v>Đã hoàn thành</v>
      </c>
      <c r="J50" s="399">
        <f t="shared" ca="1" si="1"/>
        <v>1</v>
      </c>
      <c r="K50" s="394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</row>
    <row r="51" spans="1:28" ht="15.75" customHeight="1">
      <c r="A51" s="445" t="e">
        <f t="shared" ca="1" si="2"/>
        <v>#VALUE!</v>
      </c>
      <c r="B51" s="446" t="s">
        <v>624</v>
      </c>
      <c r="C51" s="447">
        <v>919256783</v>
      </c>
      <c r="D51" s="446" t="s">
        <v>625</v>
      </c>
      <c r="E51" s="450" t="s">
        <v>626</v>
      </c>
      <c r="F51" s="447" t="s">
        <v>13</v>
      </c>
      <c r="G51" s="449"/>
      <c r="H51" s="397">
        <f>IF(B51="","",COUNTIF('KQ đo kiểm Speedtest'!O:O,B51))</f>
        <v>18</v>
      </c>
      <c r="I51" s="398" t="str">
        <f t="shared" ca="1" si="0"/>
        <v>Đã hoàn thành</v>
      </c>
      <c r="J51" s="399">
        <f t="shared" ca="1" si="1"/>
        <v>1</v>
      </c>
      <c r="K51" s="394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</row>
    <row r="52" spans="1:28" ht="15.75" customHeight="1">
      <c r="A52" s="445" t="e">
        <f t="shared" ca="1" si="2"/>
        <v>#VALUE!</v>
      </c>
      <c r="B52" s="454" t="s">
        <v>233</v>
      </c>
      <c r="C52" s="447">
        <v>912172101</v>
      </c>
      <c r="D52" s="454" t="s">
        <v>627</v>
      </c>
      <c r="E52" s="450" t="s">
        <v>628</v>
      </c>
      <c r="F52" s="447" t="s">
        <v>13</v>
      </c>
      <c r="G52" s="455"/>
      <c r="H52" s="397">
        <f>IF(B52="","",COUNTIF('KQ đo kiểm Speedtest'!O:O,B52))</f>
        <v>0</v>
      </c>
      <c r="I52" s="398" t="str">
        <f t="shared" ca="1" si="0"/>
        <v>Chưa thực hiện</v>
      </c>
      <c r="J52" s="399">
        <f t="shared" ca="1" si="1"/>
        <v>0</v>
      </c>
      <c r="K52" s="456" t="s">
        <v>629</v>
      </c>
      <c r="L52" s="457"/>
      <c r="M52" s="457"/>
      <c r="N52" s="457"/>
      <c r="O52" s="457"/>
      <c r="P52" s="457"/>
      <c r="Q52" s="457"/>
      <c r="R52" s="457"/>
      <c r="S52" s="457"/>
      <c r="T52" s="457"/>
      <c r="U52" s="457"/>
      <c r="V52" s="457"/>
      <c r="W52" s="457"/>
      <c r="X52" s="457"/>
      <c r="Y52" s="457"/>
      <c r="Z52" s="457"/>
      <c r="AA52" s="457"/>
      <c r="AB52" s="457"/>
    </row>
    <row r="53" spans="1:28" ht="15.75" customHeight="1">
      <c r="A53" s="445" t="str">
        <f t="shared" ca="1" si="2"/>
        <v/>
      </c>
      <c r="B53" s="454"/>
      <c r="C53" s="447"/>
      <c r="D53" s="454"/>
      <c r="E53" s="454"/>
      <c r="F53" s="447"/>
      <c r="G53" s="455"/>
      <c r="H53" s="397" t="str">
        <f>IF(B53="","",COUNTIF('KQ đo kiểm Speedtest'!O:O,B53))</f>
        <v/>
      </c>
      <c r="I53" s="398" t="str">
        <f t="shared" ca="1" si="0"/>
        <v/>
      </c>
      <c r="J53" s="399" t="str">
        <f t="shared" ca="1" si="1"/>
        <v/>
      </c>
      <c r="K53" s="456"/>
      <c r="L53" s="457"/>
      <c r="M53" s="457"/>
      <c r="N53" s="457"/>
      <c r="O53" s="457"/>
      <c r="P53" s="457"/>
      <c r="Q53" s="457"/>
      <c r="R53" s="457"/>
      <c r="S53" s="457"/>
      <c r="T53" s="457"/>
      <c r="U53" s="457"/>
      <c r="V53" s="457"/>
      <c r="W53" s="457"/>
      <c r="X53" s="457"/>
      <c r="Y53" s="457"/>
      <c r="Z53" s="457"/>
      <c r="AA53" s="457"/>
      <c r="AB53" s="457"/>
    </row>
    <row r="54" spans="1:28" ht="15.75" customHeight="1">
      <c r="A54" s="445" t="str">
        <f t="shared" ca="1" si="2"/>
        <v/>
      </c>
      <c r="B54" s="454"/>
      <c r="C54" s="447"/>
      <c r="D54" s="454"/>
      <c r="E54" s="454"/>
      <c r="F54" s="447"/>
      <c r="G54" s="455"/>
      <c r="H54" s="397" t="str">
        <f>IF(B54="","",COUNTIF('KQ đo kiểm Speedtest'!O:O,B54))</f>
        <v/>
      </c>
      <c r="I54" s="398" t="str">
        <f t="shared" ca="1" si="0"/>
        <v/>
      </c>
      <c r="J54" s="399" t="str">
        <f t="shared" ca="1" si="1"/>
        <v/>
      </c>
      <c r="K54" s="456"/>
      <c r="L54" s="457"/>
      <c r="M54" s="457"/>
      <c r="N54" s="457"/>
      <c r="O54" s="457"/>
      <c r="P54" s="457"/>
      <c r="Q54" s="457"/>
      <c r="R54" s="457"/>
      <c r="S54" s="457"/>
      <c r="T54" s="457"/>
      <c r="U54" s="457"/>
      <c r="V54" s="457"/>
      <c r="W54" s="457"/>
      <c r="X54" s="457"/>
      <c r="Y54" s="457"/>
      <c r="Z54" s="457"/>
      <c r="AA54" s="457"/>
      <c r="AB54" s="457"/>
    </row>
    <row r="55" spans="1:28" ht="15.75" customHeight="1">
      <c r="A55" s="458" t="str">
        <f t="shared" ca="1" si="2"/>
        <v/>
      </c>
      <c r="B55" s="459"/>
      <c r="C55" s="460"/>
      <c r="D55" s="459"/>
      <c r="E55" s="459"/>
      <c r="F55" s="460"/>
      <c r="G55" s="461"/>
      <c r="H55" s="397" t="str">
        <f>IF(B55="","",COUNTIF('KQ đo kiểm Speedtest'!O:O,B55))</f>
        <v/>
      </c>
      <c r="I55" s="398" t="str">
        <f t="shared" ca="1" si="0"/>
        <v/>
      </c>
      <c r="J55" s="399" t="str">
        <f t="shared" ca="1" si="1"/>
        <v/>
      </c>
      <c r="K55" s="456"/>
      <c r="L55" s="457"/>
      <c r="M55" s="457"/>
      <c r="N55" s="457"/>
      <c r="O55" s="457"/>
      <c r="P55" s="457"/>
      <c r="Q55" s="457"/>
      <c r="R55" s="457"/>
      <c r="S55" s="457"/>
      <c r="T55" s="457"/>
      <c r="U55" s="457"/>
      <c r="V55" s="457"/>
      <c r="W55" s="457"/>
      <c r="X55" s="457"/>
      <c r="Y55" s="457"/>
      <c r="Z55" s="457"/>
      <c r="AA55" s="457"/>
      <c r="AB55" s="457"/>
    </row>
    <row r="56" spans="1:28" ht="15.75" customHeight="1">
      <c r="A56" s="462" t="e">
        <f t="shared" ca="1" si="2"/>
        <v>#VALUE!</v>
      </c>
      <c r="B56" s="463" t="s">
        <v>630</v>
      </c>
      <c r="C56" s="464">
        <v>949786476</v>
      </c>
      <c r="D56" s="463" t="s">
        <v>631</v>
      </c>
      <c r="E56" s="465" t="s">
        <v>632</v>
      </c>
      <c r="F56" s="464" t="s">
        <v>14</v>
      </c>
      <c r="G56" s="466"/>
      <c r="H56" s="397">
        <f>IF(B56="","",COUNTIF('KQ đo kiểm Speedtest'!O:O,B56))</f>
        <v>21</v>
      </c>
      <c r="I56" s="398" t="str">
        <f t="shared" ca="1" si="0"/>
        <v>Đã hoàn thành</v>
      </c>
      <c r="J56" s="399">
        <f t="shared" ca="1" si="1"/>
        <v>1</v>
      </c>
      <c r="K56" s="394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</row>
    <row r="57" spans="1:28" ht="15.75" customHeight="1">
      <c r="A57" s="467" t="e">
        <f t="shared" ca="1" si="2"/>
        <v>#VALUE!</v>
      </c>
      <c r="B57" s="468" t="s">
        <v>633</v>
      </c>
      <c r="C57" s="469">
        <v>857850260</v>
      </c>
      <c r="D57" s="468" t="s">
        <v>634</v>
      </c>
      <c r="E57" s="470" t="s">
        <v>635</v>
      </c>
      <c r="F57" s="469" t="s">
        <v>14</v>
      </c>
      <c r="G57" s="471"/>
      <c r="H57" s="397">
        <f>IF(B57="","",COUNTIF('KQ đo kiểm Speedtest'!O:O,B57))</f>
        <v>0</v>
      </c>
      <c r="I57" s="398" t="str">
        <f t="shared" ca="1" si="0"/>
        <v>Chưa thực hiện</v>
      </c>
      <c r="J57" s="399">
        <f t="shared" ca="1" si="1"/>
        <v>0</v>
      </c>
      <c r="K57" s="394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</row>
    <row r="58" spans="1:28" ht="15.75" customHeight="1">
      <c r="A58" s="467" t="e">
        <f t="shared" ca="1" si="2"/>
        <v>#VALUE!</v>
      </c>
      <c r="B58" s="468" t="s">
        <v>636</v>
      </c>
      <c r="C58" s="469">
        <v>914403881</v>
      </c>
      <c r="D58" s="468" t="s">
        <v>637</v>
      </c>
      <c r="E58" s="470" t="s">
        <v>638</v>
      </c>
      <c r="F58" s="469" t="s">
        <v>14</v>
      </c>
      <c r="G58" s="471"/>
      <c r="H58" s="397">
        <f>IF(B58="","",COUNTIF('KQ đo kiểm Speedtest'!O:O,B58))</f>
        <v>20</v>
      </c>
      <c r="I58" s="398" t="str">
        <f t="shared" ca="1" si="0"/>
        <v>Đã hoàn thành</v>
      </c>
      <c r="J58" s="399">
        <f t="shared" ca="1" si="1"/>
        <v>1</v>
      </c>
      <c r="K58" s="394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</row>
    <row r="59" spans="1:28" ht="15.75" customHeight="1">
      <c r="A59" s="467" t="e">
        <f t="shared" ca="1" si="2"/>
        <v>#VALUE!</v>
      </c>
      <c r="B59" s="468" t="s">
        <v>639</v>
      </c>
      <c r="C59" s="469">
        <v>852038869</v>
      </c>
      <c r="D59" s="468" t="s">
        <v>640</v>
      </c>
      <c r="E59" s="470" t="s">
        <v>641</v>
      </c>
      <c r="F59" s="469" t="s">
        <v>14</v>
      </c>
      <c r="G59" s="471"/>
      <c r="H59" s="397">
        <f>IF(B59="","",COUNTIF('KQ đo kiểm Speedtest'!O:O,B59))</f>
        <v>11</v>
      </c>
      <c r="I59" s="398" t="str">
        <f t="shared" ca="1" si="0"/>
        <v>Đã hoàn thành</v>
      </c>
      <c r="J59" s="399">
        <f t="shared" ca="1" si="1"/>
        <v>1</v>
      </c>
      <c r="K59" s="394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</row>
    <row r="60" spans="1:28" ht="15.75" customHeight="1">
      <c r="A60" s="467" t="e">
        <f t="shared" ca="1" si="2"/>
        <v>#VALUE!</v>
      </c>
      <c r="B60" s="468" t="s">
        <v>642</v>
      </c>
      <c r="C60" s="469">
        <v>917773898</v>
      </c>
      <c r="D60" s="468" t="s">
        <v>643</v>
      </c>
      <c r="E60" s="470" t="s">
        <v>644</v>
      </c>
      <c r="F60" s="469" t="s">
        <v>14</v>
      </c>
      <c r="G60" s="471" t="s">
        <v>552</v>
      </c>
      <c r="H60" s="397">
        <f>IF(B60="","",COUNTIF('KQ đo kiểm Speedtest'!O:O,B60))</f>
        <v>31</v>
      </c>
      <c r="I60" s="398" t="str">
        <f t="shared" ca="1" si="0"/>
        <v>Đã hoàn thành</v>
      </c>
      <c r="J60" s="399">
        <f t="shared" ca="1" si="1"/>
        <v>1</v>
      </c>
      <c r="K60" s="394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</row>
    <row r="61" spans="1:28" ht="15.75" customHeight="1">
      <c r="A61" s="467" t="e">
        <f t="shared" ca="1" si="2"/>
        <v>#VALUE!</v>
      </c>
      <c r="B61" s="468" t="s">
        <v>645</v>
      </c>
      <c r="C61" s="469">
        <v>849215967</v>
      </c>
      <c r="D61" s="468" t="s">
        <v>646</v>
      </c>
      <c r="E61" s="470" t="s">
        <v>647</v>
      </c>
      <c r="F61" s="469" t="s">
        <v>14</v>
      </c>
      <c r="G61" s="471"/>
      <c r="H61" s="397">
        <f>IF(B61="","",COUNTIF('KQ đo kiểm Speedtest'!O:O,B61))</f>
        <v>0</v>
      </c>
      <c r="I61" s="398" t="str">
        <f t="shared" ca="1" si="0"/>
        <v>Chưa thực hiện</v>
      </c>
      <c r="J61" s="399">
        <f t="shared" ca="1" si="1"/>
        <v>0</v>
      </c>
      <c r="K61" s="394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</row>
    <row r="62" spans="1:28" ht="15.75" customHeight="1">
      <c r="A62" s="467" t="e">
        <f t="shared" ca="1" si="2"/>
        <v>#VALUE!</v>
      </c>
      <c r="B62" s="472" t="s">
        <v>648</v>
      </c>
      <c r="C62" s="473">
        <v>949552355</v>
      </c>
      <c r="D62" s="472" t="s">
        <v>649</v>
      </c>
      <c r="E62" s="470" t="s">
        <v>650</v>
      </c>
      <c r="F62" s="473" t="s">
        <v>14</v>
      </c>
      <c r="G62" s="474" t="s">
        <v>552</v>
      </c>
      <c r="H62" s="397">
        <f>IF(B62="","",COUNTIF('KQ đo kiểm Speedtest'!O:O,B62))</f>
        <v>13</v>
      </c>
      <c r="I62" s="398" t="str">
        <f t="shared" ca="1" si="0"/>
        <v>Đã hoàn thành</v>
      </c>
      <c r="J62" s="399">
        <f t="shared" ca="1" si="1"/>
        <v>1</v>
      </c>
      <c r="K62" s="394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</row>
    <row r="63" spans="1:28" ht="15" customHeight="1">
      <c r="A63" s="467" t="e">
        <f t="shared" ca="1" si="2"/>
        <v>#VALUE!</v>
      </c>
      <c r="B63" s="468" t="s">
        <v>651</v>
      </c>
      <c r="C63" s="469">
        <v>846528979</v>
      </c>
      <c r="D63" s="468" t="s">
        <v>652</v>
      </c>
      <c r="E63" s="470" t="s">
        <v>653</v>
      </c>
      <c r="F63" s="469" t="s">
        <v>14</v>
      </c>
      <c r="G63" s="471"/>
      <c r="H63" s="397">
        <f>IF(B63="","",COUNTIF('KQ đo kiểm Speedtest'!O:O,B63))</f>
        <v>17</v>
      </c>
      <c r="I63" s="398" t="str">
        <f t="shared" ca="1" si="0"/>
        <v>Đã hoàn thành</v>
      </c>
      <c r="J63" s="399">
        <f t="shared" ca="1" si="1"/>
        <v>1</v>
      </c>
      <c r="K63" s="394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</row>
    <row r="64" spans="1:28" ht="15.75" customHeight="1">
      <c r="A64" s="467" t="e">
        <f t="shared" ca="1" si="2"/>
        <v>#VALUE!</v>
      </c>
      <c r="B64" s="468" t="s">
        <v>654</v>
      </c>
      <c r="C64" s="469">
        <v>913632800</v>
      </c>
      <c r="D64" s="468" t="s">
        <v>655</v>
      </c>
      <c r="E64" s="470" t="s">
        <v>656</v>
      </c>
      <c r="F64" s="469" t="s">
        <v>14</v>
      </c>
      <c r="G64" s="471" t="s">
        <v>552</v>
      </c>
      <c r="H64" s="397">
        <f>IF(B64="","",COUNTIF('KQ đo kiểm Speedtest'!O:O,B64))</f>
        <v>16</v>
      </c>
      <c r="I64" s="398" t="str">
        <f t="shared" ca="1" si="0"/>
        <v>Đã hoàn thành</v>
      </c>
      <c r="J64" s="399">
        <f t="shared" ca="1" si="1"/>
        <v>1</v>
      </c>
      <c r="K64" s="394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</row>
    <row r="65" spans="1:28" ht="15.75" customHeight="1">
      <c r="A65" s="467" t="e">
        <f t="shared" ca="1" si="2"/>
        <v>#VALUE!</v>
      </c>
      <c r="B65" s="468" t="s">
        <v>657</v>
      </c>
      <c r="C65" s="469">
        <v>945645759</v>
      </c>
      <c r="D65" s="468" t="s">
        <v>658</v>
      </c>
      <c r="E65" s="470" t="s">
        <v>659</v>
      </c>
      <c r="F65" s="469" t="s">
        <v>14</v>
      </c>
      <c r="G65" s="471" t="s">
        <v>552</v>
      </c>
      <c r="H65" s="397">
        <f>IF(B65="","",COUNTIF('KQ đo kiểm Speedtest'!O:O,B65))</f>
        <v>2</v>
      </c>
      <c r="I65" s="398" t="str">
        <f t="shared" ca="1" si="0"/>
        <v>Chưa đủ mẫu đo</v>
      </c>
      <c r="J65" s="399">
        <f t="shared" ca="1" si="1"/>
        <v>0</v>
      </c>
      <c r="K65" s="394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</row>
    <row r="66" spans="1:28" ht="15.75" customHeight="1">
      <c r="A66" s="467" t="e">
        <f t="shared" ca="1" si="2"/>
        <v>#VALUE!</v>
      </c>
      <c r="B66" s="468" t="s">
        <v>660</v>
      </c>
      <c r="C66" s="469">
        <v>826549949</v>
      </c>
      <c r="D66" s="468" t="s">
        <v>661</v>
      </c>
      <c r="E66" s="470" t="s">
        <v>662</v>
      </c>
      <c r="F66" s="469" t="s">
        <v>14</v>
      </c>
      <c r="G66" s="471"/>
      <c r="H66" s="397">
        <f>IF(B66="","",COUNTIF('KQ đo kiểm Speedtest'!O:O,B66))</f>
        <v>0</v>
      </c>
      <c r="I66" s="398" t="str">
        <f t="shared" ca="1" si="0"/>
        <v>Chưa thực hiện</v>
      </c>
      <c r="J66" s="399">
        <f t="shared" ca="1" si="1"/>
        <v>0</v>
      </c>
      <c r="K66" s="394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</row>
    <row r="67" spans="1:28" ht="15.75" customHeight="1">
      <c r="A67" s="467" t="e">
        <f t="shared" ca="1" si="2"/>
        <v>#VALUE!</v>
      </c>
      <c r="B67" s="468" t="s">
        <v>663</v>
      </c>
      <c r="C67" s="469">
        <v>948445577</v>
      </c>
      <c r="D67" s="468" t="s">
        <v>664</v>
      </c>
      <c r="E67" s="470" t="s">
        <v>665</v>
      </c>
      <c r="F67" s="469" t="s">
        <v>14</v>
      </c>
      <c r="G67" s="471" t="s">
        <v>552</v>
      </c>
      <c r="H67" s="397">
        <f>IF(B67="","",COUNTIF('KQ đo kiểm Speedtest'!O:O,B67))</f>
        <v>4</v>
      </c>
      <c r="I67" s="398" t="str">
        <f t="shared" ca="1" si="0"/>
        <v>Chưa đủ mẫu đo</v>
      </c>
      <c r="J67" s="399">
        <f t="shared" ca="1" si="1"/>
        <v>0</v>
      </c>
      <c r="K67" s="394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</row>
    <row r="68" spans="1:28" ht="15.75" customHeight="1">
      <c r="A68" s="467" t="e">
        <f t="shared" ca="1" si="2"/>
        <v>#VALUE!</v>
      </c>
      <c r="B68" s="468" t="s">
        <v>666</v>
      </c>
      <c r="C68" s="469">
        <v>911685484</v>
      </c>
      <c r="D68" s="468" t="s">
        <v>667</v>
      </c>
      <c r="E68" s="470" t="s">
        <v>668</v>
      </c>
      <c r="F68" s="469" t="s">
        <v>14</v>
      </c>
      <c r="G68" s="471" t="s">
        <v>552</v>
      </c>
      <c r="H68" s="397">
        <f>IF(B68="","",COUNTIF('KQ đo kiểm Speedtest'!O:O,B68))</f>
        <v>20</v>
      </c>
      <c r="I68" s="398" t="str">
        <f t="shared" ca="1" si="0"/>
        <v>Đã hoàn thành</v>
      </c>
      <c r="J68" s="399">
        <f t="shared" ca="1" si="1"/>
        <v>1</v>
      </c>
      <c r="K68" s="394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</row>
    <row r="69" spans="1:28" ht="15.75" customHeight="1">
      <c r="A69" s="467" t="e">
        <f t="shared" ca="1" si="2"/>
        <v>#VALUE!</v>
      </c>
      <c r="B69" s="475" t="s">
        <v>669</v>
      </c>
      <c r="C69" s="469">
        <v>839195567</v>
      </c>
      <c r="D69" s="468" t="s">
        <v>670</v>
      </c>
      <c r="E69" s="476"/>
      <c r="F69" s="469" t="s">
        <v>14</v>
      </c>
      <c r="G69" s="471"/>
      <c r="H69" s="397">
        <f>IF(B69="","",COUNTIF('KQ đo kiểm Speedtest'!O:O,B69))</f>
        <v>0</v>
      </c>
      <c r="I69" s="398" t="str">
        <f t="shared" ca="1" si="0"/>
        <v>Chưa thực hiện</v>
      </c>
      <c r="J69" s="399">
        <f t="shared" ca="1" si="1"/>
        <v>0</v>
      </c>
      <c r="K69" s="394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</row>
    <row r="70" spans="1:28" ht="15" customHeight="1">
      <c r="A70" s="467" t="e">
        <f t="shared" ca="1" si="2"/>
        <v>#VALUE!</v>
      </c>
      <c r="B70" s="468" t="s">
        <v>671</v>
      </c>
      <c r="C70" s="469">
        <v>916659889</v>
      </c>
      <c r="D70" s="468" t="s">
        <v>672</v>
      </c>
      <c r="E70" s="470" t="s">
        <v>673</v>
      </c>
      <c r="F70" s="469" t="s">
        <v>14</v>
      </c>
      <c r="G70" s="471"/>
      <c r="H70" s="397">
        <f>IF(B70="","",COUNTIF('KQ đo kiểm Speedtest'!O:O,B70))</f>
        <v>19</v>
      </c>
      <c r="I70" s="398" t="str">
        <f t="shared" ca="1" si="0"/>
        <v>Đã hoàn thành</v>
      </c>
      <c r="J70" s="399">
        <f t="shared" ca="1" si="1"/>
        <v>1</v>
      </c>
      <c r="K70" s="394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</row>
    <row r="71" spans="1:28" ht="15" customHeight="1">
      <c r="A71" s="467" t="e">
        <f t="shared" ca="1" si="2"/>
        <v>#VALUE!</v>
      </c>
      <c r="B71" s="477" t="s">
        <v>674</v>
      </c>
      <c r="C71" s="478" t="s">
        <v>675</v>
      </c>
      <c r="D71" s="479" t="s">
        <v>676</v>
      </c>
      <c r="E71" s="470" t="s">
        <v>677</v>
      </c>
      <c r="F71" s="469" t="s">
        <v>14</v>
      </c>
      <c r="G71" s="471"/>
      <c r="H71" s="397">
        <f>IF(B71="","",COUNTIF('KQ đo kiểm Speedtest'!O:O,B71))</f>
        <v>0</v>
      </c>
      <c r="I71" s="398" t="str">
        <f t="shared" ca="1" si="0"/>
        <v>Chưa thực hiện</v>
      </c>
      <c r="J71" s="399">
        <f t="shared" ca="1" si="1"/>
        <v>0</v>
      </c>
      <c r="K71" s="394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</row>
    <row r="72" spans="1:28" ht="15" customHeight="1">
      <c r="A72" s="467" t="e">
        <f t="shared" ca="1" si="2"/>
        <v>#VALUE!</v>
      </c>
      <c r="B72" s="479" t="s">
        <v>678</v>
      </c>
      <c r="C72" s="478" t="s">
        <v>679</v>
      </c>
      <c r="D72" s="479" t="s">
        <v>680</v>
      </c>
      <c r="E72" s="470" t="s">
        <v>681</v>
      </c>
      <c r="F72" s="469" t="s">
        <v>14</v>
      </c>
      <c r="G72" s="471"/>
      <c r="H72" s="397">
        <f>IF(B72="","",COUNTIF('KQ đo kiểm Speedtest'!O:O,B72))</f>
        <v>0</v>
      </c>
      <c r="I72" s="398" t="str">
        <f t="shared" ca="1" si="0"/>
        <v>Chưa thực hiện</v>
      </c>
      <c r="J72" s="399">
        <f t="shared" ca="1" si="1"/>
        <v>0</v>
      </c>
      <c r="K72" s="394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</row>
    <row r="73" spans="1:28" ht="15" customHeight="1">
      <c r="A73" s="467" t="e">
        <f t="shared" ca="1" si="2"/>
        <v>#VALUE!</v>
      </c>
      <c r="B73" s="479" t="s">
        <v>682</v>
      </c>
      <c r="C73" s="479">
        <v>943541776</v>
      </c>
      <c r="D73" s="479" t="s">
        <v>683</v>
      </c>
      <c r="E73" s="470" t="s">
        <v>684</v>
      </c>
      <c r="F73" s="469" t="s">
        <v>14</v>
      </c>
      <c r="G73" s="471"/>
      <c r="H73" s="397">
        <f>IF(B73="","",COUNTIF('KQ đo kiểm Speedtest'!O:O,B73))</f>
        <v>10</v>
      </c>
      <c r="I73" s="398" t="str">
        <f t="shared" ca="1" si="0"/>
        <v>Đã hoàn thành</v>
      </c>
      <c r="J73" s="399">
        <f t="shared" ca="1" si="1"/>
        <v>1</v>
      </c>
      <c r="K73" s="394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</row>
    <row r="74" spans="1:28" ht="15" customHeight="1">
      <c r="A74" s="467" t="str">
        <f t="shared" ca="1" si="2"/>
        <v/>
      </c>
      <c r="B74" s="479"/>
      <c r="C74" s="479"/>
      <c r="D74" s="479"/>
      <c r="E74" s="476"/>
      <c r="F74" s="469"/>
      <c r="G74" s="471"/>
      <c r="H74" s="397" t="str">
        <f>IF(B74="","",COUNTIF('KQ đo kiểm Speedtest'!O:O,B74))</f>
        <v/>
      </c>
      <c r="I74" s="398" t="str">
        <f t="shared" ca="1" si="0"/>
        <v/>
      </c>
      <c r="J74" s="399" t="str">
        <f t="shared" ca="1" si="1"/>
        <v/>
      </c>
      <c r="K74" s="394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</row>
    <row r="75" spans="1:28" ht="15" customHeight="1">
      <c r="A75" s="480" t="str">
        <f t="shared" ca="1" si="2"/>
        <v/>
      </c>
      <c r="B75" s="481"/>
      <c r="C75" s="481"/>
      <c r="D75" s="481"/>
      <c r="E75" s="482"/>
      <c r="F75" s="483"/>
      <c r="G75" s="484"/>
      <c r="H75" s="397" t="str">
        <f>IF(B75="","",COUNTIF('KQ đo kiểm Speedtest'!O:O,B75))</f>
        <v/>
      </c>
      <c r="I75" s="398" t="str">
        <f t="shared" ca="1" si="0"/>
        <v/>
      </c>
      <c r="J75" s="399" t="str">
        <f t="shared" ca="1" si="1"/>
        <v/>
      </c>
      <c r="K75" s="394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</row>
    <row r="76" spans="1:28" ht="15.75" customHeight="1">
      <c r="A76" s="386" t="e">
        <f t="shared" ca="1" si="2"/>
        <v>#VALUE!</v>
      </c>
      <c r="B76" s="485" t="s">
        <v>685</v>
      </c>
      <c r="C76" s="486">
        <v>918430555</v>
      </c>
      <c r="D76" s="485" t="s">
        <v>686</v>
      </c>
      <c r="E76" s="487" t="s">
        <v>687</v>
      </c>
      <c r="F76" s="486" t="s">
        <v>15</v>
      </c>
      <c r="G76" s="390"/>
      <c r="H76" s="397">
        <f>IF(B76="","",COUNTIF('KQ đo kiểm Speedtest'!O:O,B76))</f>
        <v>0</v>
      </c>
      <c r="I76" s="398" t="str">
        <f t="shared" ca="1" si="0"/>
        <v>Chưa thực hiện</v>
      </c>
      <c r="J76" s="399">
        <f t="shared" ca="1" si="1"/>
        <v>0</v>
      </c>
      <c r="K76" s="394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</row>
    <row r="77" spans="1:28" ht="15.75" customHeight="1">
      <c r="A77" s="395" t="e">
        <f t="shared" ca="1" si="2"/>
        <v>#VALUE!</v>
      </c>
      <c r="B77" s="387" t="s">
        <v>688</v>
      </c>
      <c r="C77" s="388">
        <v>941328668</v>
      </c>
      <c r="D77" s="387" t="s">
        <v>689</v>
      </c>
      <c r="E77" s="389" t="s">
        <v>690</v>
      </c>
      <c r="F77" s="388" t="s">
        <v>15</v>
      </c>
      <c r="G77" s="396"/>
      <c r="H77" s="397">
        <f>IF(B77="","",COUNTIF('KQ đo kiểm Speedtest'!O:O,B77))</f>
        <v>11</v>
      </c>
      <c r="I77" s="398" t="str">
        <f t="shared" ca="1" si="0"/>
        <v>Đã hoàn thành</v>
      </c>
      <c r="J77" s="399">
        <f t="shared" ca="1" si="1"/>
        <v>1</v>
      </c>
      <c r="K77" s="394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</row>
    <row r="78" spans="1:28" ht="15.75" customHeight="1">
      <c r="A78" s="395" t="e">
        <f t="shared" ca="1" si="2"/>
        <v>#VALUE!</v>
      </c>
      <c r="B78" s="387" t="s">
        <v>691</v>
      </c>
      <c r="C78" s="388">
        <v>917769763</v>
      </c>
      <c r="D78" s="387" t="s">
        <v>692</v>
      </c>
      <c r="E78" s="389" t="s">
        <v>693</v>
      </c>
      <c r="F78" s="388" t="s">
        <v>15</v>
      </c>
      <c r="G78" s="396"/>
      <c r="H78" s="397">
        <f>IF(B78="","",COUNTIF('KQ đo kiểm Speedtest'!O:O,B78))</f>
        <v>13</v>
      </c>
      <c r="I78" s="398" t="str">
        <f t="shared" ca="1" si="0"/>
        <v>Đã hoàn thành</v>
      </c>
      <c r="J78" s="399">
        <f t="shared" ca="1" si="1"/>
        <v>1</v>
      </c>
      <c r="K78" s="394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</row>
    <row r="79" spans="1:28" ht="15.75" customHeight="1">
      <c r="A79" s="395" t="e">
        <f t="shared" ca="1" si="2"/>
        <v>#VALUE!</v>
      </c>
      <c r="B79" s="387" t="s">
        <v>694</v>
      </c>
      <c r="C79" s="388">
        <v>947245878</v>
      </c>
      <c r="D79" s="387" t="s">
        <v>695</v>
      </c>
      <c r="E79" s="389" t="s">
        <v>696</v>
      </c>
      <c r="F79" s="388" t="s">
        <v>15</v>
      </c>
      <c r="G79" s="396"/>
      <c r="H79" s="397">
        <f>IF(B79="","",COUNTIF('KQ đo kiểm Speedtest'!O:O,B79))</f>
        <v>28</v>
      </c>
      <c r="I79" s="398" t="str">
        <f t="shared" ca="1" si="0"/>
        <v>Đã hoàn thành</v>
      </c>
      <c r="J79" s="399">
        <f t="shared" ca="1" si="1"/>
        <v>1</v>
      </c>
      <c r="K79" s="394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</row>
    <row r="80" spans="1:28" ht="15.75" customHeight="1">
      <c r="A80" s="395" t="e">
        <f t="shared" ca="1" si="2"/>
        <v>#VALUE!</v>
      </c>
      <c r="B80" s="387" t="s">
        <v>697</v>
      </c>
      <c r="C80" s="388">
        <v>915282271</v>
      </c>
      <c r="D80" s="387" t="s">
        <v>698</v>
      </c>
      <c r="E80" s="389" t="s">
        <v>699</v>
      </c>
      <c r="F80" s="388" t="s">
        <v>15</v>
      </c>
      <c r="G80" s="396"/>
      <c r="H80" s="397">
        <f>IF(B80="","",COUNTIF('KQ đo kiểm Speedtest'!O:O,B80))</f>
        <v>28</v>
      </c>
      <c r="I80" s="398" t="str">
        <f t="shared" ca="1" si="0"/>
        <v>Đã hoàn thành</v>
      </c>
      <c r="J80" s="399">
        <f t="shared" ca="1" si="1"/>
        <v>1</v>
      </c>
      <c r="K80" s="394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</row>
    <row r="81" spans="1:28" ht="15.75" customHeight="1">
      <c r="A81" s="395" t="e">
        <f t="shared" ca="1" si="2"/>
        <v>#VALUE!</v>
      </c>
      <c r="B81" s="387" t="s">
        <v>700</v>
      </c>
      <c r="C81" s="388">
        <v>945833826</v>
      </c>
      <c r="D81" s="387" t="s">
        <v>701</v>
      </c>
      <c r="E81" s="389" t="s">
        <v>702</v>
      </c>
      <c r="F81" s="388" t="s">
        <v>15</v>
      </c>
      <c r="G81" s="396"/>
      <c r="H81" s="397">
        <f>IF(B81="","",COUNTIF('KQ đo kiểm Speedtest'!O:O,B81))</f>
        <v>14</v>
      </c>
      <c r="I81" s="398" t="str">
        <f t="shared" ca="1" si="0"/>
        <v>Đã hoàn thành</v>
      </c>
      <c r="J81" s="399">
        <f t="shared" ca="1" si="1"/>
        <v>1</v>
      </c>
      <c r="K81" s="394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</row>
    <row r="82" spans="1:28" ht="15.75" customHeight="1">
      <c r="A82" s="395" t="e">
        <f t="shared" ca="1" si="2"/>
        <v>#VALUE!</v>
      </c>
      <c r="B82" s="387" t="s">
        <v>703</v>
      </c>
      <c r="C82" s="388">
        <v>916878010</v>
      </c>
      <c r="D82" s="387" t="s">
        <v>704</v>
      </c>
      <c r="E82" s="389" t="s">
        <v>705</v>
      </c>
      <c r="F82" s="388" t="s">
        <v>15</v>
      </c>
      <c r="G82" s="396"/>
      <c r="H82" s="397">
        <f>IF(B82="","",COUNTIF('KQ đo kiểm Speedtest'!O:O,B82))</f>
        <v>0</v>
      </c>
      <c r="I82" s="398" t="str">
        <f t="shared" ca="1" si="0"/>
        <v>Chưa thực hiện</v>
      </c>
      <c r="J82" s="399">
        <f t="shared" ca="1" si="1"/>
        <v>0</v>
      </c>
      <c r="K82" s="394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</row>
    <row r="83" spans="1:28" ht="15.75" customHeight="1">
      <c r="A83" s="395" t="e">
        <f t="shared" ca="1" si="2"/>
        <v>#VALUE!</v>
      </c>
      <c r="B83" s="387" t="s">
        <v>706</v>
      </c>
      <c r="C83" s="388">
        <v>945663773</v>
      </c>
      <c r="D83" s="387" t="s">
        <v>707</v>
      </c>
      <c r="E83" s="389" t="s">
        <v>708</v>
      </c>
      <c r="F83" s="388" t="s">
        <v>15</v>
      </c>
      <c r="G83" s="396"/>
      <c r="H83" s="397">
        <f>IF(B83="","",COUNTIF('KQ đo kiểm Speedtest'!O:O,B83))</f>
        <v>18</v>
      </c>
      <c r="I83" s="398" t="str">
        <f t="shared" ca="1" si="0"/>
        <v>Đã hoàn thành</v>
      </c>
      <c r="J83" s="399">
        <f t="shared" ca="1" si="1"/>
        <v>1</v>
      </c>
      <c r="K83" s="394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</row>
    <row r="84" spans="1:28" ht="15.75" customHeight="1">
      <c r="A84" s="395" t="e">
        <f t="shared" ca="1" si="2"/>
        <v>#VALUE!</v>
      </c>
      <c r="B84" s="387" t="s">
        <v>709</v>
      </c>
      <c r="C84" s="388">
        <v>829669739</v>
      </c>
      <c r="D84" s="387" t="s">
        <v>710</v>
      </c>
      <c r="E84" s="389" t="s">
        <v>711</v>
      </c>
      <c r="F84" s="388" t="s">
        <v>15</v>
      </c>
      <c r="G84" s="396"/>
      <c r="H84" s="397">
        <f>IF(B84="","",COUNTIF('KQ đo kiểm Speedtest'!O:O,B84))</f>
        <v>30</v>
      </c>
      <c r="I84" s="398" t="str">
        <f t="shared" ca="1" si="0"/>
        <v>Đã hoàn thành</v>
      </c>
      <c r="J84" s="399">
        <f t="shared" ca="1" si="1"/>
        <v>1</v>
      </c>
      <c r="K84" s="394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</row>
    <row r="85" spans="1:28" ht="15.75" customHeight="1">
      <c r="A85" s="395" t="e">
        <f t="shared" ca="1" si="2"/>
        <v>#VALUE!</v>
      </c>
      <c r="B85" s="387" t="s">
        <v>712</v>
      </c>
      <c r="C85" s="388">
        <v>918611919</v>
      </c>
      <c r="D85" s="387" t="s">
        <v>713</v>
      </c>
      <c r="E85" s="389" t="s">
        <v>714</v>
      </c>
      <c r="F85" s="388" t="s">
        <v>15</v>
      </c>
      <c r="G85" s="396"/>
      <c r="H85" s="397">
        <f>IF(B85="","",COUNTIF('KQ đo kiểm Speedtest'!O:O,B85))</f>
        <v>16</v>
      </c>
      <c r="I85" s="398" t="str">
        <f t="shared" ca="1" si="0"/>
        <v>Đã hoàn thành</v>
      </c>
      <c r="J85" s="399">
        <f t="shared" ca="1" si="1"/>
        <v>1</v>
      </c>
      <c r="K85" s="394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</row>
    <row r="86" spans="1:28" ht="15.75" customHeight="1">
      <c r="A86" s="395" t="e">
        <f t="shared" ca="1" si="2"/>
        <v>#VALUE!</v>
      </c>
      <c r="B86" s="387" t="s">
        <v>715</v>
      </c>
      <c r="C86" s="388">
        <v>918371799</v>
      </c>
      <c r="D86" s="387" t="s">
        <v>716</v>
      </c>
      <c r="E86" s="389" t="s">
        <v>717</v>
      </c>
      <c r="F86" s="388" t="s">
        <v>15</v>
      </c>
      <c r="G86" s="396"/>
      <c r="H86" s="397">
        <f>IF(B86="","",COUNTIF('KQ đo kiểm Speedtest'!O:O,B86))</f>
        <v>4</v>
      </c>
      <c r="I86" s="398" t="str">
        <f t="shared" ca="1" si="0"/>
        <v>Chưa đủ mẫu đo</v>
      </c>
      <c r="J86" s="399">
        <f t="shared" ca="1" si="1"/>
        <v>0</v>
      </c>
      <c r="K86" s="394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</row>
    <row r="87" spans="1:28" ht="15.75" customHeight="1">
      <c r="A87" s="395" t="e">
        <f t="shared" ca="1" si="2"/>
        <v>#VALUE!</v>
      </c>
      <c r="B87" s="400" t="s">
        <v>718</v>
      </c>
      <c r="C87" s="401">
        <v>832428439</v>
      </c>
      <c r="D87" s="400" t="s">
        <v>719</v>
      </c>
      <c r="E87" s="389" t="s">
        <v>720</v>
      </c>
      <c r="F87" s="401" t="s">
        <v>15</v>
      </c>
      <c r="G87" s="402"/>
      <c r="H87" s="397">
        <f>IF(B87="","",COUNTIF('KQ đo kiểm Speedtest'!O:O,B87))</f>
        <v>40</v>
      </c>
      <c r="I87" s="398" t="str">
        <f t="shared" ca="1" si="0"/>
        <v>Đã hoàn thành</v>
      </c>
      <c r="J87" s="399">
        <f t="shared" ca="1" si="1"/>
        <v>1</v>
      </c>
      <c r="K87" s="394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</row>
    <row r="88" spans="1:28" ht="15.75" customHeight="1">
      <c r="A88" s="395" t="e">
        <f t="shared" ca="1" si="2"/>
        <v>#VALUE!</v>
      </c>
      <c r="B88" s="387" t="s">
        <v>721</v>
      </c>
      <c r="C88" s="388">
        <v>837012768</v>
      </c>
      <c r="D88" s="387" t="s">
        <v>722</v>
      </c>
      <c r="E88" s="389" t="s">
        <v>723</v>
      </c>
      <c r="F88" s="388" t="s">
        <v>15</v>
      </c>
      <c r="G88" s="396"/>
      <c r="H88" s="397">
        <f>IF(B88="","",COUNTIF('KQ đo kiểm Speedtest'!O:O,B88))</f>
        <v>14</v>
      </c>
      <c r="I88" s="398" t="str">
        <f t="shared" ca="1" si="0"/>
        <v>Đã hoàn thành</v>
      </c>
      <c r="J88" s="399">
        <f t="shared" ca="1" si="1"/>
        <v>1</v>
      </c>
      <c r="K88" s="394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</row>
    <row r="89" spans="1:28" ht="15.75" customHeight="1">
      <c r="A89" s="395" t="e">
        <f t="shared" ca="1" si="2"/>
        <v>#VALUE!</v>
      </c>
      <c r="B89" s="387" t="s">
        <v>724</v>
      </c>
      <c r="C89" s="388">
        <v>817385078</v>
      </c>
      <c r="D89" s="387" t="s">
        <v>725</v>
      </c>
      <c r="E89" s="389" t="s">
        <v>726</v>
      </c>
      <c r="F89" s="388" t="s">
        <v>15</v>
      </c>
      <c r="G89" s="396"/>
      <c r="H89" s="397">
        <f>IF(B89="","",COUNTIF('KQ đo kiểm Speedtest'!O:O,B89))</f>
        <v>0</v>
      </c>
      <c r="I89" s="398" t="str">
        <f t="shared" ca="1" si="0"/>
        <v>Chưa thực hiện</v>
      </c>
      <c r="J89" s="399">
        <f t="shared" ca="1" si="1"/>
        <v>0</v>
      </c>
      <c r="K89" s="394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</row>
    <row r="90" spans="1:28" ht="15.75" customHeight="1">
      <c r="A90" s="395"/>
      <c r="B90" s="387"/>
      <c r="C90" s="388"/>
      <c r="D90" s="387"/>
      <c r="E90" s="403"/>
      <c r="F90" s="388"/>
      <c r="G90" s="488"/>
      <c r="H90" s="397" t="str">
        <f>IF(B90="","",COUNTIF('KQ đo kiểm Speedtest'!O:O,B90))</f>
        <v/>
      </c>
      <c r="I90" s="398" t="str">
        <f t="shared" ca="1" si="0"/>
        <v/>
      </c>
      <c r="J90" s="399" t="str">
        <f t="shared" ca="1" si="1"/>
        <v/>
      </c>
      <c r="K90" s="489"/>
      <c r="L90" s="489"/>
      <c r="M90" s="489"/>
      <c r="N90" s="489"/>
      <c r="O90" s="489"/>
      <c r="P90" s="489"/>
      <c r="Q90" s="489"/>
      <c r="R90" s="489"/>
      <c r="S90" s="489"/>
      <c r="T90" s="489"/>
      <c r="U90" s="489"/>
      <c r="V90" s="489"/>
      <c r="W90" s="489"/>
      <c r="X90" s="489"/>
      <c r="Y90" s="489"/>
      <c r="Z90" s="489"/>
      <c r="AA90" s="489"/>
      <c r="AB90" s="489"/>
    </row>
    <row r="91" spans="1:28" ht="15.75" customHeight="1">
      <c r="A91" s="395" t="str">
        <f t="shared" ref="A91:A126" ca="1" si="3">IF(B91="","",IF(A90="",IF(INDIRECT("A"&amp;ROW()-3)&lt;&gt;"",INDIRECT("A"&amp;ROW()-3)+1,INDIRECT("A"&amp;ROW()-4)+1),A90+1))</f>
        <v/>
      </c>
      <c r="B91" s="387"/>
      <c r="C91" s="388"/>
      <c r="D91" s="387"/>
      <c r="E91" s="403"/>
      <c r="F91" s="388"/>
      <c r="G91" s="396"/>
      <c r="H91" s="397" t="str">
        <f>IF(B91="","",COUNTIF('KQ đo kiểm Speedtest'!O:O,B91))</f>
        <v/>
      </c>
      <c r="I91" s="398" t="str">
        <f t="shared" ca="1" si="0"/>
        <v/>
      </c>
      <c r="J91" s="399" t="str">
        <f t="shared" ca="1" si="1"/>
        <v/>
      </c>
      <c r="K91" s="394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</row>
    <row r="92" spans="1:28" ht="15.75" customHeight="1">
      <c r="A92" s="395" t="str">
        <f t="shared" ca="1" si="3"/>
        <v/>
      </c>
      <c r="B92" s="387"/>
      <c r="C92" s="388"/>
      <c r="D92" s="387"/>
      <c r="E92" s="403"/>
      <c r="F92" s="388"/>
      <c r="G92" s="396"/>
      <c r="H92" s="397" t="str">
        <f>IF(B92="","",COUNTIF('KQ đo kiểm Speedtest'!O:O,B92))</f>
        <v/>
      </c>
      <c r="I92" s="398" t="str">
        <f t="shared" ca="1" si="0"/>
        <v/>
      </c>
      <c r="J92" s="399" t="str">
        <f t="shared" ca="1" si="1"/>
        <v/>
      </c>
      <c r="K92" s="394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</row>
    <row r="93" spans="1:28" ht="15.75" customHeight="1">
      <c r="A93" s="395" t="str">
        <f t="shared" ca="1" si="3"/>
        <v/>
      </c>
      <c r="B93" s="387"/>
      <c r="C93" s="388"/>
      <c r="D93" s="387"/>
      <c r="E93" s="403"/>
      <c r="F93" s="388"/>
      <c r="G93" s="396"/>
      <c r="H93" s="397" t="str">
        <f>IF(B93="","",COUNTIF('KQ đo kiểm Speedtest'!O:O,B93))</f>
        <v/>
      </c>
      <c r="I93" s="398" t="str">
        <f t="shared" ca="1" si="0"/>
        <v/>
      </c>
      <c r="J93" s="399" t="str">
        <f t="shared" ca="1" si="1"/>
        <v/>
      </c>
      <c r="K93" s="394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</row>
    <row r="94" spans="1:28" ht="15.75" customHeight="1">
      <c r="A94" s="410" t="str">
        <f t="shared" ca="1" si="3"/>
        <v/>
      </c>
      <c r="B94" s="411"/>
      <c r="C94" s="412"/>
      <c r="D94" s="411"/>
      <c r="E94" s="413"/>
      <c r="F94" s="412"/>
      <c r="G94" s="414"/>
      <c r="H94" s="397" t="str">
        <f>IF(B94="","",COUNTIF('KQ đo kiểm Speedtest'!O:O,B94))</f>
        <v/>
      </c>
      <c r="I94" s="398" t="str">
        <f t="shared" ca="1" si="0"/>
        <v/>
      </c>
      <c r="J94" s="399" t="str">
        <f t="shared" ca="1" si="1"/>
        <v/>
      </c>
      <c r="K94" s="394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</row>
    <row r="95" spans="1:28" ht="15.75" customHeight="1">
      <c r="A95" s="490" t="e">
        <f t="shared" ca="1" si="3"/>
        <v>#VALUE!</v>
      </c>
      <c r="B95" s="441" t="s">
        <v>727</v>
      </c>
      <c r="C95" s="442">
        <v>913858404</v>
      </c>
      <c r="D95" s="441" t="s">
        <v>728</v>
      </c>
      <c r="E95" s="491" t="s">
        <v>729</v>
      </c>
      <c r="F95" s="442" t="s">
        <v>16</v>
      </c>
      <c r="G95" s="492" t="s">
        <v>552</v>
      </c>
      <c r="H95" s="397">
        <f>IF(B95="","",COUNTIF('KQ đo kiểm Speedtest'!O:O,B95))</f>
        <v>0</v>
      </c>
      <c r="I95" s="398" t="str">
        <f t="shared" ca="1" si="0"/>
        <v>Chưa thực hiện</v>
      </c>
      <c r="J95" s="399">
        <f t="shared" ca="1" si="1"/>
        <v>0</v>
      </c>
      <c r="K95" s="394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</row>
    <row r="96" spans="1:28" ht="15.75" customHeight="1">
      <c r="A96" s="445" t="e">
        <f t="shared" ca="1" si="3"/>
        <v>#VALUE!</v>
      </c>
      <c r="B96" s="446" t="s">
        <v>730</v>
      </c>
      <c r="C96" s="447">
        <v>919619755</v>
      </c>
      <c r="D96" s="446" t="s">
        <v>731</v>
      </c>
      <c r="E96" s="493" t="s">
        <v>732</v>
      </c>
      <c r="F96" s="447" t="s">
        <v>16</v>
      </c>
      <c r="G96" s="494"/>
      <c r="H96" s="397">
        <f>IF(B96="","",COUNTIF('KQ đo kiểm Speedtest'!O:O,B96))</f>
        <v>23</v>
      </c>
      <c r="I96" s="398" t="str">
        <f t="shared" ca="1" si="0"/>
        <v>Đã hoàn thành</v>
      </c>
      <c r="J96" s="399">
        <f t="shared" ca="1" si="1"/>
        <v>1</v>
      </c>
      <c r="K96" s="394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</row>
    <row r="97" spans="1:28" ht="15.75" customHeight="1">
      <c r="A97" s="445" t="e">
        <f t="shared" ca="1" si="3"/>
        <v>#VALUE!</v>
      </c>
      <c r="B97" s="446" t="s">
        <v>733</v>
      </c>
      <c r="C97" s="447">
        <v>914433557</v>
      </c>
      <c r="D97" s="446" t="s">
        <v>734</v>
      </c>
      <c r="E97" s="493" t="s">
        <v>735</v>
      </c>
      <c r="F97" s="447" t="s">
        <v>16</v>
      </c>
      <c r="G97" s="494" t="s">
        <v>29</v>
      </c>
      <c r="H97" s="397">
        <f>IF(B97="","",COUNTIF('KQ đo kiểm Speedtest'!O:O,B97))</f>
        <v>10</v>
      </c>
      <c r="I97" s="398" t="str">
        <f t="shared" ca="1" si="0"/>
        <v>Đã hoàn thành</v>
      </c>
      <c r="J97" s="399">
        <f t="shared" ca="1" si="1"/>
        <v>1</v>
      </c>
      <c r="K97" s="394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</row>
    <row r="98" spans="1:28" ht="15.75" customHeight="1">
      <c r="A98" s="445" t="e">
        <f t="shared" ca="1" si="3"/>
        <v>#VALUE!</v>
      </c>
      <c r="B98" s="446" t="s">
        <v>736</v>
      </c>
      <c r="C98" s="447">
        <v>918825152</v>
      </c>
      <c r="D98" s="446" t="s">
        <v>737</v>
      </c>
      <c r="E98" s="493" t="s">
        <v>738</v>
      </c>
      <c r="F98" s="447" t="s">
        <v>16</v>
      </c>
      <c r="G98" s="494"/>
      <c r="H98" s="397">
        <f>IF(B98="","",COUNTIF('KQ đo kiểm Speedtest'!O:O,B98))</f>
        <v>23</v>
      </c>
      <c r="I98" s="398" t="str">
        <f t="shared" ca="1" si="0"/>
        <v>Đã hoàn thành</v>
      </c>
      <c r="J98" s="399">
        <f t="shared" ca="1" si="1"/>
        <v>1</v>
      </c>
      <c r="K98" s="394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</row>
    <row r="99" spans="1:28" ht="15.75" customHeight="1">
      <c r="A99" s="445" t="e">
        <f t="shared" ca="1" si="3"/>
        <v>#VALUE!</v>
      </c>
      <c r="B99" s="446" t="s">
        <v>739</v>
      </c>
      <c r="C99" s="447">
        <v>919669378</v>
      </c>
      <c r="D99" s="446" t="s">
        <v>740</v>
      </c>
      <c r="E99" s="493" t="s">
        <v>741</v>
      </c>
      <c r="F99" s="447" t="s">
        <v>16</v>
      </c>
      <c r="G99" s="494"/>
      <c r="H99" s="397">
        <f>IF(B99="","",COUNTIF('KQ đo kiểm Speedtest'!O:O,B99))</f>
        <v>16</v>
      </c>
      <c r="I99" s="398" t="str">
        <f t="shared" ca="1" si="0"/>
        <v>Đã hoàn thành</v>
      </c>
      <c r="J99" s="399">
        <f t="shared" ca="1" si="1"/>
        <v>1</v>
      </c>
      <c r="K99" s="394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</row>
    <row r="100" spans="1:28" ht="15.75" customHeight="1">
      <c r="A100" s="445" t="e">
        <f t="shared" ca="1" si="3"/>
        <v>#VALUE!</v>
      </c>
      <c r="B100" s="446" t="s">
        <v>742</v>
      </c>
      <c r="C100" s="495" t="s">
        <v>743</v>
      </c>
      <c r="D100" s="446"/>
      <c r="E100" s="496"/>
      <c r="F100" s="447" t="s">
        <v>16</v>
      </c>
      <c r="G100" s="494"/>
      <c r="H100" s="397">
        <f>IF(B100="","",COUNTIF('KQ đo kiểm Speedtest'!O:O,B100))</f>
        <v>0</v>
      </c>
      <c r="I100" s="398" t="str">
        <f t="shared" ca="1" si="0"/>
        <v>Chưa thực hiện</v>
      </c>
      <c r="J100" s="399">
        <f t="shared" ca="1" si="1"/>
        <v>0</v>
      </c>
      <c r="K100" s="394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</row>
    <row r="101" spans="1:28" ht="15.75" customHeight="1">
      <c r="A101" s="445" t="e">
        <f t="shared" ca="1" si="3"/>
        <v>#VALUE!</v>
      </c>
      <c r="B101" s="446" t="s">
        <v>744</v>
      </c>
      <c r="C101" s="447">
        <v>914776772</v>
      </c>
      <c r="D101" s="446" t="s">
        <v>745</v>
      </c>
      <c r="E101" s="493" t="s">
        <v>746</v>
      </c>
      <c r="F101" s="447" t="s">
        <v>16</v>
      </c>
      <c r="G101" s="494" t="s">
        <v>29</v>
      </c>
      <c r="H101" s="397">
        <f>IF(B101="","",COUNTIF('KQ đo kiểm Speedtest'!O:O,B101))</f>
        <v>0</v>
      </c>
      <c r="I101" s="398" t="str">
        <f t="shared" ca="1" si="0"/>
        <v>Chưa thực hiện</v>
      </c>
      <c r="J101" s="399">
        <f t="shared" ca="1" si="1"/>
        <v>0</v>
      </c>
      <c r="K101" s="394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</row>
    <row r="102" spans="1:28" ht="15.75" customHeight="1">
      <c r="A102" s="445" t="e">
        <f t="shared" ca="1" si="3"/>
        <v>#VALUE!</v>
      </c>
      <c r="B102" s="446" t="s">
        <v>747</v>
      </c>
      <c r="C102" s="447">
        <v>917675757</v>
      </c>
      <c r="D102" s="446" t="s">
        <v>748</v>
      </c>
      <c r="E102" s="493" t="s">
        <v>749</v>
      </c>
      <c r="F102" s="447" t="s">
        <v>16</v>
      </c>
      <c r="G102" s="494"/>
      <c r="H102" s="397">
        <f>IF(B102="","",COUNTIF('KQ đo kiểm Speedtest'!O:O,B102))</f>
        <v>12</v>
      </c>
      <c r="I102" s="398" t="str">
        <f t="shared" ca="1" si="0"/>
        <v>Đã hoàn thành</v>
      </c>
      <c r="J102" s="399">
        <f t="shared" ca="1" si="1"/>
        <v>1</v>
      </c>
      <c r="K102" s="394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</row>
    <row r="103" spans="1:28" ht="15.75" customHeight="1">
      <c r="A103" s="445" t="e">
        <f t="shared" ca="1" si="3"/>
        <v>#VALUE!</v>
      </c>
      <c r="B103" s="446" t="s">
        <v>750</v>
      </c>
      <c r="C103" s="495" t="s">
        <v>751</v>
      </c>
      <c r="D103" s="446" t="s">
        <v>752</v>
      </c>
      <c r="E103" s="493" t="s">
        <v>753</v>
      </c>
      <c r="F103" s="447" t="s">
        <v>16</v>
      </c>
      <c r="G103" s="494"/>
      <c r="H103" s="397">
        <f>IF(B103="","",COUNTIF('KQ đo kiểm Speedtest'!O:O,B103))</f>
        <v>0</v>
      </c>
      <c r="I103" s="398" t="str">
        <f t="shared" ca="1" si="0"/>
        <v>Chưa thực hiện</v>
      </c>
      <c r="J103" s="399">
        <f t="shared" ca="1" si="1"/>
        <v>0</v>
      </c>
      <c r="K103" s="394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</row>
    <row r="104" spans="1:28" ht="15.75" customHeight="1">
      <c r="A104" s="445" t="e">
        <f t="shared" ca="1" si="3"/>
        <v>#VALUE!</v>
      </c>
      <c r="B104" s="446" t="s">
        <v>754</v>
      </c>
      <c r="C104" s="447">
        <v>913814958</v>
      </c>
      <c r="D104" s="446" t="s">
        <v>755</v>
      </c>
      <c r="E104" s="493" t="s">
        <v>756</v>
      </c>
      <c r="F104" s="447" t="s">
        <v>16</v>
      </c>
      <c r="G104" s="494"/>
      <c r="H104" s="397">
        <f>IF(B104="","",COUNTIF('KQ đo kiểm Speedtest'!O:O,B104))</f>
        <v>1</v>
      </c>
      <c r="I104" s="398" t="str">
        <f t="shared" ca="1" si="0"/>
        <v>Chưa đủ mẫu đo</v>
      </c>
      <c r="J104" s="399">
        <f t="shared" ca="1" si="1"/>
        <v>0</v>
      </c>
      <c r="K104" s="394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</row>
    <row r="105" spans="1:28" ht="15.75" customHeight="1">
      <c r="A105" s="445" t="e">
        <f t="shared" ca="1" si="3"/>
        <v>#VALUE!</v>
      </c>
      <c r="B105" s="446" t="s">
        <v>757</v>
      </c>
      <c r="C105" s="447">
        <v>944911212</v>
      </c>
      <c r="D105" s="446" t="s">
        <v>758</v>
      </c>
      <c r="E105" s="493" t="s">
        <v>759</v>
      </c>
      <c r="F105" s="447" t="s">
        <v>16</v>
      </c>
      <c r="G105" s="494" t="s">
        <v>29</v>
      </c>
      <c r="H105" s="397">
        <f>IF(B105="","",COUNTIF('KQ đo kiểm Speedtest'!O:O,B105))</f>
        <v>0</v>
      </c>
      <c r="I105" s="398" t="str">
        <f t="shared" ca="1" si="0"/>
        <v>Chưa thực hiện</v>
      </c>
      <c r="J105" s="399">
        <f t="shared" ca="1" si="1"/>
        <v>0</v>
      </c>
      <c r="K105" s="394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</row>
    <row r="106" spans="1:28" ht="15.75" customHeight="1">
      <c r="A106" s="445" t="e">
        <f t="shared" ca="1" si="3"/>
        <v>#VALUE!</v>
      </c>
      <c r="B106" s="446" t="s">
        <v>760</v>
      </c>
      <c r="C106" s="447">
        <v>916014541</v>
      </c>
      <c r="D106" s="446" t="s">
        <v>761</v>
      </c>
      <c r="E106" s="493" t="s">
        <v>762</v>
      </c>
      <c r="F106" s="447" t="s">
        <v>16</v>
      </c>
      <c r="G106" s="494" t="s">
        <v>29</v>
      </c>
      <c r="H106" s="397">
        <f>IF(B106="","",COUNTIF('KQ đo kiểm Speedtest'!O:O,B106))</f>
        <v>0</v>
      </c>
      <c r="I106" s="398" t="str">
        <f t="shared" ca="1" si="0"/>
        <v>Chưa thực hiện</v>
      </c>
      <c r="J106" s="399">
        <f t="shared" ca="1" si="1"/>
        <v>0</v>
      </c>
      <c r="K106" s="394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</row>
    <row r="107" spans="1:28" ht="15.75" customHeight="1">
      <c r="A107" s="445" t="e">
        <f t="shared" ca="1" si="3"/>
        <v>#VALUE!</v>
      </c>
      <c r="B107" s="446" t="s">
        <v>763</v>
      </c>
      <c r="C107" s="447">
        <v>946744500</v>
      </c>
      <c r="D107" s="446" t="s">
        <v>764</v>
      </c>
      <c r="E107" s="493" t="s">
        <v>765</v>
      </c>
      <c r="F107" s="447" t="s">
        <v>16</v>
      </c>
      <c r="G107" s="494"/>
      <c r="H107" s="397">
        <f>IF(B107="","",COUNTIF('KQ đo kiểm Speedtest'!O:O,B107))</f>
        <v>0</v>
      </c>
      <c r="I107" s="398" t="str">
        <f t="shared" ca="1" si="0"/>
        <v>Chưa thực hiện</v>
      </c>
      <c r="J107" s="399">
        <f t="shared" ca="1" si="1"/>
        <v>0</v>
      </c>
      <c r="K107" s="394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</row>
    <row r="108" spans="1:28" ht="15.75" customHeight="1">
      <c r="A108" s="445" t="e">
        <f t="shared" ca="1" si="3"/>
        <v>#VALUE!</v>
      </c>
      <c r="B108" s="446" t="s">
        <v>766</v>
      </c>
      <c r="C108" s="495" t="s">
        <v>767</v>
      </c>
      <c r="D108" s="446" t="s">
        <v>552</v>
      </c>
      <c r="E108" s="496" t="s">
        <v>552</v>
      </c>
      <c r="F108" s="447" t="s">
        <v>16</v>
      </c>
      <c r="G108" s="494"/>
      <c r="H108" s="397">
        <f>IF(B108="","",COUNTIF('KQ đo kiểm Speedtest'!O:O,B108))</f>
        <v>0</v>
      </c>
      <c r="I108" s="398" t="str">
        <f t="shared" ca="1" si="0"/>
        <v>Chưa thực hiện</v>
      </c>
      <c r="J108" s="399">
        <f t="shared" ca="1" si="1"/>
        <v>0</v>
      </c>
      <c r="K108" s="394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</row>
    <row r="109" spans="1:28" ht="15.75" customHeight="1">
      <c r="A109" s="445" t="e">
        <f t="shared" ca="1" si="3"/>
        <v>#VALUE!</v>
      </c>
      <c r="B109" s="446" t="s">
        <v>768</v>
      </c>
      <c r="C109" s="495" t="s">
        <v>769</v>
      </c>
      <c r="D109" s="446" t="s">
        <v>552</v>
      </c>
      <c r="E109" s="496" t="s">
        <v>552</v>
      </c>
      <c r="F109" s="447" t="s">
        <v>16</v>
      </c>
      <c r="G109" s="494"/>
      <c r="H109" s="397">
        <f>IF(B109="","",COUNTIF('KQ đo kiểm Speedtest'!O:O,B109))</f>
        <v>0</v>
      </c>
      <c r="I109" s="398" t="str">
        <f t="shared" ca="1" si="0"/>
        <v>Chưa thực hiện</v>
      </c>
      <c r="J109" s="399">
        <f t="shared" ca="1" si="1"/>
        <v>0</v>
      </c>
      <c r="K109" s="394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</row>
    <row r="110" spans="1:28" ht="15.75" customHeight="1">
      <c r="A110" s="445" t="str">
        <f t="shared" ca="1" si="3"/>
        <v/>
      </c>
      <c r="B110" s="497"/>
      <c r="C110" s="460"/>
      <c r="D110" s="497"/>
      <c r="E110" s="498"/>
      <c r="F110" s="460"/>
      <c r="G110" s="499"/>
      <c r="H110" s="397" t="str">
        <f>IF(B110="","",COUNTIF('KQ đo kiểm Speedtest'!O:O,B110))</f>
        <v/>
      </c>
      <c r="I110" s="398" t="str">
        <f t="shared" ca="1" si="0"/>
        <v/>
      </c>
      <c r="J110" s="399" t="str">
        <f t="shared" ca="1" si="1"/>
        <v/>
      </c>
      <c r="K110" s="394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</row>
    <row r="111" spans="1:28" ht="15.75" customHeight="1">
      <c r="A111" s="500" t="e">
        <f t="shared" ca="1" si="3"/>
        <v>#VALUE!</v>
      </c>
      <c r="B111" s="501" t="s">
        <v>770</v>
      </c>
      <c r="C111" s="502">
        <v>914310210</v>
      </c>
      <c r="D111" s="501" t="s">
        <v>771</v>
      </c>
      <c r="E111" s="503" t="s">
        <v>772</v>
      </c>
      <c r="F111" s="502" t="s">
        <v>17</v>
      </c>
      <c r="G111" s="504" t="s">
        <v>29</v>
      </c>
      <c r="H111" s="397">
        <f>IF(B111="","",COUNTIF('KQ đo kiểm Speedtest'!O:O,B111))</f>
        <v>0</v>
      </c>
      <c r="I111" s="398" t="str">
        <f t="shared" ca="1" si="0"/>
        <v>Chưa thực hiện</v>
      </c>
      <c r="J111" s="399">
        <f t="shared" ca="1" si="1"/>
        <v>0</v>
      </c>
      <c r="K111" s="394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</row>
    <row r="112" spans="1:28" ht="15.75" customHeight="1">
      <c r="A112" s="500" t="e">
        <f t="shared" ca="1" si="3"/>
        <v>#VALUE!</v>
      </c>
      <c r="B112" s="505" t="s">
        <v>773</v>
      </c>
      <c r="C112" s="506">
        <v>888193957</v>
      </c>
      <c r="D112" s="505" t="s">
        <v>774</v>
      </c>
      <c r="E112" s="507" t="s">
        <v>775</v>
      </c>
      <c r="F112" s="506" t="s">
        <v>17</v>
      </c>
      <c r="G112" s="508"/>
      <c r="H112" s="397">
        <f>IF(B112="","",COUNTIF('KQ đo kiểm Speedtest'!O:O,B112))</f>
        <v>9</v>
      </c>
      <c r="I112" s="398" t="str">
        <f t="shared" ca="1" si="0"/>
        <v>Đã hoàn thành</v>
      </c>
      <c r="J112" s="399">
        <f t="shared" ca="1" si="1"/>
        <v>1</v>
      </c>
      <c r="K112" s="394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</row>
    <row r="113" spans="1:28" ht="15.75" customHeight="1">
      <c r="A113" s="500" t="e">
        <f t="shared" ca="1" si="3"/>
        <v>#VALUE!</v>
      </c>
      <c r="B113" s="505" t="s">
        <v>776</v>
      </c>
      <c r="C113" s="506">
        <v>919542919</v>
      </c>
      <c r="D113" s="505" t="s">
        <v>777</v>
      </c>
      <c r="E113" s="507" t="s">
        <v>778</v>
      </c>
      <c r="F113" s="506" t="s">
        <v>17</v>
      </c>
      <c r="G113" s="508"/>
      <c r="H113" s="397">
        <f>IF(B113="","",COUNTIF('KQ đo kiểm Speedtest'!O:O,B113))</f>
        <v>10</v>
      </c>
      <c r="I113" s="398" t="str">
        <f t="shared" ca="1" si="0"/>
        <v>Đã hoàn thành</v>
      </c>
      <c r="J113" s="399">
        <f t="shared" ca="1" si="1"/>
        <v>1</v>
      </c>
      <c r="K113" s="394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</row>
    <row r="114" spans="1:28" ht="15.75" customHeight="1">
      <c r="A114" s="500" t="e">
        <f t="shared" ca="1" si="3"/>
        <v>#VALUE!</v>
      </c>
      <c r="B114" s="505" t="s">
        <v>779</v>
      </c>
      <c r="C114" s="506">
        <v>917259777</v>
      </c>
      <c r="D114" s="505" t="s">
        <v>780</v>
      </c>
      <c r="E114" s="507" t="s">
        <v>781</v>
      </c>
      <c r="F114" s="506" t="s">
        <v>17</v>
      </c>
      <c r="G114" s="508"/>
      <c r="H114" s="397">
        <f>IF(B114="","",COUNTIF('KQ đo kiểm Speedtest'!O:O,B114))</f>
        <v>12</v>
      </c>
      <c r="I114" s="398" t="str">
        <f t="shared" ca="1" si="0"/>
        <v>Đã hoàn thành</v>
      </c>
      <c r="J114" s="399">
        <f t="shared" ca="1" si="1"/>
        <v>1</v>
      </c>
      <c r="K114" s="394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</row>
    <row r="115" spans="1:28" ht="15.75" customHeight="1">
      <c r="A115" s="500" t="e">
        <f t="shared" ca="1" si="3"/>
        <v>#VALUE!</v>
      </c>
      <c r="B115" s="505" t="s">
        <v>782</v>
      </c>
      <c r="C115" s="506">
        <v>918955485</v>
      </c>
      <c r="D115" s="505" t="s">
        <v>783</v>
      </c>
      <c r="E115" s="507" t="s">
        <v>784</v>
      </c>
      <c r="F115" s="506" t="s">
        <v>17</v>
      </c>
      <c r="G115" s="508" t="s">
        <v>29</v>
      </c>
      <c r="H115" s="397">
        <f>IF(B115="","",COUNTIF('KQ đo kiểm Speedtest'!O:O,B115))</f>
        <v>16</v>
      </c>
      <c r="I115" s="398" t="str">
        <f t="shared" ca="1" si="0"/>
        <v>Đã hoàn thành</v>
      </c>
      <c r="J115" s="399">
        <f t="shared" ca="1" si="1"/>
        <v>1</v>
      </c>
      <c r="K115" s="394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</row>
    <row r="116" spans="1:28" ht="15.75" customHeight="1">
      <c r="A116" s="500" t="e">
        <f t="shared" ca="1" si="3"/>
        <v>#VALUE!</v>
      </c>
      <c r="B116" s="505" t="s">
        <v>785</v>
      </c>
      <c r="C116" s="506">
        <v>913602796</v>
      </c>
      <c r="D116" s="505" t="s">
        <v>786</v>
      </c>
      <c r="E116" s="507" t="s">
        <v>787</v>
      </c>
      <c r="F116" s="506" t="s">
        <v>17</v>
      </c>
      <c r="G116" s="508" t="s">
        <v>29</v>
      </c>
      <c r="H116" s="397">
        <f>IF(B116="","",COUNTIF('KQ đo kiểm Speedtest'!O:O,B116))</f>
        <v>6</v>
      </c>
      <c r="I116" s="398" t="str">
        <f t="shared" ca="1" si="0"/>
        <v>Chưa đủ mẫu đo</v>
      </c>
      <c r="J116" s="399">
        <f t="shared" ca="1" si="1"/>
        <v>0</v>
      </c>
      <c r="K116" s="394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</row>
    <row r="117" spans="1:28" ht="15.75" customHeight="1">
      <c r="A117" s="500" t="e">
        <f t="shared" ca="1" si="3"/>
        <v>#VALUE!</v>
      </c>
      <c r="B117" s="505" t="s">
        <v>788</v>
      </c>
      <c r="C117" s="506">
        <v>943905906</v>
      </c>
      <c r="D117" s="505" t="s">
        <v>789</v>
      </c>
      <c r="E117" s="507" t="s">
        <v>790</v>
      </c>
      <c r="F117" s="506" t="s">
        <v>17</v>
      </c>
      <c r="G117" s="508" t="s">
        <v>29</v>
      </c>
      <c r="H117" s="397">
        <f>IF(B117="","",COUNTIF('KQ đo kiểm Speedtest'!O:O,B117))</f>
        <v>11</v>
      </c>
      <c r="I117" s="398" t="str">
        <f t="shared" ca="1" si="0"/>
        <v>Đã hoàn thành</v>
      </c>
      <c r="J117" s="399">
        <f t="shared" ca="1" si="1"/>
        <v>1</v>
      </c>
      <c r="K117" s="394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  <c r="AA117" s="385"/>
      <c r="AB117" s="385"/>
    </row>
    <row r="118" spans="1:28" ht="15.75" customHeight="1">
      <c r="A118" s="500" t="e">
        <f t="shared" ca="1" si="3"/>
        <v>#VALUE!</v>
      </c>
      <c r="B118" s="505" t="s">
        <v>791</v>
      </c>
      <c r="C118" s="506">
        <v>948737488</v>
      </c>
      <c r="D118" s="505" t="s">
        <v>792</v>
      </c>
      <c r="E118" s="507" t="s">
        <v>793</v>
      </c>
      <c r="F118" s="506" t="s">
        <v>17</v>
      </c>
      <c r="G118" s="508" t="s">
        <v>29</v>
      </c>
      <c r="H118" s="397">
        <f>IF(B118="","",COUNTIF('KQ đo kiểm Speedtest'!O:O,B118))</f>
        <v>5</v>
      </c>
      <c r="I118" s="398" t="str">
        <f t="shared" ca="1" si="0"/>
        <v>Chưa đủ mẫu đo</v>
      </c>
      <c r="J118" s="399">
        <f t="shared" ca="1" si="1"/>
        <v>0</v>
      </c>
      <c r="K118" s="394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  <c r="AA118" s="385"/>
      <c r="AB118" s="385"/>
    </row>
    <row r="119" spans="1:28" ht="15.75" customHeight="1">
      <c r="A119" s="500" t="e">
        <f t="shared" ca="1" si="3"/>
        <v>#VALUE!</v>
      </c>
      <c r="B119" s="505" t="s">
        <v>794</v>
      </c>
      <c r="C119" s="506">
        <v>911039328</v>
      </c>
      <c r="D119" s="505" t="s">
        <v>795</v>
      </c>
      <c r="E119" s="507" t="s">
        <v>796</v>
      </c>
      <c r="F119" s="506" t="s">
        <v>17</v>
      </c>
      <c r="G119" s="508" t="s">
        <v>29</v>
      </c>
      <c r="H119" s="397">
        <f>IF(B119="","",COUNTIF('KQ đo kiểm Speedtest'!O:O,B119))</f>
        <v>16</v>
      </c>
      <c r="I119" s="398" t="str">
        <f t="shared" ca="1" si="0"/>
        <v>Đã hoàn thành</v>
      </c>
      <c r="J119" s="399">
        <f t="shared" ca="1" si="1"/>
        <v>1</v>
      </c>
      <c r="K119" s="394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  <c r="AA119" s="385"/>
      <c r="AB119" s="385"/>
    </row>
    <row r="120" spans="1:28" ht="15.75" customHeight="1">
      <c r="A120" s="500" t="e">
        <f t="shared" ca="1" si="3"/>
        <v>#VALUE!</v>
      </c>
      <c r="B120" s="505" t="s">
        <v>797</v>
      </c>
      <c r="C120" s="506">
        <v>833823127</v>
      </c>
      <c r="D120" s="505" t="s">
        <v>798</v>
      </c>
      <c r="E120" s="507" t="s">
        <v>799</v>
      </c>
      <c r="F120" s="506" t="s">
        <v>17</v>
      </c>
      <c r="G120" s="508" t="s">
        <v>29</v>
      </c>
      <c r="H120" s="397">
        <f>IF(B120="","",COUNTIF('KQ đo kiểm Speedtest'!O:O,B120))</f>
        <v>9</v>
      </c>
      <c r="I120" s="398" t="str">
        <f t="shared" ca="1" si="0"/>
        <v>Đã hoàn thành</v>
      </c>
      <c r="J120" s="399">
        <f t="shared" ca="1" si="1"/>
        <v>1</v>
      </c>
      <c r="K120" s="394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  <c r="AA120" s="385"/>
      <c r="AB120" s="385"/>
    </row>
    <row r="121" spans="1:28" ht="15.75" customHeight="1">
      <c r="A121" s="500" t="e">
        <f t="shared" ca="1" si="3"/>
        <v>#VALUE!</v>
      </c>
      <c r="B121" s="505" t="s">
        <v>800</v>
      </c>
      <c r="C121" s="506">
        <v>949939268</v>
      </c>
      <c r="D121" s="505" t="s">
        <v>801</v>
      </c>
      <c r="E121" s="507" t="s">
        <v>784</v>
      </c>
      <c r="F121" s="506" t="s">
        <v>17</v>
      </c>
      <c r="G121" s="508" t="s">
        <v>29</v>
      </c>
      <c r="H121" s="397">
        <f>IF(B121="","",COUNTIF('KQ đo kiểm Speedtest'!O:O,B121))</f>
        <v>0</v>
      </c>
      <c r="I121" s="398" t="str">
        <f t="shared" ca="1" si="0"/>
        <v>Chưa thực hiện</v>
      </c>
      <c r="J121" s="399">
        <f t="shared" ca="1" si="1"/>
        <v>0</v>
      </c>
      <c r="K121" s="394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  <c r="AA121" s="385"/>
      <c r="AB121" s="385"/>
    </row>
    <row r="122" spans="1:28" ht="15.75" customHeight="1">
      <c r="A122" s="500" t="e">
        <f t="shared" ca="1" si="3"/>
        <v>#VALUE!</v>
      </c>
      <c r="B122" s="505" t="s">
        <v>802</v>
      </c>
      <c r="C122" s="506">
        <v>917052852</v>
      </c>
      <c r="D122" s="505" t="s">
        <v>803</v>
      </c>
      <c r="E122" s="507" t="s">
        <v>804</v>
      </c>
      <c r="F122" s="506" t="s">
        <v>17</v>
      </c>
      <c r="G122" s="508" t="s">
        <v>29</v>
      </c>
      <c r="H122" s="397">
        <f>IF(B122="","",COUNTIF('KQ đo kiểm Speedtest'!O:O,B122))</f>
        <v>10</v>
      </c>
      <c r="I122" s="398" t="str">
        <f t="shared" ca="1" si="0"/>
        <v>Đã hoàn thành</v>
      </c>
      <c r="J122" s="399">
        <f t="shared" ca="1" si="1"/>
        <v>1</v>
      </c>
      <c r="K122" s="394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  <c r="AA122" s="385"/>
      <c r="AB122" s="385"/>
    </row>
    <row r="123" spans="1:28" ht="15.75" customHeight="1">
      <c r="A123" s="500" t="e">
        <f t="shared" ca="1" si="3"/>
        <v>#VALUE!</v>
      </c>
      <c r="B123" s="505" t="s">
        <v>805</v>
      </c>
      <c r="C123" s="506">
        <v>834241286</v>
      </c>
      <c r="D123" s="505" t="s">
        <v>806</v>
      </c>
      <c r="E123" s="507" t="s">
        <v>807</v>
      </c>
      <c r="F123" s="506" t="s">
        <v>17</v>
      </c>
      <c r="G123" s="508" t="s">
        <v>552</v>
      </c>
      <c r="H123" s="397">
        <f>IF(B123="","",COUNTIF('KQ đo kiểm Speedtest'!O:O,B123))</f>
        <v>5</v>
      </c>
      <c r="I123" s="398" t="str">
        <f t="shared" ca="1" si="0"/>
        <v>Chưa đủ mẫu đo</v>
      </c>
      <c r="J123" s="399">
        <f t="shared" ca="1" si="1"/>
        <v>0</v>
      </c>
      <c r="K123" s="394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  <c r="Z123" s="385"/>
      <c r="AA123" s="385"/>
      <c r="AB123" s="385"/>
    </row>
    <row r="124" spans="1:28" ht="15.75" customHeight="1">
      <c r="A124" s="500" t="e">
        <f t="shared" ca="1" si="3"/>
        <v>#VALUE!</v>
      </c>
      <c r="B124" s="505" t="s">
        <v>808</v>
      </c>
      <c r="C124" s="506">
        <v>913955468</v>
      </c>
      <c r="D124" s="505" t="s">
        <v>809</v>
      </c>
      <c r="E124" s="507" t="s">
        <v>810</v>
      </c>
      <c r="F124" s="506" t="s">
        <v>17</v>
      </c>
      <c r="G124" s="509"/>
      <c r="H124" s="397">
        <f>IF(B124="","",COUNTIF('KQ đo kiểm Speedtest'!O:O,B124))</f>
        <v>0</v>
      </c>
      <c r="I124" s="398" t="str">
        <f t="shared" ca="1" si="0"/>
        <v>Chưa thực hiện</v>
      </c>
      <c r="J124" s="399">
        <f t="shared" ca="1" si="1"/>
        <v>0</v>
      </c>
      <c r="K124" s="456" t="s">
        <v>629</v>
      </c>
      <c r="L124" s="456"/>
      <c r="M124" s="456"/>
      <c r="N124" s="456"/>
      <c r="O124" s="456"/>
      <c r="P124" s="456"/>
      <c r="Q124" s="456"/>
      <c r="R124" s="456"/>
      <c r="S124" s="456"/>
      <c r="T124" s="456"/>
      <c r="U124" s="456"/>
      <c r="V124" s="456"/>
      <c r="W124" s="456"/>
      <c r="X124" s="456"/>
      <c r="Y124" s="456"/>
      <c r="Z124" s="456"/>
      <c r="AA124" s="456"/>
      <c r="AB124" s="456"/>
    </row>
    <row r="125" spans="1:28" ht="14.25">
      <c r="A125" s="500" t="e">
        <f t="shared" ca="1" si="3"/>
        <v>#VALUE!</v>
      </c>
      <c r="B125" s="510" t="s">
        <v>811</v>
      </c>
      <c r="C125" s="511" t="s">
        <v>812</v>
      </c>
      <c r="D125" s="512" t="s">
        <v>813</v>
      </c>
      <c r="E125" s="507" t="s">
        <v>814</v>
      </c>
      <c r="F125" s="506" t="s">
        <v>17</v>
      </c>
      <c r="G125" s="513"/>
      <c r="H125" s="397">
        <f>IF(B125="","",COUNTIF('KQ đo kiểm Speedtest'!O:O,B125))</f>
        <v>0</v>
      </c>
      <c r="I125" s="398" t="str">
        <f t="shared" ca="1" si="0"/>
        <v>Chưa thực hiện</v>
      </c>
      <c r="J125" s="399">
        <f t="shared" ca="1" si="1"/>
        <v>0</v>
      </c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  <c r="AA125" s="385"/>
      <c r="AB125" s="385"/>
    </row>
    <row r="126" spans="1:28" ht="14.25">
      <c r="A126" s="500" t="e">
        <f t="shared" ca="1" si="3"/>
        <v>#VALUE!</v>
      </c>
      <c r="B126" s="510" t="s">
        <v>815</v>
      </c>
      <c r="C126" s="511" t="s">
        <v>816</v>
      </c>
      <c r="D126" s="512" t="s">
        <v>817</v>
      </c>
      <c r="E126" s="507" t="s">
        <v>818</v>
      </c>
      <c r="F126" s="506" t="s">
        <v>17</v>
      </c>
      <c r="G126" s="513"/>
      <c r="H126" s="397">
        <f>IF(B126="","",COUNTIF('KQ đo kiểm Speedtest'!O:O,B126))</f>
        <v>0</v>
      </c>
      <c r="I126" s="398" t="str">
        <f t="shared" ca="1" si="0"/>
        <v>Chưa thực hiện</v>
      </c>
      <c r="J126" s="399">
        <f t="shared" ca="1" si="1"/>
        <v>0</v>
      </c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  <c r="Z126" s="385"/>
      <c r="AA126" s="385"/>
      <c r="AB126" s="385"/>
    </row>
    <row r="127" spans="1:28" ht="14.25">
      <c r="A127" s="500"/>
      <c r="B127" s="514" t="s">
        <v>819</v>
      </c>
      <c r="C127" s="511" t="s">
        <v>820</v>
      </c>
      <c r="D127" s="512" t="s">
        <v>821</v>
      </c>
      <c r="E127" s="515"/>
      <c r="F127" s="506" t="s">
        <v>17</v>
      </c>
      <c r="G127" s="513"/>
      <c r="H127" s="397">
        <f>IF(B127="","",COUNTIF('KQ đo kiểm Speedtest'!O:O,B127))</f>
        <v>0</v>
      </c>
      <c r="I127" s="398" t="str">
        <f t="shared" ca="1" si="0"/>
        <v>Chưa thực hiện</v>
      </c>
      <c r="J127" s="399">
        <f t="shared" ca="1" si="1"/>
        <v>0</v>
      </c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  <c r="AA127" s="385"/>
      <c r="AB127" s="385"/>
    </row>
    <row r="128" spans="1:28" ht="14.25">
      <c r="A128" s="500"/>
      <c r="B128" s="510"/>
      <c r="C128" s="511"/>
      <c r="D128" s="512"/>
      <c r="E128" s="515"/>
      <c r="F128" s="506"/>
      <c r="G128" s="513"/>
      <c r="H128" s="397" t="str">
        <f>IF(B128="","",COUNTIF('KQ đo kiểm Speedtest'!O:O,B128))</f>
        <v/>
      </c>
      <c r="I128" s="398" t="str">
        <f t="shared" ca="1" si="0"/>
        <v/>
      </c>
      <c r="J128" s="399" t="str">
        <f t="shared" ca="1" si="1"/>
        <v/>
      </c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  <c r="Z128" s="385"/>
      <c r="AA128" s="385"/>
      <c r="AB128" s="385"/>
    </row>
    <row r="129" spans="1:28" ht="14.25">
      <c r="A129" s="516"/>
      <c r="B129" s="517"/>
      <c r="C129" s="518"/>
      <c r="D129" s="519"/>
      <c r="E129" s="520"/>
      <c r="F129" s="521"/>
      <c r="G129" s="522"/>
      <c r="H129" s="523" t="str">
        <f>IF(B129="","",COUNTIF('KQ đo kiểm Speedtest'!O:O,B129))</f>
        <v/>
      </c>
      <c r="I129" s="524" t="str">
        <f t="shared" ca="1" si="0"/>
        <v/>
      </c>
      <c r="J129" s="525" t="str">
        <f t="shared" ca="1" si="1"/>
        <v/>
      </c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5"/>
      <c r="Z129" s="385"/>
      <c r="AA129" s="385"/>
      <c r="AB129" s="385"/>
    </row>
    <row r="130" spans="1:28" ht="12.75">
      <c r="A130" s="385"/>
      <c r="B130" s="385"/>
      <c r="C130" s="385"/>
      <c r="D130" s="385"/>
      <c r="E130" s="385"/>
      <c r="F130" s="385"/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  <c r="Z130" s="385"/>
      <c r="AA130" s="385"/>
      <c r="AB130" s="385"/>
    </row>
    <row r="131" spans="1:28" ht="12.75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  <c r="Z131" s="385"/>
      <c r="AA131" s="385"/>
      <c r="AB131" s="385"/>
    </row>
    <row r="132" spans="1:28" ht="12.75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  <c r="Z132" s="385"/>
      <c r="AA132" s="385"/>
      <c r="AB132" s="385"/>
    </row>
    <row r="133" spans="1:28" ht="12.75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  <c r="W133" s="385"/>
      <c r="X133" s="385"/>
      <c r="Y133" s="385"/>
      <c r="Z133" s="385"/>
      <c r="AA133" s="385"/>
      <c r="AB133" s="385"/>
    </row>
    <row r="134" spans="1:28" ht="12.75">
      <c r="A134" s="385"/>
      <c r="B134" s="385"/>
      <c r="C134" s="385"/>
      <c r="D134" s="385"/>
      <c r="E134" s="385"/>
      <c r="F134" s="385"/>
      <c r="G134" s="385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  <c r="W134" s="385"/>
      <c r="X134" s="385"/>
      <c r="Y134" s="385"/>
      <c r="Z134" s="385"/>
      <c r="AA134" s="385"/>
      <c r="AB134" s="385"/>
    </row>
    <row r="135" spans="1:28" ht="12.75">
      <c r="A135" s="385"/>
      <c r="B135" s="385"/>
      <c r="C135" s="385"/>
      <c r="D135" s="385"/>
      <c r="E135" s="385"/>
      <c r="F135" s="385"/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385"/>
      <c r="Z135" s="385"/>
      <c r="AA135" s="385"/>
      <c r="AB135" s="385"/>
    </row>
    <row r="136" spans="1:28" ht="12.75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  <c r="W136" s="385"/>
      <c r="X136" s="385"/>
      <c r="Y136" s="385"/>
      <c r="Z136" s="385"/>
      <c r="AA136" s="385"/>
      <c r="AB136" s="385"/>
    </row>
    <row r="137" spans="1:28" ht="12.75">
      <c r="A137" s="385"/>
      <c r="B137" s="385"/>
      <c r="C137" s="385"/>
      <c r="D137" s="385"/>
      <c r="E137" s="385"/>
      <c r="F137" s="385"/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385"/>
      <c r="Z137" s="385"/>
      <c r="AA137" s="385"/>
      <c r="AB137" s="385"/>
    </row>
    <row r="138" spans="1:28" ht="12.75">
      <c r="A138" s="385"/>
      <c r="B138" s="385"/>
      <c r="C138" s="526"/>
      <c r="D138" s="385"/>
      <c r="E138" s="385"/>
      <c r="F138" s="385"/>
      <c r="G138" s="385"/>
      <c r="H138" s="30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  <c r="W138" s="385"/>
      <c r="X138" s="385"/>
      <c r="Y138" s="385"/>
      <c r="Z138" s="385"/>
      <c r="AA138" s="385"/>
      <c r="AB138" s="385"/>
    </row>
    <row r="139" spans="1:28" ht="12.75">
      <c r="A139" s="385"/>
      <c r="B139" s="385"/>
      <c r="C139" s="526"/>
      <c r="D139" s="385"/>
      <c r="E139" s="385"/>
      <c r="F139" s="385"/>
      <c r="G139" s="385"/>
      <c r="H139" s="30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  <c r="W139" s="385"/>
      <c r="X139" s="385"/>
      <c r="Y139" s="385"/>
      <c r="Z139" s="385"/>
      <c r="AA139" s="385"/>
      <c r="AB139" s="385"/>
    </row>
    <row r="140" spans="1:28" ht="12.75">
      <c r="A140" s="385"/>
      <c r="B140" s="385"/>
      <c r="C140" s="526"/>
      <c r="D140" s="385"/>
      <c r="E140" s="385"/>
      <c r="F140" s="385"/>
      <c r="G140" s="385"/>
      <c r="H140" s="30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  <c r="W140" s="385"/>
      <c r="X140" s="385"/>
      <c r="Y140" s="385"/>
      <c r="Z140" s="385"/>
      <c r="AA140" s="385"/>
      <c r="AB140" s="385"/>
    </row>
    <row r="141" spans="1:28" ht="12.75">
      <c r="A141" s="385"/>
      <c r="B141" s="385"/>
      <c r="C141" s="526"/>
      <c r="D141" s="385"/>
      <c r="E141" s="385"/>
      <c r="F141" s="385"/>
      <c r="G141" s="385"/>
      <c r="H141" s="30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  <c r="W141" s="385"/>
      <c r="X141" s="385"/>
      <c r="Y141" s="385"/>
      <c r="Z141" s="385"/>
      <c r="AA141" s="385"/>
      <c r="AB141" s="385"/>
    </row>
    <row r="142" spans="1:28" ht="12.75">
      <c r="A142" s="385"/>
      <c r="B142" s="385"/>
      <c r="C142" s="526"/>
      <c r="D142" s="385"/>
      <c r="E142" s="385"/>
      <c r="F142" s="385"/>
      <c r="G142" s="385"/>
      <c r="H142" s="30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385"/>
      <c r="Z142" s="385"/>
      <c r="AA142" s="385"/>
      <c r="AB142" s="385"/>
    </row>
    <row r="143" spans="1:28" ht="12.75">
      <c r="A143" s="385"/>
      <c r="B143" s="385"/>
      <c r="C143" s="526"/>
      <c r="D143" s="385"/>
      <c r="E143" s="385"/>
      <c r="F143" s="385"/>
      <c r="G143" s="385"/>
      <c r="H143" s="30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  <c r="W143" s="385"/>
      <c r="X143" s="385"/>
      <c r="Y143" s="385"/>
      <c r="Z143" s="385"/>
      <c r="AA143" s="385"/>
      <c r="AB143" s="385"/>
    </row>
    <row r="144" spans="1:28" ht="12.75">
      <c r="A144" s="385"/>
      <c r="B144" s="385"/>
      <c r="C144" s="526"/>
      <c r="D144" s="385"/>
      <c r="E144" s="385"/>
      <c r="F144" s="385"/>
      <c r="G144" s="385"/>
      <c r="H144" s="30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  <c r="W144" s="385"/>
      <c r="X144" s="385"/>
      <c r="Y144" s="385"/>
      <c r="Z144" s="385"/>
      <c r="AA144" s="385"/>
      <c r="AB144" s="385"/>
    </row>
    <row r="145" spans="1:28" ht="12.75">
      <c r="A145" s="385"/>
      <c r="B145" s="385"/>
      <c r="C145" s="526"/>
      <c r="D145" s="385"/>
      <c r="E145" s="385"/>
      <c r="F145" s="385"/>
      <c r="G145" s="385"/>
      <c r="H145" s="30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  <c r="W145" s="385"/>
      <c r="X145" s="385"/>
      <c r="Y145" s="385"/>
      <c r="Z145" s="385"/>
      <c r="AA145" s="385"/>
      <c r="AB145" s="385"/>
    </row>
    <row r="146" spans="1:28" ht="12.75">
      <c r="A146" s="385"/>
      <c r="B146" s="385"/>
      <c r="C146" s="526"/>
      <c r="D146" s="385"/>
      <c r="E146" s="385"/>
      <c r="F146" s="385"/>
      <c r="G146" s="385"/>
      <c r="H146" s="30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  <c r="W146" s="385"/>
      <c r="X146" s="385"/>
      <c r="Y146" s="385"/>
      <c r="Z146" s="385"/>
      <c r="AA146" s="385"/>
      <c r="AB146" s="385"/>
    </row>
    <row r="147" spans="1:28" ht="12.75">
      <c r="A147" s="385"/>
      <c r="B147" s="385"/>
      <c r="C147" s="526"/>
      <c r="D147" s="385"/>
      <c r="E147" s="385"/>
      <c r="F147" s="385"/>
      <c r="G147" s="385"/>
      <c r="H147" s="30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  <c r="W147" s="385"/>
      <c r="X147" s="385"/>
      <c r="Y147" s="385"/>
      <c r="Z147" s="385"/>
      <c r="AA147" s="385"/>
      <c r="AB147" s="385"/>
    </row>
    <row r="148" spans="1:28" ht="12.75">
      <c r="A148" s="385"/>
      <c r="B148" s="385"/>
      <c r="C148" s="526"/>
      <c r="D148" s="385"/>
      <c r="E148" s="385"/>
      <c r="F148" s="385"/>
      <c r="G148" s="385"/>
      <c r="H148" s="30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  <c r="W148" s="385"/>
      <c r="X148" s="385"/>
      <c r="Y148" s="385"/>
      <c r="Z148" s="385"/>
      <c r="AA148" s="385"/>
      <c r="AB148" s="385"/>
    </row>
    <row r="149" spans="1:28" ht="12.75">
      <c r="A149" s="385"/>
      <c r="B149" s="385"/>
      <c r="C149" s="526"/>
      <c r="D149" s="385"/>
      <c r="E149" s="385"/>
      <c r="F149" s="385"/>
      <c r="G149" s="385"/>
      <c r="H149" s="30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  <c r="W149" s="385"/>
      <c r="X149" s="385"/>
      <c r="Y149" s="385"/>
      <c r="Z149" s="385"/>
      <c r="AA149" s="385"/>
      <c r="AB149" s="385"/>
    </row>
    <row r="150" spans="1:28" ht="12.75">
      <c r="A150" s="385"/>
      <c r="B150" s="385"/>
      <c r="C150" s="526"/>
      <c r="D150" s="385"/>
      <c r="E150" s="385"/>
      <c r="F150" s="385"/>
      <c r="G150" s="385"/>
      <c r="H150" s="30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  <c r="AA150" s="385"/>
      <c r="AB150" s="385"/>
    </row>
    <row r="151" spans="1:28" ht="12.75">
      <c r="A151" s="385"/>
      <c r="B151" s="385"/>
      <c r="C151" s="526"/>
      <c r="D151" s="385"/>
      <c r="E151" s="385"/>
      <c r="F151" s="385"/>
      <c r="G151" s="385"/>
      <c r="H151" s="30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  <c r="W151" s="385"/>
      <c r="X151" s="385"/>
      <c r="Y151" s="385"/>
      <c r="Z151" s="385"/>
      <c r="AA151" s="385"/>
      <c r="AB151" s="385"/>
    </row>
    <row r="152" spans="1:28" ht="15.75" customHeight="1">
      <c r="A152" s="385"/>
      <c r="B152" s="385"/>
      <c r="C152" s="526"/>
      <c r="D152" s="385"/>
      <c r="E152" s="385"/>
      <c r="F152" s="385"/>
      <c r="G152" s="527"/>
      <c r="H152" s="30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  <c r="W152" s="385"/>
      <c r="X152" s="385"/>
      <c r="Y152" s="385"/>
      <c r="Z152" s="385"/>
      <c r="AA152" s="385"/>
      <c r="AB152" s="385"/>
    </row>
    <row r="153" spans="1:28" ht="15.75" customHeight="1">
      <c r="A153" s="385"/>
      <c r="B153" s="385"/>
      <c r="C153" s="526"/>
      <c r="D153" s="385"/>
      <c r="E153" s="385"/>
      <c r="F153" s="385"/>
      <c r="G153" s="527"/>
      <c r="H153" s="30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  <c r="W153" s="385"/>
      <c r="X153" s="385"/>
      <c r="Y153" s="385"/>
      <c r="Z153" s="385"/>
      <c r="AA153" s="385"/>
      <c r="AB153" s="385"/>
    </row>
    <row r="154" spans="1:28" ht="15.75" customHeight="1">
      <c r="A154" s="385"/>
      <c r="B154" s="385"/>
      <c r="C154" s="526"/>
      <c r="D154" s="385"/>
      <c r="E154" s="385"/>
      <c r="F154" s="385"/>
      <c r="G154" s="527"/>
      <c r="H154" s="30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  <c r="W154" s="385"/>
      <c r="X154" s="385"/>
      <c r="Y154" s="385"/>
      <c r="Z154" s="385"/>
      <c r="AA154" s="385"/>
      <c r="AB154" s="385"/>
    </row>
    <row r="155" spans="1:28" ht="15.75" customHeight="1">
      <c r="A155" s="385"/>
      <c r="B155" s="385"/>
      <c r="C155" s="526"/>
      <c r="D155" s="385"/>
      <c r="E155" s="385"/>
      <c r="F155" s="385"/>
      <c r="G155" s="527"/>
      <c r="H155" s="30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  <c r="W155" s="385"/>
      <c r="X155" s="385"/>
      <c r="Y155" s="385"/>
      <c r="Z155" s="385"/>
      <c r="AA155" s="385"/>
      <c r="AB155" s="385"/>
    </row>
    <row r="156" spans="1:28" ht="15.75" customHeight="1">
      <c r="A156" s="385"/>
      <c r="B156" s="385"/>
      <c r="C156" s="526"/>
      <c r="D156" s="385"/>
      <c r="E156" s="385"/>
      <c r="F156" s="385"/>
      <c r="G156" s="527"/>
      <c r="H156" s="30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  <c r="Z156" s="385"/>
      <c r="AA156" s="385"/>
      <c r="AB156" s="385"/>
    </row>
    <row r="157" spans="1:28" ht="15.75" customHeight="1">
      <c r="A157" s="385"/>
      <c r="B157" s="385"/>
      <c r="C157" s="526"/>
      <c r="D157" s="385"/>
      <c r="E157" s="385"/>
      <c r="F157" s="385"/>
      <c r="G157" s="527"/>
      <c r="H157" s="30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  <c r="Y157" s="385"/>
      <c r="Z157" s="385"/>
      <c r="AA157" s="385"/>
      <c r="AB157" s="385"/>
    </row>
    <row r="158" spans="1:28" ht="15.75" customHeight="1">
      <c r="A158" s="385"/>
      <c r="B158" s="385"/>
      <c r="C158" s="526"/>
      <c r="D158" s="385"/>
      <c r="E158" s="385"/>
      <c r="F158" s="385"/>
      <c r="G158" s="527"/>
      <c r="H158" s="30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  <c r="W158" s="385"/>
      <c r="X158" s="385"/>
      <c r="Y158" s="385"/>
      <c r="Z158" s="385"/>
      <c r="AA158" s="385"/>
      <c r="AB158" s="385"/>
    </row>
    <row r="159" spans="1:28" ht="15.75" customHeight="1">
      <c r="A159" s="385"/>
      <c r="B159" s="385"/>
      <c r="C159" s="526"/>
      <c r="D159" s="385"/>
      <c r="E159" s="385"/>
      <c r="F159" s="385"/>
      <c r="G159" s="527"/>
      <c r="H159" s="30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  <c r="Z159" s="385"/>
      <c r="AA159" s="385"/>
      <c r="AB159" s="385"/>
    </row>
    <row r="160" spans="1:28" ht="15.75" customHeight="1">
      <c r="A160" s="385"/>
      <c r="B160" s="385"/>
      <c r="C160" s="526"/>
      <c r="D160" s="385"/>
      <c r="E160" s="385"/>
      <c r="F160" s="385"/>
      <c r="G160" s="527"/>
      <c r="H160" s="30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  <c r="W160" s="385"/>
      <c r="X160" s="385"/>
      <c r="Y160" s="385"/>
      <c r="Z160" s="385"/>
      <c r="AA160" s="385"/>
      <c r="AB160" s="385"/>
    </row>
    <row r="161" spans="1:28" ht="15.75" customHeight="1">
      <c r="A161" s="385"/>
      <c r="B161" s="385"/>
      <c r="C161" s="526"/>
      <c r="D161" s="385"/>
      <c r="E161" s="385"/>
      <c r="F161" s="385"/>
      <c r="G161" s="527"/>
      <c r="H161" s="30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  <c r="W161" s="385"/>
      <c r="X161" s="385"/>
      <c r="Y161" s="385"/>
      <c r="Z161" s="385"/>
      <c r="AA161" s="385"/>
      <c r="AB161" s="385"/>
    </row>
    <row r="162" spans="1:28" ht="15.75" customHeight="1">
      <c r="A162" s="385"/>
      <c r="B162" s="385"/>
      <c r="C162" s="526"/>
      <c r="D162" s="385"/>
      <c r="E162" s="385"/>
      <c r="F162" s="385"/>
      <c r="G162" s="527"/>
      <c r="H162" s="30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  <c r="W162" s="385"/>
      <c r="X162" s="385"/>
      <c r="Y162" s="385"/>
      <c r="Z162" s="385"/>
      <c r="AA162" s="385"/>
      <c r="AB162" s="385"/>
    </row>
    <row r="163" spans="1:28" ht="15.75" customHeight="1">
      <c r="A163" s="385"/>
      <c r="B163" s="385"/>
      <c r="C163" s="526"/>
      <c r="D163" s="385"/>
      <c r="E163" s="385"/>
      <c r="F163" s="385"/>
      <c r="G163" s="527"/>
      <c r="H163" s="30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  <c r="W163" s="385"/>
      <c r="X163" s="385"/>
      <c r="Y163" s="385"/>
      <c r="Z163" s="385"/>
      <c r="AA163" s="385"/>
      <c r="AB163" s="385"/>
    </row>
    <row r="164" spans="1:28" ht="15.75" customHeight="1">
      <c r="A164" s="385"/>
      <c r="B164" s="385"/>
      <c r="C164" s="526"/>
      <c r="D164" s="385"/>
      <c r="E164" s="385"/>
      <c r="F164" s="385"/>
      <c r="G164" s="527"/>
      <c r="H164" s="30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  <c r="Z164" s="385"/>
      <c r="AA164" s="385"/>
      <c r="AB164" s="385"/>
    </row>
    <row r="165" spans="1:28" ht="15.75" customHeight="1">
      <c r="A165" s="385"/>
      <c r="B165" s="385"/>
      <c r="C165" s="526"/>
      <c r="D165" s="385"/>
      <c r="E165" s="385"/>
      <c r="F165" s="385"/>
      <c r="G165" s="527"/>
      <c r="H165" s="30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  <c r="Z165" s="385"/>
      <c r="AA165" s="385"/>
      <c r="AB165" s="385"/>
    </row>
    <row r="166" spans="1:28" ht="15.75" customHeight="1">
      <c r="A166" s="385"/>
      <c r="B166" s="385"/>
      <c r="C166" s="526"/>
      <c r="D166" s="385"/>
      <c r="E166" s="385"/>
      <c r="F166" s="385"/>
      <c r="G166" s="527"/>
      <c r="H166" s="30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  <c r="W166" s="385"/>
      <c r="X166" s="385"/>
      <c r="Y166" s="385"/>
      <c r="Z166" s="385"/>
      <c r="AA166" s="385"/>
      <c r="AB166" s="385"/>
    </row>
    <row r="167" spans="1:28" ht="15.75" customHeight="1">
      <c r="A167" s="385"/>
      <c r="B167" s="385"/>
      <c r="C167" s="526"/>
      <c r="D167" s="385"/>
      <c r="E167" s="385"/>
      <c r="F167" s="385"/>
      <c r="G167" s="527"/>
      <c r="H167" s="30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  <c r="W167" s="385"/>
      <c r="X167" s="385"/>
      <c r="Y167" s="385"/>
      <c r="Z167" s="385"/>
      <c r="AA167" s="385"/>
      <c r="AB167" s="385"/>
    </row>
    <row r="168" spans="1:28" ht="15.75" customHeight="1">
      <c r="A168" s="385"/>
      <c r="B168" s="385"/>
      <c r="C168" s="526"/>
      <c r="D168" s="385"/>
      <c r="E168" s="385"/>
      <c r="F168" s="385"/>
      <c r="G168" s="527"/>
      <c r="H168" s="30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  <c r="W168" s="385"/>
      <c r="X168" s="385"/>
      <c r="Y168" s="385"/>
      <c r="Z168" s="385"/>
      <c r="AA168" s="385"/>
      <c r="AB168" s="385"/>
    </row>
    <row r="169" spans="1:28" ht="15.75" customHeight="1">
      <c r="A169" s="385"/>
      <c r="B169" s="385"/>
      <c r="C169" s="526"/>
      <c r="D169" s="385"/>
      <c r="E169" s="385"/>
      <c r="F169" s="385"/>
      <c r="G169" s="527"/>
      <c r="H169" s="30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  <c r="W169" s="385"/>
      <c r="X169" s="385"/>
      <c r="Y169" s="385"/>
      <c r="Z169" s="385"/>
      <c r="AA169" s="385"/>
      <c r="AB169" s="385"/>
    </row>
    <row r="170" spans="1:28" ht="15.75" customHeight="1">
      <c r="A170" s="385"/>
      <c r="B170" s="385"/>
      <c r="C170" s="526"/>
      <c r="D170" s="385"/>
      <c r="E170" s="385"/>
      <c r="F170" s="385"/>
      <c r="G170" s="527"/>
      <c r="H170" s="30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  <c r="W170" s="385"/>
      <c r="X170" s="385"/>
      <c r="Y170" s="385"/>
      <c r="Z170" s="385"/>
      <c r="AA170" s="385"/>
      <c r="AB170" s="385"/>
    </row>
    <row r="171" spans="1:28" ht="15.75" customHeight="1">
      <c r="A171" s="385"/>
      <c r="B171" s="385"/>
      <c r="C171" s="526"/>
      <c r="D171" s="385"/>
      <c r="E171" s="385"/>
      <c r="F171" s="385"/>
      <c r="G171" s="527"/>
      <c r="H171" s="30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  <c r="W171" s="385"/>
      <c r="X171" s="385"/>
      <c r="Y171" s="385"/>
      <c r="Z171" s="385"/>
      <c r="AA171" s="385"/>
      <c r="AB171" s="385"/>
    </row>
    <row r="172" spans="1:28" ht="15.75" customHeight="1">
      <c r="A172" s="385"/>
      <c r="B172" s="385"/>
      <c r="C172" s="526"/>
      <c r="D172" s="385"/>
      <c r="E172" s="385"/>
      <c r="F172" s="385"/>
      <c r="G172" s="527"/>
      <c r="H172" s="30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  <c r="W172" s="385"/>
      <c r="X172" s="385"/>
      <c r="Y172" s="385"/>
      <c r="Z172" s="385"/>
      <c r="AA172" s="385"/>
      <c r="AB172" s="385"/>
    </row>
    <row r="173" spans="1:28" ht="15.75" customHeight="1">
      <c r="A173" s="385"/>
      <c r="B173" s="385"/>
      <c r="C173" s="526"/>
      <c r="D173" s="385"/>
      <c r="E173" s="385"/>
      <c r="F173" s="385"/>
      <c r="G173" s="527"/>
      <c r="H173" s="30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  <c r="W173" s="385"/>
      <c r="X173" s="385"/>
      <c r="Y173" s="385"/>
      <c r="Z173" s="385"/>
      <c r="AA173" s="385"/>
      <c r="AB173" s="385"/>
    </row>
    <row r="174" spans="1:28" ht="15.75" customHeight="1">
      <c r="A174" s="385"/>
      <c r="B174" s="385"/>
      <c r="C174" s="526"/>
      <c r="D174" s="385"/>
      <c r="E174" s="385"/>
      <c r="F174" s="385"/>
      <c r="G174" s="527"/>
      <c r="H174" s="30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  <c r="Z174" s="385"/>
      <c r="AA174" s="385"/>
      <c r="AB174" s="385"/>
    </row>
    <row r="175" spans="1:28" ht="15.75" customHeight="1">
      <c r="A175" s="385"/>
      <c r="B175" s="385"/>
      <c r="C175" s="526"/>
      <c r="D175" s="385"/>
      <c r="E175" s="385"/>
      <c r="F175" s="385"/>
      <c r="G175" s="527"/>
      <c r="H175" s="30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  <c r="Z175" s="385"/>
      <c r="AA175" s="385"/>
      <c r="AB175" s="385"/>
    </row>
    <row r="176" spans="1:28" ht="15.75" customHeight="1">
      <c r="A176" s="385"/>
      <c r="B176" s="385"/>
      <c r="C176" s="526"/>
      <c r="D176" s="385"/>
      <c r="E176" s="385"/>
      <c r="F176" s="385"/>
      <c r="G176" s="527"/>
      <c r="H176" s="30"/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85"/>
      <c r="V176" s="385"/>
      <c r="W176" s="385"/>
      <c r="X176" s="385"/>
      <c r="Y176" s="385"/>
      <c r="Z176" s="385"/>
      <c r="AA176" s="385"/>
      <c r="AB176" s="385"/>
    </row>
    <row r="177" spans="1:28" ht="15.75" customHeight="1">
      <c r="A177" s="385"/>
      <c r="B177" s="385"/>
      <c r="C177" s="526"/>
      <c r="D177" s="385"/>
      <c r="E177" s="385"/>
      <c r="F177" s="385"/>
      <c r="G177" s="527"/>
      <c r="H177" s="30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  <c r="Z177" s="385"/>
      <c r="AA177" s="385"/>
      <c r="AB177" s="385"/>
    </row>
    <row r="178" spans="1:28" ht="15.75" customHeight="1">
      <c r="A178" s="385"/>
      <c r="B178" s="385"/>
      <c r="C178" s="526"/>
      <c r="D178" s="385"/>
      <c r="E178" s="385"/>
      <c r="F178" s="385"/>
      <c r="G178" s="527"/>
      <c r="H178" s="30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  <c r="Z178" s="385"/>
      <c r="AA178" s="385"/>
      <c r="AB178" s="385"/>
    </row>
    <row r="179" spans="1:28" ht="15.75" customHeight="1">
      <c r="A179" s="385"/>
      <c r="B179" s="385"/>
      <c r="C179" s="526"/>
      <c r="D179" s="385"/>
      <c r="E179" s="385"/>
      <c r="F179" s="385"/>
      <c r="G179" s="527"/>
      <c r="H179" s="30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  <c r="Z179" s="385"/>
      <c r="AA179" s="385"/>
      <c r="AB179" s="385"/>
    </row>
    <row r="180" spans="1:28" ht="15.75" customHeight="1">
      <c r="A180" s="385"/>
      <c r="B180" s="385"/>
      <c r="C180" s="526"/>
      <c r="D180" s="385"/>
      <c r="E180" s="385"/>
      <c r="F180" s="385"/>
      <c r="G180" s="527"/>
      <c r="H180" s="30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  <c r="Z180" s="385"/>
      <c r="AA180" s="385"/>
      <c r="AB180" s="385"/>
    </row>
    <row r="181" spans="1:28" ht="15.75" customHeight="1">
      <c r="A181" s="385"/>
      <c r="B181" s="385"/>
      <c r="C181" s="526"/>
      <c r="D181" s="385"/>
      <c r="E181" s="385"/>
      <c r="F181" s="385"/>
      <c r="G181" s="527"/>
      <c r="H181" s="30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  <c r="Z181" s="385"/>
      <c r="AA181" s="385"/>
      <c r="AB181" s="385"/>
    </row>
    <row r="182" spans="1:28" ht="15.75" customHeight="1">
      <c r="A182" s="385"/>
      <c r="B182" s="385"/>
      <c r="C182" s="526"/>
      <c r="D182" s="385"/>
      <c r="E182" s="385"/>
      <c r="F182" s="385"/>
      <c r="G182" s="527"/>
      <c r="H182" s="30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  <c r="Z182" s="385"/>
      <c r="AA182" s="385"/>
      <c r="AB182" s="385"/>
    </row>
    <row r="183" spans="1:28" ht="15.75" customHeight="1">
      <c r="A183" s="385"/>
      <c r="B183" s="385"/>
      <c r="C183" s="526"/>
      <c r="D183" s="385"/>
      <c r="E183" s="385"/>
      <c r="F183" s="385"/>
      <c r="G183" s="527"/>
      <c r="H183" s="30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  <c r="AA183" s="385"/>
      <c r="AB183" s="385"/>
    </row>
    <row r="184" spans="1:28" ht="15.75" customHeight="1">
      <c r="A184" s="385"/>
      <c r="B184" s="385"/>
      <c r="C184" s="526"/>
      <c r="D184" s="385"/>
      <c r="E184" s="385"/>
      <c r="F184" s="385"/>
      <c r="G184" s="527"/>
      <c r="H184" s="30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  <c r="Z184" s="385"/>
      <c r="AA184" s="385"/>
      <c r="AB184" s="385"/>
    </row>
    <row r="185" spans="1:28" ht="15.75" customHeight="1">
      <c r="A185" s="385"/>
      <c r="B185" s="385"/>
      <c r="C185" s="526"/>
      <c r="D185" s="385"/>
      <c r="E185" s="385"/>
      <c r="F185" s="385"/>
      <c r="G185" s="527"/>
      <c r="H185" s="30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  <c r="Z185" s="385"/>
      <c r="AA185" s="385"/>
      <c r="AB185" s="385"/>
    </row>
    <row r="186" spans="1:28" ht="15.75" customHeight="1">
      <c r="A186" s="385"/>
      <c r="B186" s="385"/>
      <c r="C186" s="526"/>
      <c r="D186" s="385"/>
      <c r="E186" s="385"/>
      <c r="F186" s="385"/>
      <c r="G186" s="527"/>
      <c r="H186" s="30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  <c r="Z186" s="385"/>
      <c r="AA186" s="385"/>
      <c r="AB186" s="385"/>
    </row>
    <row r="187" spans="1:28" ht="15.75" customHeight="1">
      <c r="A187" s="385"/>
      <c r="B187" s="385"/>
      <c r="C187" s="526"/>
      <c r="D187" s="385"/>
      <c r="E187" s="385"/>
      <c r="F187" s="385"/>
      <c r="G187" s="527"/>
      <c r="H187" s="30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  <c r="W187" s="385"/>
      <c r="X187" s="385"/>
      <c r="Y187" s="385"/>
      <c r="Z187" s="385"/>
      <c r="AA187" s="385"/>
      <c r="AB187" s="385"/>
    </row>
    <row r="188" spans="1:28" ht="15.75" customHeight="1">
      <c r="A188" s="385"/>
      <c r="B188" s="385"/>
      <c r="C188" s="526"/>
      <c r="D188" s="385"/>
      <c r="E188" s="385"/>
      <c r="F188" s="385"/>
      <c r="G188" s="527"/>
      <c r="H188" s="30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  <c r="W188" s="385"/>
      <c r="X188" s="385"/>
      <c r="Y188" s="385"/>
      <c r="Z188" s="385"/>
      <c r="AA188" s="385"/>
      <c r="AB188" s="385"/>
    </row>
    <row r="189" spans="1:28" ht="15.75" customHeight="1">
      <c r="A189" s="385"/>
      <c r="B189" s="385"/>
      <c r="C189" s="526"/>
      <c r="D189" s="385"/>
      <c r="E189" s="385"/>
      <c r="F189" s="385"/>
      <c r="G189" s="527"/>
      <c r="H189" s="30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  <c r="W189" s="385"/>
      <c r="X189" s="385"/>
      <c r="Y189" s="385"/>
      <c r="Z189" s="385"/>
      <c r="AA189" s="385"/>
      <c r="AB189" s="385"/>
    </row>
    <row r="190" spans="1:28" ht="15.75" customHeight="1">
      <c r="A190" s="385"/>
      <c r="B190" s="385"/>
      <c r="C190" s="526"/>
      <c r="D190" s="385"/>
      <c r="E190" s="385"/>
      <c r="F190" s="385"/>
      <c r="G190" s="527"/>
      <c r="H190" s="30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  <c r="W190" s="385"/>
      <c r="X190" s="385"/>
      <c r="Y190" s="385"/>
      <c r="Z190" s="385"/>
      <c r="AA190" s="385"/>
      <c r="AB190" s="385"/>
    </row>
    <row r="191" spans="1:28" ht="15.75" customHeight="1">
      <c r="A191" s="385"/>
      <c r="B191" s="385"/>
      <c r="C191" s="526"/>
      <c r="D191" s="385"/>
      <c r="E191" s="385"/>
      <c r="F191" s="385"/>
      <c r="G191" s="527"/>
      <c r="H191" s="30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  <c r="Z191" s="385"/>
      <c r="AA191" s="385"/>
      <c r="AB191" s="385"/>
    </row>
    <row r="192" spans="1:28" ht="15.75" customHeight="1">
      <c r="A192" s="385"/>
      <c r="B192" s="385"/>
      <c r="C192" s="526"/>
      <c r="D192" s="385"/>
      <c r="E192" s="385"/>
      <c r="F192" s="385"/>
      <c r="G192" s="527"/>
      <c r="H192" s="30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  <c r="W192" s="385"/>
      <c r="X192" s="385"/>
      <c r="Y192" s="385"/>
      <c r="Z192" s="385"/>
      <c r="AA192" s="385"/>
      <c r="AB192" s="385"/>
    </row>
    <row r="193" spans="1:28" ht="15.75" customHeight="1">
      <c r="A193" s="385"/>
      <c r="B193" s="385"/>
      <c r="C193" s="526"/>
      <c r="D193" s="385"/>
      <c r="E193" s="385"/>
      <c r="F193" s="385"/>
      <c r="G193" s="527"/>
      <c r="H193" s="30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  <c r="W193" s="385"/>
      <c r="X193" s="385"/>
      <c r="Y193" s="385"/>
      <c r="Z193" s="385"/>
      <c r="AA193" s="385"/>
      <c r="AB193" s="385"/>
    </row>
    <row r="194" spans="1:28" ht="15.75" customHeight="1">
      <c r="A194" s="385"/>
      <c r="B194" s="385"/>
      <c r="C194" s="526"/>
      <c r="D194" s="385"/>
      <c r="E194" s="385"/>
      <c r="F194" s="385"/>
      <c r="G194" s="527"/>
      <c r="H194" s="30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  <c r="W194" s="385"/>
      <c r="X194" s="385"/>
      <c r="Y194" s="385"/>
      <c r="Z194" s="385"/>
      <c r="AA194" s="385"/>
      <c r="AB194" s="385"/>
    </row>
    <row r="195" spans="1:28" ht="15.75" customHeight="1">
      <c r="A195" s="385"/>
      <c r="B195" s="385"/>
      <c r="C195" s="526"/>
      <c r="D195" s="385"/>
      <c r="E195" s="385"/>
      <c r="F195" s="385"/>
      <c r="G195" s="527"/>
      <c r="H195" s="30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  <c r="Z195" s="385"/>
      <c r="AA195" s="385"/>
      <c r="AB195" s="385"/>
    </row>
    <row r="196" spans="1:28" ht="15.75" customHeight="1">
      <c r="A196" s="385"/>
      <c r="B196" s="385"/>
      <c r="C196" s="526"/>
      <c r="D196" s="385"/>
      <c r="E196" s="385"/>
      <c r="F196" s="385"/>
      <c r="G196" s="527"/>
      <c r="H196" s="30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  <c r="Z196" s="385"/>
      <c r="AA196" s="385"/>
      <c r="AB196" s="385"/>
    </row>
    <row r="197" spans="1:28" ht="15.75" customHeight="1">
      <c r="A197" s="385"/>
      <c r="B197" s="385"/>
      <c r="C197" s="526"/>
      <c r="D197" s="385"/>
      <c r="E197" s="385"/>
      <c r="F197" s="385"/>
      <c r="G197" s="527"/>
      <c r="H197" s="30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  <c r="W197" s="385"/>
      <c r="X197" s="385"/>
      <c r="Y197" s="385"/>
      <c r="Z197" s="385"/>
      <c r="AA197" s="385"/>
      <c r="AB197" s="385"/>
    </row>
    <row r="198" spans="1:28" ht="15.75" customHeight="1">
      <c r="A198" s="385"/>
      <c r="B198" s="385"/>
      <c r="C198" s="526"/>
      <c r="D198" s="385"/>
      <c r="E198" s="385"/>
      <c r="F198" s="385"/>
      <c r="G198" s="527"/>
      <c r="H198" s="30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  <c r="W198" s="385"/>
      <c r="X198" s="385"/>
      <c r="Y198" s="385"/>
      <c r="Z198" s="385"/>
      <c r="AA198" s="385"/>
      <c r="AB198" s="385"/>
    </row>
    <row r="199" spans="1:28" ht="15.75" customHeight="1">
      <c r="A199" s="385"/>
      <c r="B199" s="385"/>
      <c r="C199" s="526"/>
      <c r="D199" s="385"/>
      <c r="E199" s="385"/>
      <c r="F199" s="385"/>
      <c r="G199" s="527"/>
      <c r="H199" s="30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  <c r="W199" s="385"/>
      <c r="X199" s="385"/>
      <c r="Y199" s="385"/>
      <c r="Z199" s="385"/>
      <c r="AA199" s="385"/>
      <c r="AB199" s="385"/>
    </row>
    <row r="200" spans="1:28" ht="15.75" customHeight="1">
      <c r="A200" s="385"/>
      <c r="B200" s="385"/>
      <c r="C200" s="526"/>
      <c r="D200" s="385"/>
      <c r="E200" s="385"/>
      <c r="F200" s="385"/>
      <c r="G200" s="527"/>
      <c r="H200" s="30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  <c r="AA200" s="385"/>
      <c r="AB200" s="385"/>
    </row>
    <row r="201" spans="1:28" ht="15.75" customHeight="1">
      <c r="A201" s="385"/>
      <c r="B201" s="385"/>
      <c r="C201" s="526"/>
      <c r="D201" s="385"/>
      <c r="E201" s="385"/>
      <c r="F201" s="385"/>
      <c r="G201" s="527"/>
      <c r="H201" s="30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  <c r="W201" s="385"/>
      <c r="X201" s="385"/>
      <c r="Y201" s="385"/>
      <c r="Z201" s="385"/>
      <c r="AA201" s="385"/>
      <c r="AB201" s="385"/>
    </row>
    <row r="202" spans="1:28" ht="15.75" customHeight="1">
      <c r="A202" s="385"/>
      <c r="B202" s="385"/>
      <c r="C202" s="526"/>
      <c r="D202" s="385"/>
      <c r="E202" s="385"/>
      <c r="F202" s="385"/>
      <c r="G202" s="527"/>
      <c r="H202" s="30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  <c r="W202" s="385"/>
      <c r="X202" s="385"/>
      <c r="Y202" s="385"/>
      <c r="Z202" s="385"/>
      <c r="AA202" s="385"/>
      <c r="AB202" s="385"/>
    </row>
    <row r="203" spans="1:28" ht="15.75" customHeight="1">
      <c r="A203" s="385"/>
      <c r="B203" s="385"/>
      <c r="C203" s="526"/>
      <c r="D203" s="385"/>
      <c r="E203" s="385"/>
      <c r="F203" s="385"/>
      <c r="G203" s="527"/>
      <c r="H203" s="30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  <c r="Z203" s="385"/>
      <c r="AA203" s="385"/>
      <c r="AB203" s="385"/>
    </row>
    <row r="204" spans="1:28" ht="15.75" customHeight="1">
      <c r="A204" s="385"/>
      <c r="B204" s="385"/>
      <c r="C204" s="526"/>
      <c r="D204" s="385"/>
      <c r="E204" s="385"/>
      <c r="F204" s="385"/>
      <c r="G204" s="527"/>
      <c r="H204" s="30"/>
      <c r="I204" s="385"/>
      <c r="J204" s="385"/>
      <c r="K204" s="385"/>
      <c r="L204" s="385"/>
      <c r="M204" s="385"/>
      <c r="N204" s="385"/>
      <c r="O204" s="385"/>
      <c r="P204" s="385"/>
      <c r="Q204" s="385"/>
      <c r="R204" s="385"/>
      <c r="S204" s="385"/>
      <c r="T204" s="385"/>
      <c r="U204" s="385"/>
      <c r="V204" s="385"/>
      <c r="W204" s="385"/>
      <c r="X204" s="385"/>
      <c r="Y204" s="385"/>
      <c r="Z204" s="385"/>
      <c r="AA204" s="385"/>
      <c r="AB204" s="385"/>
    </row>
    <row r="205" spans="1:28" ht="15.75" customHeight="1">
      <c r="A205" s="385"/>
      <c r="B205" s="385"/>
      <c r="C205" s="526"/>
      <c r="D205" s="385"/>
      <c r="E205" s="385"/>
      <c r="F205" s="385"/>
      <c r="G205" s="527"/>
      <c r="H205" s="30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  <c r="W205" s="385"/>
      <c r="X205" s="385"/>
      <c r="Y205" s="385"/>
      <c r="Z205" s="385"/>
      <c r="AA205" s="385"/>
      <c r="AB205" s="385"/>
    </row>
    <row r="206" spans="1:28" ht="15.75" customHeight="1">
      <c r="A206" s="385"/>
      <c r="B206" s="385"/>
      <c r="C206" s="526"/>
      <c r="D206" s="385"/>
      <c r="E206" s="385"/>
      <c r="F206" s="385"/>
      <c r="G206" s="527"/>
      <c r="H206" s="30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  <c r="W206" s="385"/>
      <c r="X206" s="385"/>
      <c r="Y206" s="385"/>
      <c r="Z206" s="385"/>
      <c r="AA206" s="385"/>
      <c r="AB206" s="385"/>
    </row>
    <row r="207" spans="1:28" ht="15.75" customHeight="1">
      <c r="A207" s="385"/>
      <c r="B207" s="385"/>
      <c r="C207" s="526"/>
      <c r="D207" s="385"/>
      <c r="E207" s="385"/>
      <c r="F207" s="385"/>
      <c r="G207" s="527"/>
      <c r="H207" s="30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  <c r="W207" s="385"/>
      <c r="X207" s="385"/>
      <c r="Y207" s="385"/>
      <c r="Z207" s="385"/>
      <c r="AA207" s="385"/>
      <c r="AB207" s="385"/>
    </row>
    <row r="208" spans="1:28" ht="15.75" customHeight="1">
      <c r="A208" s="385"/>
      <c r="B208" s="385"/>
      <c r="C208" s="526"/>
      <c r="D208" s="385"/>
      <c r="E208" s="385"/>
      <c r="F208" s="385"/>
      <c r="G208" s="527"/>
      <c r="H208" s="30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  <c r="AA208" s="385"/>
      <c r="AB208" s="385"/>
    </row>
    <row r="209" spans="1:28" ht="15.75" customHeight="1">
      <c r="A209" s="385"/>
      <c r="B209" s="385"/>
      <c r="C209" s="526"/>
      <c r="D209" s="385"/>
      <c r="E209" s="385"/>
      <c r="F209" s="385"/>
      <c r="G209" s="527"/>
      <c r="H209" s="30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  <c r="W209" s="385"/>
      <c r="X209" s="385"/>
      <c r="Y209" s="385"/>
      <c r="Z209" s="385"/>
      <c r="AA209" s="385"/>
      <c r="AB209" s="385"/>
    </row>
    <row r="210" spans="1:28" ht="15.75" customHeight="1">
      <c r="A210" s="385"/>
      <c r="B210" s="385"/>
      <c r="C210" s="526"/>
      <c r="D210" s="385"/>
      <c r="E210" s="385"/>
      <c r="F210" s="385"/>
      <c r="G210" s="527"/>
      <c r="H210" s="30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  <c r="W210" s="385"/>
      <c r="X210" s="385"/>
      <c r="Y210" s="385"/>
      <c r="Z210" s="385"/>
      <c r="AA210" s="385"/>
      <c r="AB210" s="385"/>
    </row>
    <row r="211" spans="1:28" ht="15.75" customHeight="1">
      <c r="A211" s="385"/>
      <c r="B211" s="385"/>
      <c r="C211" s="526"/>
      <c r="D211" s="385"/>
      <c r="E211" s="385"/>
      <c r="F211" s="385"/>
      <c r="G211" s="527"/>
      <c r="H211" s="30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</row>
    <row r="212" spans="1:28" ht="15.75" customHeight="1">
      <c r="A212" s="385"/>
      <c r="B212" s="385"/>
      <c r="C212" s="526"/>
      <c r="D212" s="385"/>
      <c r="E212" s="385"/>
      <c r="F212" s="385"/>
      <c r="G212" s="527"/>
      <c r="H212" s="30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  <c r="W212" s="385"/>
      <c r="X212" s="385"/>
      <c r="Y212" s="385"/>
      <c r="Z212" s="385"/>
      <c r="AA212" s="385"/>
      <c r="AB212" s="385"/>
    </row>
    <row r="213" spans="1:28" ht="15.75" customHeight="1">
      <c r="A213" s="385"/>
      <c r="B213" s="385"/>
      <c r="C213" s="526"/>
      <c r="D213" s="385"/>
      <c r="E213" s="385"/>
      <c r="F213" s="385"/>
      <c r="G213" s="527"/>
      <c r="H213" s="30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  <c r="W213" s="385"/>
      <c r="X213" s="385"/>
      <c r="Y213" s="385"/>
      <c r="Z213" s="385"/>
      <c r="AA213" s="385"/>
      <c r="AB213" s="385"/>
    </row>
    <row r="214" spans="1:28" ht="15.75" customHeight="1">
      <c r="A214" s="385"/>
      <c r="B214" s="385"/>
      <c r="C214" s="526"/>
      <c r="D214" s="385"/>
      <c r="E214" s="385"/>
      <c r="F214" s="385"/>
      <c r="G214" s="527"/>
      <c r="H214" s="30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  <c r="W214" s="385"/>
      <c r="X214" s="385"/>
      <c r="Y214" s="385"/>
      <c r="Z214" s="385"/>
      <c r="AA214" s="385"/>
      <c r="AB214" s="385"/>
    </row>
    <row r="215" spans="1:28" ht="15.75" customHeight="1">
      <c r="A215" s="385"/>
      <c r="B215" s="385"/>
      <c r="C215" s="526"/>
      <c r="D215" s="385"/>
      <c r="E215" s="385"/>
      <c r="F215" s="385"/>
      <c r="G215" s="527"/>
      <c r="H215" s="30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  <c r="W215" s="385"/>
      <c r="X215" s="385"/>
      <c r="Y215" s="385"/>
      <c r="Z215" s="385"/>
      <c r="AA215" s="385"/>
      <c r="AB215" s="385"/>
    </row>
    <row r="216" spans="1:28" ht="15.75" customHeight="1">
      <c r="A216" s="385"/>
      <c r="B216" s="385"/>
      <c r="C216" s="526"/>
      <c r="D216" s="385"/>
      <c r="E216" s="385"/>
      <c r="F216" s="385"/>
      <c r="G216" s="527"/>
      <c r="H216" s="30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  <c r="W216" s="385"/>
      <c r="X216" s="385"/>
      <c r="Y216" s="385"/>
      <c r="Z216" s="385"/>
      <c r="AA216" s="385"/>
      <c r="AB216" s="385"/>
    </row>
    <row r="217" spans="1:28" ht="15.75" customHeight="1">
      <c r="A217" s="385"/>
      <c r="B217" s="385"/>
      <c r="C217" s="526"/>
      <c r="D217" s="385"/>
      <c r="E217" s="385"/>
      <c r="F217" s="385"/>
      <c r="G217" s="527"/>
      <c r="H217" s="30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  <c r="W217" s="385"/>
      <c r="X217" s="385"/>
      <c r="Y217" s="385"/>
      <c r="Z217" s="385"/>
      <c r="AA217" s="385"/>
      <c r="AB217" s="385"/>
    </row>
    <row r="218" spans="1:28" ht="15.75" customHeight="1">
      <c r="A218" s="385"/>
      <c r="B218" s="385"/>
      <c r="C218" s="526"/>
      <c r="D218" s="385"/>
      <c r="E218" s="385"/>
      <c r="F218" s="385"/>
      <c r="G218" s="527"/>
      <c r="H218" s="30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  <c r="W218" s="385"/>
      <c r="X218" s="385"/>
      <c r="Y218" s="385"/>
      <c r="Z218" s="385"/>
      <c r="AA218" s="385"/>
      <c r="AB218" s="385"/>
    </row>
    <row r="219" spans="1:28" ht="15.75" customHeight="1">
      <c r="A219" s="385"/>
      <c r="B219" s="385"/>
      <c r="C219" s="526"/>
      <c r="D219" s="385"/>
      <c r="E219" s="385"/>
      <c r="F219" s="385"/>
      <c r="G219" s="527"/>
      <c r="H219" s="30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  <c r="W219" s="385"/>
      <c r="X219" s="385"/>
      <c r="Y219" s="385"/>
      <c r="Z219" s="385"/>
      <c r="AA219" s="385"/>
      <c r="AB219" s="385"/>
    </row>
    <row r="220" spans="1:28" ht="15.75" customHeight="1">
      <c r="A220" s="385"/>
      <c r="B220" s="385"/>
      <c r="C220" s="526"/>
      <c r="D220" s="385"/>
      <c r="E220" s="385"/>
      <c r="F220" s="385"/>
      <c r="G220" s="527"/>
      <c r="H220" s="30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  <c r="W220" s="385"/>
      <c r="X220" s="385"/>
      <c r="Y220" s="385"/>
      <c r="Z220" s="385"/>
      <c r="AA220" s="385"/>
      <c r="AB220" s="385"/>
    </row>
    <row r="221" spans="1:28" ht="15.75" customHeight="1">
      <c r="A221" s="385"/>
      <c r="B221" s="385"/>
      <c r="C221" s="526"/>
      <c r="D221" s="385"/>
      <c r="E221" s="385"/>
      <c r="F221" s="385"/>
      <c r="G221" s="527"/>
      <c r="H221" s="30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  <c r="W221" s="385"/>
      <c r="X221" s="385"/>
      <c r="Y221" s="385"/>
      <c r="Z221" s="385"/>
      <c r="AA221" s="385"/>
      <c r="AB221" s="385"/>
    </row>
    <row r="222" spans="1:28" ht="15.75" customHeight="1">
      <c r="A222" s="385"/>
      <c r="B222" s="385"/>
      <c r="C222" s="526"/>
      <c r="D222" s="385"/>
      <c r="E222" s="385"/>
      <c r="F222" s="385"/>
      <c r="G222" s="527"/>
      <c r="H222" s="30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  <c r="W222" s="385"/>
      <c r="X222" s="385"/>
      <c r="Y222" s="385"/>
      <c r="Z222" s="385"/>
      <c r="AA222" s="385"/>
      <c r="AB222" s="385"/>
    </row>
    <row r="223" spans="1:28" ht="15.75" customHeight="1">
      <c r="A223" s="385"/>
      <c r="B223" s="385"/>
      <c r="C223" s="526"/>
      <c r="D223" s="385"/>
      <c r="E223" s="385"/>
      <c r="F223" s="385"/>
      <c r="G223" s="527"/>
      <c r="H223" s="30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  <c r="W223" s="385"/>
      <c r="X223" s="385"/>
      <c r="Y223" s="385"/>
      <c r="Z223" s="385"/>
      <c r="AA223" s="385"/>
      <c r="AB223" s="385"/>
    </row>
    <row r="224" spans="1:28" ht="15.75" customHeight="1">
      <c r="A224" s="385"/>
      <c r="B224" s="385"/>
      <c r="C224" s="526"/>
      <c r="D224" s="385"/>
      <c r="E224" s="385"/>
      <c r="F224" s="385"/>
      <c r="G224" s="527"/>
      <c r="H224" s="30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  <c r="W224" s="385"/>
      <c r="X224" s="385"/>
      <c r="Y224" s="385"/>
      <c r="Z224" s="385"/>
      <c r="AA224" s="385"/>
      <c r="AB224" s="385"/>
    </row>
    <row r="225" spans="1:28" ht="15.75" customHeight="1">
      <c r="A225" s="385"/>
      <c r="B225" s="385"/>
      <c r="C225" s="526"/>
      <c r="D225" s="385"/>
      <c r="E225" s="385"/>
      <c r="F225" s="385"/>
      <c r="G225" s="527"/>
      <c r="H225" s="30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  <c r="W225" s="385"/>
      <c r="X225" s="385"/>
      <c r="Y225" s="385"/>
      <c r="Z225" s="385"/>
      <c r="AA225" s="385"/>
      <c r="AB225" s="385"/>
    </row>
    <row r="226" spans="1:28" ht="15.75" customHeight="1">
      <c r="A226" s="385"/>
      <c r="B226" s="385"/>
      <c r="C226" s="526"/>
      <c r="D226" s="385"/>
      <c r="E226" s="385"/>
      <c r="F226" s="385"/>
      <c r="G226" s="527"/>
      <c r="H226" s="30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  <c r="W226" s="385"/>
      <c r="X226" s="385"/>
      <c r="Y226" s="385"/>
      <c r="Z226" s="385"/>
      <c r="AA226" s="385"/>
      <c r="AB226" s="385"/>
    </row>
    <row r="227" spans="1:28" ht="15.75" customHeight="1">
      <c r="A227" s="385"/>
      <c r="B227" s="385"/>
      <c r="C227" s="526"/>
      <c r="D227" s="385"/>
      <c r="E227" s="385"/>
      <c r="F227" s="385"/>
      <c r="G227" s="527"/>
      <c r="H227" s="30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</row>
    <row r="228" spans="1:28" ht="15.75" customHeight="1">
      <c r="A228" s="385"/>
      <c r="B228" s="385"/>
      <c r="C228" s="526"/>
      <c r="D228" s="385"/>
      <c r="E228" s="385"/>
      <c r="F228" s="385"/>
      <c r="G228" s="527"/>
      <c r="H228" s="30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  <c r="W228" s="385"/>
      <c r="X228" s="385"/>
      <c r="Y228" s="385"/>
      <c r="Z228" s="385"/>
      <c r="AA228" s="385"/>
      <c r="AB228" s="385"/>
    </row>
    <row r="229" spans="1:28" ht="15.75" customHeight="1">
      <c r="A229" s="385"/>
      <c r="B229" s="385"/>
      <c r="C229" s="526"/>
      <c r="D229" s="385"/>
      <c r="E229" s="385"/>
      <c r="F229" s="385"/>
      <c r="G229" s="527"/>
      <c r="H229" s="30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  <c r="W229" s="385"/>
      <c r="X229" s="385"/>
      <c r="Y229" s="385"/>
      <c r="Z229" s="385"/>
      <c r="AA229" s="385"/>
      <c r="AB229" s="385"/>
    </row>
    <row r="230" spans="1:28" ht="15.75" customHeight="1">
      <c r="A230" s="385"/>
      <c r="B230" s="385"/>
      <c r="C230" s="526"/>
      <c r="D230" s="385"/>
      <c r="E230" s="385"/>
      <c r="F230" s="385"/>
      <c r="G230" s="527"/>
      <c r="H230" s="30"/>
      <c r="I230" s="385"/>
      <c r="J230" s="385"/>
      <c r="K230" s="385"/>
      <c r="L230" s="385"/>
      <c r="M230" s="385"/>
      <c r="N230" s="385"/>
      <c r="O230" s="385"/>
      <c r="P230" s="385"/>
      <c r="Q230" s="385"/>
      <c r="R230" s="385"/>
      <c r="S230" s="385"/>
      <c r="T230" s="385"/>
      <c r="U230" s="385"/>
      <c r="V230" s="385"/>
      <c r="W230" s="385"/>
      <c r="X230" s="385"/>
      <c r="Y230" s="385"/>
      <c r="Z230" s="385"/>
      <c r="AA230" s="385"/>
      <c r="AB230" s="385"/>
    </row>
    <row r="231" spans="1:28" ht="15.75" customHeight="1">
      <c r="A231" s="385"/>
      <c r="B231" s="385"/>
      <c r="C231" s="526"/>
      <c r="D231" s="385"/>
      <c r="E231" s="385"/>
      <c r="F231" s="385"/>
      <c r="G231" s="527"/>
      <c r="H231" s="30"/>
      <c r="I231" s="385"/>
      <c r="J231" s="385"/>
      <c r="K231" s="385"/>
      <c r="L231" s="385"/>
      <c r="M231" s="385"/>
      <c r="N231" s="385"/>
      <c r="O231" s="385"/>
      <c r="P231" s="385"/>
      <c r="Q231" s="385"/>
      <c r="R231" s="385"/>
      <c r="S231" s="385"/>
      <c r="T231" s="385"/>
      <c r="U231" s="385"/>
      <c r="V231" s="385"/>
      <c r="W231" s="385"/>
      <c r="X231" s="385"/>
      <c r="Y231" s="385"/>
      <c r="Z231" s="385"/>
      <c r="AA231" s="385"/>
      <c r="AB231" s="385"/>
    </row>
    <row r="232" spans="1:28" ht="15.75" customHeight="1">
      <c r="A232" s="385"/>
      <c r="B232" s="385"/>
      <c r="C232" s="526"/>
      <c r="D232" s="385"/>
      <c r="E232" s="385"/>
      <c r="F232" s="385"/>
      <c r="G232" s="527"/>
      <c r="H232" s="30"/>
      <c r="I232" s="385"/>
      <c r="J232" s="385"/>
      <c r="K232" s="385"/>
      <c r="L232" s="385"/>
      <c r="M232" s="385"/>
      <c r="N232" s="385"/>
      <c r="O232" s="385"/>
      <c r="P232" s="385"/>
      <c r="Q232" s="385"/>
      <c r="R232" s="385"/>
      <c r="S232" s="385"/>
      <c r="T232" s="385"/>
      <c r="U232" s="385"/>
      <c r="V232" s="385"/>
      <c r="W232" s="385"/>
      <c r="X232" s="385"/>
      <c r="Y232" s="385"/>
      <c r="Z232" s="385"/>
      <c r="AA232" s="385"/>
      <c r="AB232" s="385"/>
    </row>
    <row r="233" spans="1:28" ht="15.75" customHeight="1">
      <c r="A233" s="385"/>
      <c r="B233" s="385"/>
      <c r="C233" s="526"/>
      <c r="D233" s="385"/>
      <c r="E233" s="385"/>
      <c r="F233" s="385"/>
      <c r="G233" s="527"/>
      <c r="H233" s="30"/>
      <c r="I233" s="385"/>
      <c r="J233" s="385"/>
      <c r="K233" s="385"/>
      <c r="L233" s="385"/>
      <c r="M233" s="385"/>
      <c r="N233" s="385"/>
      <c r="O233" s="385"/>
      <c r="P233" s="385"/>
      <c r="Q233" s="385"/>
      <c r="R233" s="385"/>
      <c r="S233" s="385"/>
      <c r="T233" s="385"/>
      <c r="U233" s="385"/>
      <c r="V233" s="385"/>
      <c r="W233" s="385"/>
      <c r="X233" s="385"/>
      <c r="Y233" s="385"/>
      <c r="Z233" s="385"/>
      <c r="AA233" s="385"/>
      <c r="AB233" s="385"/>
    </row>
    <row r="234" spans="1:28" ht="15.75" customHeight="1">
      <c r="A234" s="385"/>
      <c r="B234" s="385"/>
      <c r="C234" s="526"/>
      <c r="D234" s="385"/>
      <c r="E234" s="385"/>
      <c r="F234" s="385"/>
      <c r="G234" s="527"/>
      <c r="H234" s="30"/>
      <c r="I234" s="385"/>
      <c r="J234" s="385"/>
      <c r="K234" s="385"/>
      <c r="L234" s="385"/>
      <c r="M234" s="385"/>
      <c r="N234" s="385"/>
      <c r="O234" s="385"/>
      <c r="P234" s="385"/>
      <c r="Q234" s="385"/>
      <c r="R234" s="385"/>
      <c r="S234" s="385"/>
      <c r="T234" s="385"/>
      <c r="U234" s="385"/>
      <c r="V234" s="385"/>
      <c r="W234" s="385"/>
      <c r="X234" s="385"/>
      <c r="Y234" s="385"/>
      <c r="Z234" s="385"/>
      <c r="AA234" s="385"/>
      <c r="AB234" s="385"/>
    </row>
    <row r="235" spans="1:28" ht="15.75" customHeight="1">
      <c r="A235" s="385"/>
      <c r="B235" s="385"/>
      <c r="C235" s="526"/>
      <c r="D235" s="385"/>
      <c r="E235" s="385"/>
      <c r="F235" s="385"/>
      <c r="G235" s="527"/>
      <c r="H235" s="30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  <c r="W235" s="385"/>
      <c r="X235" s="385"/>
      <c r="Y235" s="385"/>
      <c r="Z235" s="385"/>
      <c r="AA235" s="385"/>
      <c r="AB235" s="385"/>
    </row>
    <row r="236" spans="1:28" ht="15.75" customHeight="1">
      <c r="A236" s="385"/>
      <c r="B236" s="385"/>
      <c r="C236" s="526"/>
      <c r="D236" s="385"/>
      <c r="E236" s="385"/>
      <c r="F236" s="385"/>
      <c r="G236" s="527"/>
      <c r="H236" s="30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5"/>
      <c r="V236" s="385"/>
      <c r="W236" s="385"/>
      <c r="X236" s="385"/>
      <c r="Y236" s="385"/>
      <c r="Z236" s="385"/>
      <c r="AA236" s="385"/>
      <c r="AB236" s="385"/>
    </row>
    <row r="237" spans="1:28" ht="15.75" customHeight="1">
      <c r="A237" s="385"/>
      <c r="B237" s="385"/>
      <c r="C237" s="526"/>
      <c r="D237" s="385"/>
      <c r="E237" s="385"/>
      <c r="F237" s="385"/>
      <c r="G237" s="527"/>
      <c r="H237" s="30"/>
      <c r="I237" s="385"/>
      <c r="J237" s="385"/>
      <c r="K237" s="385"/>
      <c r="L237" s="385"/>
      <c r="M237" s="385"/>
      <c r="N237" s="385"/>
      <c r="O237" s="385"/>
      <c r="P237" s="385"/>
      <c r="Q237" s="385"/>
      <c r="R237" s="385"/>
      <c r="S237" s="385"/>
      <c r="T237" s="385"/>
      <c r="U237" s="385"/>
      <c r="V237" s="385"/>
      <c r="W237" s="385"/>
      <c r="X237" s="385"/>
      <c r="Y237" s="385"/>
      <c r="Z237" s="385"/>
      <c r="AA237" s="385"/>
      <c r="AB237" s="385"/>
    </row>
    <row r="238" spans="1:28" ht="15.75" customHeight="1">
      <c r="A238" s="385"/>
      <c r="B238" s="385"/>
      <c r="C238" s="526"/>
      <c r="D238" s="385"/>
      <c r="E238" s="385"/>
      <c r="F238" s="385"/>
      <c r="G238" s="527"/>
      <c r="H238" s="30"/>
      <c r="I238" s="385"/>
      <c r="J238" s="385"/>
      <c r="K238" s="385"/>
      <c r="L238" s="385"/>
      <c r="M238" s="385"/>
      <c r="N238" s="385"/>
      <c r="O238" s="385"/>
      <c r="P238" s="385"/>
      <c r="Q238" s="385"/>
      <c r="R238" s="385"/>
      <c r="S238" s="385"/>
      <c r="T238" s="385"/>
      <c r="U238" s="385"/>
      <c r="V238" s="385"/>
      <c r="W238" s="385"/>
      <c r="X238" s="385"/>
      <c r="Y238" s="385"/>
      <c r="Z238" s="385"/>
      <c r="AA238" s="385"/>
      <c r="AB238" s="385"/>
    </row>
    <row r="239" spans="1:28" ht="15.75" customHeight="1">
      <c r="A239" s="385"/>
      <c r="B239" s="385"/>
      <c r="C239" s="526"/>
      <c r="D239" s="385"/>
      <c r="E239" s="385"/>
      <c r="F239" s="385"/>
      <c r="G239" s="527"/>
      <c r="H239" s="30"/>
      <c r="I239" s="385"/>
      <c r="J239" s="385"/>
      <c r="K239" s="385"/>
      <c r="L239" s="385"/>
      <c r="M239" s="385"/>
      <c r="N239" s="385"/>
      <c r="O239" s="385"/>
      <c r="P239" s="385"/>
      <c r="Q239" s="385"/>
      <c r="R239" s="385"/>
      <c r="S239" s="385"/>
      <c r="T239" s="385"/>
      <c r="U239" s="385"/>
      <c r="V239" s="385"/>
      <c r="W239" s="385"/>
      <c r="X239" s="385"/>
      <c r="Y239" s="385"/>
      <c r="Z239" s="385"/>
      <c r="AA239" s="385"/>
      <c r="AB239" s="385"/>
    </row>
    <row r="240" spans="1:28" ht="15.75" customHeight="1">
      <c r="A240" s="385"/>
      <c r="B240" s="385"/>
      <c r="C240" s="526"/>
      <c r="D240" s="385"/>
      <c r="E240" s="385"/>
      <c r="F240" s="385"/>
      <c r="G240" s="527"/>
      <c r="H240" s="30"/>
      <c r="I240" s="385"/>
      <c r="J240" s="385"/>
      <c r="K240" s="385"/>
      <c r="L240" s="385"/>
      <c r="M240" s="385"/>
      <c r="N240" s="385"/>
      <c r="O240" s="385"/>
      <c r="P240" s="385"/>
      <c r="Q240" s="385"/>
      <c r="R240" s="385"/>
      <c r="S240" s="385"/>
      <c r="T240" s="385"/>
      <c r="U240" s="385"/>
      <c r="V240" s="385"/>
      <c r="W240" s="385"/>
      <c r="X240" s="385"/>
      <c r="Y240" s="385"/>
      <c r="Z240" s="385"/>
      <c r="AA240" s="385"/>
      <c r="AB240" s="385"/>
    </row>
    <row r="241" spans="1:28" ht="15.75" customHeight="1">
      <c r="A241" s="385"/>
      <c r="B241" s="385"/>
      <c r="C241" s="526"/>
      <c r="D241" s="385"/>
      <c r="E241" s="385"/>
      <c r="F241" s="385"/>
      <c r="G241" s="527"/>
      <c r="H241" s="30"/>
      <c r="I241" s="385"/>
      <c r="J241" s="385"/>
      <c r="K241" s="385"/>
      <c r="L241" s="385"/>
      <c r="M241" s="385"/>
      <c r="N241" s="385"/>
      <c r="O241" s="385"/>
      <c r="P241" s="385"/>
      <c r="Q241" s="385"/>
      <c r="R241" s="385"/>
      <c r="S241" s="385"/>
      <c r="T241" s="385"/>
      <c r="U241" s="385"/>
      <c r="V241" s="385"/>
      <c r="W241" s="385"/>
      <c r="X241" s="385"/>
      <c r="Y241" s="385"/>
      <c r="Z241" s="385"/>
      <c r="AA241" s="385"/>
      <c r="AB241" s="385"/>
    </row>
    <row r="242" spans="1:28" ht="15.75" customHeight="1">
      <c r="A242" s="385"/>
      <c r="B242" s="385"/>
      <c r="C242" s="526"/>
      <c r="D242" s="385"/>
      <c r="E242" s="385"/>
      <c r="F242" s="385"/>
      <c r="G242" s="527"/>
      <c r="H242" s="30"/>
      <c r="I242" s="385"/>
      <c r="J242" s="385"/>
      <c r="K242" s="385"/>
      <c r="L242" s="385"/>
      <c r="M242" s="385"/>
      <c r="N242" s="385"/>
      <c r="O242" s="385"/>
      <c r="P242" s="385"/>
      <c r="Q242" s="385"/>
      <c r="R242" s="385"/>
      <c r="S242" s="385"/>
      <c r="T242" s="385"/>
      <c r="U242" s="385"/>
      <c r="V242" s="385"/>
      <c r="W242" s="385"/>
      <c r="X242" s="385"/>
      <c r="Y242" s="385"/>
      <c r="Z242" s="385"/>
      <c r="AA242" s="385"/>
      <c r="AB242" s="385"/>
    </row>
    <row r="243" spans="1:28" ht="15.75" customHeight="1">
      <c r="A243" s="385"/>
      <c r="B243" s="385"/>
      <c r="C243" s="526"/>
      <c r="D243" s="385"/>
      <c r="E243" s="385"/>
      <c r="F243" s="385"/>
      <c r="G243" s="527"/>
      <c r="H243" s="30"/>
      <c r="I243" s="385"/>
      <c r="J243" s="385"/>
      <c r="K243" s="385"/>
      <c r="L243" s="385"/>
      <c r="M243" s="385"/>
      <c r="N243" s="385"/>
      <c r="O243" s="385"/>
      <c r="P243" s="385"/>
      <c r="Q243" s="385"/>
      <c r="R243" s="385"/>
      <c r="S243" s="385"/>
      <c r="T243" s="385"/>
      <c r="U243" s="385"/>
      <c r="V243" s="385"/>
      <c r="W243" s="385"/>
      <c r="X243" s="385"/>
      <c r="Y243" s="385"/>
      <c r="Z243" s="385"/>
      <c r="AA243" s="385"/>
      <c r="AB243" s="385"/>
    </row>
    <row r="244" spans="1:28" ht="15.75" customHeight="1">
      <c r="A244" s="385"/>
      <c r="B244" s="385"/>
      <c r="C244" s="526"/>
      <c r="D244" s="385"/>
      <c r="E244" s="385"/>
      <c r="F244" s="385"/>
      <c r="G244" s="527"/>
      <c r="H244" s="30"/>
      <c r="I244" s="385"/>
      <c r="J244" s="385"/>
      <c r="K244" s="385"/>
      <c r="L244" s="385"/>
      <c r="M244" s="385"/>
      <c r="N244" s="385"/>
      <c r="O244" s="385"/>
      <c r="P244" s="385"/>
      <c r="Q244" s="385"/>
      <c r="R244" s="385"/>
      <c r="S244" s="385"/>
      <c r="T244" s="385"/>
      <c r="U244" s="385"/>
      <c r="V244" s="385"/>
      <c r="W244" s="385"/>
      <c r="X244" s="385"/>
      <c r="Y244" s="385"/>
      <c r="Z244" s="385"/>
      <c r="AA244" s="385"/>
      <c r="AB244" s="385"/>
    </row>
    <row r="245" spans="1:28" ht="15.75" customHeight="1">
      <c r="A245" s="385"/>
      <c r="B245" s="385"/>
      <c r="C245" s="526"/>
      <c r="D245" s="385"/>
      <c r="E245" s="385"/>
      <c r="F245" s="385"/>
      <c r="G245" s="527"/>
      <c r="H245" s="30"/>
      <c r="I245" s="385"/>
      <c r="J245" s="385"/>
      <c r="K245" s="385"/>
      <c r="L245" s="385"/>
      <c r="M245" s="385"/>
      <c r="N245" s="385"/>
      <c r="O245" s="385"/>
      <c r="P245" s="385"/>
      <c r="Q245" s="385"/>
      <c r="R245" s="385"/>
      <c r="S245" s="385"/>
      <c r="T245" s="385"/>
      <c r="U245" s="385"/>
      <c r="V245" s="385"/>
      <c r="W245" s="385"/>
      <c r="X245" s="385"/>
      <c r="Y245" s="385"/>
      <c r="Z245" s="385"/>
      <c r="AA245" s="385"/>
      <c r="AB245" s="385"/>
    </row>
    <row r="246" spans="1:28" ht="15.75" customHeight="1">
      <c r="A246" s="385"/>
      <c r="B246" s="385"/>
      <c r="C246" s="526"/>
      <c r="D246" s="385"/>
      <c r="E246" s="385"/>
      <c r="F246" s="385"/>
      <c r="G246" s="527"/>
      <c r="H246" s="30"/>
      <c r="I246" s="385"/>
      <c r="J246" s="385"/>
      <c r="K246" s="385"/>
      <c r="L246" s="385"/>
      <c r="M246" s="385"/>
      <c r="N246" s="385"/>
      <c r="O246" s="385"/>
      <c r="P246" s="385"/>
      <c r="Q246" s="385"/>
      <c r="R246" s="385"/>
      <c r="S246" s="385"/>
      <c r="T246" s="385"/>
      <c r="U246" s="385"/>
      <c r="V246" s="385"/>
      <c r="W246" s="385"/>
      <c r="X246" s="385"/>
      <c r="Y246" s="385"/>
      <c r="Z246" s="385"/>
      <c r="AA246" s="385"/>
      <c r="AB246" s="385"/>
    </row>
    <row r="247" spans="1:28" ht="15.75" customHeight="1">
      <c r="A247" s="385"/>
      <c r="B247" s="385"/>
      <c r="C247" s="526"/>
      <c r="D247" s="385"/>
      <c r="E247" s="385"/>
      <c r="F247" s="385"/>
      <c r="G247" s="527"/>
      <c r="H247" s="30"/>
      <c r="I247" s="385"/>
      <c r="J247" s="385"/>
      <c r="K247" s="385"/>
      <c r="L247" s="385"/>
      <c r="M247" s="385"/>
      <c r="N247" s="385"/>
      <c r="O247" s="385"/>
      <c r="P247" s="385"/>
      <c r="Q247" s="385"/>
      <c r="R247" s="385"/>
      <c r="S247" s="385"/>
      <c r="T247" s="385"/>
      <c r="U247" s="385"/>
      <c r="V247" s="385"/>
      <c r="W247" s="385"/>
      <c r="X247" s="385"/>
      <c r="Y247" s="385"/>
      <c r="Z247" s="385"/>
      <c r="AA247" s="385"/>
      <c r="AB247" s="385"/>
    </row>
    <row r="248" spans="1:28" ht="15.75" customHeight="1">
      <c r="A248" s="385"/>
      <c r="B248" s="385"/>
      <c r="C248" s="526"/>
      <c r="D248" s="385"/>
      <c r="E248" s="385"/>
      <c r="F248" s="385"/>
      <c r="G248" s="527"/>
      <c r="H248" s="30"/>
      <c r="I248" s="385"/>
      <c r="J248" s="385"/>
      <c r="K248" s="385"/>
      <c r="L248" s="385"/>
      <c r="M248" s="385"/>
      <c r="N248" s="385"/>
      <c r="O248" s="385"/>
      <c r="P248" s="385"/>
      <c r="Q248" s="385"/>
      <c r="R248" s="385"/>
      <c r="S248" s="385"/>
      <c r="T248" s="385"/>
      <c r="U248" s="385"/>
      <c r="V248" s="385"/>
      <c r="W248" s="385"/>
      <c r="X248" s="385"/>
      <c r="Y248" s="385"/>
      <c r="Z248" s="385"/>
      <c r="AA248" s="385"/>
      <c r="AB248" s="385"/>
    </row>
    <row r="249" spans="1:28" ht="15.75" customHeight="1">
      <c r="A249" s="385"/>
      <c r="B249" s="385"/>
      <c r="C249" s="526"/>
      <c r="D249" s="385"/>
      <c r="E249" s="385"/>
      <c r="F249" s="385"/>
      <c r="G249" s="527"/>
      <c r="H249" s="30"/>
      <c r="I249" s="385"/>
      <c r="J249" s="385"/>
      <c r="K249" s="385"/>
      <c r="L249" s="385"/>
      <c r="M249" s="385"/>
      <c r="N249" s="385"/>
      <c r="O249" s="385"/>
      <c r="P249" s="385"/>
      <c r="Q249" s="385"/>
      <c r="R249" s="385"/>
      <c r="S249" s="385"/>
      <c r="T249" s="385"/>
      <c r="U249" s="385"/>
      <c r="V249" s="385"/>
      <c r="W249" s="385"/>
      <c r="X249" s="385"/>
      <c r="Y249" s="385"/>
      <c r="Z249" s="385"/>
      <c r="AA249" s="385"/>
      <c r="AB249" s="385"/>
    </row>
    <row r="250" spans="1:28" ht="15.75" customHeight="1">
      <c r="A250" s="385"/>
      <c r="B250" s="385"/>
      <c r="C250" s="526"/>
      <c r="D250" s="385"/>
      <c r="E250" s="385"/>
      <c r="F250" s="385"/>
      <c r="G250" s="527"/>
      <c r="H250" s="30"/>
      <c r="I250" s="385"/>
      <c r="J250" s="385"/>
      <c r="K250" s="385"/>
      <c r="L250" s="385"/>
      <c r="M250" s="385"/>
      <c r="N250" s="385"/>
      <c r="O250" s="385"/>
      <c r="P250" s="385"/>
      <c r="Q250" s="385"/>
      <c r="R250" s="385"/>
      <c r="S250" s="385"/>
      <c r="T250" s="385"/>
      <c r="U250" s="385"/>
      <c r="V250" s="385"/>
      <c r="W250" s="385"/>
      <c r="X250" s="385"/>
      <c r="Y250" s="385"/>
      <c r="Z250" s="385"/>
      <c r="AA250" s="385"/>
      <c r="AB250" s="385"/>
    </row>
    <row r="251" spans="1:28" ht="15.75" customHeight="1">
      <c r="A251" s="385"/>
      <c r="B251" s="385"/>
      <c r="C251" s="526"/>
      <c r="D251" s="385"/>
      <c r="E251" s="385"/>
      <c r="F251" s="385"/>
      <c r="G251" s="527"/>
      <c r="H251" s="30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  <c r="W251" s="385"/>
      <c r="X251" s="385"/>
      <c r="Y251" s="385"/>
      <c r="Z251" s="385"/>
      <c r="AA251" s="385"/>
      <c r="AB251" s="385"/>
    </row>
    <row r="252" spans="1:28" ht="15.75" customHeight="1">
      <c r="A252" s="385"/>
      <c r="B252" s="385"/>
      <c r="C252" s="526"/>
      <c r="D252" s="385"/>
      <c r="E252" s="385"/>
      <c r="F252" s="385"/>
      <c r="G252" s="527"/>
      <c r="H252" s="30"/>
      <c r="I252" s="385"/>
      <c r="J252" s="385"/>
      <c r="K252" s="385"/>
      <c r="L252" s="385"/>
      <c r="M252" s="385"/>
      <c r="N252" s="385"/>
      <c r="O252" s="385"/>
      <c r="P252" s="385"/>
      <c r="Q252" s="385"/>
      <c r="R252" s="385"/>
      <c r="S252" s="385"/>
      <c r="T252" s="385"/>
      <c r="U252" s="385"/>
      <c r="V252" s="385"/>
      <c r="W252" s="385"/>
      <c r="X252" s="385"/>
      <c r="Y252" s="385"/>
      <c r="Z252" s="385"/>
      <c r="AA252" s="385"/>
      <c r="AB252" s="385"/>
    </row>
    <row r="253" spans="1:28" ht="15.75" customHeight="1">
      <c r="A253" s="385"/>
      <c r="B253" s="385"/>
      <c r="C253" s="526"/>
      <c r="D253" s="385"/>
      <c r="E253" s="385"/>
      <c r="F253" s="385"/>
      <c r="G253" s="527"/>
      <c r="H253" s="30"/>
      <c r="I253" s="385"/>
      <c r="J253" s="385"/>
      <c r="K253" s="385"/>
      <c r="L253" s="385"/>
      <c r="M253" s="385"/>
      <c r="N253" s="385"/>
      <c r="O253" s="385"/>
      <c r="P253" s="385"/>
      <c r="Q253" s="385"/>
      <c r="R253" s="385"/>
      <c r="S253" s="385"/>
      <c r="T253" s="385"/>
      <c r="U253" s="385"/>
      <c r="V253" s="385"/>
      <c r="W253" s="385"/>
      <c r="X253" s="385"/>
      <c r="Y253" s="385"/>
      <c r="Z253" s="385"/>
      <c r="AA253" s="385"/>
      <c r="AB253" s="385"/>
    </row>
    <row r="254" spans="1:28" ht="15.75" customHeight="1">
      <c r="A254" s="385"/>
      <c r="B254" s="385"/>
      <c r="C254" s="526"/>
      <c r="D254" s="385"/>
      <c r="E254" s="385"/>
      <c r="F254" s="385"/>
      <c r="G254" s="527"/>
      <c r="H254" s="30"/>
      <c r="I254" s="385"/>
      <c r="J254" s="385"/>
      <c r="K254" s="385"/>
      <c r="L254" s="385"/>
      <c r="M254" s="385"/>
      <c r="N254" s="385"/>
      <c r="O254" s="385"/>
      <c r="P254" s="385"/>
      <c r="Q254" s="385"/>
      <c r="R254" s="385"/>
      <c r="S254" s="385"/>
      <c r="T254" s="385"/>
      <c r="U254" s="385"/>
      <c r="V254" s="385"/>
      <c r="W254" s="385"/>
      <c r="X254" s="385"/>
      <c r="Y254" s="385"/>
      <c r="Z254" s="385"/>
      <c r="AA254" s="385"/>
      <c r="AB254" s="385"/>
    </row>
    <row r="255" spans="1:28" ht="15.75" customHeight="1">
      <c r="A255" s="385"/>
      <c r="B255" s="385"/>
      <c r="C255" s="526"/>
      <c r="D255" s="385"/>
      <c r="E255" s="385"/>
      <c r="F255" s="385"/>
      <c r="G255" s="527"/>
      <c r="H255" s="30"/>
      <c r="I255" s="385"/>
      <c r="J255" s="385"/>
      <c r="K255" s="385"/>
      <c r="L255" s="385"/>
      <c r="M255" s="385"/>
      <c r="N255" s="385"/>
      <c r="O255" s="385"/>
      <c r="P255" s="385"/>
      <c r="Q255" s="385"/>
      <c r="R255" s="385"/>
      <c r="S255" s="385"/>
      <c r="T255" s="385"/>
      <c r="U255" s="385"/>
      <c r="V255" s="385"/>
      <c r="W255" s="385"/>
      <c r="X255" s="385"/>
      <c r="Y255" s="385"/>
      <c r="Z255" s="385"/>
      <c r="AA255" s="385"/>
      <c r="AB255" s="385"/>
    </row>
    <row r="256" spans="1:28" ht="15.75" customHeight="1">
      <c r="A256" s="385"/>
      <c r="B256" s="385"/>
      <c r="C256" s="526"/>
      <c r="D256" s="385"/>
      <c r="E256" s="385"/>
      <c r="F256" s="385"/>
      <c r="G256" s="527"/>
      <c r="H256" s="30"/>
      <c r="I256" s="385"/>
      <c r="J256" s="385"/>
      <c r="K256" s="385"/>
      <c r="L256" s="385"/>
      <c r="M256" s="385"/>
      <c r="N256" s="385"/>
      <c r="O256" s="385"/>
      <c r="P256" s="385"/>
      <c r="Q256" s="385"/>
      <c r="R256" s="385"/>
      <c r="S256" s="385"/>
      <c r="T256" s="385"/>
      <c r="U256" s="385"/>
      <c r="V256" s="385"/>
      <c r="W256" s="385"/>
      <c r="X256" s="385"/>
      <c r="Y256" s="385"/>
      <c r="Z256" s="385"/>
      <c r="AA256" s="385"/>
      <c r="AB256" s="385"/>
    </row>
    <row r="257" spans="1:28" ht="15.75" customHeight="1">
      <c r="A257" s="385"/>
      <c r="B257" s="385"/>
      <c r="C257" s="526"/>
      <c r="D257" s="385"/>
      <c r="E257" s="385"/>
      <c r="F257" s="385"/>
      <c r="G257" s="527"/>
      <c r="H257" s="30"/>
      <c r="I257" s="385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  <c r="Z257" s="385"/>
      <c r="AA257" s="385"/>
      <c r="AB257" s="385"/>
    </row>
    <row r="258" spans="1:28" ht="15.75" customHeight="1">
      <c r="A258" s="385"/>
      <c r="B258" s="385"/>
      <c r="C258" s="526"/>
      <c r="D258" s="385"/>
      <c r="E258" s="385"/>
      <c r="F258" s="385"/>
      <c r="G258" s="527"/>
      <c r="H258" s="30"/>
      <c r="I258" s="385"/>
      <c r="J258" s="385"/>
      <c r="K258" s="385"/>
      <c r="L258" s="385"/>
      <c r="M258" s="385"/>
      <c r="N258" s="385"/>
      <c r="O258" s="385"/>
      <c r="P258" s="385"/>
      <c r="Q258" s="385"/>
      <c r="R258" s="385"/>
      <c r="S258" s="385"/>
      <c r="T258" s="385"/>
      <c r="U258" s="385"/>
      <c r="V258" s="385"/>
      <c r="W258" s="385"/>
      <c r="X258" s="385"/>
      <c r="Y258" s="385"/>
      <c r="Z258" s="385"/>
      <c r="AA258" s="385"/>
      <c r="AB258" s="385"/>
    </row>
    <row r="259" spans="1:28" ht="15.75" customHeight="1">
      <c r="A259" s="385"/>
      <c r="B259" s="385"/>
      <c r="C259" s="526"/>
      <c r="D259" s="385"/>
      <c r="E259" s="385"/>
      <c r="F259" s="385"/>
      <c r="G259" s="527"/>
      <c r="H259" s="30"/>
      <c r="I259" s="385"/>
      <c r="J259" s="385"/>
      <c r="K259" s="385"/>
      <c r="L259" s="385"/>
      <c r="M259" s="385"/>
      <c r="N259" s="385"/>
      <c r="O259" s="385"/>
      <c r="P259" s="385"/>
      <c r="Q259" s="385"/>
      <c r="R259" s="385"/>
      <c r="S259" s="385"/>
      <c r="T259" s="385"/>
      <c r="U259" s="385"/>
      <c r="V259" s="385"/>
      <c r="W259" s="385"/>
      <c r="X259" s="385"/>
      <c r="Y259" s="385"/>
      <c r="Z259" s="385"/>
      <c r="AA259" s="385"/>
      <c r="AB259" s="385"/>
    </row>
    <row r="260" spans="1:28" ht="15.75" customHeight="1">
      <c r="A260" s="385"/>
      <c r="B260" s="385"/>
      <c r="C260" s="526"/>
      <c r="D260" s="385"/>
      <c r="E260" s="385"/>
      <c r="F260" s="385"/>
      <c r="G260" s="527"/>
      <c r="H260" s="30"/>
      <c r="I260" s="385"/>
      <c r="J260" s="385"/>
      <c r="K260" s="385"/>
      <c r="L260" s="385"/>
      <c r="M260" s="385"/>
      <c r="N260" s="385"/>
      <c r="O260" s="385"/>
      <c r="P260" s="385"/>
      <c r="Q260" s="385"/>
      <c r="R260" s="385"/>
      <c r="S260" s="385"/>
      <c r="T260" s="385"/>
      <c r="U260" s="385"/>
      <c r="V260" s="385"/>
      <c r="W260" s="385"/>
      <c r="X260" s="385"/>
      <c r="Y260" s="385"/>
      <c r="Z260" s="385"/>
      <c r="AA260" s="385"/>
      <c r="AB260" s="385"/>
    </row>
    <row r="261" spans="1:28" ht="15.75" customHeight="1">
      <c r="A261" s="385"/>
      <c r="B261" s="385"/>
      <c r="C261" s="526"/>
      <c r="D261" s="385"/>
      <c r="E261" s="385"/>
      <c r="F261" s="385"/>
      <c r="G261" s="527"/>
      <c r="H261" s="30"/>
      <c r="I261" s="385"/>
      <c r="J261" s="385"/>
      <c r="K261" s="385"/>
      <c r="L261" s="385"/>
      <c r="M261" s="385"/>
      <c r="N261" s="385"/>
      <c r="O261" s="385"/>
      <c r="P261" s="385"/>
      <c r="Q261" s="385"/>
      <c r="R261" s="385"/>
      <c r="S261" s="385"/>
      <c r="T261" s="385"/>
      <c r="U261" s="385"/>
      <c r="V261" s="385"/>
      <c r="W261" s="385"/>
      <c r="X261" s="385"/>
      <c r="Y261" s="385"/>
      <c r="Z261" s="385"/>
      <c r="AA261" s="385"/>
      <c r="AB261" s="385"/>
    </row>
    <row r="262" spans="1:28" ht="15.75" customHeight="1">
      <c r="A262" s="385"/>
      <c r="B262" s="385"/>
      <c r="C262" s="526"/>
      <c r="D262" s="385"/>
      <c r="E262" s="385"/>
      <c r="F262" s="385"/>
      <c r="G262" s="527"/>
      <c r="H262" s="30"/>
      <c r="I262" s="385"/>
      <c r="J262" s="385"/>
      <c r="K262" s="385"/>
      <c r="L262" s="385"/>
      <c r="M262" s="385"/>
      <c r="N262" s="385"/>
      <c r="O262" s="385"/>
      <c r="P262" s="385"/>
      <c r="Q262" s="385"/>
      <c r="R262" s="385"/>
      <c r="S262" s="385"/>
      <c r="T262" s="385"/>
      <c r="U262" s="385"/>
      <c r="V262" s="385"/>
      <c r="W262" s="385"/>
      <c r="X262" s="385"/>
      <c r="Y262" s="385"/>
      <c r="Z262" s="385"/>
      <c r="AA262" s="385"/>
      <c r="AB262" s="385"/>
    </row>
    <row r="263" spans="1:28" ht="15.75" customHeight="1">
      <c r="A263" s="385"/>
      <c r="B263" s="385"/>
      <c r="C263" s="526"/>
      <c r="D263" s="385"/>
      <c r="E263" s="385"/>
      <c r="F263" s="385"/>
      <c r="G263" s="527"/>
      <c r="H263" s="30"/>
      <c r="I263" s="385"/>
      <c r="J263" s="385"/>
      <c r="K263" s="385"/>
      <c r="L263" s="385"/>
      <c r="M263" s="385"/>
      <c r="N263" s="385"/>
      <c r="O263" s="385"/>
      <c r="P263" s="385"/>
      <c r="Q263" s="385"/>
      <c r="R263" s="385"/>
      <c r="S263" s="385"/>
      <c r="T263" s="385"/>
      <c r="U263" s="385"/>
      <c r="V263" s="385"/>
      <c r="W263" s="385"/>
      <c r="X263" s="385"/>
      <c r="Y263" s="385"/>
      <c r="Z263" s="385"/>
      <c r="AA263" s="385"/>
      <c r="AB263" s="385"/>
    </row>
    <row r="264" spans="1:28" ht="15.75" customHeight="1">
      <c r="A264" s="385"/>
      <c r="B264" s="385"/>
      <c r="C264" s="526"/>
      <c r="D264" s="385"/>
      <c r="E264" s="385"/>
      <c r="F264" s="385"/>
      <c r="G264" s="527"/>
      <c r="H264" s="30"/>
      <c r="I264" s="385"/>
      <c r="J264" s="385"/>
      <c r="K264" s="385"/>
      <c r="L264" s="385"/>
      <c r="M264" s="385"/>
      <c r="N264" s="385"/>
      <c r="O264" s="385"/>
      <c r="P264" s="385"/>
      <c r="Q264" s="385"/>
      <c r="R264" s="385"/>
      <c r="S264" s="385"/>
      <c r="T264" s="385"/>
      <c r="U264" s="385"/>
      <c r="V264" s="385"/>
      <c r="W264" s="385"/>
      <c r="X264" s="385"/>
      <c r="Y264" s="385"/>
      <c r="Z264" s="385"/>
      <c r="AA264" s="385"/>
      <c r="AB264" s="385"/>
    </row>
    <row r="265" spans="1:28" ht="15.75" customHeight="1">
      <c r="A265" s="385"/>
      <c r="B265" s="385"/>
      <c r="C265" s="526"/>
      <c r="D265" s="385"/>
      <c r="E265" s="385"/>
      <c r="F265" s="385"/>
      <c r="G265" s="527"/>
      <c r="H265" s="30"/>
      <c r="I265" s="385"/>
      <c r="J265" s="385"/>
      <c r="K265" s="385"/>
      <c r="L265" s="385"/>
      <c r="M265" s="385"/>
      <c r="N265" s="385"/>
      <c r="O265" s="385"/>
      <c r="P265" s="385"/>
      <c r="Q265" s="385"/>
      <c r="R265" s="385"/>
      <c r="S265" s="385"/>
      <c r="T265" s="385"/>
      <c r="U265" s="385"/>
      <c r="V265" s="385"/>
      <c r="W265" s="385"/>
      <c r="X265" s="385"/>
      <c r="Y265" s="385"/>
      <c r="Z265" s="385"/>
      <c r="AA265" s="385"/>
      <c r="AB265" s="385"/>
    </row>
    <row r="266" spans="1:28" ht="15.75" customHeight="1">
      <c r="A266" s="385"/>
      <c r="B266" s="385"/>
      <c r="C266" s="526"/>
      <c r="D266" s="385"/>
      <c r="E266" s="385"/>
      <c r="F266" s="385"/>
      <c r="G266" s="527"/>
      <c r="H266" s="30"/>
      <c r="I266" s="385"/>
      <c r="J266" s="385"/>
      <c r="K266" s="385"/>
      <c r="L266" s="385"/>
      <c r="M266" s="385"/>
      <c r="N266" s="385"/>
      <c r="O266" s="385"/>
      <c r="P266" s="385"/>
      <c r="Q266" s="385"/>
      <c r="R266" s="385"/>
      <c r="S266" s="385"/>
      <c r="T266" s="385"/>
      <c r="U266" s="385"/>
      <c r="V266" s="385"/>
      <c r="W266" s="385"/>
      <c r="X266" s="385"/>
      <c r="Y266" s="385"/>
      <c r="Z266" s="385"/>
      <c r="AA266" s="385"/>
      <c r="AB266" s="385"/>
    </row>
    <row r="267" spans="1:28" ht="15.75" customHeight="1">
      <c r="A267" s="385"/>
      <c r="B267" s="385"/>
      <c r="C267" s="526"/>
      <c r="D267" s="385"/>
      <c r="E267" s="385"/>
      <c r="F267" s="385"/>
      <c r="G267" s="527"/>
      <c r="H267" s="30"/>
      <c r="I267" s="385"/>
      <c r="J267" s="385"/>
      <c r="K267" s="385"/>
      <c r="L267" s="385"/>
      <c r="M267" s="385"/>
      <c r="N267" s="385"/>
      <c r="O267" s="385"/>
      <c r="P267" s="385"/>
      <c r="Q267" s="385"/>
      <c r="R267" s="385"/>
      <c r="S267" s="385"/>
      <c r="T267" s="385"/>
      <c r="U267" s="385"/>
      <c r="V267" s="385"/>
      <c r="W267" s="385"/>
      <c r="X267" s="385"/>
      <c r="Y267" s="385"/>
      <c r="Z267" s="385"/>
      <c r="AA267" s="385"/>
      <c r="AB267" s="385"/>
    </row>
    <row r="268" spans="1:28" ht="15.75" customHeight="1">
      <c r="A268" s="385"/>
      <c r="B268" s="385"/>
      <c r="C268" s="526"/>
      <c r="D268" s="385"/>
      <c r="E268" s="385"/>
      <c r="F268" s="385"/>
      <c r="G268" s="527"/>
      <c r="H268" s="30"/>
      <c r="I268" s="385"/>
      <c r="J268" s="385"/>
      <c r="K268" s="385"/>
      <c r="L268" s="385"/>
      <c r="M268" s="385"/>
      <c r="N268" s="385"/>
      <c r="O268" s="385"/>
      <c r="P268" s="385"/>
      <c r="Q268" s="385"/>
      <c r="R268" s="385"/>
      <c r="S268" s="385"/>
      <c r="T268" s="385"/>
      <c r="U268" s="385"/>
      <c r="V268" s="385"/>
      <c r="W268" s="385"/>
      <c r="X268" s="385"/>
      <c r="Y268" s="385"/>
      <c r="Z268" s="385"/>
      <c r="AA268" s="385"/>
      <c r="AB268" s="385"/>
    </row>
    <row r="269" spans="1:28" ht="15.75" customHeight="1">
      <c r="A269" s="385"/>
      <c r="B269" s="385"/>
      <c r="C269" s="526"/>
      <c r="D269" s="385"/>
      <c r="E269" s="385"/>
      <c r="F269" s="385"/>
      <c r="G269" s="527"/>
      <c r="H269" s="30"/>
      <c r="I269" s="385"/>
      <c r="J269" s="385"/>
      <c r="K269" s="385"/>
      <c r="L269" s="385"/>
      <c r="M269" s="385"/>
      <c r="N269" s="385"/>
      <c r="O269" s="385"/>
      <c r="P269" s="385"/>
      <c r="Q269" s="385"/>
      <c r="R269" s="385"/>
      <c r="S269" s="385"/>
      <c r="T269" s="385"/>
      <c r="U269" s="385"/>
      <c r="V269" s="385"/>
      <c r="W269" s="385"/>
      <c r="X269" s="385"/>
      <c r="Y269" s="385"/>
      <c r="Z269" s="385"/>
      <c r="AA269" s="385"/>
      <c r="AB269" s="385"/>
    </row>
    <row r="270" spans="1:28" ht="15.75" customHeight="1">
      <c r="A270" s="385"/>
      <c r="B270" s="385"/>
      <c r="C270" s="526"/>
      <c r="D270" s="385"/>
      <c r="E270" s="385"/>
      <c r="F270" s="385"/>
      <c r="G270" s="527"/>
      <c r="H270" s="30"/>
      <c r="I270" s="385"/>
      <c r="J270" s="385"/>
      <c r="K270" s="385"/>
      <c r="L270" s="385"/>
      <c r="M270" s="385"/>
      <c r="N270" s="385"/>
      <c r="O270" s="385"/>
      <c r="P270" s="385"/>
      <c r="Q270" s="385"/>
      <c r="R270" s="385"/>
      <c r="S270" s="385"/>
      <c r="T270" s="385"/>
      <c r="U270" s="385"/>
      <c r="V270" s="385"/>
      <c r="W270" s="385"/>
      <c r="X270" s="385"/>
      <c r="Y270" s="385"/>
      <c r="Z270" s="385"/>
      <c r="AA270" s="385"/>
      <c r="AB270" s="385"/>
    </row>
    <row r="271" spans="1:28" ht="15.75" customHeight="1">
      <c r="A271" s="385"/>
      <c r="B271" s="385"/>
      <c r="C271" s="526"/>
      <c r="D271" s="385"/>
      <c r="E271" s="385"/>
      <c r="F271" s="385"/>
      <c r="G271" s="527"/>
      <c r="H271" s="30"/>
      <c r="I271" s="385"/>
      <c r="J271" s="385"/>
      <c r="K271" s="385"/>
      <c r="L271" s="385"/>
      <c r="M271" s="385"/>
      <c r="N271" s="385"/>
      <c r="O271" s="385"/>
      <c r="P271" s="385"/>
      <c r="Q271" s="385"/>
      <c r="R271" s="385"/>
      <c r="S271" s="385"/>
      <c r="T271" s="385"/>
      <c r="U271" s="385"/>
      <c r="V271" s="385"/>
      <c r="W271" s="385"/>
      <c r="X271" s="385"/>
      <c r="Y271" s="385"/>
      <c r="Z271" s="385"/>
      <c r="AA271" s="385"/>
      <c r="AB271" s="385"/>
    </row>
    <row r="272" spans="1:28" ht="15.75" customHeight="1">
      <c r="A272" s="385"/>
      <c r="B272" s="385"/>
      <c r="C272" s="526"/>
      <c r="D272" s="385"/>
      <c r="E272" s="385"/>
      <c r="F272" s="385"/>
      <c r="G272" s="527"/>
      <c r="H272" s="30"/>
      <c r="I272" s="385"/>
      <c r="J272" s="385"/>
      <c r="K272" s="385"/>
      <c r="L272" s="385"/>
      <c r="M272" s="385"/>
      <c r="N272" s="385"/>
      <c r="O272" s="385"/>
      <c r="P272" s="385"/>
      <c r="Q272" s="385"/>
      <c r="R272" s="385"/>
      <c r="S272" s="385"/>
      <c r="T272" s="385"/>
      <c r="U272" s="385"/>
      <c r="V272" s="385"/>
      <c r="W272" s="385"/>
      <c r="X272" s="385"/>
      <c r="Y272" s="385"/>
      <c r="Z272" s="385"/>
      <c r="AA272" s="385"/>
      <c r="AB272" s="385"/>
    </row>
    <row r="273" spans="1:28" ht="15.75" customHeight="1">
      <c r="A273" s="385"/>
      <c r="B273" s="385"/>
      <c r="C273" s="526"/>
      <c r="D273" s="385"/>
      <c r="E273" s="385"/>
      <c r="F273" s="385"/>
      <c r="G273" s="527"/>
      <c r="H273" s="30"/>
      <c r="I273" s="385"/>
      <c r="J273" s="385"/>
      <c r="K273" s="385"/>
      <c r="L273" s="385"/>
      <c r="M273" s="385"/>
      <c r="N273" s="385"/>
      <c r="O273" s="385"/>
      <c r="P273" s="385"/>
      <c r="Q273" s="385"/>
      <c r="R273" s="385"/>
      <c r="S273" s="385"/>
      <c r="T273" s="385"/>
      <c r="U273" s="385"/>
      <c r="V273" s="385"/>
      <c r="W273" s="385"/>
      <c r="X273" s="385"/>
      <c r="Y273" s="385"/>
      <c r="Z273" s="385"/>
      <c r="AA273" s="385"/>
      <c r="AB273" s="385"/>
    </row>
    <row r="274" spans="1:28" ht="15.75" customHeight="1">
      <c r="A274" s="385"/>
      <c r="B274" s="385"/>
      <c r="C274" s="526"/>
      <c r="D274" s="385"/>
      <c r="E274" s="385"/>
      <c r="F274" s="385"/>
      <c r="G274" s="527"/>
      <c r="H274" s="30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  <c r="Y274" s="385"/>
      <c r="Z274" s="385"/>
      <c r="AA274" s="385"/>
      <c r="AB274" s="385"/>
    </row>
    <row r="275" spans="1:28" ht="15.75" customHeight="1">
      <c r="A275" s="385"/>
      <c r="B275" s="385"/>
      <c r="C275" s="526"/>
      <c r="D275" s="385"/>
      <c r="E275" s="385"/>
      <c r="F275" s="385"/>
      <c r="G275" s="527"/>
      <c r="H275" s="30"/>
      <c r="I275" s="385"/>
      <c r="J275" s="385"/>
      <c r="K275" s="385"/>
      <c r="L275" s="385"/>
      <c r="M275" s="385"/>
      <c r="N275" s="385"/>
      <c r="O275" s="385"/>
      <c r="P275" s="385"/>
      <c r="Q275" s="385"/>
      <c r="R275" s="385"/>
      <c r="S275" s="385"/>
      <c r="T275" s="385"/>
      <c r="U275" s="385"/>
      <c r="V275" s="385"/>
      <c r="W275" s="385"/>
      <c r="X275" s="385"/>
      <c r="Y275" s="385"/>
      <c r="Z275" s="385"/>
      <c r="AA275" s="385"/>
      <c r="AB275" s="385"/>
    </row>
    <row r="276" spans="1:28" ht="15.75" customHeight="1">
      <c r="A276" s="385"/>
      <c r="B276" s="385"/>
      <c r="C276" s="526"/>
      <c r="D276" s="385"/>
      <c r="E276" s="385"/>
      <c r="F276" s="385"/>
      <c r="G276" s="527"/>
      <c r="H276" s="30"/>
      <c r="I276" s="385"/>
      <c r="J276" s="385"/>
      <c r="K276" s="385"/>
      <c r="L276" s="385"/>
      <c r="M276" s="385"/>
      <c r="N276" s="385"/>
      <c r="O276" s="385"/>
      <c r="P276" s="385"/>
      <c r="Q276" s="385"/>
      <c r="R276" s="385"/>
      <c r="S276" s="385"/>
      <c r="T276" s="385"/>
      <c r="U276" s="385"/>
      <c r="V276" s="385"/>
      <c r="W276" s="385"/>
      <c r="X276" s="385"/>
      <c r="Y276" s="385"/>
      <c r="Z276" s="385"/>
      <c r="AA276" s="385"/>
      <c r="AB276" s="385"/>
    </row>
    <row r="277" spans="1:28" ht="15.75" customHeight="1">
      <c r="A277" s="385"/>
      <c r="B277" s="385"/>
      <c r="C277" s="526"/>
      <c r="D277" s="385"/>
      <c r="E277" s="385"/>
      <c r="F277" s="385"/>
      <c r="G277" s="527"/>
      <c r="H277" s="30"/>
      <c r="I277" s="385"/>
      <c r="J277" s="385"/>
      <c r="K277" s="385"/>
      <c r="L277" s="385"/>
      <c r="M277" s="385"/>
      <c r="N277" s="385"/>
      <c r="O277" s="385"/>
      <c r="P277" s="385"/>
      <c r="Q277" s="385"/>
      <c r="R277" s="385"/>
      <c r="S277" s="385"/>
      <c r="T277" s="385"/>
      <c r="U277" s="385"/>
      <c r="V277" s="385"/>
      <c r="W277" s="385"/>
      <c r="X277" s="385"/>
      <c r="Y277" s="385"/>
      <c r="Z277" s="385"/>
      <c r="AA277" s="385"/>
      <c r="AB277" s="385"/>
    </row>
    <row r="278" spans="1:28" ht="15.75" customHeight="1">
      <c r="A278" s="385"/>
      <c r="B278" s="385"/>
      <c r="C278" s="526"/>
      <c r="D278" s="385"/>
      <c r="E278" s="385"/>
      <c r="F278" s="385"/>
      <c r="G278" s="527"/>
      <c r="H278" s="30"/>
      <c r="I278" s="385"/>
      <c r="J278" s="385"/>
      <c r="K278" s="385"/>
      <c r="L278" s="385"/>
      <c r="M278" s="385"/>
      <c r="N278" s="385"/>
      <c r="O278" s="385"/>
      <c r="P278" s="385"/>
      <c r="Q278" s="385"/>
      <c r="R278" s="385"/>
      <c r="S278" s="385"/>
      <c r="T278" s="385"/>
      <c r="U278" s="385"/>
      <c r="V278" s="385"/>
      <c r="W278" s="385"/>
      <c r="X278" s="385"/>
      <c r="Y278" s="385"/>
      <c r="Z278" s="385"/>
      <c r="AA278" s="385"/>
      <c r="AB278" s="385"/>
    </row>
    <row r="279" spans="1:28" ht="15.75" customHeight="1">
      <c r="A279" s="385"/>
      <c r="B279" s="385"/>
      <c r="C279" s="526"/>
      <c r="D279" s="385"/>
      <c r="E279" s="385"/>
      <c r="F279" s="385"/>
      <c r="G279" s="527"/>
      <c r="H279" s="30"/>
      <c r="I279" s="385"/>
      <c r="J279" s="385"/>
      <c r="K279" s="385"/>
      <c r="L279" s="385"/>
      <c r="M279" s="385"/>
      <c r="N279" s="385"/>
      <c r="O279" s="385"/>
      <c r="P279" s="385"/>
      <c r="Q279" s="385"/>
      <c r="R279" s="385"/>
      <c r="S279" s="385"/>
      <c r="T279" s="385"/>
      <c r="U279" s="385"/>
      <c r="V279" s="385"/>
      <c r="W279" s="385"/>
      <c r="X279" s="385"/>
      <c r="Y279" s="385"/>
      <c r="Z279" s="385"/>
      <c r="AA279" s="385"/>
      <c r="AB279" s="385"/>
    </row>
    <row r="280" spans="1:28" ht="15.75" customHeight="1">
      <c r="A280" s="385"/>
      <c r="B280" s="385"/>
      <c r="C280" s="526"/>
      <c r="D280" s="385"/>
      <c r="E280" s="385"/>
      <c r="F280" s="385"/>
      <c r="G280" s="527"/>
      <c r="H280" s="30"/>
      <c r="I280" s="385"/>
      <c r="J280" s="385"/>
      <c r="K280" s="385"/>
      <c r="L280" s="385"/>
      <c r="M280" s="385"/>
      <c r="N280" s="385"/>
      <c r="O280" s="385"/>
      <c r="P280" s="385"/>
      <c r="Q280" s="385"/>
      <c r="R280" s="385"/>
      <c r="S280" s="385"/>
      <c r="T280" s="385"/>
      <c r="U280" s="385"/>
      <c r="V280" s="385"/>
      <c r="W280" s="385"/>
      <c r="X280" s="385"/>
      <c r="Y280" s="385"/>
      <c r="Z280" s="385"/>
      <c r="AA280" s="385"/>
      <c r="AB280" s="385"/>
    </row>
    <row r="281" spans="1:28" ht="15.75" customHeight="1">
      <c r="A281" s="385"/>
      <c r="B281" s="385"/>
      <c r="C281" s="526"/>
      <c r="D281" s="385"/>
      <c r="E281" s="385"/>
      <c r="F281" s="385"/>
      <c r="G281" s="527"/>
      <c r="H281" s="30"/>
      <c r="I281" s="385"/>
      <c r="J281" s="385"/>
      <c r="K281" s="385"/>
      <c r="L281" s="385"/>
      <c r="M281" s="385"/>
      <c r="N281" s="385"/>
      <c r="O281" s="385"/>
      <c r="P281" s="385"/>
      <c r="Q281" s="385"/>
      <c r="R281" s="385"/>
      <c r="S281" s="385"/>
      <c r="T281" s="385"/>
      <c r="U281" s="385"/>
      <c r="V281" s="385"/>
      <c r="W281" s="385"/>
      <c r="X281" s="385"/>
      <c r="Y281" s="385"/>
      <c r="Z281" s="385"/>
      <c r="AA281" s="385"/>
      <c r="AB281" s="385"/>
    </row>
    <row r="282" spans="1:28" ht="15.75" customHeight="1">
      <c r="A282" s="385"/>
      <c r="B282" s="385"/>
      <c r="C282" s="526"/>
      <c r="D282" s="385"/>
      <c r="E282" s="385"/>
      <c r="F282" s="385"/>
      <c r="G282" s="527"/>
      <c r="H282" s="30"/>
      <c r="I282" s="385"/>
      <c r="J282" s="385"/>
      <c r="K282" s="385"/>
      <c r="L282" s="385"/>
      <c r="M282" s="385"/>
      <c r="N282" s="385"/>
      <c r="O282" s="385"/>
      <c r="P282" s="385"/>
      <c r="Q282" s="385"/>
      <c r="R282" s="385"/>
      <c r="S282" s="385"/>
      <c r="T282" s="385"/>
      <c r="U282" s="385"/>
      <c r="V282" s="385"/>
      <c r="W282" s="385"/>
      <c r="X282" s="385"/>
      <c r="Y282" s="385"/>
      <c r="Z282" s="385"/>
      <c r="AA282" s="385"/>
      <c r="AB282" s="385"/>
    </row>
    <row r="283" spans="1:28" ht="15.75" customHeight="1">
      <c r="A283" s="385"/>
      <c r="B283" s="385"/>
      <c r="C283" s="526"/>
      <c r="D283" s="385"/>
      <c r="E283" s="385"/>
      <c r="F283" s="385"/>
      <c r="G283" s="527"/>
      <c r="H283" s="30"/>
      <c r="I283" s="385"/>
      <c r="J283" s="385"/>
      <c r="K283" s="385"/>
      <c r="L283" s="385"/>
      <c r="M283" s="385"/>
      <c r="N283" s="385"/>
      <c r="O283" s="385"/>
      <c r="P283" s="385"/>
      <c r="Q283" s="385"/>
      <c r="R283" s="385"/>
      <c r="S283" s="385"/>
      <c r="T283" s="385"/>
      <c r="U283" s="385"/>
      <c r="V283" s="385"/>
      <c r="W283" s="385"/>
      <c r="X283" s="385"/>
      <c r="Y283" s="385"/>
      <c r="Z283" s="385"/>
      <c r="AA283" s="385"/>
      <c r="AB283" s="385"/>
    </row>
    <row r="284" spans="1:28" ht="15.75" customHeight="1">
      <c r="A284" s="385"/>
      <c r="B284" s="385"/>
      <c r="C284" s="526"/>
      <c r="D284" s="385"/>
      <c r="E284" s="385"/>
      <c r="F284" s="385"/>
      <c r="G284" s="527"/>
      <c r="H284" s="30"/>
      <c r="I284" s="385"/>
      <c r="J284" s="385"/>
      <c r="K284" s="385"/>
      <c r="L284" s="385"/>
      <c r="M284" s="385"/>
      <c r="N284" s="385"/>
      <c r="O284" s="385"/>
      <c r="P284" s="385"/>
      <c r="Q284" s="385"/>
      <c r="R284" s="385"/>
      <c r="S284" s="385"/>
      <c r="T284" s="385"/>
      <c r="U284" s="385"/>
      <c r="V284" s="385"/>
      <c r="W284" s="385"/>
      <c r="X284" s="385"/>
      <c r="Y284" s="385"/>
      <c r="Z284" s="385"/>
      <c r="AA284" s="385"/>
      <c r="AB284" s="385"/>
    </row>
    <row r="285" spans="1:28" ht="15.75" customHeight="1">
      <c r="A285" s="385"/>
      <c r="B285" s="385"/>
      <c r="C285" s="526"/>
      <c r="D285" s="385"/>
      <c r="E285" s="385"/>
      <c r="F285" s="385"/>
      <c r="G285" s="527"/>
      <c r="H285" s="30"/>
      <c r="I285" s="385"/>
      <c r="J285" s="385"/>
      <c r="K285" s="385"/>
      <c r="L285" s="385"/>
      <c r="M285" s="385"/>
      <c r="N285" s="385"/>
      <c r="O285" s="385"/>
      <c r="P285" s="385"/>
      <c r="Q285" s="385"/>
      <c r="R285" s="385"/>
      <c r="S285" s="385"/>
      <c r="T285" s="385"/>
      <c r="U285" s="385"/>
      <c r="V285" s="385"/>
      <c r="W285" s="385"/>
      <c r="X285" s="385"/>
      <c r="Y285" s="385"/>
      <c r="Z285" s="385"/>
      <c r="AA285" s="385"/>
      <c r="AB285" s="385"/>
    </row>
    <row r="286" spans="1:28" ht="15.75" customHeight="1">
      <c r="A286" s="385"/>
      <c r="B286" s="385"/>
      <c r="C286" s="526"/>
      <c r="D286" s="385"/>
      <c r="E286" s="385"/>
      <c r="F286" s="385"/>
      <c r="G286" s="527"/>
      <c r="H286" s="30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5"/>
      <c r="V286" s="385"/>
      <c r="W286" s="385"/>
      <c r="X286" s="385"/>
      <c r="Y286" s="385"/>
      <c r="Z286" s="385"/>
      <c r="AA286" s="385"/>
      <c r="AB286" s="385"/>
    </row>
    <row r="287" spans="1:28" ht="15.75" customHeight="1">
      <c r="A287" s="385"/>
      <c r="B287" s="385"/>
      <c r="C287" s="526"/>
      <c r="D287" s="385"/>
      <c r="E287" s="385"/>
      <c r="F287" s="385"/>
      <c r="G287" s="527"/>
      <c r="H287" s="30"/>
      <c r="I287" s="385"/>
      <c r="J287" s="385"/>
      <c r="K287" s="385"/>
      <c r="L287" s="385"/>
      <c r="M287" s="385"/>
      <c r="N287" s="385"/>
      <c r="O287" s="385"/>
      <c r="P287" s="385"/>
      <c r="Q287" s="385"/>
      <c r="R287" s="385"/>
      <c r="S287" s="385"/>
      <c r="T287" s="385"/>
      <c r="U287" s="385"/>
      <c r="V287" s="385"/>
      <c r="W287" s="385"/>
      <c r="X287" s="385"/>
      <c r="Y287" s="385"/>
      <c r="Z287" s="385"/>
      <c r="AA287" s="385"/>
      <c r="AB287" s="385"/>
    </row>
    <row r="288" spans="1:28" ht="15.75" customHeight="1">
      <c r="A288" s="385"/>
      <c r="B288" s="385"/>
      <c r="C288" s="526"/>
      <c r="D288" s="385"/>
      <c r="E288" s="385"/>
      <c r="F288" s="385"/>
      <c r="G288" s="527"/>
      <c r="H288" s="30"/>
      <c r="I288" s="385"/>
      <c r="J288" s="385"/>
      <c r="K288" s="385"/>
      <c r="L288" s="385"/>
      <c r="M288" s="385"/>
      <c r="N288" s="385"/>
      <c r="O288" s="385"/>
      <c r="P288" s="385"/>
      <c r="Q288" s="385"/>
      <c r="R288" s="385"/>
      <c r="S288" s="385"/>
      <c r="T288" s="385"/>
      <c r="U288" s="385"/>
      <c r="V288" s="385"/>
      <c r="W288" s="385"/>
      <c r="X288" s="385"/>
      <c r="Y288" s="385"/>
      <c r="Z288" s="385"/>
      <c r="AA288" s="385"/>
      <c r="AB288" s="385"/>
    </row>
    <row r="289" spans="1:28" ht="15.75" customHeight="1">
      <c r="A289" s="385"/>
      <c r="B289" s="385"/>
      <c r="C289" s="526"/>
      <c r="D289" s="385"/>
      <c r="E289" s="385"/>
      <c r="F289" s="385"/>
      <c r="G289" s="527"/>
      <c r="H289" s="30"/>
      <c r="I289" s="385"/>
      <c r="J289" s="385"/>
      <c r="K289" s="385"/>
      <c r="L289" s="385"/>
      <c r="M289" s="385"/>
      <c r="N289" s="385"/>
      <c r="O289" s="385"/>
      <c r="P289" s="385"/>
      <c r="Q289" s="385"/>
      <c r="R289" s="385"/>
      <c r="S289" s="385"/>
      <c r="T289" s="385"/>
      <c r="U289" s="385"/>
      <c r="V289" s="385"/>
      <c r="W289" s="385"/>
      <c r="X289" s="385"/>
      <c r="Y289" s="385"/>
      <c r="Z289" s="385"/>
      <c r="AA289" s="385"/>
      <c r="AB289" s="385"/>
    </row>
    <row r="290" spans="1:28" ht="15.75" customHeight="1">
      <c r="A290" s="385"/>
      <c r="B290" s="385"/>
      <c r="C290" s="526"/>
      <c r="D290" s="385"/>
      <c r="E290" s="385"/>
      <c r="F290" s="385"/>
      <c r="G290" s="527"/>
      <c r="H290" s="30"/>
      <c r="I290" s="385"/>
      <c r="J290" s="385"/>
      <c r="K290" s="385"/>
      <c r="L290" s="385"/>
      <c r="M290" s="385"/>
      <c r="N290" s="385"/>
      <c r="O290" s="385"/>
      <c r="P290" s="385"/>
      <c r="Q290" s="385"/>
      <c r="R290" s="385"/>
      <c r="S290" s="385"/>
      <c r="T290" s="385"/>
      <c r="U290" s="385"/>
      <c r="V290" s="385"/>
      <c r="W290" s="385"/>
      <c r="X290" s="385"/>
      <c r="Y290" s="385"/>
      <c r="Z290" s="385"/>
      <c r="AA290" s="385"/>
      <c r="AB290" s="385"/>
    </row>
    <row r="291" spans="1:28" ht="15.75" customHeight="1">
      <c r="A291" s="385"/>
      <c r="B291" s="385"/>
      <c r="C291" s="526"/>
      <c r="D291" s="385"/>
      <c r="E291" s="385"/>
      <c r="F291" s="385"/>
      <c r="G291" s="527"/>
      <c r="H291" s="30"/>
      <c r="I291" s="385"/>
      <c r="J291" s="385"/>
      <c r="K291" s="385"/>
      <c r="L291" s="385"/>
      <c r="M291" s="385"/>
      <c r="N291" s="385"/>
      <c r="O291" s="385"/>
      <c r="P291" s="385"/>
      <c r="Q291" s="385"/>
      <c r="R291" s="385"/>
      <c r="S291" s="385"/>
      <c r="T291" s="385"/>
      <c r="U291" s="385"/>
      <c r="V291" s="385"/>
      <c r="W291" s="385"/>
      <c r="X291" s="385"/>
      <c r="Y291" s="385"/>
      <c r="Z291" s="385"/>
      <c r="AA291" s="385"/>
      <c r="AB291" s="385"/>
    </row>
    <row r="292" spans="1:28" ht="15.75" customHeight="1">
      <c r="A292" s="385"/>
      <c r="B292" s="385"/>
      <c r="C292" s="526"/>
      <c r="D292" s="385"/>
      <c r="E292" s="385"/>
      <c r="F292" s="385"/>
      <c r="G292" s="527"/>
      <c r="H292" s="30"/>
      <c r="I292" s="385"/>
      <c r="J292" s="385"/>
      <c r="K292" s="385"/>
      <c r="L292" s="385"/>
      <c r="M292" s="385"/>
      <c r="N292" s="385"/>
      <c r="O292" s="385"/>
      <c r="P292" s="385"/>
      <c r="Q292" s="385"/>
      <c r="R292" s="385"/>
      <c r="S292" s="385"/>
      <c r="T292" s="385"/>
      <c r="U292" s="385"/>
      <c r="V292" s="385"/>
      <c r="W292" s="385"/>
      <c r="X292" s="385"/>
      <c r="Y292" s="385"/>
      <c r="Z292" s="385"/>
      <c r="AA292" s="385"/>
      <c r="AB292" s="385"/>
    </row>
    <row r="293" spans="1:28" ht="15.75" customHeight="1">
      <c r="A293" s="385"/>
      <c r="B293" s="385"/>
      <c r="C293" s="526"/>
      <c r="D293" s="385"/>
      <c r="E293" s="385"/>
      <c r="F293" s="385"/>
      <c r="G293" s="527"/>
      <c r="H293" s="30"/>
      <c r="I293" s="385"/>
      <c r="J293" s="385"/>
      <c r="K293" s="385"/>
      <c r="L293" s="385"/>
      <c r="M293" s="385"/>
      <c r="N293" s="385"/>
      <c r="O293" s="385"/>
      <c r="P293" s="385"/>
      <c r="Q293" s="385"/>
      <c r="R293" s="385"/>
      <c r="S293" s="385"/>
      <c r="T293" s="385"/>
      <c r="U293" s="385"/>
      <c r="V293" s="385"/>
      <c r="W293" s="385"/>
      <c r="X293" s="385"/>
      <c r="Y293" s="385"/>
      <c r="Z293" s="385"/>
      <c r="AA293" s="385"/>
      <c r="AB293" s="385"/>
    </row>
    <row r="294" spans="1:28" ht="15.75" customHeight="1">
      <c r="A294" s="385"/>
      <c r="B294" s="385"/>
      <c r="C294" s="526"/>
      <c r="D294" s="385"/>
      <c r="E294" s="385"/>
      <c r="F294" s="385"/>
      <c r="G294" s="527"/>
      <c r="H294" s="30"/>
      <c r="I294" s="385"/>
      <c r="J294" s="385"/>
      <c r="K294" s="385"/>
      <c r="L294" s="385"/>
      <c r="M294" s="385"/>
      <c r="N294" s="385"/>
      <c r="O294" s="385"/>
      <c r="P294" s="385"/>
      <c r="Q294" s="385"/>
      <c r="R294" s="385"/>
      <c r="S294" s="385"/>
      <c r="T294" s="385"/>
      <c r="U294" s="385"/>
      <c r="V294" s="385"/>
      <c r="W294" s="385"/>
      <c r="X294" s="385"/>
      <c r="Y294" s="385"/>
      <c r="Z294" s="385"/>
      <c r="AA294" s="385"/>
      <c r="AB294" s="385"/>
    </row>
    <row r="295" spans="1:28" ht="15.75" customHeight="1">
      <c r="A295" s="385"/>
      <c r="B295" s="385"/>
      <c r="C295" s="526"/>
      <c r="D295" s="385"/>
      <c r="E295" s="385"/>
      <c r="F295" s="385"/>
      <c r="G295" s="527"/>
      <c r="H295" s="30"/>
      <c r="I295" s="385"/>
      <c r="J295" s="385"/>
      <c r="K295" s="385"/>
      <c r="L295" s="385"/>
      <c r="M295" s="385"/>
      <c r="N295" s="385"/>
      <c r="O295" s="385"/>
      <c r="P295" s="385"/>
      <c r="Q295" s="385"/>
      <c r="R295" s="385"/>
      <c r="S295" s="385"/>
      <c r="T295" s="385"/>
      <c r="U295" s="385"/>
      <c r="V295" s="385"/>
      <c r="W295" s="385"/>
      <c r="X295" s="385"/>
      <c r="Y295" s="385"/>
      <c r="Z295" s="385"/>
      <c r="AA295" s="385"/>
      <c r="AB295" s="385"/>
    </row>
    <row r="296" spans="1:28" ht="15.75" customHeight="1">
      <c r="A296" s="385"/>
      <c r="B296" s="385"/>
      <c r="C296" s="526"/>
      <c r="D296" s="385"/>
      <c r="E296" s="385"/>
      <c r="F296" s="385"/>
      <c r="G296" s="527"/>
      <c r="H296" s="30"/>
      <c r="I296" s="385"/>
      <c r="J296" s="385"/>
      <c r="K296" s="385"/>
      <c r="L296" s="385"/>
      <c r="M296" s="385"/>
      <c r="N296" s="385"/>
      <c r="O296" s="385"/>
      <c r="P296" s="385"/>
      <c r="Q296" s="385"/>
      <c r="R296" s="385"/>
      <c r="S296" s="385"/>
      <c r="T296" s="385"/>
      <c r="U296" s="385"/>
      <c r="V296" s="385"/>
      <c r="W296" s="385"/>
      <c r="X296" s="385"/>
      <c r="Y296" s="385"/>
      <c r="Z296" s="385"/>
      <c r="AA296" s="385"/>
      <c r="AB296" s="385"/>
    </row>
    <row r="297" spans="1:28" ht="15.75" customHeight="1">
      <c r="A297" s="385"/>
      <c r="B297" s="385"/>
      <c r="C297" s="526"/>
      <c r="D297" s="385"/>
      <c r="E297" s="385"/>
      <c r="F297" s="385"/>
      <c r="G297" s="527"/>
      <c r="H297" s="30"/>
      <c r="I297" s="385"/>
      <c r="J297" s="385"/>
      <c r="K297" s="385"/>
      <c r="L297" s="385"/>
      <c r="M297" s="385"/>
      <c r="N297" s="385"/>
      <c r="O297" s="385"/>
      <c r="P297" s="385"/>
      <c r="Q297" s="385"/>
      <c r="R297" s="385"/>
      <c r="S297" s="385"/>
      <c r="T297" s="385"/>
      <c r="U297" s="385"/>
      <c r="V297" s="385"/>
      <c r="W297" s="385"/>
      <c r="X297" s="385"/>
      <c r="Y297" s="385"/>
      <c r="Z297" s="385"/>
      <c r="AA297" s="385"/>
      <c r="AB297" s="385"/>
    </row>
    <row r="298" spans="1:28" ht="15.75" customHeight="1">
      <c r="A298" s="385"/>
      <c r="B298" s="385"/>
      <c r="C298" s="526"/>
      <c r="D298" s="385"/>
      <c r="E298" s="385"/>
      <c r="F298" s="385"/>
      <c r="G298" s="527"/>
      <c r="H298" s="30"/>
      <c r="I298" s="385"/>
      <c r="J298" s="385"/>
      <c r="K298" s="385"/>
      <c r="L298" s="385"/>
      <c r="M298" s="385"/>
      <c r="N298" s="385"/>
      <c r="O298" s="385"/>
      <c r="P298" s="385"/>
      <c r="Q298" s="385"/>
      <c r="R298" s="385"/>
      <c r="S298" s="385"/>
      <c r="T298" s="385"/>
      <c r="U298" s="385"/>
      <c r="V298" s="385"/>
      <c r="W298" s="385"/>
      <c r="X298" s="385"/>
      <c r="Y298" s="385"/>
      <c r="Z298" s="385"/>
      <c r="AA298" s="385"/>
      <c r="AB298" s="385"/>
    </row>
    <row r="299" spans="1:28" ht="15.75" customHeight="1">
      <c r="A299" s="385"/>
      <c r="B299" s="385"/>
      <c r="C299" s="526"/>
      <c r="D299" s="385"/>
      <c r="E299" s="385"/>
      <c r="F299" s="385"/>
      <c r="G299" s="527"/>
      <c r="H299" s="30"/>
      <c r="I299" s="385"/>
      <c r="J299" s="385"/>
      <c r="K299" s="385"/>
      <c r="L299" s="385"/>
      <c r="M299" s="385"/>
      <c r="N299" s="385"/>
      <c r="O299" s="385"/>
      <c r="P299" s="385"/>
      <c r="Q299" s="385"/>
      <c r="R299" s="385"/>
      <c r="S299" s="385"/>
      <c r="T299" s="385"/>
      <c r="U299" s="385"/>
      <c r="V299" s="385"/>
      <c r="W299" s="385"/>
      <c r="X299" s="385"/>
      <c r="Y299" s="385"/>
      <c r="Z299" s="385"/>
      <c r="AA299" s="385"/>
      <c r="AB299" s="385"/>
    </row>
    <row r="300" spans="1:28" ht="15.75" customHeight="1">
      <c r="A300" s="385"/>
      <c r="B300" s="385"/>
      <c r="C300" s="526"/>
      <c r="D300" s="385"/>
      <c r="E300" s="385"/>
      <c r="F300" s="385"/>
      <c r="G300" s="527"/>
      <c r="H300" s="30"/>
      <c r="I300" s="385"/>
      <c r="J300" s="385"/>
      <c r="K300" s="385"/>
      <c r="L300" s="385"/>
      <c r="M300" s="385"/>
      <c r="N300" s="385"/>
      <c r="O300" s="385"/>
      <c r="P300" s="385"/>
      <c r="Q300" s="385"/>
      <c r="R300" s="385"/>
      <c r="S300" s="385"/>
      <c r="T300" s="385"/>
      <c r="U300" s="385"/>
      <c r="V300" s="385"/>
      <c r="W300" s="385"/>
      <c r="X300" s="385"/>
      <c r="Y300" s="385"/>
      <c r="Z300" s="385"/>
      <c r="AA300" s="385"/>
      <c r="AB300" s="385"/>
    </row>
    <row r="301" spans="1:28" ht="15.75" customHeight="1">
      <c r="A301" s="385"/>
      <c r="B301" s="385"/>
      <c r="C301" s="526"/>
      <c r="D301" s="385"/>
      <c r="E301" s="385"/>
      <c r="F301" s="385"/>
      <c r="G301" s="527"/>
      <c r="H301" s="30"/>
      <c r="I301" s="385"/>
      <c r="J301" s="385"/>
      <c r="K301" s="385"/>
      <c r="L301" s="385"/>
      <c r="M301" s="385"/>
      <c r="N301" s="385"/>
      <c r="O301" s="385"/>
      <c r="P301" s="385"/>
      <c r="Q301" s="385"/>
      <c r="R301" s="385"/>
      <c r="S301" s="385"/>
      <c r="T301" s="385"/>
      <c r="U301" s="385"/>
      <c r="V301" s="385"/>
      <c r="W301" s="385"/>
      <c r="X301" s="385"/>
      <c r="Y301" s="385"/>
      <c r="Z301" s="385"/>
      <c r="AA301" s="385"/>
      <c r="AB301" s="385"/>
    </row>
    <row r="302" spans="1:28" ht="15.75" customHeight="1">
      <c r="A302" s="385"/>
      <c r="B302" s="385"/>
      <c r="C302" s="526"/>
      <c r="D302" s="385"/>
      <c r="E302" s="385"/>
      <c r="F302" s="385"/>
      <c r="G302" s="527"/>
      <c r="H302" s="30"/>
      <c r="I302" s="385"/>
      <c r="J302" s="385"/>
      <c r="K302" s="385"/>
      <c r="L302" s="385"/>
      <c r="M302" s="385"/>
      <c r="N302" s="385"/>
      <c r="O302" s="385"/>
      <c r="P302" s="385"/>
      <c r="Q302" s="385"/>
      <c r="R302" s="385"/>
      <c r="S302" s="385"/>
      <c r="T302" s="385"/>
      <c r="U302" s="385"/>
      <c r="V302" s="385"/>
      <c r="W302" s="385"/>
      <c r="X302" s="385"/>
      <c r="Y302" s="385"/>
      <c r="Z302" s="385"/>
      <c r="AA302" s="385"/>
      <c r="AB302" s="385"/>
    </row>
    <row r="303" spans="1:28" ht="15.75" customHeight="1">
      <c r="A303" s="385"/>
      <c r="B303" s="385"/>
      <c r="C303" s="526"/>
      <c r="D303" s="385"/>
      <c r="E303" s="385"/>
      <c r="F303" s="385"/>
      <c r="G303" s="527"/>
      <c r="H303" s="30"/>
      <c r="I303" s="385"/>
      <c r="J303" s="385"/>
      <c r="K303" s="385"/>
      <c r="L303" s="385"/>
      <c r="M303" s="385"/>
      <c r="N303" s="385"/>
      <c r="O303" s="385"/>
      <c r="P303" s="385"/>
      <c r="Q303" s="385"/>
      <c r="R303" s="385"/>
      <c r="S303" s="385"/>
      <c r="T303" s="385"/>
      <c r="U303" s="385"/>
      <c r="V303" s="385"/>
      <c r="W303" s="385"/>
      <c r="X303" s="385"/>
      <c r="Y303" s="385"/>
      <c r="Z303" s="385"/>
      <c r="AA303" s="385"/>
      <c r="AB303" s="385"/>
    </row>
    <row r="304" spans="1:28" ht="15.75" customHeight="1">
      <c r="A304" s="385"/>
      <c r="B304" s="385"/>
      <c r="C304" s="526"/>
      <c r="D304" s="385"/>
      <c r="E304" s="385"/>
      <c r="F304" s="385"/>
      <c r="G304" s="527"/>
      <c r="H304" s="30"/>
      <c r="I304" s="385"/>
      <c r="J304" s="385"/>
      <c r="K304" s="385"/>
      <c r="L304" s="385"/>
      <c r="M304" s="385"/>
      <c r="N304" s="385"/>
      <c r="O304" s="385"/>
      <c r="P304" s="385"/>
      <c r="Q304" s="385"/>
      <c r="R304" s="385"/>
      <c r="S304" s="385"/>
      <c r="T304" s="385"/>
      <c r="U304" s="385"/>
      <c r="V304" s="385"/>
      <c r="W304" s="385"/>
      <c r="X304" s="385"/>
      <c r="Y304" s="385"/>
      <c r="Z304" s="385"/>
      <c r="AA304" s="385"/>
      <c r="AB304" s="385"/>
    </row>
    <row r="305" spans="1:28" ht="15.75" customHeight="1">
      <c r="A305" s="385"/>
      <c r="B305" s="385"/>
      <c r="C305" s="526"/>
      <c r="D305" s="385"/>
      <c r="E305" s="385"/>
      <c r="F305" s="385"/>
      <c r="G305" s="527"/>
      <c r="H305" s="30"/>
      <c r="I305" s="385"/>
      <c r="J305" s="385"/>
      <c r="K305" s="385"/>
      <c r="L305" s="385"/>
      <c r="M305" s="385"/>
      <c r="N305" s="385"/>
      <c r="O305" s="385"/>
      <c r="P305" s="385"/>
      <c r="Q305" s="385"/>
      <c r="R305" s="385"/>
      <c r="S305" s="385"/>
      <c r="T305" s="385"/>
      <c r="U305" s="385"/>
      <c r="V305" s="385"/>
      <c r="W305" s="385"/>
      <c r="X305" s="385"/>
      <c r="Y305" s="385"/>
      <c r="Z305" s="385"/>
      <c r="AA305" s="385"/>
      <c r="AB305" s="385"/>
    </row>
    <row r="306" spans="1:28" ht="15.75" customHeight="1">
      <c r="A306" s="385"/>
      <c r="B306" s="385"/>
      <c r="C306" s="526"/>
      <c r="D306" s="385"/>
      <c r="E306" s="385"/>
      <c r="F306" s="385"/>
      <c r="G306" s="527"/>
      <c r="H306" s="30"/>
      <c r="I306" s="385"/>
      <c r="J306" s="385"/>
      <c r="K306" s="385"/>
      <c r="L306" s="385"/>
      <c r="M306" s="385"/>
      <c r="N306" s="385"/>
      <c r="O306" s="385"/>
      <c r="P306" s="385"/>
      <c r="Q306" s="385"/>
      <c r="R306" s="385"/>
      <c r="S306" s="385"/>
      <c r="T306" s="385"/>
      <c r="U306" s="385"/>
      <c r="V306" s="385"/>
      <c r="W306" s="385"/>
      <c r="X306" s="385"/>
      <c r="Y306" s="385"/>
      <c r="Z306" s="385"/>
      <c r="AA306" s="385"/>
      <c r="AB306" s="385"/>
    </row>
    <row r="307" spans="1:28" ht="15.75" customHeight="1">
      <c r="A307" s="385"/>
      <c r="B307" s="385"/>
      <c r="C307" s="526"/>
      <c r="D307" s="385"/>
      <c r="E307" s="385"/>
      <c r="F307" s="385"/>
      <c r="G307" s="527"/>
      <c r="H307" s="30"/>
      <c r="I307" s="385"/>
      <c r="J307" s="385"/>
      <c r="K307" s="385"/>
      <c r="L307" s="385"/>
      <c r="M307" s="385"/>
      <c r="N307" s="385"/>
      <c r="O307" s="385"/>
      <c r="P307" s="385"/>
      <c r="Q307" s="385"/>
      <c r="R307" s="385"/>
      <c r="S307" s="385"/>
      <c r="T307" s="385"/>
      <c r="U307" s="385"/>
      <c r="V307" s="385"/>
      <c r="W307" s="385"/>
      <c r="X307" s="385"/>
      <c r="Y307" s="385"/>
      <c r="Z307" s="385"/>
      <c r="AA307" s="385"/>
      <c r="AB307" s="385"/>
    </row>
    <row r="308" spans="1:28" ht="15.75" customHeight="1">
      <c r="A308" s="385"/>
      <c r="B308" s="385"/>
      <c r="C308" s="526"/>
      <c r="D308" s="385"/>
      <c r="E308" s="385"/>
      <c r="F308" s="385"/>
      <c r="G308" s="527"/>
      <c r="H308" s="30"/>
      <c r="I308" s="385"/>
      <c r="J308" s="385"/>
      <c r="K308" s="385"/>
      <c r="L308" s="385"/>
      <c r="M308" s="385"/>
      <c r="N308" s="385"/>
      <c r="O308" s="385"/>
      <c r="P308" s="385"/>
      <c r="Q308" s="385"/>
      <c r="R308" s="385"/>
      <c r="S308" s="385"/>
      <c r="T308" s="385"/>
      <c r="U308" s="385"/>
      <c r="V308" s="385"/>
      <c r="W308" s="385"/>
      <c r="X308" s="385"/>
      <c r="Y308" s="385"/>
      <c r="Z308" s="385"/>
      <c r="AA308" s="385"/>
      <c r="AB308" s="385"/>
    </row>
    <row r="309" spans="1:28" ht="15.75" customHeight="1">
      <c r="A309" s="385"/>
      <c r="B309" s="385"/>
      <c r="C309" s="526"/>
      <c r="D309" s="385"/>
      <c r="E309" s="385"/>
      <c r="F309" s="385"/>
      <c r="G309" s="527"/>
      <c r="H309" s="30"/>
      <c r="I309" s="385"/>
      <c r="J309" s="385"/>
      <c r="K309" s="385"/>
      <c r="L309" s="385"/>
      <c r="M309" s="385"/>
      <c r="N309" s="385"/>
      <c r="O309" s="385"/>
      <c r="P309" s="385"/>
      <c r="Q309" s="385"/>
      <c r="R309" s="385"/>
      <c r="S309" s="385"/>
      <c r="T309" s="385"/>
      <c r="U309" s="385"/>
      <c r="V309" s="385"/>
      <c r="W309" s="385"/>
      <c r="X309" s="385"/>
      <c r="Y309" s="385"/>
      <c r="Z309" s="385"/>
      <c r="AA309" s="385"/>
      <c r="AB309" s="385"/>
    </row>
    <row r="310" spans="1:28" ht="15.75" customHeight="1">
      <c r="A310" s="385"/>
      <c r="B310" s="385"/>
      <c r="C310" s="526"/>
      <c r="D310" s="385"/>
      <c r="E310" s="385"/>
      <c r="F310" s="385"/>
      <c r="G310" s="527"/>
      <c r="H310" s="30"/>
      <c r="I310" s="385"/>
      <c r="J310" s="385"/>
      <c r="K310" s="385"/>
      <c r="L310" s="385"/>
      <c r="M310" s="385"/>
      <c r="N310" s="385"/>
      <c r="O310" s="385"/>
      <c r="P310" s="385"/>
      <c r="Q310" s="385"/>
      <c r="R310" s="385"/>
      <c r="S310" s="385"/>
      <c r="T310" s="385"/>
      <c r="U310" s="385"/>
      <c r="V310" s="385"/>
      <c r="W310" s="385"/>
      <c r="X310" s="385"/>
      <c r="Y310" s="385"/>
      <c r="Z310" s="385"/>
      <c r="AA310" s="385"/>
      <c r="AB310" s="385"/>
    </row>
    <row r="311" spans="1:28" ht="15.75" customHeight="1">
      <c r="A311" s="385"/>
      <c r="B311" s="385"/>
      <c r="C311" s="526"/>
      <c r="D311" s="385"/>
      <c r="E311" s="385"/>
      <c r="F311" s="385"/>
      <c r="G311" s="527"/>
      <c r="H311" s="30"/>
      <c r="I311" s="385"/>
      <c r="J311" s="385"/>
      <c r="K311" s="385"/>
      <c r="L311" s="385"/>
      <c r="M311" s="385"/>
      <c r="N311" s="385"/>
      <c r="O311" s="385"/>
      <c r="P311" s="385"/>
      <c r="Q311" s="385"/>
      <c r="R311" s="385"/>
      <c r="S311" s="385"/>
      <c r="T311" s="385"/>
      <c r="U311" s="385"/>
      <c r="V311" s="385"/>
      <c r="W311" s="385"/>
      <c r="X311" s="385"/>
      <c r="Y311" s="385"/>
      <c r="Z311" s="385"/>
      <c r="AA311" s="385"/>
      <c r="AB311" s="385"/>
    </row>
    <row r="312" spans="1:28" ht="15.75" customHeight="1">
      <c r="A312" s="385"/>
      <c r="B312" s="385"/>
      <c r="C312" s="526"/>
      <c r="D312" s="385"/>
      <c r="E312" s="385"/>
      <c r="F312" s="385"/>
      <c r="G312" s="527"/>
      <c r="H312" s="30"/>
      <c r="I312" s="385"/>
      <c r="J312" s="385"/>
      <c r="K312" s="385"/>
      <c r="L312" s="385"/>
      <c r="M312" s="385"/>
      <c r="N312" s="385"/>
      <c r="O312" s="385"/>
      <c r="P312" s="385"/>
      <c r="Q312" s="385"/>
      <c r="R312" s="385"/>
      <c r="S312" s="385"/>
      <c r="T312" s="385"/>
      <c r="U312" s="385"/>
      <c r="V312" s="385"/>
      <c r="W312" s="385"/>
      <c r="X312" s="385"/>
      <c r="Y312" s="385"/>
      <c r="Z312" s="385"/>
      <c r="AA312" s="385"/>
      <c r="AB312" s="385"/>
    </row>
    <row r="313" spans="1:28" ht="15.75" customHeight="1">
      <c r="A313" s="385"/>
      <c r="B313" s="385"/>
      <c r="C313" s="526"/>
      <c r="D313" s="385"/>
      <c r="E313" s="385"/>
      <c r="F313" s="385"/>
      <c r="G313" s="527"/>
      <c r="H313" s="30"/>
      <c r="I313" s="385"/>
      <c r="J313" s="385"/>
      <c r="K313" s="385"/>
      <c r="L313" s="385"/>
      <c r="M313" s="385"/>
      <c r="N313" s="385"/>
      <c r="O313" s="385"/>
      <c r="P313" s="385"/>
      <c r="Q313" s="385"/>
      <c r="R313" s="385"/>
      <c r="S313" s="385"/>
      <c r="T313" s="385"/>
      <c r="U313" s="385"/>
      <c r="V313" s="385"/>
      <c r="W313" s="385"/>
      <c r="X313" s="385"/>
      <c r="Y313" s="385"/>
      <c r="Z313" s="385"/>
      <c r="AA313" s="385"/>
      <c r="AB313" s="385"/>
    </row>
    <row r="314" spans="1:28" ht="15.75" customHeight="1">
      <c r="A314" s="385"/>
      <c r="B314" s="385"/>
      <c r="C314" s="526"/>
      <c r="D314" s="385"/>
      <c r="E314" s="385"/>
      <c r="F314" s="385"/>
      <c r="G314" s="527"/>
      <c r="H314" s="30"/>
      <c r="I314" s="385"/>
      <c r="J314" s="385"/>
      <c r="K314" s="385"/>
      <c r="L314" s="385"/>
      <c r="M314" s="385"/>
      <c r="N314" s="385"/>
      <c r="O314" s="385"/>
      <c r="P314" s="385"/>
      <c r="Q314" s="385"/>
      <c r="R314" s="385"/>
      <c r="S314" s="385"/>
      <c r="T314" s="385"/>
      <c r="U314" s="385"/>
      <c r="V314" s="385"/>
      <c r="W314" s="385"/>
      <c r="X314" s="385"/>
      <c r="Y314" s="385"/>
      <c r="Z314" s="385"/>
      <c r="AA314" s="385"/>
      <c r="AB314" s="385"/>
    </row>
    <row r="315" spans="1:28" ht="15.75" customHeight="1">
      <c r="A315" s="385"/>
      <c r="B315" s="385"/>
      <c r="C315" s="526"/>
      <c r="D315" s="385"/>
      <c r="E315" s="385"/>
      <c r="F315" s="385"/>
      <c r="G315" s="527"/>
      <c r="H315" s="30"/>
      <c r="I315" s="385"/>
      <c r="J315" s="385"/>
      <c r="K315" s="385"/>
      <c r="L315" s="385"/>
      <c r="M315" s="385"/>
      <c r="N315" s="385"/>
      <c r="O315" s="385"/>
      <c r="P315" s="385"/>
      <c r="Q315" s="385"/>
      <c r="R315" s="385"/>
      <c r="S315" s="385"/>
      <c r="T315" s="385"/>
      <c r="U315" s="385"/>
      <c r="V315" s="385"/>
      <c r="W315" s="385"/>
      <c r="X315" s="385"/>
      <c r="Y315" s="385"/>
      <c r="Z315" s="385"/>
      <c r="AA315" s="385"/>
      <c r="AB315" s="385"/>
    </row>
    <row r="316" spans="1:28" ht="15.75" customHeight="1">
      <c r="A316" s="385"/>
      <c r="B316" s="385"/>
      <c r="C316" s="526"/>
      <c r="D316" s="385"/>
      <c r="E316" s="385"/>
      <c r="F316" s="385"/>
      <c r="G316" s="527"/>
      <c r="H316" s="30"/>
      <c r="I316" s="385"/>
      <c r="J316" s="385"/>
      <c r="K316" s="385"/>
      <c r="L316" s="385"/>
      <c r="M316" s="385"/>
      <c r="N316" s="385"/>
      <c r="O316" s="385"/>
      <c r="P316" s="385"/>
      <c r="Q316" s="385"/>
      <c r="R316" s="385"/>
      <c r="S316" s="385"/>
      <c r="T316" s="385"/>
      <c r="U316" s="385"/>
      <c r="V316" s="385"/>
      <c r="W316" s="385"/>
      <c r="X316" s="385"/>
      <c r="Y316" s="385"/>
      <c r="Z316" s="385"/>
      <c r="AA316" s="385"/>
      <c r="AB316" s="385"/>
    </row>
    <row r="317" spans="1:28" ht="15.75" customHeight="1">
      <c r="A317" s="385"/>
      <c r="B317" s="385"/>
      <c r="C317" s="526"/>
      <c r="D317" s="385"/>
      <c r="E317" s="385"/>
      <c r="F317" s="385"/>
      <c r="G317" s="527"/>
      <c r="H317" s="30"/>
      <c r="I317" s="385"/>
      <c r="J317" s="385"/>
      <c r="K317" s="385"/>
      <c r="L317" s="385"/>
      <c r="M317" s="385"/>
      <c r="N317" s="385"/>
      <c r="O317" s="385"/>
      <c r="P317" s="385"/>
      <c r="Q317" s="385"/>
      <c r="R317" s="385"/>
      <c r="S317" s="385"/>
      <c r="T317" s="385"/>
      <c r="U317" s="385"/>
      <c r="V317" s="385"/>
      <c r="W317" s="385"/>
      <c r="X317" s="385"/>
      <c r="Y317" s="385"/>
      <c r="Z317" s="385"/>
      <c r="AA317" s="385"/>
      <c r="AB317" s="385"/>
    </row>
    <row r="318" spans="1:28" ht="15.75" customHeight="1">
      <c r="A318" s="385"/>
      <c r="B318" s="385"/>
      <c r="C318" s="526"/>
      <c r="D318" s="385"/>
      <c r="E318" s="385"/>
      <c r="F318" s="385"/>
      <c r="G318" s="527"/>
      <c r="H318" s="30"/>
      <c r="I318" s="385"/>
      <c r="J318" s="385"/>
      <c r="K318" s="385"/>
      <c r="L318" s="385"/>
      <c r="M318" s="385"/>
      <c r="N318" s="385"/>
      <c r="O318" s="385"/>
      <c r="P318" s="385"/>
      <c r="Q318" s="385"/>
      <c r="R318" s="385"/>
      <c r="S318" s="385"/>
      <c r="T318" s="385"/>
      <c r="U318" s="385"/>
      <c r="V318" s="385"/>
      <c r="W318" s="385"/>
      <c r="X318" s="385"/>
      <c r="Y318" s="385"/>
      <c r="Z318" s="385"/>
      <c r="AA318" s="385"/>
      <c r="AB318" s="385"/>
    </row>
    <row r="319" spans="1:28" ht="15.75" customHeight="1">
      <c r="A319" s="385"/>
      <c r="B319" s="385"/>
      <c r="C319" s="526"/>
      <c r="D319" s="385"/>
      <c r="E319" s="385"/>
      <c r="F319" s="385"/>
      <c r="G319" s="527"/>
      <c r="H319" s="30"/>
      <c r="I319" s="385"/>
      <c r="J319" s="385"/>
      <c r="K319" s="385"/>
      <c r="L319" s="385"/>
      <c r="M319" s="385"/>
      <c r="N319" s="385"/>
      <c r="O319" s="385"/>
      <c r="P319" s="385"/>
      <c r="Q319" s="385"/>
      <c r="R319" s="385"/>
      <c r="S319" s="385"/>
      <c r="T319" s="385"/>
      <c r="U319" s="385"/>
      <c r="V319" s="385"/>
      <c r="W319" s="385"/>
      <c r="X319" s="385"/>
      <c r="Y319" s="385"/>
      <c r="Z319" s="385"/>
      <c r="AA319" s="385"/>
      <c r="AB319" s="385"/>
    </row>
    <row r="320" spans="1:28" ht="15.75" customHeight="1">
      <c r="A320" s="385"/>
      <c r="B320" s="385"/>
      <c r="C320" s="526"/>
      <c r="D320" s="385"/>
      <c r="E320" s="385"/>
      <c r="F320" s="385"/>
      <c r="G320" s="527"/>
      <c r="H320" s="30"/>
      <c r="I320" s="385"/>
      <c r="J320" s="385"/>
      <c r="K320" s="385"/>
      <c r="L320" s="385"/>
      <c r="M320" s="385"/>
      <c r="N320" s="385"/>
      <c r="O320" s="385"/>
      <c r="P320" s="385"/>
      <c r="Q320" s="385"/>
      <c r="R320" s="385"/>
      <c r="S320" s="385"/>
      <c r="T320" s="385"/>
      <c r="U320" s="385"/>
      <c r="V320" s="385"/>
      <c r="W320" s="385"/>
      <c r="X320" s="385"/>
      <c r="Y320" s="385"/>
      <c r="Z320" s="385"/>
      <c r="AA320" s="385"/>
      <c r="AB320" s="385"/>
    </row>
    <row r="321" spans="1:28" ht="15.75" customHeight="1">
      <c r="A321" s="385"/>
      <c r="B321" s="385"/>
      <c r="C321" s="526"/>
      <c r="D321" s="385"/>
      <c r="E321" s="385"/>
      <c r="F321" s="385"/>
      <c r="G321" s="527"/>
      <c r="H321" s="30"/>
      <c r="I321" s="385"/>
      <c r="J321" s="385"/>
      <c r="K321" s="385"/>
      <c r="L321" s="385"/>
      <c r="M321" s="385"/>
      <c r="N321" s="385"/>
      <c r="O321" s="385"/>
      <c r="P321" s="385"/>
      <c r="Q321" s="385"/>
      <c r="R321" s="385"/>
      <c r="S321" s="385"/>
      <c r="T321" s="385"/>
      <c r="U321" s="385"/>
      <c r="V321" s="385"/>
      <c r="W321" s="385"/>
      <c r="X321" s="385"/>
      <c r="Y321" s="385"/>
      <c r="Z321" s="385"/>
      <c r="AA321" s="385"/>
      <c r="AB321" s="385"/>
    </row>
    <row r="322" spans="1:28" ht="15.75" customHeight="1">
      <c r="A322" s="385"/>
      <c r="B322" s="385"/>
      <c r="C322" s="526"/>
      <c r="D322" s="385"/>
      <c r="E322" s="385"/>
      <c r="F322" s="385"/>
      <c r="G322" s="527"/>
      <c r="H322" s="30"/>
      <c r="I322" s="385"/>
      <c r="J322" s="385"/>
      <c r="K322" s="385"/>
      <c r="L322" s="385"/>
      <c r="M322" s="385"/>
      <c r="N322" s="385"/>
      <c r="O322" s="385"/>
      <c r="P322" s="385"/>
      <c r="Q322" s="385"/>
      <c r="R322" s="385"/>
      <c r="S322" s="385"/>
      <c r="T322" s="385"/>
      <c r="U322" s="385"/>
      <c r="V322" s="385"/>
      <c r="W322" s="385"/>
      <c r="X322" s="385"/>
      <c r="Y322" s="385"/>
      <c r="Z322" s="385"/>
      <c r="AA322" s="385"/>
      <c r="AB322" s="385"/>
    </row>
    <row r="323" spans="1:28" ht="15.75" customHeight="1">
      <c r="A323" s="385"/>
      <c r="B323" s="385"/>
      <c r="C323" s="526"/>
      <c r="D323" s="385"/>
      <c r="E323" s="385"/>
      <c r="F323" s="385"/>
      <c r="G323" s="527"/>
      <c r="H323" s="30"/>
      <c r="I323" s="385"/>
      <c r="J323" s="385"/>
      <c r="K323" s="385"/>
      <c r="L323" s="385"/>
      <c r="M323" s="385"/>
      <c r="N323" s="385"/>
      <c r="O323" s="385"/>
      <c r="P323" s="385"/>
      <c r="Q323" s="385"/>
      <c r="R323" s="385"/>
      <c r="S323" s="385"/>
      <c r="T323" s="385"/>
      <c r="U323" s="385"/>
      <c r="V323" s="385"/>
      <c r="W323" s="385"/>
      <c r="X323" s="385"/>
      <c r="Y323" s="385"/>
      <c r="Z323" s="385"/>
      <c r="AA323" s="385"/>
      <c r="AB323" s="385"/>
    </row>
    <row r="324" spans="1:28" ht="15.75" customHeight="1">
      <c r="A324" s="385"/>
      <c r="B324" s="385"/>
      <c r="C324" s="526"/>
      <c r="D324" s="385"/>
      <c r="E324" s="385"/>
      <c r="F324" s="385"/>
      <c r="G324" s="527"/>
      <c r="H324" s="30"/>
      <c r="I324" s="385"/>
      <c r="J324" s="385"/>
      <c r="K324" s="385"/>
      <c r="L324" s="385"/>
      <c r="M324" s="385"/>
      <c r="N324" s="385"/>
      <c r="O324" s="385"/>
      <c r="P324" s="385"/>
      <c r="Q324" s="385"/>
      <c r="R324" s="385"/>
      <c r="S324" s="385"/>
      <c r="T324" s="385"/>
      <c r="U324" s="385"/>
      <c r="V324" s="385"/>
      <c r="W324" s="385"/>
      <c r="X324" s="385"/>
      <c r="Y324" s="385"/>
      <c r="Z324" s="385"/>
      <c r="AA324" s="385"/>
      <c r="AB324" s="385"/>
    </row>
    <row r="325" spans="1:28" ht="15.75" customHeight="1">
      <c r="A325" s="385"/>
      <c r="B325" s="385"/>
      <c r="C325" s="526"/>
      <c r="D325" s="385"/>
      <c r="E325" s="385"/>
      <c r="F325" s="385"/>
      <c r="G325" s="527"/>
      <c r="H325" s="30"/>
      <c r="I325" s="385"/>
      <c r="J325" s="385"/>
      <c r="K325" s="385"/>
      <c r="L325" s="385"/>
      <c r="M325" s="385"/>
      <c r="N325" s="385"/>
      <c r="O325" s="385"/>
      <c r="P325" s="385"/>
      <c r="Q325" s="385"/>
      <c r="R325" s="385"/>
      <c r="S325" s="385"/>
      <c r="T325" s="385"/>
      <c r="U325" s="385"/>
      <c r="V325" s="385"/>
      <c r="W325" s="385"/>
      <c r="X325" s="385"/>
      <c r="Y325" s="385"/>
      <c r="Z325" s="385"/>
      <c r="AA325" s="385"/>
      <c r="AB325" s="385"/>
    </row>
    <row r="326" spans="1:28" ht="15.75" customHeight="1">
      <c r="A326" s="385"/>
      <c r="B326" s="385"/>
      <c r="C326" s="526"/>
      <c r="D326" s="385"/>
      <c r="E326" s="385"/>
      <c r="F326" s="385"/>
      <c r="G326" s="527"/>
      <c r="H326" s="30"/>
      <c r="I326" s="385"/>
      <c r="J326" s="385"/>
      <c r="K326" s="385"/>
      <c r="L326" s="385"/>
      <c r="M326" s="385"/>
      <c r="N326" s="385"/>
      <c r="O326" s="385"/>
      <c r="P326" s="385"/>
      <c r="Q326" s="385"/>
      <c r="R326" s="385"/>
      <c r="S326" s="385"/>
      <c r="T326" s="385"/>
      <c r="U326" s="385"/>
      <c r="V326" s="385"/>
      <c r="W326" s="385"/>
      <c r="X326" s="385"/>
      <c r="Y326" s="385"/>
      <c r="Z326" s="385"/>
      <c r="AA326" s="385"/>
      <c r="AB326" s="385"/>
    </row>
    <row r="327" spans="1:28" ht="15.75" customHeight="1">
      <c r="A327" s="385"/>
      <c r="B327" s="385"/>
      <c r="C327" s="526"/>
      <c r="D327" s="385"/>
      <c r="E327" s="385"/>
      <c r="F327" s="385"/>
      <c r="G327" s="527"/>
      <c r="H327" s="30"/>
      <c r="I327" s="385"/>
      <c r="J327" s="385"/>
      <c r="K327" s="385"/>
      <c r="L327" s="385"/>
      <c r="M327" s="385"/>
      <c r="N327" s="385"/>
      <c r="O327" s="385"/>
      <c r="P327" s="385"/>
      <c r="Q327" s="385"/>
      <c r="R327" s="385"/>
      <c r="S327" s="385"/>
      <c r="T327" s="385"/>
      <c r="U327" s="385"/>
      <c r="V327" s="385"/>
      <c r="W327" s="385"/>
      <c r="X327" s="385"/>
      <c r="Y327" s="385"/>
      <c r="Z327" s="385"/>
      <c r="AA327" s="385"/>
      <c r="AB327" s="385"/>
    </row>
    <row r="328" spans="1:28" ht="15.75" customHeight="1">
      <c r="A328" s="385"/>
      <c r="B328" s="385"/>
      <c r="C328" s="526"/>
      <c r="D328" s="385"/>
      <c r="E328" s="385"/>
      <c r="F328" s="385"/>
      <c r="G328" s="527"/>
      <c r="H328" s="30"/>
      <c r="I328" s="385"/>
      <c r="J328" s="385"/>
      <c r="K328" s="385"/>
      <c r="L328" s="385"/>
      <c r="M328" s="385"/>
      <c r="N328" s="385"/>
      <c r="O328" s="385"/>
      <c r="P328" s="385"/>
      <c r="Q328" s="385"/>
      <c r="R328" s="385"/>
      <c r="S328" s="385"/>
      <c r="T328" s="385"/>
      <c r="U328" s="385"/>
      <c r="V328" s="385"/>
      <c r="W328" s="385"/>
      <c r="X328" s="385"/>
      <c r="Y328" s="385"/>
      <c r="Z328" s="385"/>
      <c r="AA328" s="385"/>
      <c r="AB328" s="385"/>
    </row>
    <row r="329" spans="1:28" ht="15.75" customHeight="1">
      <c r="A329" s="385"/>
      <c r="B329" s="385"/>
      <c r="C329" s="526"/>
      <c r="D329" s="385"/>
      <c r="E329" s="385"/>
      <c r="F329" s="385"/>
      <c r="G329" s="527"/>
      <c r="H329" s="30"/>
      <c r="I329" s="385"/>
      <c r="J329" s="385"/>
      <c r="K329" s="385"/>
      <c r="L329" s="385"/>
      <c r="M329" s="385"/>
      <c r="N329" s="385"/>
      <c r="O329" s="385"/>
      <c r="P329" s="385"/>
      <c r="Q329" s="385"/>
      <c r="R329" s="385"/>
      <c r="S329" s="385"/>
      <c r="T329" s="385"/>
      <c r="U329" s="385"/>
      <c r="V329" s="385"/>
      <c r="W329" s="385"/>
      <c r="X329" s="385"/>
      <c r="Y329" s="385"/>
      <c r="Z329" s="385"/>
      <c r="AA329" s="385"/>
      <c r="AB329" s="385"/>
    </row>
    <row r="330" spans="1:28" ht="15.75" customHeight="1">
      <c r="A330" s="385"/>
      <c r="B330" s="385"/>
      <c r="C330" s="526"/>
      <c r="D330" s="385"/>
      <c r="E330" s="385"/>
      <c r="F330" s="385"/>
      <c r="G330" s="527"/>
      <c r="H330" s="30"/>
      <c r="I330" s="385"/>
      <c r="J330" s="385"/>
      <c r="K330" s="385"/>
      <c r="L330" s="385"/>
      <c r="M330" s="385"/>
      <c r="N330" s="385"/>
      <c r="O330" s="385"/>
      <c r="P330" s="385"/>
      <c r="Q330" s="385"/>
      <c r="R330" s="385"/>
      <c r="S330" s="385"/>
      <c r="T330" s="385"/>
      <c r="U330" s="385"/>
      <c r="V330" s="385"/>
      <c r="W330" s="385"/>
      <c r="X330" s="385"/>
      <c r="Y330" s="385"/>
      <c r="Z330" s="385"/>
      <c r="AA330" s="385"/>
      <c r="AB330" s="385"/>
    </row>
    <row r="331" spans="1:28" ht="15.75" customHeight="1">
      <c r="A331" s="385"/>
      <c r="B331" s="385"/>
      <c r="C331" s="526"/>
      <c r="D331" s="385"/>
      <c r="E331" s="385"/>
      <c r="F331" s="385"/>
      <c r="G331" s="527"/>
      <c r="H331" s="30"/>
      <c r="I331" s="385"/>
      <c r="J331" s="385"/>
      <c r="K331" s="385"/>
      <c r="L331" s="385"/>
      <c r="M331" s="385"/>
      <c r="N331" s="385"/>
      <c r="O331" s="385"/>
      <c r="P331" s="385"/>
      <c r="Q331" s="385"/>
      <c r="R331" s="385"/>
      <c r="S331" s="385"/>
      <c r="T331" s="385"/>
      <c r="U331" s="385"/>
      <c r="V331" s="385"/>
      <c r="W331" s="385"/>
      <c r="X331" s="385"/>
      <c r="Y331" s="385"/>
      <c r="Z331" s="385"/>
      <c r="AA331" s="385"/>
      <c r="AB331" s="385"/>
    </row>
    <row r="332" spans="1:28" ht="15.75" customHeight="1">
      <c r="A332" s="385"/>
      <c r="B332" s="385"/>
      <c r="C332" s="526"/>
      <c r="D332" s="385"/>
      <c r="E332" s="385"/>
      <c r="F332" s="385"/>
      <c r="G332" s="527"/>
      <c r="H332" s="30"/>
      <c r="I332" s="385"/>
      <c r="J332" s="385"/>
      <c r="K332" s="385"/>
      <c r="L332" s="385"/>
      <c r="M332" s="385"/>
      <c r="N332" s="385"/>
      <c r="O332" s="385"/>
      <c r="P332" s="385"/>
      <c r="Q332" s="385"/>
      <c r="R332" s="385"/>
      <c r="S332" s="385"/>
      <c r="T332" s="385"/>
      <c r="U332" s="385"/>
      <c r="V332" s="385"/>
      <c r="W332" s="385"/>
      <c r="X332" s="385"/>
      <c r="Y332" s="385"/>
      <c r="Z332" s="385"/>
      <c r="AA332" s="385"/>
      <c r="AB332" s="385"/>
    </row>
    <row r="333" spans="1:28" ht="15.75" customHeight="1">
      <c r="A333" s="385"/>
      <c r="B333" s="385"/>
      <c r="C333" s="526"/>
      <c r="D333" s="385"/>
      <c r="E333" s="385"/>
      <c r="F333" s="385"/>
      <c r="G333" s="527"/>
      <c r="H333" s="30"/>
      <c r="I333" s="385"/>
      <c r="J333" s="385"/>
      <c r="K333" s="385"/>
      <c r="L333" s="385"/>
      <c r="M333" s="385"/>
      <c r="N333" s="385"/>
      <c r="O333" s="385"/>
      <c r="P333" s="385"/>
      <c r="Q333" s="385"/>
      <c r="R333" s="385"/>
      <c r="S333" s="385"/>
      <c r="T333" s="385"/>
      <c r="U333" s="385"/>
      <c r="V333" s="385"/>
      <c r="W333" s="385"/>
      <c r="X333" s="385"/>
      <c r="Y333" s="385"/>
      <c r="Z333" s="385"/>
      <c r="AA333" s="385"/>
      <c r="AB333" s="385"/>
    </row>
    <row r="334" spans="1:28" ht="15.75" customHeight="1">
      <c r="A334" s="385"/>
      <c r="B334" s="385"/>
      <c r="C334" s="526"/>
      <c r="D334" s="385"/>
      <c r="E334" s="385"/>
      <c r="F334" s="385"/>
      <c r="G334" s="527"/>
      <c r="H334" s="30"/>
      <c r="I334" s="385"/>
      <c r="J334" s="385"/>
      <c r="K334" s="385"/>
      <c r="L334" s="385"/>
      <c r="M334" s="385"/>
      <c r="N334" s="385"/>
      <c r="O334" s="385"/>
      <c r="P334" s="385"/>
      <c r="Q334" s="385"/>
      <c r="R334" s="385"/>
      <c r="S334" s="385"/>
      <c r="T334" s="385"/>
      <c r="U334" s="385"/>
      <c r="V334" s="385"/>
      <c r="W334" s="385"/>
      <c r="X334" s="385"/>
      <c r="Y334" s="385"/>
      <c r="Z334" s="385"/>
      <c r="AA334" s="385"/>
      <c r="AB334" s="385"/>
    </row>
    <row r="335" spans="1:28" ht="15.75" customHeight="1">
      <c r="A335" s="385"/>
      <c r="B335" s="385"/>
      <c r="C335" s="526"/>
      <c r="D335" s="385"/>
      <c r="E335" s="385"/>
      <c r="F335" s="385"/>
      <c r="G335" s="527"/>
      <c r="H335" s="30"/>
      <c r="I335" s="385"/>
      <c r="J335" s="385"/>
      <c r="K335" s="385"/>
      <c r="L335" s="385"/>
      <c r="M335" s="385"/>
      <c r="N335" s="385"/>
      <c r="O335" s="385"/>
      <c r="P335" s="385"/>
      <c r="Q335" s="385"/>
      <c r="R335" s="385"/>
      <c r="S335" s="385"/>
      <c r="T335" s="385"/>
      <c r="U335" s="385"/>
      <c r="V335" s="385"/>
      <c r="W335" s="385"/>
      <c r="X335" s="385"/>
      <c r="Y335" s="385"/>
      <c r="Z335" s="385"/>
      <c r="AA335" s="385"/>
      <c r="AB335" s="385"/>
    </row>
    <row r="336" spans="1:28" ht="15.75" customHeight="1">
      <c r="A336" s="385"/>
      <c r="B336" s="385"/>
      <c r="C336" s="526"/>
      <c r="D336" s="385"/>
      <c r="E336" s="385"/>
      <c r="F336" s="385"/>
      <c r="G336" s="527"/>
      <c r="H336" s="30"/>
      <c r="I336" s="385"/>
      <c r="J336" s="385"/>
      <c r="K336" s="385"/>
      <c r="L336" s="385"/>
      <c r="M336" s="385"/>
      <c r="N336" s="385"/>
      <c r="O336" s="385"/>
      <c r="P336" s="385"/>
      <c r="Q336" s="385"/>
      <c r="R336" s="385"/>
      <c r="S336" s="385"/>
      <c r="T336" s="385"/>
      <c r="U336" s="385"/>
      <c r="V336" s="385"/>
      <c r="W336" s="385"/>
      <c r="X336" s="385"/>
      <c r="Y336" s="385"/>
      <c r="Z336" s="385"/>
      <c r="AA336" s="385"/>
      <c r="AB336" s="385"/>
    </row>
    <row r="337" spans="1:28" ht="15.75" customHeight="1">
      <c r="A337" s="385"/>
      <c r="B337" s="385"/>
      <c r="C337" s="526"/>
      <c r="D337" s="385"/>
      <c r="E337" s="385"/>
      <c r="F337" s="385"/>
      <c r="G337" s="527"/>
      <c r="H337" s="30"/>
      <c r="I337" s="385"/>
      <c r="J337" s="385"/>
      <c r="K337" s="385"/>
      <c r="L337" s="385"/>
      <c r="M337" s="385"/>
      <c r="N337" s="385"/>
      <c r="O337" s="385"/>
      <c r="P337" s="385"/>
      <c r="Q337" s="385"/>
      <c r="R337" s="385"/>
      <c r="S337" s="385"/>
      <c r="T337" s="385"/>
      <c r="U337" s="385"/>
      <c r="V337" s="385"/>
      <c r="W337" s="385"/>
      <c r="X337" s="385"/>
      <c r="Y337" s="385"/>
      <c r="Z337" s="385"/>
      <c r="AA337" s="385"/>
      <c r="AB337" s="385"/>
    </row>
    <row r="338" spans="1:28" ht="15.75" customHeight="1">
      <c r="A338" s="385"/>
      <c r="B338" s="385"/>
      <c r="C338" s="526"/>
      <c r="D338" s="385"/>
      <c r="E338" s="385"/>
      <c r="F338" s="385"/>
      <c r="G338" s="527"/>
      <c r="H338" s="30"/>
      <c r="I338" s="385"/>
      <c r="J338" s="385"/>
      <c r="K338" s="385"/>
      <c r="L338" s="385"/>
      <c r="M338" s="385"/>
      <c r="N338" s="385"/>
      <c r="O338" s="385"/>
      <c r="P338" s="385"/>
      <c r="Q338" s="385"/>
      <c r="R338" s="385"/>
      <c r="S338" s="385"/>
      <c r="T338" s="385"/>
      <c r="U338" s="385"/>
      <c r="V338" s="385"/>
      <c r="W338" s="385"/>
      <c r="X338" s="385"/>
      <c r="Y338" s="385"/>
      <c r="Z338" s="385"/>
      <c r="AA338" s="385"/>
      <c r="AB338" s="385"/>
    </row>
    <row r="339" spans="1:28" ht="15.75" customHeight="1">
      <c r="A339" s="385"/>
      <c r="B339" s="385"/>
      <c r="C339" s="526"/>
      <c r="D339" s="385"/>
      <c r="E339" s="385"/>
      <c r="F339" s="385"/>
      <c r="G339" s="527"/>
      <c r="H339" s="30"/>
      <c r="I339" s="385"/>
      <c r="J339" s="385"/>
      <c r="K339" s="385"/>
      <c r="L339" s="385"/>
      <c r="M339" s="385"/>
      <c r="N339" s="385"/>
      <c r="O339" s="385"/>
      <c r="P339" s="385"/>
      <c r="Q339" s="385"/>
      <c r="R339" s="385"/>
      <c r="S339" s="385"/>
      <c r="T339" s="385"/>
      <c r="U339" s="385"/>
      <c r="V339" s="385"/>
      <c r="W339" s="385"/>
      <c r="X339" s="385"/>
      <c r="Y339" s="385"/>
      <c r="Z339" s="385"/>
      <c r="AA339" s="385"/>
      <c r="AB339" s="385"/>
    </row>
    <row r="340" spans="1:28" ht="15.75" customHeight="1">
      <c r="A340" s="385"/>
      <c r="B340" s="385"/>
      <c r="C340" s="526"/>
      <c r="D340" s="385"/>
      <c r="E340" s="385"/>
      <c r="F340" s="385"/>
      <c r="G340" s="527"/>
      <c r="H340" s="30"/>
      <c r="I340" s="385"/>
      <c r="J340" s="385"/>
      <c r="K340" s="385"/>
      <c r="L340" s="385"/>
      <c r="M340" s="385"/>
      <c r="N340" s="385"/>
      <c r="O340" s="385"/>
      <c r="P340" s="385"/>
      <c r="Q340" s="385"/>
      <c r="R340" s="385"/>
      <c r="S340" s="385"/>
      <c r="T340" s="385"/>
      <c r="U340" s="385"/>
      <c r="V340" s="385"/>
      <c r="W340" s="385"/>
      <c r="X340" s="385"/>
      <c r="Y340" s="385"/>
      <c r="Z340" s="385"/>
      <c r="AA340" s="385"/>
      <c r="AB340" s="385"/>
    </row>
    <row r="341" spans="1:28" ht="15.75" customHeight="1">
      <c r="A341" s="385"/>
      <c r="B341" s="385"/>
      <c r="C341" s="526"/>
      <c r="D341" s="385"/>
      <c r="E341" s="385"/>
      <c r="F341" s="385"/>
      <c r="G341" s="527"/>
      <c r="H341" s="30"/>
      <c r="I341" s="385"/>
      <c r="J341" s="385"/>
      <c r="K341" s="385"/>
      <c r="L341" s="385"/>
      <c r="M341" s="385"/>
      <c r="N341" s="385"/>
      <c r="O341" s="385"/>
      <c r="P341" s="385"/>
      <c r="Q341" s="385"/>
      <c r="R341" s="385"/>
      <c r="S341" s="385"/>
      <c r="T341" s="385"/>
      <c r="U341" s="385"/>
      <c r="V341" s="385"/>
      <c r="W341" s="385"/>
      <c r="X341" s="385"/>
      <c r="Y341" s="385"/>
      <c r="Z341" s="385"/>
      <c r="AA341" s="385"/>
      <c r="AB341" s="385"/>
    </row>
    <row r="342" spans="1:28" ht="15.75" customHeight="1">
      <c r="A342" s="385"/>
      <c r="B342" s="385"/>
      <c r="C342" s="526"/>
      <c r="D342" s="385"/>
      <c r="E342" s="385"/>
      <c r="F342" s="385"/>
      <c r="G342" s="527"/>
      <c r="H342" s="30"/>
      <c r="I342" s="385"/>
      <c r="J342" s="385"/>
      <c r="K342" s="385"/>
      <c r="L342" s="385"/>
      <c r="M342" s="385"/>
      <c r="N342" s="385"/>
      <c r="O342" s="385"/>
      <c r="P342" s="385"/>
      <c r="Q342" s="385"/>
      <c r="R342" s="385"/>
      <c r="S342" s="385"/>
      <c r="T342" s="385"/>
      <c r="U342" s="385"/>
      <c r="V342" s="385"/>
      <c r="W342" s="385"/>
      <c r="X342" s="385"/>
      <c r="Y342" s="385"/>
      <c r="Z342" s="385"/>
      <c r="AA342" s="385"/>
      <c r="AB342" s="385"/>
    </row>
    <row r="343" spans="1:28" ht="15.75" customHeight="1">
      <c r="A343" s="385"/>
      <c r="B343" s="385"/>
      <c r="C343" s="526"/>
      <c r="D343" s="385"/>
      <c r="E343" s="385"/>
      <c r="F343" s="385"/>
      <c r="G343" s="527"/>
      <c r="H343" s="30"/>
      <c r="I343" s="385"/>
      <c r="J343" s="385"/>
      <c r="K343" s="385"/>
      <c r="L343" s="385"/>
      <c r="M343" s="385"/>
      <c r="N343" s="385"/>
      <c r="O343" s="385"/>
      <c r="P343" s="385"/>
      <c r="Q343" s="385"/>
      <c r="R343" s="385"/>
      <c r="S343" s="385"/>
      <c r="T343" s="385"/>
      <c r="U343" s="385"/>
      <c r="V343" s="385"/>
      <c r="W343" s="385"/>
      <c r="X343" s="385"/>
      <c r="Y343" s="385"/>
      <c r="Z343" s="385"/>
      <c r="AA343" s="385"/>
      <c r="AB343" s="385"/>
    </row>
    <row r="344" spans="1:28" ht="15.75" customHeight="1">
      <c r="A344" s="385"/>
      <c r="B344" s="385"/>
      <c r="C344" s="526"/>
      <c r="D344" s="385"/>
      <c r="E344" s="385"/>
      <c r="F344" s="385"/>
      <c r="G344" s="527"/>
      <c r="H344" s="30"/>
      <c r="I344" s="385"/>
      <c r="J344" s="385"/>
      <c r="K344" s="385"/>
      <c r="L344" s="385"/>
      <c r="M344" s="385"/>
      <c r="N344" s="385"/>
      <c r="O344" s="385"/>
      <c r="P344" s="385"/>
      <c r="Q344" s="385"/>
      <c r="R344" s="385"/>
      <c r="S344" s="385"/>
      <c r="T344" s="385"/>
      <c r="U344" s="385"/>
      <c r="V344" s="385"/>
      <c r="W344" s="385"/>
      <c r="X344" s="385"/>
      <c r="Y344" s="385"/>
      <c r="Z344" s="385"/>
      <c r="AA344" s="385"/>
      <c r="AB344" s="385"/>
    </row>
    <row r="345" spans="1:28" ht="15.75" customHeight="1">
      <c r="A345" s="385"/>
      <c r="B345" s="385"/>
      <c r="C345" s="526"/>
      <c r="D345" s="385"/>
      <c r="E345" s="385"/>
      <c r="F345" s="385"/>
      <c r="G345" s="527"/>
      <c r="H345" s="30"/>
      <c r="I345" s="385"/>
      <c r="J345" s="385"/>
      <c r="K345" s="385"/>
      <c r="L345" s="385"/>
      <c r="M345" s="385"/>
      <c r="N345" s="385"/>
      <c r="O345" s="385"/>
      <c r="P345" s="385"/>
      <c r="Q345" s="385"/>
      <c r="R345" s="385"/>
      <c r="S345" s="385"/>
      <c r="T345" s="385"/>
      <c r="U345" s="385"/>
      <c r="V345" s="385"/>
      <c r="W345" s="385"/>
      <c r="X345" s="385"/>
      <c r="Y345" s="385"/>
      <c r="Z345" s="385"/>
      <c r="AA345" s="385"/>
      <c r="AB345" s="385"/>
    </row>
    <row r="346" spans="1:28" ht="15.75" customHeight="1">
      <c r="A346" s="385"/>
      <c r="B346" s="385"/>
      <c r="C346" s="526"/>
      <c r="D346" s="385"/>
      <c r="E346" s="385"/>
      <c r="F346" s="385"/>
      <c r="G346" s="527"/>
      <c r="H346" s="30"/>
      <c r="I346" s="385"/>
      <c r="J346" s="385"/>
      <c r="K346" s="385"/>
      <c r="L346" s="385"/>
      <c r="M346" s="385"/>
      <c r="N346" s="385"/>
      <c r="O346" s="385"/>
      <c r="P346" s="385"/>
      <c r="Q346" s="385"/>
      <c r="R346" s="385"/>
      <c r="S346" s="385"/>
      <c r="T346" s="385"/>
      <c r="U346" s="385"/>
      <c r="V346" s="385"/>
      <c r="W346" s="385"/>
      <c r="X346" s="385"/>
      <c r="Y346" s="385"/>
      <c r="Z346" s="385"/>
      <c r="AA346" s="385"/>
      <c r="AB346" s="385"/>
    </row>
    <row r="347" spans="1:28" ht="15.75" customHeight="1">
      <c r="A347" s="385"/>
      <c r="B347" s="385"/>
      <c r="C347" s="526"/>
      <c r="D347" s="385"/>
      <c r="E347" s="385"/>
      <c r="F347" s="385"/>
      <c r="G347" s="527"/>
      <c r="H347" s="30"/>
      <c r="I347" s="385"/>
      <c r="J347" s="385"/>
      <c r="K347" s="385"/>
      <c r="L347" s="385"/>
      <c r="M347" s="385"/>
      <c r="N347" s="385"/>
      <c r="O347" s="385"/>
      <c r="P347" s="385"/>
      <c r="Q347" s="385"/>
      <c r="R347" s="385"/>
      <c r="S347" s="385"/>
      <c r="T347" s="385"/>
      <c r="U347" s="385"/>
      <c r="V347" s="385"/>
      <c r="W347" s="385"/>
      <c r="X347" s="385"/>
      <c r="Y347" s="385"/>
      <c r="Z347" s="385"/>
      <c r="AA347" s="385"/>
      <c r="AB347" s="385"/>
    </row>
    <row r="348" spans="1:28" ht="15.75" customHeight="1">
      <c r="A348" s="385"/>
      <c r="B348" s="385"/>
      <c r="C348" s="526"/>
      <c r="D348" s="385"/>
      <c r="E348" s="385"/>
      <c r="F348" s="385"/>
      <c r="G348" s="527"/>
      <c r="H348" s="30"/>
      <c r="I348" s="385"/>
      <c r="J348" s="385"/>
      <c r="K348" s="385"/>
      <c r="L348" s="385"/>
      <c r="M348" s="385"/>
      <c r="N348" s="385"/>
      <c r="O348" s="385"/>
      <c r="P348" s="385"/>
      <c r="Q348" s="385"/>
      <c r="R348" s="385"/>
      <c r="S348" s="385"/>
      <c r="T348" s="385"/>
      <c r="U348" s="385"/>
      <c r="V348" s="385"/>
      <c r="W348" s="385"/>
      <c r="X348" s="385"/>
      <c r="Y348" s="385"/>
      <c r="Z348" s="385"/>
      <c r="AA348" s="385"/>
      <c r="AB348" s="385"/>
    </row>
    <row r="349" spans="1:28" ht="15.75" customHeight="1">
      <c r="A349" s="385"/>
      <c r="B349" s="385"/>
      <c r="C349" s="526"/>
      <c r="D349" s="385"/>
      <c r="E349" s="385"/>
      <c r="F349" s="385"/>
      <c r="G349" s="527"/>
      <c r="H349" s="30"/>
      <c r="I349" s="385"/>
      <c r="J349" s="385"/>
      <c r="K349" s="385"/>
      <c r="L349" s="385"/>
      <c r="M349" s="385"/>
      <c r="N349" s="385"/>
      <c r="O349" s="385"/>
      <c r="P349" s="385"/>
      <c r="Q349" s="385"/>
      <c r="R349" s="385"/>
      <c r="S349" s="385"/>
      <c r="T349" s="385"/>
      <c r="U349" s="385"/>
      <c r="V349" s="385"/>
      <c r="W349" s="385"/>
      <c r="X349" s="385"/>
      <c r="Y349" s="385"/>
      <c r="Z349" s="385"/>
      <c r="AA349" s="385"/>
      <c r="AB349" s="385"/>
    </row>
    <row r="350" spans="1:28" ht="15.75" customHeight="1">
      <c r="A350" s="385"/>
      <c r="B350" s="385"/>
      <c r="C350" s="526"/>
      <c r="D350" s="385"/>
      <c r="E350" s="385"/>
      <c r="F350" s="385"/>
      <c r="G350" s="527"/>
      <c r="H350" s="30"/>
      <c r="I350" s="385"/>
      <c r="J350" s="385"/>
      <c r="K350" s="385"/>
      <c r="L350" s="385"/>
      <c r="M350" s="385"/>
      <c r="N350" s="385"/>
      <c r="O350" s="385"/>
      <c r="P350" s="385"/>
      <c r="Q350" s="385"/>
      <c r="R350" s="385"/>
      <c r="S350" s="385"/>
      <c r="T350" s="385"/>
      <c r="U350" s="385"/>
      <c r="V350" s="385"/>
      <c r="W350" s="385"/>
      <c r="X350" s="385"/>
      <c r="Y350" s="385"/>
      <c r="Z350" s="385"/>
      <c r="AA350" s="385"/>
      <c r="AB350" s="385"/>
    </row>
    <row r="351" spans="1:28" ht="15.75" customHeight="1">
      <c r="A351" s="385"/>
      <c r="B351" s="385"/>
      <c r="C351" s="526"/>
      <c r="D351" s="385"/>
      <c r="E351" s="385"/>
      <c r="F351" s="385"/>
      <c r="G351" s="527"/>
      <c r="H351" s="30"/>
      <c r="I351" s="385"/>
      <c r="J351" s="385"/>
      <c r="K351" s="385"/>
      <c r="L351" s="385"/>
      <c r="M351" s="385"/>
      <c r="N351" s="385"/>
      <c r="O351" s="385"/>
      <c r="P351" s="385"/>
      <c r="Q351" s="385"/>
      <c r="R351" s="385"/>
      <c r="S351" s="385"/>
      <c r="T351" s="385"/>
      <c r="U351" s="385"/>
      <c r="V351" s="385"/>
      <c r="W351" s="385"/>
      <c r="X351" s="385"/>
      <c r="Y351" s="385"/>
      <c r="Z351" s="385"/>
      <c r="AA351" s="385"/>
      <c r="AB351" s="385"/>
    </row>
    <row r="352" spans="1:28" ht="15.75" customHeight="1">
      <c r="A352" s="385"/>
      <c r="B352" s="385"/>
      <c r="C352" s="526"/>
      <c r="D352" s="385"/>
      <c r="E352" s="385"/>
      <c r="F352" s="385"/>
      <c r="G352" s="385"/>
      <c r="H352" s="30"/>
      <c r="I352" s="385"/>
      <c r="J352" s="385"/>
      <c r="K352" s="385"/>
      <c r="L352" s="385"/>
      <c r="M352" s="385"/>
      <c r="N352" s="385"/>
      <c r="O352" s="385"/>
      <c r="P352" s="385"/>
      <c r="Q352" s="385"/>
      <c r="R352" s="385"/>
      <c r="S352" s="385"/>
      <c r="T352" s="385"/>
      <c r="U352" s="385"/>
      <c r="V352" s="385"/>
      <c r="W352" s="385"/>
      <c r="X352" s="385"/>
      <c r="Y352" s="385"/>
      <c r="Z352" s="385"/>
      <c r="AA352" s="385"/>
      <c r="AB352" s="385"/>
    </row>
    <row r="353" spans="1:28" ht="15.75" customHeight="1">
      <c r="A353" s="385"/>
      <c r="B353" s="385"/>
      <c r="C353" s="526"/>
      <c r="D353" s="385"/>
      <c r="E353" s="385"/>
      <c r="F353" s="385"/>
      <c r="G353" s="385"/>
      <c r="H353" s="30"/>
      <c r="I353" s="385"/>
      <c r="J353" s="385"/>
      <c r="K353" s="385"/>
      <c r="L353" s="385"/>
      <c r="M353" s="385"/>
      <c r="N353" s="385"/>
      <c r="O353" s="385"/>
      <c r="P353" s="385"/>
      <c r="Q353" s="385"/>
      <c r="R353" s="385"/>
      <c r="S353" s="385"/>
      <c r="T353" s="385"/>
      <c r="U353" s="385"/>
      <c r="V353" s="385"/>
      <c r="W353" s="385"/>
      <c r="X353" s="385"/>
      <c r="Y353" s="385"/>
      <c r="Z353" s="385"/>
      <c r="AA353" s="385"/>
      <c r="AB353" s="385"/>
    </row>
    <row r="354" spans="1:28" ht="15.75" customHeight="1">
      <c r="A354" s="385"/>
      <c r="B354" s="385"/>
      <c r="C354" s="526"/>
      <c r="D354" s="385"/>
      <c r="E354" s="385"/>
      <c r="F354" s="385"/>
      <c r="G354" s="385"/>
      <c r="H354" s="30"/>
      <c r="I354" s="385"/>
      <c r="J354" s="385"/>
      <c r="K354" s="385"/>
      <c r="L354" s="385"/>
      <c r="M354" s="385"/>
      <c r="N354" s="385"/>
      <c r="O354" s="385"/>
      <c r="P354" s="385"/>
      <c r="Q354" s="385"/>
      <c r="R354" s="385"/>
      <c r="S354" s="385"/>
      <c r="T354" s="385"/>
      <c r="U354" s="385"/>
      <c r="V354" s="385"/>
      <c r="W354" s="385"/>
      <c r="X354" s="385"/>
      <c r="Y354" s="385"/>
      <c r="Z354" s="385"/>
      <c r="AA354" s="385"/>
      <c r="AB354" s="385"/>
    </row>
    <row r="355" spans="1:28" ht="15.75" customHeight="1">
      <c r="A355" s="385"/>
      <c r="B355" s="385"/>
      <c r="C355" s="526"/>
      <c r="D355" s="385"/>
      <c r="E355" s="385"/>
      <c r="F355" s="385"/>
      <c r="G355" s="385"/>
      <c r="H355" s="30"/>
      <c r="I355" s="385"/>
      <c r="J355" s="385"/>
      <c r="K355" s="385"/>
      <c r="L355" s="385"/>
      <c r="M355" s="385"/>
      <c r="N355" s="385"/>
      <c r="O355" s="385"/>
      <c r="P355" s="385"/>
      <c r="Q355" s="385"/>
      <c r="R355" s="385"/>
      <c r="S355" s="385"/>
      <c r="T355" s="385"/>
      <c r="U355" s="385"/>
      <c r="V355" s="385"/>
      <c r="W355" s="385"/>
      <c r="X355" s="385"/>
      <c r="Y355" s="385"/>
      <c r="Z355" s="385"/>
      <c r="AA355" s="385"/>
      <c r="AB355" s="385"/>
    </row>
    <row r="356" spans="1:28" ht="15.75" customHeight="1">
      <c r="A356" s="385"/>
      <c r="B356" s="385"/>
      <c r="C356" s="526"/>
      <c r="D356" s="385"/>
      <c r="E356" s="385"/>
      <c r="F356" s="385"/>
      <c r="G356" s="385"/>
      <c r="H356" s="30"/>
      <c r="I356" s="385"/>
      <c r="J356" s="385"/>
      <c r="K356" s="385"/>
      <c r="L356" s="385"/>
      <c r="M356" s="385"/>
      <c r="N356" s="385"/>
      <c r="O356" s="385"/>
      <c r="P356" s="385"/>
      <c r="Q356" s="385"/>
      <c r="R356" s="385"/>
      <c r="S356" s="385"/>
      <c r="T356" s="385"/>
      <c r="U356" s="385"/>
      <c r="V356" s="385"/>
      <c r="W356" s="385"/>
      <c r="X356" s="385"/>
      <c r="Y356" s="385"/>
      <c r="Z356" s="385"/>
      <c r="AA356" s="385"/>
      <c r="AB356" s="385"/>
    </row>
    <row r="357" spans="1:28" ht="15.75" customHeight="1">
      <c r="A357" s="385"/>
      <c r="B357" s="385"/>
      <c r="C357" s="526"/>
      <c r="D357" s="385"/>
      <c r="E357" s="385"/>
      <c r="F357" s="385"/>
      <c r="G357" s="385"/>
      <c r="H357" s="30"/>
      <c r="I357" s="385"/>
      <c r="J357" s="385"/>
      <c r="K357" s="385"/>
      <c r="L357" s="385"/>
      <c r="M357" s="385"/>
      <c r="N357" s="385"/>
      <c r="O357" s="385"/>
      <c r="P357" s="385"/>
      <c r="Q357" s="385"/>
      <c r="R357" s="385"/>
      <c r="S357" s="385"/>
      <c r="T357" s="385"/>
      <c r="U357" s="385"/>
      <c r="V357" s="385"/>
      <c r="W357" s="385"/>
      <c r="X357" s="385"/>
      <c r="Y357" s="385"/>
      <c r="Z357" s="385"/>
      <c r="AA357" s="385"/>
      <c r="AB357" s="385"/>
    </row>
    <row r="358" spans="1:28" ht="15.75" customHeight="1">
      <c r="A358" s="385"/>
      <c r="B358" s="385"/>
      <c r="C358" s="526"/>
      <c r="D358" s="385"/>
      <c r="E358" s="385"/>
      <c r="F358" s="385"/>
      <c r="G358" s="385"/>
      <c r="H358" s="30"/>
      <c r="I358" s="385"/>
      <c r="J358" s="385"/>
      <c r="K358" s="385"/>
      <c r="L358" s="385"/>
      <c r="M358" s="385"/>
      <c r="N358" s="385"/>
      <c r="O358" s="385"/>
      <c r="P358" s="385"/>
      <c r="Q358" s="385"/>
      <c r="R358" s="385"/>
      <c r="S358" s="385"/>
      <c r="T358" s="385"/>
      <c r="U358" s="385"/>
      <c r="V358" s="385"/>
      <c r="W358" s="385"/>
      <c r="X358" s="385"/>
      <c r="Y358" s="385"/>
      <c r="Z358" s="385"/>
      <c r="AA358" s="385"/>
      <c r="AB358" s="385"/>
    </row>
    <row r="359" spans="1:28" ht="15.75" customHeight="1">
      <c r="A359" s="385"/>
      <c r="B359" s="385"/>
      <c r="C359" s="526"/>
      <c r="D359" s="385"/>
      <c r="E359" s="385"/>
      <c r="F359" s="385"/>
      <c r="G359" s="385"/>
      <c r="H359" s="30"/>
      <c r="I359" s="385"/>
      <c r="J359" s="385"/>
      <c r="K359" s="385"/>
      <c r="L359" s="385"/>
      <c r="M359" s="385"/>
      <c r="N359" s="385"/>
      <c r="O359" s="385"/>
      <c r="P359" s="385"/>
      <c r="Q359" s="385"/>
      <c r="R359" s="385"/>
      <c r="S359" s="385"/>
      <c r="T359" s="385"/>
      <c r="U359" s="385"/>
      <c r="V359" s="385"/>
      <c r="W359" s="385"/>
      <c r="X359" s="385"/>
      <c r="Y359" s="385"/>
      <c r="Z359" s="385"/>
      <c r="AA359" s="385"/>
      <c r="AB359" s="385"/>
    </row>
    <row r="360" spans="1:28" ht="15.75" customHeight="1">
      <c r="A360" s="385"/>
      <c r="B360" s="385"/>
      <c r="C360" s="526"/>
      <c r="D360" s="385"/>
      <c r="E360" s="385"/>
      <c r="F360" s="385"/>
      <c r="G360" s="385"/>
      <c r="H360" s="30"/>
      <c r="I360" s="385"/>
      <c r="J360" s="385"/>
      <c r="K360" s="385"/>
      <c r="L360" s="385"/>
      <c r="M360" s="385"/>
      <c r="N360" s="385"/>
      <c r="O360" s="385"/>
      <c r="P360" s="385"/>
      <c r="Q360" s="385"/>
      <c r="R360" s="385"/>
      <c r="S360" s="385"/>
      <c r="T360" s="385"/>
      <c r="U360" s="385"/>
      <c r="V360" s="385"/>
      <c r="W360" s="385"/>
      <c r="X360" s="385"/>
      <c r="Y360" s="385"/>
      <c r="Z360" s="385"/>
      <c r="AA360" s="385"/>
      <c r="AB360" s="385"/>
    </row>
    <row r="361" spans="1:28" ht="15.75" customHeight="1">
      <c r="A361" s="385"/>
      <c r="B361" s="385"/>
      <c r="C361" s="526"/>
      <c r="D361" s="385"/>
      <c r="E361" s="385"/>
      <c r="F361" s="385"/>
      <c r="G361" s="385"/>
      <c r="H361" s="30"/>
      <c r="I361" s="385"/>
      <c r="J361" s="385"/>
      <c r="K361" s="385"/>
      <c r="L361" s="385"/>
      <c r="M361" s="385"/>
      <c r="N361" s="385"/>
      <c r="O361" s="385"/>
      <c r="P361" s="385"/>
      <c r="Q361" s="385"/>
      <c r="R361" s="385"/>
      <c r="S361" s="385"/>
      <c r="T361" s="385"/>
      <c r="U361" s="385"/>
      <c r="V361" s="385"/>
      <c r="W361" s="385"/>
      <c r="X361" s="385"/>
      <c r="Y361" s="385"/>
      <c r="Z361" s="385"/>
      <c r="AA361" s="385"/>
      <c r="AB361" s="385"/>
    </row>
    <row r="362" spans="1:28" ht="15.75" customHeight="1">
      <c r="A362" s="385"/>
      <c r="B362" s="385"/>
      <c r="C362" s="526"/>
      <c r="D362" s="385"/>
      <c r="E362" s="385"/>
      <c r="F362" s="385"/>
      <c r="G362" s="385"/>
      <c r="H362" s="30"/>
      <c r="I362" s="385"/>
      <c r="J362" s="385"/>
      <c r="K362" s="385"/>
      <c r="L362" s="385"/>
      <c r="M362" s="385"/>
      <c r="N362" s="385"/>
      <c r="O362" s="385"/>
      <c r="P362" s="385"/>
      <c r="Q362" s="385"/>
      <c r="R362" s="385"/>
      <c r="S362" s="385"/>
      <c r="T362" s="385"/>
      <c r="U362" s="385"/>
      <c r="V362" s="385"/>
      <c r="W362" s="385"/>
      <c r="X362" s="385"/>
      <c r="Y362" s="385"/>
      <c r="Z362" s="385"/>
      <c r="AA362" s="385"/>
      <c r="AB362" s="385"/>
    </row>
    <row r="363" spans="1:28" ht="15.75" customHeight="1">
      <c r="A363" s="385"/>
      <c r="B363" s="385"/>
      <c r="C363" s="526"/>
      <c r="D363" s="385"/>
      <c r="E363" s="385"/>
      <c r="F363" s="385"/>
      <c r="G363" s="385"/>
      <c r="H363" s="30"/>
      <c r="I363" s="385"/>
      <c r="J363" s="385"/>
      <c r="K363" s="385"/>
      <c r="L363" s="385"/>
      <c r="M363" s="385"/>
      <c r="N363" s="385"/>
      <c r="O363" s="385"/>
      <c r="P363" s="385"/>
      <c r="Q363" s="385"/>
      <c r="R363" s="385"/>
      <c r="S363" s="385"/>
      <c r="T363" s="385"/>
      <c r="U363" s="385"/>
      <c r="V363" s="385"/>
      <c r="W363" s="385"/>
      <c r="X363" s="385"/>
      <c r="Y363" s="385"/>
      <c r="Z363" s="385"/>
      <c r="AA363" s="385"/>
      <c r="AB363" s="385"/>
    </row>
    <row r="364" spans="1:28" ht="15.75" customHeight="1">
      <c r="A364" s="385"/>
      <c r="B364" s="385"/>
      <c r="C364" s="526"/>
      <c r="D364" s="385"/>
      <c r="E364" s="385"/>
      <c r="F364" s="385"/>
      <c r="G364" s="385"/>
      <c r="H364" s="30"/>
      <c r="I364" s="385"/>
      <c r="J364" s="385"/>
      <c r="K364" s="385"/>
      <c r="L364" s="385"/>
      <c r="M364" s="385"/>
      <c r="N364" s="385"/>
      <c r="O364" s="385"/>
      <c r="P364" s="385"/>
      <c r="Q364" s="385"/>
      <c r="R364" s="385"/>
      <c r="S364" s="385"/>
      <c r="T364" s="385"/>
      <c r="U364" s="385"/>
      <c r="V364" s="385"/>
      <c r="W364" s="385"/>
      <c r="X364" s="385"/>
      <c r="Y364" s="385"/>
      <c r="Z364" s="385"/>
      <c r="AA364" s="385"/>
      <c r="AB364" s="385"/>
    </row>
    <row r="365" spans="1:28" ht="15.75" customHeight="1">
      <c r="A365" s="385"/>
      <c r="B365" s="385"/>
      <c r="C365" s="526"/>
      <c r="D365" s="385"/>
      <c r="E365" s="385"/>
      <c r="F365" s="385"/>
      <c r="G365" s="385"/>
      <c r="H365" s="30"/>
      <c r="I365" s="385"/>
      <c r="J365" s="385"/>
      <c r="K365" s="385"/>
      <c r="L365" s="385"/>
      <c r="M365" s="385"/>
      <c r="N365" s="385"/>
      <c r="O365" s="385"/>
      <c r="P365" s="385"/>
      <c r="Q365" s="385"/>
      <c r="R365" s="385"/>
      <c r="S365" s="385"/>
      <c r="T365" s="385"/>
      <c r="U365" s="385"/>
      <c r="V365" s="385"/>
      <c r="W365" s="385"/>
      <c r="X365" s="385"/>
      <c r="Y365" s="385"/>
      <c r="Z365" s="385"/>
      <c r="AA365" s="385"/>
      <c r="AB365" s="385"/>
    </row>
    <row r="366" spans="1:28" ht="15.75" customHeight="1">
      <c r="A366" s="385"/>
      <c r="B366" s="385"/>
      <c r="C366" s="526"/>
      <c r="D366" s="385"/>
      <c r="E366" s="385"/>
      <c r="F366" s="385"/>
      <c r="G366" s="385"/>
      <c r="H366" s="30"/>
      <c r="I366" s="385"/>
      <c r="J366" s="385"/>
      <c r="K366" s="385"/>
      <c r="L366" s="385"/>
      <c r="M366" s="385"/>
      <c r="N366" s="385"/>
      <c r="O366" s="385"/>
      <c r="P366" s="385"/>
      <c r="Q366" s="385"/>
      <c r="R366" s="385"/>
      <c r="S366" s="385"/>
      <c r="T366" s="385"/>
      <c r="U366" s="385"/>
      <c r="V366" s="385"/>
      <c r="W366" s="385"/>
      <c r="X366" s="385"/>
      <c r="Y366" s="385"/>
      <c r="Z366" s="385"/>
      <c r="AA366" s="385"/>
      <c r="AB366" s="385"/>
    </row>
    <row r="367" spans="1:28" ht="15.75" customHeight="1">
      <c r="A367" s="385"/>
      <c r="B367" s="385"/>
      <c r="C367" s="526"/>
      <c r="D367" s="385"/>
      <c r="E367" s="385"/>
      <c r="F367" s="385"/>
      <c r="G367" s="385"/>
      <c r="H367" s="30"/>
      <c r="I367" s="385"/>
      <c r="J367" s="385"/>
      <c r="K367" s="385"/>
      <c r="L367" s="385"/>
      <c r="M367" s="385"/>
      <c r="N367" s="385"/>
      <c r="O367" s="385"/>
      <c r="P367" s="385"/>
      <c r="Q367" s="385"/>
      <c r="R367" s="385"/>
      <c r="S367" s="385"/>
      <c r="T367" s="385"/>
      <c r="U367" s="385"/>
      <c r="V367" s="385"/>
      <c r="W367" s="385"/>
      <c r="X367" s="385"/>
      <c r="Y367" s="385"/>
      <c r="Z367" s="385"/>
      <c r="AA367" s="385"/>
      <c r="AB367" s="385"/>
    </row>
    <row r="368" spans="1:28" ht="15.75" customHeight="1">
      <c r="A368" s="385"/>
      <c r="B368" s="385"/>
      <c r="C368" s="526"/>
      <c r="D368" s="385"/>
      <c r="E368" s="385"/>
      <c r="F368" s="385"/>
      <c r="G368" s="385"/>
      <c r="H368" s="30"/>
      <c r="I368" s="385"/>
      <c r="J368" s="385"/>
      <c r="K368" s="385"/>
      <c r="L368" s="385"/>
      <c r="M368" s="385"/>
      <c r="N368" s="385"/>
      <c r="O368" s="385"/>
      <c r="P368" s="385"/>
      <c r="Q368" s="385"/>
      <c r="R368" s="385"/>
      <c r="S368" s="385"/>
      <c r="T368" s="385"/>
      <c r="U368" s="385"/>
      <c r="V368" s="385"/>
      <c r="W368" s="385"/>
      <c r="X368" s="385"/>
      <c r="Y368" s="385"/>
      <c r="Z368" s="385"/>
      <c r="AA368" s="385"/>
      <c r="AB368" s="385"/>
    </row>
    <row r="369" spans="1:28" ht="15.75" customHeight="1">
      <c r="A369" s="385"/>
      <c r="B369" s="385"/>
      <c r="C369" s="526"/>
      <c r="D369" s="385"/>
      <c r="E369" s="385"/>
      <c r="F369" s="385"/>
      <c r="G369" s="385"/>
      <c r="H369" s="30"/>
      <c r="I369" s="385"/>
      <c r="J369" s="385"/>
      <c r="K369" s="385"/>
      <c r="L369" s="385"/>
      <c r="M369" s="385"/>
      <c r="N369" s="385"/>
      <c r="O369" s="385"/>
      <c r="P369" s="385"/>
      <c r="Q369" s="385"/>
      <c r="R369" s="385"/>
      <c r="S369" s="385"/>
      <c r="T369" s="385"/>
      <c r="U369" s="385"/>
      <c r="V369" s="385"/>
      <c r="W369" s="385"/>
      <c r="X369" s="385"/>
      <c r="Y369" s="385"/>
      <c r="Z369" s="385"/>
      <c r="AA369" s="385"/>
      <c r="AB369" s="385"/>
    </row>
    <row r="370" spans="1:28" ht="15.75" customHeight="1">
      <c r="A370" s="385"/>
      <c r="B370" s="385"/>
      <c r="C370" s="526"/>
      <c r="D370" s="385"/>
      <c r="E370" s="385"/>
      <c r="F370" s="385"/>
      <c r="G370" s="385"/>
      <c r="H370" s="30"/>
      <c r="I370" s="385"/>
      <c r="J370" s="385"/>
      <c r="K370" s="385"/>
      <c r="L370" s="385"/>
      <c r="M370" s="385"/>
      <c r="N370" s="385"/>
      <c r="O370" s="385"/>
      <c r="P370" s="385"/>
      <c r="Q370" s="385"/>
      <c r="R370" s="385"/>
      <c r="S370" s="385"/>
      <c r="T370" s="385"/>
      <c r="U370" s="385"/>
      <c r="V370" s="385"/>
      <c r="W370" s="385"/>
      <c r="X370" s="385"/>
      <c r="Y370" s="385"/>
      <c r="Z370" s="385"/>
      <c r="AA370" s="385"/>
      <c r="AB370" s="385"/>
    </row>
    <row r="371" spans="1:28" ht="15.75" customHeight="1">
      <c r="A371" s="385"/>
      <c r="B371" s="385"/>
      <c r="C371" s="526"/>
      <c r="D371" s="385"/>
      <c r="E371" s="385"/>
      <c r="F371" s="385"/>
      <c r="G371" s="385"/>
      <c r="H371" s="30"/>
      <c r="I371" s="385"/>
      <c r="J371" s="385"/>
      <c r="K371" s="385"/>
      <c r="L371" s="385"/>
      <c r="M371" s="385"/>
      <c r="N371" s="385"/>
      <c r="O371" s="385"/>
      <c r="P371" s="385"/>
      <c r="Q371" s="385"/>
      <c r="R371" s="385"/>
      <c r="S371" s="385"/>
      <c r="T371" s="385"/>
      <c r="U371" s="385"/>
      <c r="V371" s="385"/>
      <c r="W371" s="385"/>
      <c r="X371" s="385"/>
      <c r="Y371" s="385"/>
      <c r="Z371" s="385"/>
      <c r="AA371" s="385"/>
      <c r="AB371" s="385"/>
    </row>
    <row r="372" spans="1:28" ht="15.75" customHeight="1">
      <c r="A372" s="385"/>
      <c r="B372" s="385"/>
      <c r="C372" s="526"/>
      <c r="D372" s="385"/>
      <c r="E372" s="385"/>
      <c r="F372" s="385"/>
      <c r="G372" s="385"/>
      <c r="H372" s="30"/>
      <c r="I372" s="385"/>
      <c r="J372" s="385"/>
      <c r="K372" s="385"/>
      <c r="L372" s="385"/>
      <c r="M372" s="385"/>
      <c r="N372" s="385"/>
      <c r="O372" s="385"/>
      <c r="P372" s="385"/>
      <c r="Q372" s="385"/>
      <c r="R372" s="385"/>
      <c r="S372" s="385"/>
      <c r="T372" s="385"/>
      <c r="U372" s="385"/>
      <c r="V372" s="385"/>
      <c r="W372" s="385"/>
      <c r="X372" s="385"/>
      <c r="Y372" s="385"/>
      <c r="Z372" s="385"/>
      <c r="AA372" s="385"/>
      <c r="AB372" s="385"/>
    </row>
    <row r="373" spans="1:28" ht="15.75" customHeight="1">
      <c r="A373" s="385"/>
      <c r="B373" s="385"/>
      <c r="C373" s="526"/>
      <c r="D373" s="385"/>
      <c r="E373" s="385"/>
      <c r="F373" s="385"/>
      <c r="G373" s="385"/>
      <c r="H373" s="30"/>
      <c r="I373" s="385"/>
      <c r="J373" s="385"/>
      <c r="K373" s="385"/>
      <c r="L373" s="385"/>
      <c r="M373" s="385"/>
      <c r="N373" s="385"/>
      <c r="O373" s="385"/>
      <c r="P373" s="385"/>
      <c r="Q373" s="385"/>
      <c r="R373" s="385"/>
      <c r="S373" s="385"/>
      <c r="T373" s="385"/>
      <c r="U373" s="385"/>
      <c r="V373" s="385"/>
      <c r="W373" s="385"/>
      <c r="X373" s="385"/>
      <c r="Y373" s="385"/>
      <c r="Z373" s="385"/>
      <c r="AA373" s="385"/>
      <c r="AB373" s="385"/>
    </row>
    <row r="374" spans="1:28" ht="15.75" customHeight="1">
      <c r="A374" s="385"/>
      <c r="B374" s="385"/>
      <c r="C374" s="526"/>
      <c r="D374" s="385"/>
      <c r="E374" s="385"/>
      <c r="F374" s="385"/>
      <c r="G374" s="385"/>
      <c r="H374" s="30"/>
      <c r="I374" s="385"/>
      <c r="J374" s="385"/>
      <c r="K374" s="385"/>
      <c r="L374" s="385"/>
      <c r="M374" s="385"/>
      <c r="N374" s="385"/>
      <c r="O374" s="385"/>
      <c r="P374" s="385"/>
      <c r="Q374" s="385"/>
      <c r="R374" s="385"/>
      <c r="S374" s="385"/>
      <c r="T374" s="385"/>
      <c r="U374" s="385"/>
      <c r="V374" s="385"/>
      <c r="W374" s="385"/>
      <c r="X374" s="385"/>
      <c r="Y374" s="385"/>
      <c r="Z374" s="385"/>
      <c r="AA374" s="385"/>
      <c r="AB374" s="385"/>
    </row>
    <row r="375" spans="1:28" ht="15.75" customHeight="1">
      <c r="A375" s="385"/>
      <c r="B375" s="385"/>
      <c r="C375" s="526"/>
      <c r="D375" s="385"/>
      <c r="E375" s="385"/>
      <c r="F375" s="385"/>
      <c r="G375" s="385"/>
      <c r="H375" s="30"/>
      <c r="I375" s="385"/>
      <c r="J375" s="385"/>
      <c r="K375" s="385"/>
      <c r="L375" s="385"/>
      <c r="M375" s="385"/>
      <c r="N375" s="385"/>
      <c r="O375" s="385"/>
      <c r="P375" s="385"/>
      <c r="Q375" s="385"/>
      <c r="R375" s="385"/>
      <c r="S375" s="385"/>
      <c r="T375" s="385"/>
      <c r="U375" s="385"/>
      <c r="V375" s="385"/>
      <c r="W375" s="385"/>
      <c r="X375" s="385"/>
      <c r="Y375" s="385"/>
      <c r="Z375" s="385"/>
      <c r="AA375" s="385"/>
      <c r="AB375" s="385"/>
    </row>
    <row r="376" spans="1:28" ht="15.75" customHeight="1">
      <c r="A376" s="385"/>
      <c r="B376" s="385"/>
      <c r="C376" s="526"/>
      <c r="D376" s="385"/>
      <c r="E376" s="385"/>
      <c r="F376" s="385"/>
      <c r="G376" s="385"/>
      <c r="H376" s="30"/>
      <c r="I376" s="385"/>
      <c r="J376" s="385"/>
      <c r="K376" s="385"/>
      <c r="L376" s="385"/>
      <c r="M376" s="385"/>
      <c r="N376" s="385"/>
      <c r="O376" s="385"/>
      <c r="P376" s="385"/>
      <c r="Q376" s="385"/>
      <c r="R376" s="385"/>
      <c r="S376" s="385"/>
      <c r="T376" s="385"/>
      <c r="U376" s="385"/>
      <c r="V376" s="385"/>
      <c r="W376" s="385"/>
      <c r="X376" s="385"/>
      <c r="Y376" s="385"/>
      <c r="Z376" s="385"/>
      <c r="AA376" s="385"/>
      <c r="AB376" s="385"/>
    </row>
    <row r="377" spans="1:28" ht="15.75" customHeight="1">
      <c r="A377" s="385"/>
      <c r="B377" s="385"/>
      <c r="C377" s="526"/>
      <c r="D377" s="385"/>
      <c r="E377" s="385"/>
      <c r="F377" s="385"/>
      <c r="G377" s="385"/>
      <c r="H377" s="30"/>
      <c r="I377" s="385"/>
      <c r="J377" s="385"/>
      <c r="K377" s="385"/>
      <c r="L377" s="385"/>
      <c r="M377" s="385"/>
      <c r="N377" s="385"/>
      <c r="O377" s="385"/>
      <c r="P377" s="385"/>
      <c r="Q377" s="385"/>
      <c r="R377" s="385"/>
      <c r="S377" s="385"/>
      <c r="T377" s="385"/>
      <c r="U377" s="385"/>
      <c r="V377" s="385"/>
      <c r="W377" s="385"/>
      <c r="X377" s="385"/>
      <c r="Y377" s="385"/>
      <c r="Z377" s="385"/>
      <c r="AA377" s="385"/>
      <c r="AB377" s="385"/>
    </row>
    <row r="378" spans="1:28" ht="15.75" customHeight="1">
      <c r="A378" s="385"/>
      <c r="B378" s="385"/>
      <c r="C378" s="526"/>
      <c r="D378" s="385"/>
      <c r="E378" s="385"/>
      <c r="F378" s="385"/>
      <c r="G378" s="385"/>
      <c r="H378" s="30"/>
      <c r="I378" s="385"/>
      <c r="J378" s="385"/>
      <c r="K378" s="385"/>
      <c r="L378" s="385"/>
      <c r="M378" s="385"/>
      <c r="N378" s="385"/>
      <c r="O378" s="385"/>
      <c r="P378" s="385"/>
      <c r="Q378" s="385"/>
      <c r="R378" s="385"/>
      <c r="S378" s="385"/>
      <c r="T378" s="385"/>
      <c r="U378" s="385"/>
      <c r="V378" s="385"/>
      <c r="W378" s="385"/>
      <c r="X378" s="385"/>
      <c r="Y378" s="385"/>
      <c r="Z378" s="385"/>
      <c r="AA378" s="385"/>
      <c r="AB378" s="385"/>
    </row>
    <row r="379" spans="1:28" ht="15.75" customHeight="1">
      <c r="A379" s="385"/>
      <c r="B379" s="385"/>
      <c r="C379" s="526"/>
      <c r="D379" s="385"/>
      <c r="E379" s="385"/>
      <c r="F379" s="385"/>
      <c r="G379" s="385"/>
      <c r="H379" s="30"/>
      <c r="I379" s="385"/>
      <c r="J379" s="385"/>
      <c r="K379" s="385"/>
      <c r="L379" s="385"/>
      <c r="M379" s="385"/>
      <c r="N379" s="385"/>
      <c r="O379" s="385"/>
      <c r="P379" s="385"/>
      <c r="Q379" s="385"/>
      <c r="R379" s="385"/>
      <c r="S379" s="385"/>
      <c r="T379" s="385"/>
      <c r="U379" s="385"/>
      <c r="V379" s="385"/>
      <c r="W379" s="385"/>
      <c r="X379" s="385"/>
      <c r="Y379" s="385"/>
      <c r="Z379" s="385"/>
      <c r="AA379" s="385"/>
      <c r="AB379" s="385"/>
    </row>
    <row r="380" spans="1:28" ht="15.75" customHeight="1">
      <c r="A380" s="385"/>
      <c r="B380" s="385"/>
      <c r="C380" s="526"/>
      <c r="D380" s="385"/>
      <c r="E380" s="385"/>
      <c r="F380" s="385"/>
      <c r="G380" s="385"/>
      <c r="H380" s="30"/>
      <c r="I380" s="385"/>
      <c r="J380" s="385"/>
      <c r="K380" s="385"/>
      <c r="L380" s="385"/>
      <c r="M380" s="385"/>
      <c r="N380" s="385"/>
      <c r="O380" s="385"/>
      <c r="P380" s="385"/>
      <c r="Q380" s="385"/>
      <c r="R380" s="385"/>
      <c r="S380" s="385"/>
      <c r="T380" s="385"/>
      <c r="U380" s="385"/>
      <c r="V380" s="385"/>
      <c r="W380" s="385"/>
      <c r="X380" s="385"/>
      <c r="Y380" s="385"/>
      <c r="Z380" s="385"/>
      <c r="AA380" s="385"/>
      <c r="AB380" s="385"/>
    </row>
    <row r="381" spans="1:28" ht="15.75" customHeight="1">
      <c r="A381" s="385"/>
      <c r="B381" s="385"/>
      <c r="C381" s="526"/>
      <c r="D381" s="385"/>
      <c r="E381" s="385"/>
      <c r="F381" s="385"/>
      <c r="G381" s="385"/>
      <c r="H381" s="30"/>
      <c r="I381" s="385"/>
      <c r="J381" s="385"/>
      <c r="K381" s="385"/>
      <c r="L381" s="385"/>
      <c r="M381" s="385"/>
      <c r="N381" s="385"/>
      <c r="O381" s="385"/>
      <c r="P381" s="385"/>
      <c r="Q381" s="385"/>
      <c r="R381" s="385"/>
      <c r="S381" s="385"/>
      <c r="T381" s="385"/>
      <c r="U381" s="385"/>
      <c r="V381" s="385"/>
      <c r="W381" s="385"/>
      <c r="X381" s="385"/>
      <c r="Y381" s="385"/>
      <c r="Z381" s="385"/>
      <c r="AA381" s="385"/>
      <c r="AB381" s="385"/>
    </row>
    <row r="382" spans="1:28" ht="15.75" customHeight="1">
      <c r="A382" s="385"/>
      <c r="B382" s="385"/>
      <c r="C382" s="526"/>
      <c r="D382" s="385"/>
      <c r="E382" s="385"/>
      <c r="F382" s="385"/>
      <c r="G382" s="385"/>
      <c r="H382" s="30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  <c r="T382" s="385"/>
      <c r="U382" s="385"/>
      <c r="V382" s="385"/>
      <c r="W382" s="385"/>
      <c r="X382" s="385"/>
      <c r="Y382" s="385"/>
      <c r="Z382" s="385"/>
      <c r="AA382" s="385"/>
      <c r="AB382" s="385"/>
    </row>
    <row r="383" spans="1:28" ht="15.75" customHeight="1">
      <c r="A383" s="385"/>
      <c r="B383" s="385"/>
      <c r="C383" s="526"/>
      <c r="D383" s="385"/>
      <c r="E383" s="385"/>
      <c r="F383" s="385"/>
      <c r="G383" s="385"/>
      <c r="H383" s="30"/>
      <c r="I383" s="385"/>
      <c r="J383" s="385"/>
      <c r="K383" s="385"/>
      <c r="L383" s="385"/>
      <c r="M383" s="385"/>
      <c r="N383" s="385"/>
      <c r="O383" s="385"/>
      <c r="P383" s="385"/>
      <c r="Q383" s="385"/>
      <c r="R383" s="385"/>
      <c r="S383" s="385"/>
      <c r="T383" s="385"/>
      <c r="U383" s="385"/>
      <c r="V383" s="385"/>
      <c r="W383" s="385"/>
      <c r="X383" s="385"/>
      <c r="Y383" s="385"/>
      <c r="Z383" s="385"/>
      <c r="AA383" s="385"/>
      <c r="AB383" s="385"/>
    </row>
    <row r="384" spans="1:28" ht="15.75" customHeight="1">
      <c r="A384" s="385"/>
      <c r="B384" s="385"/>
      <c r="C384" s="526"/>
      <c r="D384" s="385"/>
      <c r="E384" s="385"/>
      <c r="F384" s="385"/>
      <c r="G384" s="385"/>
      <c r="H384" s="30"/>
      <c r="I384" s="385"/>
      <c r="J384" s="385"/>
      <c r="K384" s="385"/>
      <c r="L384" s="385"/>
      <c r="M384" s="385"/>
      <c r="N384" s="385"/>
      <c r="O384" s="385"/>
      <c r="P384" s="385"/>
      <c r="Q384" s="385"/>
      <c r="R384" s="385"/>
      <c r="S384" s="385"/>
      <c r="T384" s="385"/>
      <c r="U384" s="385"/>
      <c r="V384" s="385"/>
      <c r="W384" s="385"/>
      <c r="X384" s="385"/>
      <c r="Y384" s="385"/>
      <c r="Z384" s="385"/>
      <c r="AA384" s="385"/>
      <c r="AB384" s="385"/>
    </row>
    <row r="385" spans="1:28" ht="15.75" customHeight="1">
      <c r="A385" s="385"/>
      <c r="B385" s="385"/>
      <c r="C385" s="526"/>
      <c r="D385" s="385"/>
      <c r="E385" s="385"/>
      <c r="F385" s="385"/>
      <c r="G385" s="385"/>
      <c r="H385" s="30"/>
      <c r="I385" s="385"/>
      <c r="J385" s="385"/>
      <c r="K385" s="385"/>
      <c r="L385" s="385"/>
      <c r="M385" s="385"/>
      <c r="N385" s="385"/>
      <c r="O385" s="385"/>
      <c r="P385" s="385"/>
      <c r="Q385" s="385"/>
      <c r="R385" s="385"/>
      <c r="S385" s="385"/>
      <c r="T385" s="385"/>
      <c r="U385" s="385"/>
      <c r="V385" s="385"/>
      <c r="W385" s="385"/>
      <c r="X385" s="385"/>
      <c r="Y385" s="385"/>
      <c r="Z385" s="385"/>
      <c r="AA385" s="385"/>
      <c r="AB385" s="385"/>
    </row>
    <row r="386" spans="1:28" ht="15.75" customHeight="1">
      <c r="A386" s="385"/>
      <c r="B386" s="385"/>
      <c r="C386" s="526"/>
      <c r="D386" s="385"/>
      <c r="E386" s="385"/>
      <c r="F386" s="385"/>
      <c r="G386" s="385"/>
      <c r="H386" s="30"/>
      <c r="I386" s="385"/>
      <c r="J386" s="385"/>
      <c r="K386" s="385"/>
      <c r="L386" s="385"/>
      <c r="M386" s="385"/>
      <c r="N386" s="385"/>
      <c r="O386" s="385"/>
      <c r="P386" s="385"/>
      <c r="Q386" s="385"/>
      <c r="R386" s="385"/>
      <c r="S386" s="385"/>
      <c r="T386" s="385"/>
      <c r="U386" s="385"/>
      <c r="V386" s="385"/>
      <c r="W386" s="385"/>
      <c r="X386" s="385"/>
      <c r="Y386" s="385"/>
      <c r="Z386" s="385"/>
      <c r="AA386" s="385"/>
      <c r="AB386" s="385"/>
    </row>
    <row r="387" spans="1:28" ht="15.75" customHeight="1">
      <c r="A387" s="385"/>
      <c r="B387" s="385"/>
      <c r="C387" s="526"/>
      <c r="D387" s="385"/>
      <c r="E387" s="385"/>
      <c r="F387" s="385"/>
      <c r="G387" s="385"/>
      <c r="H387" s="30"/>
      <c r="I387" s="385"/>
      <c r="J387" s="385"/>
      <c r="K387" s="385"/>
      <c r="L387" s="385"/>
      <c r="M387" s="385"/>
      <c r="N387" s="385"/>
      <c r="O387" s="385"/>
      <c r="P387" s="385"/>
      <c r="Q387" s="385"/>
      <c r="R387" s="385"/>
      <c r="S387" s="385"/>
      <c r="T387" s="385"/>
      <c r="U387" s="385"/>
      <c r="V387" s="385"/>
      <c r="W387" s="385"/>
      <c r="X387" s="385"/>
      <c r="Y387" s="385"/>
      <c r="Z387" s="385"/>
      <c r="AA387" s="385"/>
      <c r="AB387" s="385"/>
    </row>
    <row r="388" spans="1:28" ht="15.75" customHeight="1">
      <c r="A388" s="385"/>
      <c r="B388" s="385"/>
      <c r="C388" s="526"/>
      <c r="D388" s="385"/>
      <c r="E388" s="385"/>
      <c r="F388" s="385"/>
      <c r="G388" s="385"/>
      <c r="H388" s="30"/>
      <c r="I388" s="385"/>
      <c r="J388" s="385"/>
      <c r="K388" s="385"/>
      <c r="L388" s="385"/>
      <c r="M388" s="385"/>
      <c r="N388" s="385"/>
      <c r="O388" s="385"/>
      <c r="P388" s="385"/>
      <c r="Q388" s="385"/>
      <c r="R388" s="385"/>
      <c r="S388" s="385"/>
      <c r="T388" s="385"/>
      <c r="U388" s="385"/>
      <c r="V388" s="385"/>
      <c r="W388" s="385"/>
      <c r="X388" s="385"/>
      <c r="Y388" s="385"/>
      <c r="Z388" s="385"/>
      <c r="AA388" s="385"/>
      <c r="AB388" s="385"/>
    </row>
    <row r="389" spans="1:28" ht="15.75" customHeight="1">
      <c r="A389" s="385"/>
      <c r="B389" s="385"/>
      <c r="C389" s="526"/>
      <c r="D389" s="385"/>
      <c r="E389" s="385"/>
      <c r="F389" s="385"/>
      <c r="G389" s="385"/>
      <c r="H389" s="30"/>
      <c r="I389" s="385"/>
      <c r="J389" s="385"/>
      <c r="K389" s="385"/>
      <c r="L389" s="385"/>
      <c r="M389" s="385"/>
      <c r="N389" s="385"/>
      <c r="O389" s="385"/>
      <c r="P389" s="385"/>
      <c r="Q389" s="385"/>
      <c r="R389" s="385"/>
      <c r="S389" s="385"/>
      <c r="T389" s="385"/>
      <c r="U389" s="385"/>
      <c r="V389" s="385"/>
      <c r="W389" s="385"/>
      <c r="X389" s="385"/>
      <c r="Y389" s="385"/>
      <c r="Z389" s="385"/>
      <c r="AA389" s="385"/>
      <c r="AB389" s="385"/>
    </row>
    <row r="390" spans="1:28" ht="15.75" customHeight="1">
      <c r="A390" s="385"/>
      <c r="B390" s="385"/>
      <c r="C390" s="526"/>
      <c r="D390" s="385"/>
      <c r="E390" s="385"/>
      <c r="F390" s="385"/>
      <c r="G390" s="385"/>
      <c r="H390" s="30"/>
      <c r="I390" s="385"/>
      <c r="J390" s="385"/>
      <c r="K390" s="385"/>
      <c r="L390" s="385"/>
      <c r="M390" s="385"/>
      <c r="N390" s="385"/>
      <c r="O390" s="385"/>
      <c r="P390" s="385"/>
      <c r="Q390" s="385"/>
      <c r="R390" s="385"/>
      <c r="S390" s="385"/>
      <c r="T390" s="385"/>
      <c r="U390" s="385"/>
      <c r="V390" s="385"/>
      <c r="W390" s="385"/>
      <c r="X390" s="385"/>
      <c r="Y390" s="385"/>
      <c r="Z390" s="385"/>
      <c r="AA390" s="385"/>
      <c r="AB390" s="385"/>
    </row>
    <row r="391" spans="1:28" ht="15.75" customHeight="1">
      <c r="A391" s="385"/>
      <c r="B391" s="385"/>
      <c r="C391" s="526"/>
      <c r="D391" s="385"/>
      <c r="E391" s="385"/>
      <c r="F391" s="385"/>
      <c r="G391" s="385"/>
      <c r="H391" s="30"/>
      <c r="I391" s="385"/>
      <c r="J391" s="385"/>
      <c r="K391" s="385"/>
      <c r="L391" s="385"/>
      <c r="M391" s="385"/>
      <c r="N391" s="385"/>
      <c r="O391" s="385"/>
      <c r="P391" s="385"/>
      <c r="Q391" s="385"/>
      <c r="R391" s="385"/>
      <c r="S391" s="385"/>
      <c r="T391" s="385"/>
      <c r="U391" s="385"/>
      <c r="V391" s="385"/>
      <c r="W391" s="385"/>
      <c r="X391" s="385"/>
      <c r="Y391" s="385"/>
      <c r="Z391" s="385"/>
      <c r="AA391" s="385"/>
      <c r="AB391" s="385"/>
    </row>
    <row r="392" spans="1:28" ht="15.75" customHeight="1">
      <c r="A392" s="385"/>
      <c r="B392" s="385"/>
      <c r="C392" s="526"/>
      <c r="D392" s="385"/>
      <c r="E392" s="385"/>
      <c r="F392" s="385"/>
      <c r="G392" s="385"/>
      <c r="H392" s="30"/>
      <c r="I392" s="385"/>
      <c r="J392" s="385"/>
      <c r="K392" s="385"/>
      <c r="L392" s="385"/>
      <c r="M392" s="385"/>
      <c r="N392" s="385"/>
      <c r="O392" s="385"/>
      <c r="P392" s="385"/>
      <c r="Q392" s="385"/>
      <c r="R392" s="385"/>
      <c r="S392" s="385"/>
      <c r="T392" s="385"/>
      <c r="U392" s="385"/>
      <c r="V392" s="385"/>
      <c r="W392" s="385"/>
      <c r="X392" s="385"/>
      <c r="Y392" s="385"/>
      <c r="Z392" s="385"/>
      <c r="AA392" s="385"/>
      <c r="AB392" s="385"/>
    </row>
    <row r="393" spans="1:28" ht="15.75" customHeight="1">
      <c r="A393" s="385"/>
      <c r="B393" s="385"/>
      <c r="C393" s="526"/>
      <c r="D393" s="385"/>
      <c r="E393" s="385"/>
      <c r="F393" s="385"/>
      <c r="G393" s="385"/>
      <c r="H393" s="30"/>
      <c r="I393" s="385"/>
      <c r="J393" s="385"/>
      <c r="K393" s="385"/>
      <c r="L393" s="385"/>
      <c r="M393" s="385"/>
      <c r="N393" s="385"/>
      <c r="O393" s="385"/>
      <c r="P393" s="385"/>
      <c r="Q393" s="385"/>
      <c r="R393" s="385"/>
      <c r="S393" s="385"/>
      <c r="T393" s="385"/>
      <c r="U393" s="385"/>
      <c r="V393" s="385"/>
      <c r="W393" s="385"/>
      <c r="X393" s="385"/>
      <c r="Y393" s="385"/>
      <c r="Z393" s="385"/>
      <c r="AA393" s="385"/>
      <c r="AB393" s="385"/>
    </row>
    <row r="394" spans="1:28" ht="15.75" customHeight="1">
      <c r="A394" s="385"/>
      <c r="B394" s="385"/>
      <c r="C394" s="526"/>
      <c r="D394" s="385"/>
      <c r="E394" s="385"/>
      <c r="F394" s="385"/>
      <c r="G394" s="385"/>
      <c r="H394" s="30"/>
      <c r="I394" s="385"/>
      <c r="J394" s="385"/>
      <c r="K394" s="385"/>
      <c r="L394" s="385"/>
      <c r="M394" s="385"/>
      <c r="N394" s="385"/>
      <c r="O394" s="385"/>
      <c r="P394" s="385"/>
      <c r="Q394" s="385"/>
      <c r="R394" s="385"/>
      <c r="S394" s="385"/>
      <c r="T394" s="385"/>
      <c r="U394" s="385"/>
      <c r="V394" s="385"/>
      <c r="W394" s="385"/>
      <c r="X394" s="385"/>
      <c r="Y394" s="385"/>
      <c r="Z394" s="385"/>
      <c r="AA394" s="385"/>
      <c r="AB394" s="385"/>
    </row>
    <row r="395" spans="1:28" ht="15.75" customHeight="1">
      <c r="A395" s="385"/>
      <c r="B395" s="385"/>
      <c r="C395" s="526"/>
      <c r="D395" s="385"/>
      <c r="E395" s="385"/>
      <c r="F395" s="385"/>
      <c r="G395" s="385"/>
      <c r="H395" s="30"/>
      <c r="I395" s="385"/>
      <c r="J395" s="385"/>
      <c r="K395" s="385"/>
      <c r="L395" s="385"/>
      <c r="M395" s="385"/>
      <c r="N395" s="385"/>
      <c r="O395" s="385"/>
      <c r="P395" s="385"/>
      <c r="Q395" s="385"/>
      <c r="R395" s="385"/>
      <c r="S395" s="385"/>
      <c r="T395" s="385"/>
      <c r="U395" s="385"/>
      <c r="V395" s="385"/>
      <c r="W395" s="385"/>
      <c r="X395" s="385"/>
      <c r="Y395" s="385"/>
      <c r="Z395" s="385"/>
      <c r="AA395" s="385"/>
      <c r="AB395" s="385"/>
    </row>
    <row r="396" spans="1:28" ht="15.75" customHeight="1">
      <c r="A396" s="385"/>
      <c r="B396" s="385"/>
      <c r="C396" s="526"/>
      <c r="D396" s="385"/>
      <c r="E396" s="385"/>
      <c r="F396" s="385"/>
      <c r="G396" s="385"/>
      <c r="H396" s="30"/>
      <c r="I396" s="385"/>
      <c r="J396" s="385"/>
      <c r="K396" s="385"/>
      <c r="L396" s="385"/>
      <c r="M396" s="385"/>
      <c r="N396" s="385"/>
      <c r="O396" s="385"/>
      <c r="P396" s="385"/>
      <c r="Q396" s="385"/>
      <c r="R396" s="385"/>
      <c r="S396" s="385"/>
      <c r="T396" s="385"/>
      <c r="U396" s="385"/>
      <c r="V396" s="385"/>
      <c r="W396" s="385"/>
      <c r="X396" s="385"/>
      <c r="Y396" s="385"/>
      <c r="Z396" s="385"/>
      <c r="AA396" s="385"/>
      <c r="AB396" s="385"/>
    </row>
    <row r="397" spans="1:28" ht="15.75" customHeight="1">
      <c r="A397" s="385"/>
      <c r="B397" s="385"/>
      <c r="C397" s="526"/>
      <c r="D397" s="385"/>
      <c r="E397" s="385"/>
      <c r="F397" s="385"/>
      <c r="G397" s="385"/>
      <c r="H397" s="30"/>
      <c r="I397" s="385"/>
      <c r="J397" s="385"/>
      <c r="K397" s="385"/>
      <c r="L397" s="385"/>
      <c r="M397" s="385"/>
      <c r="N397" s="385"/>
      <c r="O397" s="385"/>
      <c r="P397" s="385"/>
      <c r="Q397" s="385"/>
      <c r="R397" s="385"/>
      <c r="S397" s="385"/>
      <c r="T397" s="385"/>
      <c r="U397" s="385"/>
      <c r="V397" s="385"/>
      <c r="W397" s="385"/>
      <c r="X397" s="385"/>
      <c r="Y397" s="385"/>
      <c r="Z397" s="385"/>
      <c r="AA397" s="385"/>
      <c r="AB397" s="385"/>
    </row>
    <row r="398" spans="1:28" ht="15.75" customHeight="1">
      <c r="A398" s="385"/>
      <c r="B398" s="385"/>
      <c r="C398" s="526"/>
      <c r="D398" s="385"/>
      <c r="E398" s="385"/>
      <c r="F398" s="385"/>
      <c r="G398" s="385"/>
      <c r="H398" s="30"/>
      <c r="I398" s="385"/>
      <c r="J398" s="385"/>
      <c r="K398" s="385"/>
      <c r="L398" s="385"/>
      <c r="M398" s="385"/>
      <c r="N398" s="385"/>
      <c r="O398" s="385"/>
      <c r="P398" s="385"/>
      <c r="Q398" s="385"/>
      <c r="R398" s="385"/>
      <c r="S398" s="385"/>
      <c r="T398" s="385"/>
      <c r="U398" s="385"/>
      <c r="V398" s="385"/>
      <c r="W398" s="385"/>
      <c r="X398" s="385"/>
      <c r="Y398" s="385"/>
      <c r="Z398" s="385"/>
      <c r="AA398" s="385"/>
      <c r="AB398" s="385"/>
    </row>
    <row r="399" spans="1:28" ht="15.75" customHeight="1">
      <c r="A399" s="385"/>
      <c r="B399" s="385"/>
      <c r="C399" s="526"/>
      <c r="D399" s="385"/>
      <c r="E399" s="385"/>
      <c r="F399" s="385"/>
      <c r="G399" s="385"/>
      <c r="H399" s="30"/>
      <c r="I399" s="385"/>
      <c r="J399" s="385"/>
      <c r="K399" s="385"/>
      <c r="L399" s="385"/>
      <c r="M399" s="385"/>
      <c r="N399" s="385"/>
      <c r="O399" s="385"/>
      <c r="P399" s="385"/>
      <c r="Q399" s="385"/>
      <c r="R399" s="385"/>
      <c r="S399" s="385"/>
      <c r="T399" s="385"/>
      <c r="U399" s="385"/>
      <c r="V399" s="385"/>
      <c r="W399" s="385"/>
      <c r="X399" s="385"/>
      <c r="Y399" s="385"/>
      <c r="Z399" s="385"/>
      <c r="AA399" s="385"/>
      <c r="AB399" s="385"/>
    </row>
    <row r="400" spans="1:28" ht="15.75" customHeight="1">
      <c r="A400" s="385"/>
      <c r="B400" s="385"/>
      <c r="C400" s="526"/>
      <c r="D400" s="385"/>
      <c r="E400" s="385"/>
      <c r="F400" s="385"/>
      <c r="G400" s="385"/>
      <c r="H400" s="30"/>
      <c r="I400" s="385"/>
      <c r="J400" s="385"/>
      <c r="K400" s="385"/>
      <c r="L400" s="385"/>
      <c r="M400" s="385"/>
      <c r="N400" s="385"/>
      <c r="O400" s="385"/>
      <c r="P400" s="385"/>
      <c r="Q400" s="385"/>
      <c r="R400" s="385"/>
      <c r="S400" s="385"/>
      <c r="T400" s="385"/>
      <c r="U400" s="385"/>
      <c r="V400" s="385"/>
      <c r="W400" s="385"/>
      <c r="X400" s="385"/>
      <c r="Y400" s="385"/>
      <c r="Z400" s="385"/>
      <c r="AA400" s="385"/>
      <c r="AB400" s="385"/>
    </row>
    <row r="401" spans="1:28" ht="15.75" customHeight="1">
      <c r="A401" s="385"/>
      <c r="B401" s="385"/>
      <c r="C401" s="526"/>
      <c r="D401" s="385"/>
      <c r="E401" s="385"/>
      <c r="F401" s="385"/>
      <c r="G401" s="385"/>
      <c r="H401" s="30"/>
      <c r="I401" s="385"/>
      <c r="J401" s="385"/>
      <c r="K401" s="385"/>
      <c r="L401" s="385"/>
      <c r="M401" s="385"/>
      <c r="N401" s="385"/>
      <c r="O401" s="385"/>
      <c r="P401" s="385"/>
      <c r="Q401" s="385"/>
      <c r="R401" s="385"/>
      <c r="S401" s="385"/>
      <c r="T401" s="385"/>
      <c r="U401" s="385"/>
      <c r="V401" s="385"/>
      <c r="W401" s="385"/>
      <c r="X401" s="385"/>
      <c r="Y401" s="385"/>
      <c r="Z401" s="385"/>
      <c r="AA401" s="385"/>
      <c r="AB401" s="385"/>
    </row>
    <row r="402" spans="1:28" ht="15.75" customHeight="1">
      <c r="A402" s="385"/>
      <c r="B402" s="385"/>
      <c r="C402" s="526"/>
      <c r="D402" s="385"/>
      <c r="E402" s="385"/>
      <c r="F402" s="385"/>
      <c r="G402" s="385"/>
      <c r="H402" s="30"/>
      <c r="I402" s="385"/>
      <c r="J402" s="385"/>
      <c r="K402" s="385"/>
      <c r="L402" s="385"/>
      <c r="M402" s="385"/>
      <c r="N402" s="385"/>
      <c r="O402" s="385"/>
      <c r="P402" s="385"/>
      <c r="Q402" s="385"/>
      <c r="R402" s="385"/>
      <c r="S402" s="385"/>
      <c r="T402" s="385"/>
      <c r="U402" s="385"/>
      <c r="V402" s="385"/>
      <c r="W402" s="385"/>
      <c r="X402" s="385"/>
      <c r="Y402" s="385"/>
      <c r="Z402" s="385"/>
      <c r="AA402" s="385"/>
      <c r="AB402" s="385"/>
    </row>
    <row r="403" spans="1:28" ht="15.75" customHeight="1">
      <c r="A403" s="385"/>
      <c r="B403" s="385"/>
      <c r="C403" s="526"/>
      <c r="D403" s="385"/>
      <c r="E403" s="385"/>
      <c r="F403" s="385"/>
      <c r="G403" s="385"/>
      <c r="H403" s="30"/>
      <c r="I403" s="385"/>
      <c r="J403" s="385"/>
      <c r="K403" s="385"/>
      <c r="L403" s="385"/>
      <c r="M403" s="385"/>
      <c r="N403" s="385"/>
      <c r="O403" s="385"/>
      <c r="P403" s="385"/>
      <c r="Q403" s="385"/>
      <c r="R403" s="385"/>
      <c r="S403" s="385"/>
      <c r="T403" s="385"/>
      <c r="U403" s="385"/>
      <c r="V403" s="385"/>
      <c r="W403" s="385"/>
      <c r="X403" s="385"/>
      <c r="Y403" s="385"/>
      <c r="Z403" s="385"/>
      <c r="AA403" s="385"/>
      <c r="AB403" s="385"/>
    </row>
    <row r="404" spans="1:28" ht="15.75" customHeight="1">
      <c r="A404" s="385"/>
      <c r="B404" s="385"/>
      <c r="C404" s="526"/>
      <c r="D404" s="385"/>
      <c r="E404" s="385"/>
      <c r="F404" s="385"/>
      <c r="G404" s="385"/>
      <c r="H404" s="30"/>
      <c r="I404" s="385"/>
      <c r="J404" s="385"/>
      <c r="K404" s="385"/>
      <c r="L404" s="385"/>
      <c r="M404" s="385"/>
      <c r="N404" s="385"/>
      <c r="O404" s="385"/>
      <c r="P404" s="385"/>
      <c r="Q404" s="385"/>
      <c r="R404" s="385"/>
      <c r="S404" s="385"/>
      <c r="T404" s="385"/>
      <c r="U404" s="385"/>
      <c r="V404" s="385"/>
      <c r="W404" s="385"/>
      <c r="X404" s="385"/>
      <c r="Y404" s="385"/>
      <c r="Z404" s="385"/>
      <c r="AA404" s="385"/>
      <c r="AB404" s="385"/>
    </row>
    <row r="405" spans="1:28" ht="15.75" customHeight="1">
      <c r="A405" s="385"/>
      <c r="B405" s="385"/>
      <c r="C405" s="526"/>
      <c r="D405" s="385"/>
      <c r="E405" s="385"/>
      <c r="F405" s="385"/>
      <c r="G405" s="385"/>
      <c r="H405" s="30"/>
      <c r="I405" s="385"/>
      <c r="J405" s="385"/>
      <c r="K405" s="385"/>
      <c r="L405" s="385"/>
      <c r="M405" s="385"/>
      <c r="N405" s="385"/>
      <c r="O405" s="385"/>
      <c r="P405" s="385"/>
      <c r="Q405" s="385"/>
      <c r="R405" s="385"/>
      <c r="S405" s="385"/>
      <c r="T405" s="385"/>
      <c r="U405" s="385"/>
      <c r="V405" s="385"/>
      <c r="W405" s="385"/>
      <c r="X405" s="385"/>
      <c r="Y405" s="385"/>
      <c r="Z405" s="385"/>
      <c r="AA405" s="385"/>
      <c r="AB405" s="385"/>
    </row>
    <row r="406" spans="1:28" ht="15.75" customHeight="1">
      <c r="A406" s="385"/>
      <c r="B406" s="385"/>
      <c r="C406" s="526"/>
      <c r="D406" s="385"/>
      <c r="E406" s="385"/>
      <c r="F406" s="385"/>
      <c r="G406" s="385"/>
      <c r="H406" s="30"/>
      <c r="I406" s="385"/>
      <c r="J406" s="385"/>
      <c r="K406" s="385"/>
      <c r="L406" s="385"/>
      <c r="M406" s="385"/>
      <c r="N406" s="385"/>
      <c r="O406" s="385"/>
      <c r="P406" s="385"/>
      <c r="Q406" s="385"/>
      <c r="R406" s="385"/>
      <c r="S406" s="385"/>
      <c r="T406" s="385"/>
      <c r="U406" s="385"/>
      <c r="V406" s="385"/>
      <c r="W406" s="385"/>
      <c r="X406" s="385"/>
      <c r="Y406" s="385"/>
      <c r="Z406" s="385"/>
      <c r="AA406" s="385"/>
      <c r="AB406" s="385"/>
    </row>
    <row r="407" spans="1:28" ht="15.75" customHeight="1">
      <c r="A407" s="385"/>
      <c r="B407" s="385"/>
      <c r="C407" s="526"/>
      <c r="D407" s="385"/>
      <c r="E407" s="385"/>
      <c r="F407" s="385"/>
      <c r="G407" s="385"/>
      <c r="H407" s="30"/>
      <c r="I407" s="385"/>
      <c r="J407" s="385"/>
      <c r="K407" s="385"/>
      <c r="L407" s="385"/>
      <c r="M407" s="385"/>
      <c r="N407" s="385"/>
      <c r="O407" s="385"/>
      <c r="P407" s="385"/>
      <c r="Q407" s="385"/>
      <c r="R407" s="385"/>
      <c r="S407" s="385"/>
      <c r="T407" s="385"/>
      <c r="U407" s="385"/>
      <c r="V407" s="385"/>
      <c r="W407" s="385"/>
      <c r="X407" s="385"/>
      <c r="Y407" s="385"/>
      <c r="Z407" s="385"/>
      <c r="AA407" s="385"/>
      <c r="AB407" s="385"/>
    </row>
    <row r="408" spans="1:28" ht="15.75" customHeight="1">
      <c r="A408" s="385"/>
      <c r="B408" s="385"/>
      <c r="C408" s="526"/>
      <c r="D408" s="385"/>
      <c r="E408" s="385"/>
      <c r="F408" s="385"/>
      <c r="G408" s="385"/>
      <c r="H408" s="30"/>
      <c r="I408" s="385"/>
      <c r="J408" s="385"/>
      <c r="K408" s="385"/>
      <c r="L408" s="385"/>
      <c r="M408" s="385"/>
      <c r="N408" s="385"/>
      <c r="O408" s="385"/>
      <c r="P408" s="385"/>
      <c r="Q408" s="385"/>
      <c r="R408" s="385"/>
      <c r="S408" s="385"/>
      <c r="T408" s="385"/>
      <c r="U408" s="385"/>
      <c r="V408" s="385"/>
      <c r="W408" s="385"/>
      <c r="X408" s="385"/>
      <c r="Y408" s="385"/>
      <c r="Z408" s="385"/>
      <c r="AA408" s="385"/>
      <c r="AB408" s="385"/>
    </row>
    <row r="409" spans="1:28" ht="15.75" customHeight="1">
      <c r="A409" s="385"/>
      <c r="B409" s="385"/>
      <c r="C409" s="526"/>
      <c r="D409" s="385"/>
      <c r="E409" s="385"/>
      <c r="F409" s="385"/>
      <c r="G409" s="385"/>
      <c r="H409" s="30"/>
      <c r="I409" s="385"/>
      <c r="J409" s="385"/>
      <c r="K409" s="385"/>
      <c r="L409" s="385"/>
      <c r="M409" s="385"/>
      <c r="N409" s="385"/>
      <c r="O409" s="385"/>
      <c r="P409" s="385"/>
      <c r="Q409" s="385"/>
      <c r="R409" s="385"/>
      <c r="S409" s="385"/>
      <c r="T409" s="385"/>
      <c r="U409" s="385"/>
      <c r="V409" s="385"/>
      <c r="W409" s="385"/>
      <c r="X409" s="385"/>
      <c r="Y409" s="385"/>
      <c r="Z409" s="385"/>
      <c r="AA409" s="385"/>
      <c r="AB409" s="385"/>
    </row>
    <row r="410" spans="1:28" ht="15.75" customHeight="1">
      <c r="A410" s="385"/>
      <c r="B410" s="385"/>
      <c r="C410" s="526"/>
      <c r="D410" s="385"/>
      <c r="E410" s="385"/>
      <c r="F410" s="385"/>
      <c r="G410" s="385"/>
      <c r="H410" s="30"/>
      <c r="I410" s="385"/>
      <c r="J410" s="385"/>
      <c r="K410" s="385"/>
      <c r="L410" s="385"/>
      <c r="M410" s="385"/>
      <c r="N410" s="385"/>
      <c r="O410" s="385"/>
      <c r="P410" s="385"/>
      <c r="Q410" s="385"/>
      <c r="R410" s="385"/>
      <c r="S410" s="385"/>
      <c r="T410" s="385"/>
      <c r="U410" s="385"/>
      <c r="V410" s="385"/>
      <c r="W410" s="385"/>
      <c r="X410" s="385"/>
      <c r="Y410" s="385"/>
      <c r="Z410" s="385"/>
      <c r="AA410" s="385"/>
      <c r="AB410" s="385"/>
    </row>
    <row r="411" spans="1:28" ht="15.75" customHeight="1">
      <c r="A411" s="385"/>
      <c r="B411" s="385"/>
      <c r="C411" s="526"/>
      <c r="D411" s="385"/>
      <c r="E411" s="385"/>
      <c r="F411" s="385"/>
      <c r="G411" s="385"/>
      <c r="H411" s="30"/>
      <c r="I411" s="385"/>
      <c r="J411" s="385"/>
      <c r="K411" s="385"/>
      <c r="L411" s="385"/>
      <c r="M411" s="385"/>
      <c r="N411" s="385"/>
      <c r="O411" s="385"/>
      <c r="P411" s="385"/>
      <c r="Q411" s="385"/>
      <c r="R411" s="385"/>
      <c r="S411" s="385"/>
      <c r="T411" s="385"/>
      <c r="U411" s="385"/>
      <c r="V411" s="385"/>
      <c r="W411" s="385"/>
      <c r="X411" s="385"/>
      <c r="Y411" s="385"/>
      <c r="Z411" s="385"/>
      <c r="AA411" s="385"/>
      <c r="AB411" s="385"/>
    </row>
    <row r="412" spans="1:28" ht="15.75" customHeight="1">
      <c r="A412" s="385"/>
      <c r="B412" s="385"/>
      <c r="C412" s="526"/>
      <c r="D412" s="385"/>
      <c r="E412" s="385"/>
      <c r="F412" s="385"/>
      <c r="G412" s="385"/>
      <c r="H412" s="30"/>
      <c r="I412" s="385"/>
      <c r="J412" s="385"/>
      <c r="K412" s="385"/>
      <c r="L412" s="385"/>
      <c r="M412" s="385"/>
      <c r="N412" s="385"/>
      <c r="O412" s="385"/>
      <c r="P412" s="385"/>
      <c r="Q412" s="385"/>
      <c r="R412" s="385"/>
      <c r="S412" s="385"/>
      <c r="T412" s="385"/>
      <c r="U412" s="385"/>
      <c r="V412" s="385"/>
      <c r="W412" s="385"/>
      <c r="X412" s="385"/>
      <c r="Y412" s="385"/>
      <c r="Z412" s="385"/>
      <c r="AA412" s="385"/>
      <c r="AB412" s="385"/>
    </row>
    <row r="413" spans="1:28" ht="15.75" customHeight="1">
      <c r="A413" s="385"/>
      <c r="B413" s="385"/>
      <c r="C413" s="526"/>
      <c r="D413" s="385"/>
      <c r="E413" s="385"/>
      <c r="F413" s="385"/>
      <c r="G413" s="385"/>
      <c r="H413" s="30"/>
      <c r="I413" s="385"/>
      <c r="J413" s="385"/>
      <c r="K413" s="385"/>
      <c r="L413" s="385"/>
      <c r="M413" s="385"/>
      <c r="N413" s="385"/>
      <c r="O413" s="385"/>
      <c r="P413" s="385"/>
      <c r="Q413" s="385"/>
      <c r="R413" s="385"/>
      <c r="S413" s="385"/>
      <c r="T413" s="385"/>
      <c r="U413" s="385"/>
      <c r="V413" s="385"/>
      <c r="W413" s="385"/>
      <c r="X413" s="385"/>
      <c r="Y413" s="385"/>
      <c r="Z413" s="385"/>
      <c r="AA413" s="385"/>
      <c r="AB413" s="385"/>
    </row>
    <row r="414" spans="1:28" ht="15.75" customHeight="1">
      <c r="A414" s="385"/>
      <c r="B414" s="385"/>
      <c r="C414" s="526"/>
      <c r="D414" s="385"/>
      <c r="E414" s="385"/>
      <c r="F414" s="385"/>
      <c r="G414" s="385"/>
      <c r="H414" s="30"/>
      <c r="I414" s="385"/>
      <c r="J414" s="385"/>
      <c r="K414" s="385"/>
      <c r="L414" s="385"/>
      <c r="M414" s="385"/>
      <c r="N414" s="385"/>
      <c r="O414" s="385"/>
      <c r="P414" s="385"/>
      <c r="Q414" s="385"/>
      <c r="R414" s="385"/>
      <c r="S414" s="385"/>
      <c r="T414" s="385"/>
      <c r="U414" s="385"/>
      <c r="V414" s="385"/>
      <c r="W414" s="385"/>
      <c r="X414" s="385"/>
      <c r="Y414" s="385"/>
      <c r="Z414" s="385"/>
      <c r="AA414" s="385"/>
      <c r="AB414" s="385"/>
    </row>
    <row r="415" spans="1:28" ht="15.75" customHeight="1">
      <c r="A415" s="385"/>
      <c r="B415" s="385"/>
      <c r="C415" s="526"/>
      <c r="D415" s="385"/>
      <c r="E415" s="385"/>
      <c r="F415" s="385"/>
      <c r="G415" s="385"/>
      <c r="H415" s="30"/>
      <c r="I415" s="385"/>
      <c r="J415" s="385"/>
      <c r="K415" s="385"/>
      <c r="L415" s="385"/>
      <c r="M415" s="385"/>
      <c r="N415" s="385"/>
      <c r="O415" s="385"/>
      <c r="P415" s="385"/>
      <c r="Q415" s="385"/>
      <c r="R415" s="385"/>
      <c r="S415" s="385"/>
      <c r="T415" s="385"/>
      <c r="U415" s="385"/>
      <c r="V415" s="385"/>
      <c r="W415" s="385"/>
      <c r="X415" s="385"/>
      <c r="Y415" s="385"/>
      <c r="Z415" s="385"/>
      <c r="AA415" s="385"/>
      <c r="AB415" s="385"/>
    </row>
    <row r="416" spans="1:28" ht="15.75" customHeight="1">
      <c r="A416" s="385"/>
      <c r="B416" s="385"/>
      <c r="C416" s="526"/>
      <c r="D416" s="385"/>
      <c r="E416" s="385"/>
      <c r="F416" s="385"/>
      <c r="G416" s="385"/>
      <c r="H416" s="30"/>
      <c r="I416" s="385"/>
      <c r="J416" s="385"/>
      <c r="K416" s="385"/>
      <c r="L416" s="385"/>
      <c r="M416" s="385"/>
      <c r="N416" s="385"/>
      <c r="O416" s="385"/>
      <c r="P416" s="385"/>
      <c r="Q416" s="385"/>
      <c r="R416" s="385"/>
      <c r="S416" s="385"/>
      <c r="T416" s="385"/>
      <c r="U416" s="385"/>
      <c r="V416" s="385"/>
      <c r="W416" s="385"/>
      <c r="X416" s="385"/>
      <c r="Y416" s="385"/>
      <c r="Z416" s="385"/>
      <c r="AA416" s="385"/>
      <c r="AB416" s="385"/>
    </row>
    <row r="417" spans="1:28" ht="15.75" customHeight="1">
      <c r="A417" s="385"/>
      <c r="B417" s="385"/>
      <c r="C417" s="526"/>
      <c r="D417" s="385"/>
      <c r="E417" s="385"/>
      <c r="F417" s="385"/>
      <c r="G417" s="385"/>
      <c r="H417" s="30"/>
      <c r="I417" s="385"/>
      <c r="J417" s="385"/>
      <c r="K417" s="385"/>
      <c r="L417" s="385"/>
      <c r="M417" s="385"/>
      <c r="N417" s="385"/>
      <c r="O417" s="385"/>
      <c r="P417" s="385"/>
      <c r="Q417" s="385"/>
      <c r="R417" s="385"/>
      <c r="S417" s="385"/>
      <c r="T417" s="385"/>
      <c r="U417" s="385"/>
      <c r="V417" s="385"/>
      <c r="W417" s="385"/>
      <c r="X417" s="385"/>
      <c r="Y417" s="385"/>
      <c r="Z417" s="385"/>
      <c r="AA417" s="385"/>
      <c r="AB417" s="385"/>
    </row>
    <row r="418" spans="1:28" ht="15.75" customHeight="1">
      <c r="A418" s="385"/>
      <c r="B418" s="385"/>
      <c r="C418" s="526"/>
      <c r="D418" s="385"/>
      <c r="E418" s="385"/>
      <c r="F418" s="385"/>
      <c r="G418" s="385"/>
      <c r="H418" s="30"/>
      <c r="I418" s="385"/>
      <c r="J418" s="385"/>
      <c r="K418" s="385"/>
      <c r="L418" s="385"/>
      <c r="M418" s="385"/>
      <c r="N418" s="385"/>
      <c r="O418" s="385"/>
      <c r="P418" s="385"/>
      <c r="Q418" s="385"/>
      <c r="R418" s="385"/>
      <c r="S418" s="385"/>
      <c r="T418" s="385"/>
      <c r="U418" s="385"/>
      <c r="V418" s="385"/>
      <c r="W418" s="385"/>
      <c r="X418" s="385"/>
      <c r="Y418" s="385"/>
      <c r="Z418" s="385"/>
      <c r="AA418" s="385"/>
      <c r="AB418" s="385"/>
    </row>
    <row r="419" spans="1:28" ht="15.75" customHeight="1">
      <c r="A419" s="385"/>
      <c r="B419" s="385"/>
      <c r="C419" s="526"/>
      <c r="D419" s="385"/>
      <c r="E419" s="385"/>
      <c r="F419" s="385"/>
      <c r="G419" s="385"/>
      <c r="H419" s="30"/>
      <c r="I419" s="385"/>
      <c r="J419" s="385"/>
      <c r="K419" s="385"/>
      <c r="L419" s="385"/>
      <c r="M419" s="385"/>
      <c r="N419" s="385"/>
      <c r="O419" s="385"/>
      <c r="P419" s="385"/>
      <c r="Q419" s="385"/>
      <c r="R419" s="385"/>
      <c r="S419" s="385"/>
      <c r="T419" s="385"/>
      <c r="U419" s="385"/>
      <c r="V419" s="385"/>
      <c r="W419" s="385"/>
      <c r="X419" s="385"/>
      <c r="Y419" s="385"/>
      <c r="Z419" s="385"/>
      <c r="AA419" s="385"/>
      <c r="AB419" s="385"/>
    </row>
    <row r="420" spans="1:28" ht="15.75" customHeight="1">
      <c r="A420" s="385"/>
      <c r="B420" s="385"/>
      <c r="C420" s="526"/>
      <c r="D420" s="385"/>
      <c r="E420" s="385"/>
      <c r="F420" s="385"/>
      <c r="G420" s="385"/>
      <c r="H420" s="30"/>
      <c r="I420" s="385"/>
      <c r="J420" s="385"/>
      <c r="K420" s="385"/>
      <c r="L420" s="385"/>
      <c r="M420" s="385"/>
      <c r="N420" s="385"/>
      <c r="O420" s="385"/>
      <c r="P420" s="385"/>
      <c r="Q420" s="385"/>
      <c r="R420" s="385"/>
      <c r="S420" s="385"/>
      <c r="T420" s="385"/>
      <c r="U420" s="385"/>
      <c r="V420" s="385"/>
      <c r="W420" s="385"/>
      <c r="X420" s="385"/>
      <c r="Y420" s="385"/>
      <c r="Z420" s="385"/>
      <c r="AA420" s="385"/>
      <c r="AB420" s="385"/>
    </row>
    <row r="421" spans="1:28" ht="15.75" customHeight="1">
      <c r="A421" s="385"/>
      <c r="B421" s="385"/>
      <c r="C421" s="526"/>
      <c r="D421" s="385"/>
      <c r="E421" s="385"/>
      <c r="F421" s="385"/>
      <c r="G421" s="385"/>
      <c r="H421" s="30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</row>
    <row r="422" spans="1:28" ht="15.75" customHeight="1">
      <c r="A422" s="385"/>
      <c r="B422" s="385"/>
      <c r="C422" s="526"/>
      <c r="D422" s="385"/>
      <c r="E422" s="385"/>
      <c r="F422" s="385"/>
      <c r="G422" s="385"/>
      <c r="H422" s="30"/>
      <c r="I422" s="385"/>
      <c r="J422" s="385"/>
      <c r="K422" s="385"/>
      <c r="L422" s="385"/>
      <c r="M422" s="385"/>
      <c r="N422" s="385"/>
      <c r="O422" s="385"/>
      <c r="P422" s="385"/>
      <c r="Q422" s="385"/>
      <c r="R422" s="385"/>
      <c r="S422" s="385"/>
      <c r="T422" s="385"/>
      <c r="U422" s="385"/>
      <c r="V422" s="385"/>
      <c r="W422" s="385"/>
      <c r="X422" s="385"/>
      <c r="Y422" s="385"/>
      <c r="Z422" s="385"/>
      <c r="AA422" s="385"/>
      <c r="AB422" s="385"/>
    </row>
    <row r="423" spans="1:28" ht="15.75" customHeight="1">
      <c r="A423" s="385"/>
      <c r="B423" s="385"/>
      <c r="C423" s="526"/>
      <c r="D423" s="385"/>
      <c r="E423" s="385"/>
      <c r="F423" s="385"/>
      <c r="G423" s="385"/>
      <c r="H423" s="30"/>
      <c r="I423" s="385"/>
      <c r="J423" s="385"/>
      <c r="K423" s="385"/>
      <c r="L423" s="385"/>
      <c r="M423" s="385"/>
      <c r="N423" s="385"/>
      <c r="O423" s="385"/>
      <c r="P423" s="385"/>
      <c r="Q423" s="385"/>
      <c r="R423" s="385"/>
      <c r="S423" s="385"/>
      <c r="T423" s="385"/>
      <c r="U423" s="385"/>
      <c r="V423" s="385"/>
      <c r="W423" s="385"/>
      <c r="X423" s="385"/>
      <c r="Y423" s="385"/>
      <c r="Z423" s="385"/>
      <c r="AA423" s="385"/>
      <c r="AB423" s="385"/>
    </row>
    <row r="424" spans="1:28" ht="15.75" customHeight="1">
      <c r="A424" s="385"/>
      <c r="B424" s="385"/>
      <c r="C424" s="526"/>
      <c r="D424" s="385"/>
      <c r="E424" s="385"/>
      <c r="F424" s="385"/>
      <c r="G424" s="385"/>
      <c r="H424" s="30"/>
      <c r="I424" s="385"/>
      <c r="J424" s="385"/>
      <c r="K424" s="385"/>
      <c r="L424" s="385"/>
      <c r="M424" s="385"/>
      <c r="N424" s="385"/>
      <c r="O424" s="385"/>
      <c r="P424" s="385"/>
      <c r="Q424" s="385"/>
      <c r="R424" s="385"/>
      <c r="S424" s="385"/>
      <c r="T424" s="385"/>
      <c r="U424" s="385"/>
      <c r="V424" s="385"/>
      <c r="W424" s="385"/>
      <c r="X424" s="385"/>
      <c r="Y424" s="385"/>
      <c r="Z424" s="385"/>
      <c r="AA424" s="385"/>
      <c r="AB424" s="385"/>
    </row>
    <row r="425" spans="1:28" ht="15.75" customHeight="1">
      <c r="A425" s="385"/>
      <c r="B425" s="385"/>
      <c r="C425" s="526"/>
      <c r="D425" s="385"/>
      <c r="E425" s="385"/>
      <c r="F425" s="385"/>
      <c r="G425" s="385"/>
      <c r="H425" s="30"/>
      <c r="I425" s="385"/>
      <c r="J425" s="385"/>
      <c r="K425" s="385"/>
      <c r="L425" s="385"/>
      <c r="M425" s="385"/>
      <c r="N425" s="385"/>
      <c r="O425" s="385"/>
      <c r="P425" s="385"/>
      <c r="Q425" s="385"/>
      <c r="R425" s="385"/>
      <c r="S425" s="385"/>
      <c r="T425" s="385"/>
      <c r="U425" s="385"/>
      <c r="V425" s="385"/>
      <c r="W425" s="385"/>
      <c r="X425" s="385"/>
      <c r="Y425" s="385"/>
      <c r="Z425" s="385"/>
      <c r="AA425" s="385"/>
      <c r="AB425" s="385"/>
    </row>
    <row r="426" spans="1:28" ht="15.75" customHeight="1">
      <c r="A426" s="385"/>
      <c r="B426" s="385"/>
      <c r="C426" s="526"/>
      <c r="D426" s="385"/>
      <c r="E426" s="385"/>
      <c r="F426" s="385"/>
      <c r="G426" s="385"/>
      <c r="H426" s="30"/>
      <c r="I426" s="385"/>
      <c r="J426" s="385"/>
      <c r="K426" s="385"/>
      <c r="L426" s="385"/>
      <c r="M426" s="385"/>
      <c r="N426" s="385"/>
      <c r="O426" s="385"/>
      <c r="P426" s="385"/>
      <c r="Q426" s="385"/>
      <c r="R426" s="385"/>
      <c r="S426" s="385"/>
      <c r="T426" s="385"/>
      <c r="U426" s="385"/>
      <c r="V426" s="385"/>
      <c r="W426" s="385"/>
      <c r="X426" s="385"/>
      <c r="Y426" s="385"/>
      <c r="Z426" s="385"/>
      <c r="AA426" s="385"/>
      <c r="AB426" s="385"/>
    </row>
    <row r="427" spans="1:28" ht="15.75" customHeight="1">
      <c r="A427" s="385"/>
      <c r="B427" s="385"/>
      <c r="C427" s="526"/>
      <c r="D427" s="385"/>
      <c r="E427" s="385"/>
      <c r="F427" s="385"/>
      <c r="G427" s="385"/>
      <c r="H427" s="30"/>
      <c r="I427" s="385"/>
      <c r="J427" s="385"/>
      <c r="K427" s="385"/>
      <c r="L427" s="385"/>
      <c r="M427" s="385"/>
      <c r="N427" s="385"/>
      <c r="O427" s="385"/>
      <c r="P427" s="385"/>
      <c r="Q427" s="385"/>
      <c r="R427" s="385"/>
      <c r="S427" s="385"/>
      <c r="T427" s="385"/>
      <c r="U427" s="385"/>
      <c r="V427" s="385"/>
      <c r="W427" s="385"/>
      <c r="X427" s="385"/>
      <c r="Y427" s="385"/>
      <c r="Z427" s="385"/>
      <c r="AA427" s="385"/>
      <c r="AB427" s="385"/>
    </row>
    <row r="428" spans="1:28" ht="15.75" customHeight="1">
      <c r="A428" s="385"/>
      <c r="B428" s="385"/>
      <c r="C428" s="526"/>
      <c r="D428" s="385"/>
      <c r="E428" s="385"/>
      <c r="F428" s="385"/>
      <c r="G428" s="385"/>
      <c r="H428" s="30"/>
      <c r="I428" s="385"/>
      <c r="J428" s="385"/>
      <c r="K428" s="385"/>
      <c r="L428" s="385"/>
      <c r="M428" s="385"/>
      <c r="N428" s="385"/>
      <c r="O428" s="385"/>
      <c r="P428" s="385"/>
      <c r="Q428" s="385"/>
      <c r="R428" s="385"/>
      <c r="S428" s="385"/>
      <c r="T428" s="385"/>
      <c r="U428" s="385"/>
      <c r="V428" s="385"/>
      <c r="W428" s="385"/>
      <c r="X428" s="385"/>
      <c r="Y428" s="385"/>
      <c r="Z428" s="385"/>
      <c r="AA428" s="385"/>
      <c r="AB428" s="385"/>
    </row>
    <row r="429" spans="1:28" ht="15.75" customHeight="1">
      <c r="A429" s="385"/>
      <c r="B429" s="385"/>
      <c r="C429" s="526"/>
      <c r="D429" s="385"/>
      <c r="E429" s="385"/>
      <c r="F429" s="385"/>
      <c r="G429" s="385"/>
      <c r="H429" s="30"/>
      <c r="I429" s="385"/>
      <c r="J429" s="385"/>
      <c r="K429" s="385"/>
      <c r="L429" s="385"/>
      <c r="M429" s="385"/>
      <c r="N429" s="385"/>
      <c r="O429" s="385"/>
      <c r="P429" s="385"/>
      <c r="Q429" s="385"/>
      <c r="R429" s="385"/>
      <c r="S429" s="385"/>
      <c r="T429" s="385"/>
      <c r="U429" s="385"/>
      <c r="V429" s="385"/>
      <c r="W429" s="385"/>
      <c r="X429" s="385"/>
      <c r="Y429" s="385"/>
      <c r="Z429" s="385"/>
      <c r="AA429" s="385"/>
      <c r="AB429" s="385"/>
    </row>
    <row r="430" spans="1:28" ht="15.75" customHeight="1">
      <c r="A430" s="385"/>
      <c r="B430" s="385"/>
      <c r="C430" s="526"/>
      <c r="D430" s="385"/>
      <c r="E430" s="385"/>
      <c r="F430" s="385"/>
      <c r="G430" s="385"/>
      <c r="H430" s="30"/>
      <c r="I430" s="385"/>
      <c r="J430" s="385"/>
      <c r="K430" s="385"/>
      <c r="L430" s="385"/>
      <c r="M430" s="385"/>
      <c r="N430" s="385"/>
      <c r="O430" s="385"/>
      <c r="P430" s="385"/>
      <c r="Q430" s="385"/>
      <c r="R430" s="385"/>
      <c r="S430" s="385"/>
      <c r="T430" s="385"/>
      <c r="U430" s="385"/>
      <c r="V430" s="385"/>
      <c r="W430" s="385"/>
      <c r="X430" s="385"/>
      <c r="Y430" s="385"/>
      <c r="Z430" s="385"/>
      <c r="AA430" s="385"/>
      <c r="AB430" s="385"/>
    </row>
    <row r="431" spans="1:28" ht="15.75" customHeight="1">
      <c r="A431" s="385"/>
      <c r="B431" s="385"/>
      <c r="C431" s="526"/>
      <c r="D431" s="385"/>
      <c r="E431" s="385"/>
      <c r="F431" s="385"/>
      <c r="G431" s="385"/>
      <c r="H431" s="30"/>
      <c r="I431" s="385"/>
      <c r="J431" s="385"/>
      <c r="K431" s="385"/>
      <c r="L431" s="385"/>
      <c r="M431" s="385"/>
      <c r="N431" s="385"/>
      <c r="O431" s="385"/>
      <c r="P431" s="385"/>
      <c r="Q431" s="385"/>
      <c r="R431" s="385"/>
      <c r="S431" s="385"/>
      <c r="T431" s="385"/>
      <c r="U431" s="385"/>
      <c r="V431" s="385"/>
      <c r="W431" s="385"/>
      <c r="X431" s="385"/>
      <c r="Y431" s="385"/>
      <c r="Z431" s="385"/>
      <c r="AA431" s="385"/>
      <c r="AB431" s="385"/>
    </row>
    <row r="432" spans="1:28" ht="15.75" customHeight="1">
      <c r="A432" s="385"/>
      <c r="B432" s="385"/>
      <c r="C432" s="526"/>
      <c r="D432" s="385"/>
      <c r="E432" s="385"/>
      <c r="F432" s="385"/>
      <c r="G432" s="385"/>
      <c r="H432" s="30"/>
      <c r="I432" s="385"/>
      <c r="J432" s="385"/>
      <c r="K432" s="385"/>
      <c r="L432" s="385"/>
      <c r="M432" s="385"/>
      <c r="N432" s="385"/>
      <c r="O432" s="385"/>
      <c r="P432" s="385"/>
      <c r="Q432" s="385"/>
      <c r="R432" s="385"/>
      <c r="S432" s="385"/>
      <c r="T432" s="385"/>
      <c r="U432" s="385"/>
      <c r="V432" s="385"/>
      <c r="W432" s="385"/>
      <c r="X432" s="385"/>
      <c r="Y432" s="385"/>
      <c r="Z432" s="385"/>
      <c r="AA432" s="385"/>
      <c r="AB432" s="385"/>
    </row>
    <row r="433" spans="1:28" ht="15.75" customHeight="1">
      <c r="A433" s="385"/>
      <c r="B433" s="385"/>
      <c r="C433" s="526"/>
      <c r="D433" s="385"/>
      <c r="E433" s="385"/>
      <c r="F433" s="385"/>
      <c r="G433" s="385"/>
      <c r="H433" s="30"/>
      <c r="I433" s="385"/>
      <c r="J433" s="385"/>
      <c r="K433" s="385"/>
      <c r="L433" s="385"/>
      <c r="M433" s="385"/>
      <c r="N433" s="385"/>
      <c r="O433" s="385"/>
      <c r="P433" s="385"/>
      <c r="Q433" s="385"/>
      <c r="R433" s="385"/>
      <c r="S433" s="385"/>
      <c r="T433" s="385"/>
      <c r="U433" s="385"/>
      <c r="V433" s="385"/>
      <c r="W433" s="385"/>
      <c r="X433" s="385"/>
      <c r="Y433" s="385"/>
      <c r="Z433" s="385"/>
      <c r="AA433" s="385"/>
      <c r="AB433" s="385"/>
    </row>
    <row r="434" spans="1:28" ht="15.75" customHeight="1">
      <c r="A434" s="385"/>
      <c r="B434" s="385"/>
      <c r="C434" s="526"/>
      <c r="D434" s="385"/>
      <c r="E434" s="385"/>
      <c r="F434" s="385"/>
      <c r="G434" s="385"/>
      <c r="H434" s="30"/>
      <c r="I434" s="385"/>
      <c r="J434" s="385"/>
      <c r="K434" s="385"/>
      <c r="L434" s="385"/>
      <c r="M434" s="385"/>
      <c r="N434" s="385"/>
      <c r="O434" s="385"/>
      <c r="P434" s="385"/>
      <c r="Q434" s="385"/>
      <c r="R434" s="385"/>
      <c r="S434" s="385"/>
      <c r="T434" s="385"/>
      <c r="U434" s="385"/>
      <c r="V434" s="385"/>
      <c r="W434" s="385"/>
      <c r="X434" s="385"/>
      <c r="Y434" s="385"/>
      <c r="Z434" s="385"/>
      <c r="AA434" s="385"/>
      <c r="AB434" s="385"/>
    </row>
    <row r="435" spans="1:28" ht="15.75" customHeight="1">
      <c r="A435" s="385"/>
      <c r="B435" s="385"/>
      <c r="C435" s="526"/>
      <c r="D435" s="385"/>
      <c r="E435" s="385"/>
      <c r="F435" s="385"/>
      <c r="G435" s="385"/>
      <c r="H435" s="30"/>
      <c r="I435" s="385"/>
      <c r="J435" s="385"/>
      <c r="K435" s="385"/>
      <c r="L435" s="385"/>
      <c r="M435" s="385"/>
      <c r="N435" s="385"/>
      <c r="O435" s="385"/>
      <c r="P435" s="385"/>
      <c r="Q435" s="385"/>
      <c r="R435" s="385"/>
      <c r="S435" s="385"/>
      <c r="T435" s="385"/>
      <c r="U435" s="385"/>
      <c r="V435" s="385"/>
      <c r="W435" s="385"/>
      <c r="X435" s="385"/>
      <c r="Y435" s="385"/>
      <c r="Z435" s="385"/>
      <c r="AA435" s="385"/>
      <c r="AB435" s="385"/>
    </row>
    <row r="436" spans="1:28" ht="15.75" customHeight="1">
      <c r="A436" s="385"/>
      <c r="B436" s="385"/>
      <c r="C436" s="526"/>
      <c r="D436" s="385"/>
      <c r="E436" s="385"/>
      <c r="F436" s="385"/>
      <c r="G436" s="385"/>
      <c r="H436" s="30"/>
      <c r="I436" s="385"/>
      <c r="J436" s="385"/>
      <c r="K436" s="385"/>
      <c r="L436" s="385"/>
      <c r="M436" s="385"/>
      <c r="N436" s="385"/>
      <c r="O436" s="385"/>
      <c r="P436" s="385"/>
      <c r="Q436" s="385"/>
      <c r="R436" s="385"/>
      <c r="S436" s="385"/>
      <c r="T436" s="385"/>
      <c r="U436" s="385"/>
      <c r="V436" s="385"/>
      <c r="W436" s="385"/>
      <c r="X436" s="385"/>
      <c r="Y436" s="385"/>
      <c r="Z436" s="385"/>
      <c r="AA436" s="385"/>
      <c r="AB436" s="385"/>
    </row>
    <row r="437" spans="1:28" ht="15.75" customHeight="1">
      <c r="A437" s="385"/>
      <c r="B437" s="385"/>
      <c r="C437" s="526"/>
      <c r="D437" s="385"/>
      <c r="E437" s="385"/>
      <c r="F437" s="385"/>
      <c r="G437" s="385"/>
      <c r="H437" s="30"/>
      <c r="I437" s="385"/>
      <c r="J437" s="385"/>
      <c r="K437" s="385"/>
      <c r="L437" s="385"/>
      <c r="M437" s="385"/>
      <c r="N437" s="385"/>
      <c r="O437" s="385"/>
      <c r="P437" s="385"/>
      <c r="Q437" s="385"/>
      <c r="R437" s="385"/>
      <c r="S437" s="385"/>
      <c r="T437" s="385"/>
      <c r="U437" s="385"/>
      <c r="V437" s="385"/>
      <c r="W437" s="385"/>
      <c r="X437" s="385"/>
      <c r="Y437" s="385"/>
      <c r="Z437" s="385"/>
      <c r="AA437" s="385"/>
      <c r="AB437" s="385"/>
    </row>
    <row r="438" spans="1:28" ht="15.75" customHeight="1">
      <c r="A438" s="385"/>
      <c r="B438" s="385"/>
      <c r="C438" s="526"/>
      <c r="D438" s="385"/>
      <c r="E438" s="385"/>
      <c r="F438" s="385"/>
      <c r="G438" s="385"/>
      <c r="H438" s="30"/>
      <c r="I438" s="385"/>
      <c r="J438" s="385"/>
      <c r="K438" s="385"/>
      <c r="L438" s="385"/>
      <c r="M438" s="385"/>
      <c r="N438" s="385"/>
      <c r="O438" s="385"/>
      <c r="P438" s="385"/>
      <c r="Q438" s="385"/>
      <c r="R438" s="385"/>
      <c r="S438" s="385"/>
      <c r="T438" s="385"/>
      <c r="U438" s="385"/>
      <c r="V438" s="385"/>
      <c r="W438" s="385"/>
      <c r="X438" s="385"/>
      <c r="Y438" s="385"/>
      <c r="Z438" s="385"/>
      <c r="AA438" s="385"/>
      <c r="AB438" s="385"/>
    </row>
    <row r="439" spans="1:28" ht="15.75" customHeight="1">
      <c r="A439" s="385"/>
      <c r="B439" s="385"/>
      <c r="C439" s="526"/>
      <c r="D439" s="385"/>
      <c r="E439" s="385"/>
      <c r="F439" s="385"/>
      <c r="G439" s="385"/>
      <c r="H439" s="30"/>
      <c r="I439" s="385"/>
      <c r="J439" s="385"/>
      <c r="K439" s="385"/>
      <c r="L439" s="385"/>
      <c r="M439" s="385"/>
      <c r="N439" s="385"/>
      <c r="O439" s="385"/>
      <c r="P439" s="385"/>
      <c r="Q439" s="385"/>
      <c r="R439" s="385"/>
      <c r="S439" s="385"/>
      <c r="T439" s="385"/>
      <c r="U439" s="385"/>
      <c r="V439" s="385"/>
      <c r="W439" s="385"/>
      <c r="X439" s="385"/>
      <c r="Y439" s="385"/>
      <c r="Z439" s="385"/>
      <c r="AA439" s="385"/>
      <c r="AB439" s="385"/>
    </row>
    <row r="440" spans="1:28" ht="15.75" customHeight="1">
      <c r="A440" s="385"/>
      <c r="B440" s="385"/>
      <c r="C440" s="526"/>
      <c r="D440" s="385"/>
      <c r="E440" s="385"/>
      <c r="F440" s="385"/>
      <c r="G440" s="385"/>
      <c r="H440" s="30"/>
      <c r="I440" s="385"/>
      <c r="J440" s="385"/>
      <c r="K440" s="385"/>
      <c r="L440" s="385"/>
      <c r="M440" s="385"/>
      <c r="N440" s="385"/>
      <c r="O440" s="385"/>
      <c r="P440" s="385"/>
      <c r="Q440" s="385"/>
      <c r="R440" s="385"/>
      <c r="S440" s="385"/>
      <c r="T440" s="385"/>
      <c r="U440" s="385"/>
      <c r="V440" s="385"/>
      <c r="W440" s="385"/>
      <c r="X440" s="385"/>
      <c r="Y440" s="385"/>
      <c r="Z440" s="385"/>
      <c r="AA440" s="385"/>
      <c r="AB440" s="385"/>
    </row>
    <row r="441" spans="1:28" ht="15.75" customHeight="1">
      <c r="A441" s="385"/>
      <c r="B441" s="385"/>
      <c r="C441" s="526"/>
      <c r="D441" s="385"/>
      <c r="E441" s="385"/>
      <c r="F441" s="385"/>
      <c r="G441" s="385"/>
      <c r="H441" s="30"/>
      <c r="I441" s="385"/>
      <c r="J441" s="385"/>
      <c r="K441" s="385"/>
      <c r="L441" s="385"/>
      <c r="M441" s="385"/>
      <c r="N441" s="385"/>
      <c r="O441" s="385"/>
      <c r="P441" s="385"/>
      <c r="Q441" s="385"/>
      <c r="R441" s="385"/>
      <c r="S441" s="385"/>
      <c r="T441" s="385"/>
      <c r="U441" s="385"/>
      <c r="V441" s="385"/>
      <c r="W441" s="385"/>
      <c r="X441" s="385"/>
      <c r="Y441" s="385"/>
      <c r="Z441" s="385"/>
      <c r="AA441" s="385"/>
      <c r="AB441" s="385"/>
    </row>
    <row r="442" spans="1:28" ht="15.75" customHeight="1">
      <c r="A442" s="385"/>
      <c r="B442" s="385"/>
      <c r="C442" s="526"/>
      <c r="D442" s="385"/>
      <c r="E442" s="385"/>
      <c r="F442" s="385"/>
      <c r="G442" s="385"/>
      <c r="H442" s="30"/>
      <c r="I442" s="385"/>
      <c r="J442" s="385"/>
      <c r="K442" s="385"/>
      <c r="L442" s="385"/>
      <c r="M442" s="385"/>
      <c r="N442" s="385"/>
      <c r="O442" s="385"/>
      <c r="P442" s="385"/>
      <c r="Q442" s="385"/>
      <c r="R442" s="385"/>
      <c r="S442" s="385"/>
      <c r="T442" s="385"/>
      <c r="U442" s="385"/>
      <c r="V442" s="385"/>
      <c r="W442" s="385"/>
      <c r="X442" s="385"/>
      <c r="Y442" s="385"/>
      <c r="Z442" s="385"/>
      <c r="AA442" s="385"/>
      <c r="AB442" s="385"/>
    </row>
    <row r="443" spans="1:28" ht="15.75" customHeight="1">
      <c r="A443" s="385"/>
      <c r="B443" s="385"/>
      <c r="C443" s="526"/>
      <c r="D443" s="385"/>
      <c r="E443" s="385"/>
      <c r="F443" s="385"/>
      <c r="G443" s="385"/>
      <c r="H443" s="30"/>
      <c r="I443" s="385"/>
      <c r="J443" s="385"/>
      <c r="K443" s="385"/>
      <c r="L443" s="385"/>
      <c r="M443" s="385"/>
      <c r="N443" s="385"/>
      <c r="O443" s="385"/>
      <c r="P443" s="385"/>
      <c r="Q443" s="385"/>
      <c r="R443" s="385"/>
      <c r="S443" s="385"/>
      <c r="T443" s="385"/>
      <c r="U443" s="385"/>
      <c r="V443" s="385"/>
      <c r="W443" s="385"/>
      <c r="X443" s="385"/>
      <c r="Y443" s="385"/>
      <c r="Z443" s="385"/>
      <c r="AA443" s="385"/>
      <c r="AB443" s="385"/>
    </row>
    <row r="444" spans="1:28" ht="15.75" customHeight="1">
      <c r="A444" s="385"/>
      <c r="B444" s="385"/>
      <c r="C444" s="526"/>
      <c r="D444" s="385"/>
      <c r="E444" s="385"/>
      <c r="F444" s="385"/>
      <c r="G444" s="385"/>
      <c r="H444" s="30"/>
      <c r="I444" s="385"/>
      <c r="J444" s="385"/>
      <c r="K444" s="385"/>
      <c r="L444" s="385"/>
      <c r="M444" s="385"/>
      <c r="N444" s="385"/>
      <c r="O444" s="385"/>
      <c r="P444" s="385"/>
      <c r="Q444" s="385"/>
      <c r="R444" s="385"/>
      <c r="S444" s="385"/>
      <c r="T444" s="385"/>
      <c r="U444" s="385"/>
      <c r="V444" s="385"/>
      <c r="W444" s="385"/>
      <c r="X444" s="385"/>
      <c r="Y444" s="385"/>
      <c r="Z444" s="385"/>
      <c r="AA444" s="385"/>
      <c r="AB444" s="385"/>
    </row>
    <row r="445" spans="1:28" ht="15.75" customHeight="1">
      <c r="A445" s="385"/>
      <c r="B445" s="385"/>
      <c r="C445" s="526"/>
      <c r="D445" s="385"/>
      <c r="E445" s="385"/>
      <c r="F445" s="385"/>
      <c r="G445" s="385"/>
      <c r="H445" s="30"/>
      <c r="I445" s="385"/>
      <c r="J445" s="385"/>
      <c r="K445" s="385"/>
      <c r="L445" s="385"/>
      <c r="M445" s="385"/>
      <c r="N445" s="385"/>
      <c r="O445" s="385"/>
      <c r="P445" s="385"/>
      <c r="Q445" s="385"/>
      <c r="R445" s="385"/>
      <c r="S445" s="385"/>
      <c r="T445" s="385"/>
      <c r="U445" s="385"/>
      <c r="V445" s="385"/>
      <c r="W445" s="385"/>
      <c r="X445" s="385"/>
      <c r="Y445" s="385"/>
      <c r="Z445" s="385"/>
      <c r="AA445" s="385"/>
      <c r="AB445" s="385"/>
    </row>
    <row r="446" spans="1:28" ht="15.75" customHeight="1">
      <c r="A446" s="385"/>
      <c r="B446" s="385"/>
      <c r="C446" s="526"/>
      <c r="D446" s="385"/>
      <c r="E446" s="385"/>
      <c r="F446" s="385"/>
      <c r="G446" s="385"/>
      <c r="H446" s="30"/>
      <c r="I446" s="385"/>
      <c r="J446" s="385"/>
      <c r="K446" s="385"/>
      <c r="L446" s="385"/>
      <c r="M446" s="385"/>
      <c r="N446" s="385"/>
      <c r="O446" s="385"/>
      <c r="P446" s="385"/>
      <c r="Q446" s="385"/>
      <c r="R446" s="385"/>
      <c r="S446" s="385"/>
      <c r="T446" s="385"/>
      <c r="U446" s="385"/>
      <c r="V446" s="385"/>
      <c r="W446" s="385"/>
      <c r="X446" s="385"/>
      <c r="Y446" s="385"/>
      <c r="Z446" s="385"/>
      <c r="AA446" s="385"/>
      <c r="AB446" s="385"/>
    </row>
    <row r="447" spans="1:28" ht="15.75" customHeight="1">
      <c r="A447" s="385"/>
      <c r="B447" s="385"/>
      <c r="C447" s="526"/>
      <c r="D447" s="385"/>
      <c r="E447" s="385"/>
      <c r="F447" s="385"/>
      <c r="G447" s="385"/>
      <c r="H447" s="30"/>
      <c r="I447" s="385"/>
      <c r="J447" s="385"/>
      <c r="K447" s="385"/>
      <c r="L447" s="385"/>
      <c r="M447" s="385"/>
      <c r="N447" s="385"/>
      <c r="O447" s="385"/>
      <c r="P447" s="385"/>
      <c r="Q447" s="385"/>
      <c r="R447" s="385"/>
      <c r="S447" s="385"/>
      <c r="T447" s="385"/>
      <c r="U447" s="385"/>
      <c r="V447" s="385"/>
      <c r="W447" s="385"/>
      <c r="X447" s="385"/>
      <c r="Y447" s="385"/>
      <c r="Z447" s="385"/>
      <c r="AA447" s="385"/>
      <c r="AB447" s="385"/>
    </row>
    <row r="448" spans="1:28" ht="15.75" customHeight="1">
      <c r="A448" s="385"/>
      <c r="B448" s="385"/>
      <c r="C448" s="526"/>
      <c r="D448" s="385"/>
      <c r="E448" s="385"/>
      <c r="F448" s="385"/>
      <c r="G448" s="385"/>
      <c r="H448" s="30"/>
      <c r="I448" s="385"/>
      <c r="J448" s="385"/>
      <c r="K448" s="385"/>
      <c r="L448" s="385"/>
      <c r="M448" s="385"/>
      <c r="N448" s="385"/>
      <c r="O448" s="385"/>
      <c r="P448" s="385"/>
      <c r="Q448" s="385"/>
      <c r="R448" s="385"/>
      <c r="S448" s="385"/>
      <c r="T448" s="385"/>
      <c r="U448" s="385"/>
      <c r="V448" s="385"/>
      <c r="W448" s="385"/>
      <c r="X448" s="385"/>
      <c r="Y448" s="385"/>
      <c r="Z448" s="385"/>
      <c r="AA448" s="385"/>
      <c r="AB448" s="385"/>
    </row>
    <row r="449" spans="1:28" ht="15.75" customHeight="1">
      <c r="A449" s="385"/>
      <c r="B449" s="385"/>
      <c r="C449" s="526"/>
      <c r="D449" s="385"/>
      <c r="E449" s="385"/>
      <c r="F449" s="385"/>
      <c r="G449" s="385"/>
      <c r="H449" s="30"/>
      <c r="I449" s="385"/>
      <c r="J449" s="385"/>
      <c r="K449" s="385"/>
      <c r="L449" s="385"/>
      <c r="M449" s="385"/>
      <c r="N449" s="385"/>
      <c r="O449" s="385"/>
      <c r="P449" s="385"/>
      <c r="Q449" s="385"/>
      <c r="R449" s="385"/>
      <c r="S449" s="385"/>
      <c r="T449" s="385"/>
      <c r="U449" s="385"/>
      <c r="V449" s="385"/>
      <c r="W449" s="385"/>
      <c r="X449" s="385"/>
      <c r="Y449" s="385"/>
      <c r="Z449" s="385"/>
      <c r="AA449" s="385"/>
      <c r="AB449" s="385"/>
    </row>
    <row r="450" spans="1:28" ht="15.75" customHeight="1">
      <c r="A450" s="385"/>
      <c r="B450" s="385"/>
      <c r="C450" s="526"/>
      <c r="D450" s="385"/>
      <c r="E450" s="385"/>
      <c r="F450" s="385"/>
      <c r="G450" s="385"/>
      <c r="H450" s="30"/>
      <c r="I450" s="385"/>
      <c r="J450" s="385"/>
      <c r="K450" s="385"/>
      <c r="L450" s="385"/>
      <c r="M450" s="385"/>
      <c r="N450" s="385"/>
      <c r="O450" s="385"/>
      <c r="P450" s="385"/>
      <c r="Q450" s="385"/>
      <c r="R450" s="385"/>
      <c r="S450" s="385"/>
      <c r="T450" s="385"/>
      <c r="U450" s="385"/>
      <c r="V450" s="385"/>
      <c r="W450" s="385"/>
      <c r="X450" s="385"/>
      <c r="Y450" s="385"/>
      <c r="Z450" s="385"/>
      <c r="AA450" s="385"/>
      <c r="AB450" s="385"/>
    </row>
    <row r="451" spans="1:28" ht="15.75" customHeight="1">
      <c r="A451" s="385"/>
      <c r="B451" s="385"/>
      <c r="C451" s="526"/>
      <c r="D451" s="385"/>
      <c r="E451" s="385"/>
      <c r="F451" s="385"/>
      <c r="G451" s="385"/>
      <c r="H451" s="30"/>
      <c r="I451" s="385"/>
      <c r="J451" s="385"/>
      <c r="K451" s="385"/>
      <c r="L451" s="385"/>
      <c r="M451" s="385"/>
      <c r="N451" s="385"/>
      <c r="O451" s="385"/>
      <c r="P451" s="385"/>
      <c r="Q451" s="385"/>
      <c r="R451" s="385"/>
      <c r="S451" s="385"/>
      <c r="T451" s="385"/>
      <c r="U451" s="385"/>
      <c r="V451" s="385"/>
      <c r="W451" s="385"/>
      <c r="X451" s="385"/>
      <c r="Y451" s="385"/>
      <c r="Z451" s="385"/>
      <c r="AA451" s="385"/>
      <c r="AB451" s="385"/>
    </row>
    <row r="452" spans="1:28" ht="15.75" customHeight="1">
      <c r="A452" s="385"/>
      <c r="B452" s="385"/>
      <c r="C452" s="526"/>
      <c r="D452" s="385"/>
      <c r="E452" s="385"/>
      <c r="F452" s="385"/>
      <c r="G452" s="385"/>
      <c r="H452" s="30"/>
      <c r="I452" s="385"/>
      <c r="J452" s="385"/>
      <c r="K452" s="385"/>
      <c r="L452" s="385"/>
      <c r="M452" s="385"/>
      <c r="N452" s="385"/>
      <c r="O452" s="385"/>
      <c r="P452" s="385"/>
      <c r="Q452" s="385"/>
      <c r="R452" s="385"/>
      <c r="S452" s="385"/>
      <c r="T452" s="385"/>
      <c r="U452" s="385"/>
      <c r="V452" s="385"/>
      <c r="W452" s="385"/>
      <c r="X452" s="385"/>
      <c r="Y452" s="385"/>
      <c r="Z452" s="385"/>
      <c r="AA452" s="385"/>
      <c r="AB452" s="385"/>
    </row>
    <row r="453" spans="1:28" ht="15.75" customHeight="1">
      <c r="A453" s="385"/>
      <c r="B453" s="385"/>
      <c r="C453" s="526"/>
      <c r="D453" s="385"/>
      <c r="E453" s="385"/>
      <c r="F453" s="385"/>
      <c r="G453" s="385"/>
      <c r="H453" s="30"/>
      <c r="I453" s="385"/>
      <c r="J453" s="385"/>
      <c r="K453" s="385"/>
      <c r="L453" s="385"/>
      <c r="M453" s="385"/>
      <c r="N453" s="385"/>
      <c r="O453" s="385"/>
      <c r="P453" s="385"/>
      <c r="Q453" s="385"/>
      <c r="R453" s="385"/>
      <c r="S453" s="385"/>
      <c r="T453" s="385"/>
      <c r="U453" s="385"/>
      <c r="V453" s="385"/>
      <c r="W453" s="385"/>
      <c r="X453" s="385"/>
      <c r="Y453" s="385"/>
      <c r="Z453" s="385"/>
      <c r="AA453" s="385"/>
      <c r="AB453" s="385"/>
    </row>
    <row r="454" spans="1:28" ht="15.75" customHeight="1">
      <c r="A454" s="385"/>
      <c r="B454" s="385"/>
      <c r="C454" s="526"/>
      <c r="D454" s="385"/>
      <c r="E454" s="385"/>
      <c r="F454" s="385"/>
      <c r="G454" s="385"/>
      <c r="H454" s="30"/>
      <c r="I454" s="385"/>
      <c r="J454" s="385"/>
      <c r="K454" s="385"/>
      <c r="L454" s="385"/>
      <c r="M454" s="385"/>
      <c r="N454" s="385"/>
      <c r="O454" s="385"/>
      <c r="P454" s="385"/>
      <c r="Q454" s="385"/>
      <c r="R454" s="385"/>
      <c r="S454" s="385"/>
      <c r="T454" s="385"/>
      <c r="U454" s="385"/>
      <c r="V454" s="385"/>
      <c r="W454" s="385"/>
      <c r="X454" s="385"/>
      <c r="Y454" s="385"/>
      <c r="Z454" s="385"/>
      <c r="AA454" s="385"/>
      <c r="AB454" s="385"/>
    </row>
    <row r="455" spans="1:28" ht="15.75" customHeight="1">
      <c r="A455" s="385"/>
      <c r="B455" s="385"/>
      <c r="C455" s="526"/>
      <c r="D455" s="385"/>
      <c r="E455" s="385"/>
      <c r="F455" s="385"/>
      <c r="G455" s="385"/>
      <c r="H455" s="30"/>
      <c r="I455" s="385"/>
      <c r="J455" s="385"/>
      <c r="K455" s="385"/>
      <c r="L455" s="385"/>
      <c r="M455" s="385"/>
      <c r="N455" s="385"/>
      <c r="O455" s="385"/>
      <c r="P455" s="385"/>
      <c r="Q455" s="385"/>
      <c r="R455" s="385"/>
      <c r="S455" s="385"/>
      <c r="T455" s="385"/>
      <c r="U455" s="385"/>
      <c r="V455" s="385"/>
      <c r="W455" s="385"/>
      <c r="X455" s="385"/>
      <c r="Y455" s="385"/>
      <c r="Z455" s="385"/>
      <c r="AA455" s="385"/>
      <c r="AB455" s="385"/>
    </row>
    <row r="456" spans="1:28" ht="15.75" customHeight="1">
      <c r="A456" s="385"/>
      <c r="B456" s="385"/>
      <c r="C456" s="526"/>
      <c r="D456" s="385"/>
      <c r="E456" s="385"/>
      <c r="F456" s="385"/>
      <c r="G456" s="385"/>
      <c r="H456" s="30"/>
      <c r="I456" s="385"/>
      <c r="J456" s="385"/>
      <c r="K456" s="385"/>
      <c r="L456" s="385"/>
      <c r="M456" s="385"/>
      <c r="N456" s="385"/>
      <c r="O456" s="385"/>
      <c r="P456" s="385"/>
      <c r="Q456" s="385"/>
      <c r="R456" s="385"/>
      <c r="S456" s="385"/>
      <c r="T456" s="385"/>
      <c r="U456" s="385"/>
      <c r="V456" s="385"/>
      <c r="W456" s="385"/>
      <c r="X456" s="385"/>
      <c r="Y456" s="385"/>
      <c r="Z456" s="385"/>
      <c r="AA456" s="385"/>
      <c r="AB456" s="385"/>
    </row>
    <row r="457" spans="1:28" ht="15.75" customHeight="1">
      <c r="A457" s="385"/>
      <c r="B457" s="385"/>
      <c r="C457" s="526"/>
      <c r="D457" s="385"/>
      <c r="E457" s="385"/>
      <c r="F457" s="385"/>
      <c r="G457" s="385"/>
      <c r="H457" s="30"/>
      <c r="I457" s="385"/>
      <c r="J457" s="385"/>
      <c r="K457" s="385"/>
      <c r="L457" s="385"/>
      <c r="M457" s="385"/>
      <c r="N457" s="385"/>
      <c r="O457" s="385"/>
      <c r="P457" s="385"/>
      <c r="Q457" s="385"/>
      <c r="R457" s="385"/>
      <c r="S457" s="385"/>
      <c r="T457" s="385"/>
      <c r="U457" s="385"/>
      <c r="V457" s="385"/>
      <c r="W457" s="385"/>
      <c r="X457" s="385"/>
      <c r="Y457" s="385"/>
      <c r="Z457" s="385"/>
      <c r="AA457" s="385"/>
      <c r="AB457" s="385"/>
    </row>
    <row r="458" spans="1:28" ht="15.75" customHeight="1">
      <c r="A458" s="385"/>
      <c r="B458" s="385"/>
      <c r="C458" s="526"/>
      <c r="D458" s="385"/>
      <c r="E458" s="385"/>
      <c r="F458" s="385"/>
      <c r="G458" s="385"/>
      <c r="H458" s="30"/>
      <c r="I458" s="385"/>
      <c r="J458" s="385"/>
      <c r="K458" s="385"/>
      <c r="L458" s="385"/>
      <c r="M458" s="385"/>
      <c r="N458" s="385"/>
      <c r="O458" s="385"/>
      <c r="P458" s="385"/>
      <c r="Q458" s="385"/>
      <c r="R458" s="385"/>
      <c r="S458" s="385"/>
      <c r="T458" s="385"/>
      <c r="U458" s="385"/>
      <c r="V458" s="385"/>
      <c r="W458" s="385"/>
      <c r="X458" s="385"/>
      <c r="Y458" s="385"/>
      <c r="Z458" s="385"/>
      <c r="AA458" s="385"/>
      <c r="AB458" s="385"/>
    </row>
    <row r="459" spans="1:28" ht="15.75" customHeight="1">
      <c r="A459" s="385"/>
      <c r="B459" s="385"/>
      <c r="C459" s="526"/>
      <c r="D459" s="385"/>
      <c r="E459" s="385"/>
      <c r="F459" s="385"/>
      <c r="G459" s="385"/>
      <c r="H459" s="30"/>
      <c r="I459" s="385"/>
      <c r="J459" s="385"/>
      <c r="K459" s="385"/>
      <c r="L459" s="385"/>
      <c r="M459" s="385"/>
      <c r="N459" s="385"/>
      <c r="O459" s="385"/>
      <c r="P459" s="385"/>
      <c r="Q459" s="385"/>
      <c r="R459" s="385"/>
      <c r="S459" s="385"/>
      <c r="T459" s="385"/>
      <c r="U459" s="385"/>
      <c r="V459" s="385"/>
      <c r="W459" s="385"/>
      <c r="X459" s="385"/>
      <c r="Y459" s="385"/>
      <c r="Z459" s="385"/>
      <c r="AA459" s="385"/>
      <c r="AB459" s="385"/>
    </row>
    <row r="460" spans="1:28" ht="15.75" customHeight="1">
      <c r="A460" s="385"/>
      <c r="B460" s="385"/>
      <c r="C460" s="526"/>
      <c r="D460" s="385"/>
      <c r="E460" s="385"/>
      <c r="F460" s="385"/>
      <c r="G460" s="385"/>
      <c r="H460" s="30"/>
      <c r="I460" s="385"/>
      <c r="J460" s="385"/>
      <c r="K460" s="385"/>
      <c r="L460" s="385"/>
      <c r="M460" s="385"/>
      <c r="N460" s="385"/>
      <c r="O460" s="385"/>
      <c r="P460" s="385"/>
      <c r="Q460" s="385"/>
      <c r="R460" s="385"/>
      <c r="S460" s="385"/>
      <c r="T460" s="385"/>
      <c r="U460" s="385"/>
      <c r="V460" s="385"/>
      <c r="W460" s="385"/>
      <c r="X460" s="385"/>
      <c r="Y460" s="385"/>
      <c r="Z460" s="385"/>
      <c r="AA460" s="385"/>
      <c r="AB460" s="385"/>
    </row>
    <row r="461" spans="1:28" ht="15.75" customHeight="1">
      <c r="A461" s="385"/>
      <c r="B461" s="385"/>
      <c r="C461" s="526"/>
      <c r="D461" s="385"/>
      <c r="E461" s="385"/>
      <c r="F461" s="385"/>
      <c r="G461" s="385"/>
      <c r="H461" s="30"/>
      <c r="I461" s="385"/>
      <c r="J461" s="385"/>
      <c r="K461" s="385"/>
      <c r="L461" s="385"/>
      <c r="M461" s="385"/>
      <c r="N461" s="385"/>
      <c r="O461" s="385"/>
      <c r="P461" s="385"/>
      <c r="Q461" s="385"/>
      <c r="R461" s="385"/>
      <c r="S461" s="385"/>
      <c r="T461" s="385"/>
      <c r="U461" s="385"/>
      <c r="V461" s="385"/>
      <c r="W461" s="385"/>
      <c r="X461" s="385"/>
      <c r="Y461" s="385"/>
      <c r="Z461" s="385"/>
      <c r="AA461" s="385"/>
      <c r="AB461" s="385"/>
    </row>
    <row r="462" spans="1:28" ht="15.75" customHeight="1">
      <c r="A462" s="385"/>
      <c r="B462" s="385"/>
      <c r="C462" s="526"/>
      <c r="D462" s="385"/>
      <c r="E462" s="385"/>
      <c r="F462" s="385"/>
      <c r="G462" s="385"/>
      <c r="H462" s="30"/>
      <c r="I462" s="385"/>
      <c r="J462" s="385"/>
      <c r="K462" s="385"/>
      <c r="L462" s="385"/>
      <c r="M462" s="385"/>
      <c r="N462" s="385"/>
      <c r="O462" s="385"/>
      <c r="P462" s="385"/>
      <c r="Q462" s="385"/>
      <c r="R462" s="385"/>
      <c r="S462" s="385"/>
      <c r="T462" s="385"/>
      <c r="U462" s="385"/>
      <c r="V462" s="385"/>
      <c r="W462" s="385"/>
      <c r="X462" s="385"/>
      <c r="Y462" s="385"/>
      <c r="Z462" s="385"/>
      <c r="AA462" s="385"/>
      <c r="AB462" s="385"/>
    </row>
    <row r="463" spans="1:28" ht="15.75" customHeight="1">
      <c r="A463" s="385"/>
      <c r="B463" s="385"/>
      <c r="C463" s="526"/>
      <c r="D463" s="385"/>
      <c r="E463" s="385"/>
      <c r="F463" s="385"/>
      <c r="G463" s="385"/>
      <c r="H463" s="30"/>
      <c r="I463" s="385"/>
      <c r="J463" s="385"/>
      <c r="K463" s="385"/>
      <c r="L463" s="385"/>
      <c r="M463" s="385"/>
      <c r="N463" s="385"/>
      <c r="O463" s="385"/>
      <c r="P463" s="385"/>
      <c r="Q463" s="385"/>
      <c r="R463" s="385"/>
      <c r="S463" s="385"/>
      <c r="T463" s="385"/>
      <c r="U463" s="385"/>
      <c r="V463" s="385"/>
      <c r="W463" s="385"/>
      <c r="X463" s="385"/>
      <c r="Y463" s="385"/>
      <c r="Z463" s="385"/>
      <c r="AA463" s="385"/>
      <c r="AB463" s="385"/>
    </row>
    <row r="464" spans="1:28" ht="15.75" customHeight="1">
      <c r="A464" s="385"/>
      <c r="B464" s="385"/>
      <c r="C464" s="526"/>
      <c r="D464" s="385"/>
      <c r="E464" s="385"/>
      <c r="F464" s="385"/>
      <c r="G464" s="385"/>
      <c r="H464" s="30"/>
      <c r="I464" s="385"/>
      <c r="J464" s="385"/>
      <c r="K464" s="385"/>
      <c r="L464" s="385"/>
      <c r="M464" s="385"/>
      <c r="N464" s="385"/>
      <c r="O464" s="385"/>
      <c r="P464" s="385"/>
      <c r="Q464" s="385"/>
      <c r="R464" s="385"/>
      <c r="S464" s="385"/>
      <c r="T464" s="385"/>
      <c r="U464" s="385"/>
      <c r="V464" s="385"/>
      <c r="W464" s="385"/>
      <c r="X464" s="385"/>
      <c r="Y464" s="385"/>
      <c r="Z464" s="385"/>
      <c r="AA464" s="385"/>
      <c r="AB464" s="385"/>
    </row>
    <row r="465" spans="1:28" ht="15.75" customHeight="1">
      <c r="A465" s="385"/>
      <c r="B465" s="385"/>
      <c r="C465" s="526"/>
      <c r="D465" s="385"/>
      <c r="E465" s="385"/>
      <c r="F465" s="385"/>
      <c r="G465" s="385"/>
      <c r="H465" s="30"/>
      <c r="I465" s="385"/>
      <c r="J465" s="385"/>
      <c r="K465" s="385"/>
      <c r="L465" s="385"/>
      <c r="M465" s="385"/>
      <c r="N465" s="385"/>
      <c r="O465" s="385"/>
      <c r="P465" s="385"/>
      <c r="Q465" s="385"/>
      <c r="R465" s="385"/>
      <c r="S465" s="385"/>
      <c r="T465" s="385"/>
      <c r="U465" s="385"/>
      <c r="V465" s="385"/>
      <c r="W465" s="385"/>
      <c r="X465" s="385"/>
      <c r="Y465" s="385"/>
      <c r="Z465" s="385"/>
      <c r="AA465" s="385"/>
      <c r="AB465" s="385"/>
    </row>
    <row r="466" spans="1:28" ht="15.75" customHeight="1">
      <c r="A466" s="385"/>
      <c r="B466" s="385"/>
      <c r="C466" s="526"/>
      <c r="D466" s="385"/>
      <c r="E466" s="385"/>
      <c r="F466" s="385"/>
      <c r="G466" s="385"/>
      <c r="H466" s="30"/>
      <c r="I466" s="385"/>
      <c r="J466" s="385"/>
      <c r="K466" s="385"/>
      <c r="L466" s="385"/>
      <c r="M466" s="385"/>
      <c r="N466" s="385"/>
      <c r="O466" s="385"/>
      <c r="P466" s="385"/>
      <c r="Q466" s="385"/>
      <c r="R466" s="385"/>
      <c r="S466" s="385"/>
      <c r="T466" s="385"/>
      <c r="U466" s="385"/>
      <c r="V466" s="385"/>
      <c r="W466" s="385"/>
      <c r="X466" s="385"/>
      <c r="Y466" s="385"/>
      <c r="Z466" s="385"/>
      <c r="AA466" s="385"/>
      <c r="AB466" s="385"/>
    </row>
    <row r="467" spans="1:28" ht="15.75" customHeight="1">
      <c r="A467" s="385"/>
      <c r="B467" s="385"/>
      <c r="C467" s="526"/>
      <c r="D467" s="385"/>
      <c r="E467" s="385"/>
      <c r="F467" s="385"/>
      <c r="G467" s="385"/>
      <c r="H467" s="30"/>
      <c r="I467" s="385"/>
      <c r="J467" s="385"/>
      <c r="K467" s="385"/>
      <c r="L467" s="385"/>
      <c r="M467" s="385"/>
      <c r="N467" s="385"/>
      <c r="O467" s="385"/>
      <c r="P467" s="385"/>
      <c r="Q467" s="385"/>
      <c r="R467" s="385"/>
      <c r="S467" s="385"/>
      <c r="T467" s="385"/>
      <c r="U467" s="385"/>
      <c r="V467" s="385"/>
      <c r="W467" s="385"/>
      <c r="X467" s="385"/>
      <c r="Y467" s="385"/>
      <c r="Z467" s="385"/>
      <c r="AA467" s="385"/>
      <c r="AB467" s="385"/>
    </row>
    <row r="468" spans="1:28" ht="15.75" customHeight="1">
      <c r="A468" s="385"/>
      <c r="B468" s="385"/>
      <c r="C468" s="526"/>
      <c r="D468" s="385"/>
      <c r="E468" s="385"/>
      <c r="F468" s="385"/>
      <c r="G468" s="385"/>
      <c r="H468" s="30"/>
      <c r="I468" s="385"/>
      <c r="J468" s="385"/>
      <c r="K468" s="385"/>
      <c r="L468" s="385"/>
      <c r="M468" s="385"/>
      <c r="N468" s="385"/>
      <c r="O468" s="385"/>
      <c r="P468" s="385"/>
      <c r="Q468" s="385"/>
      <c r="R468" s="385"/>
      <c r="S468" s="385"/>
      <c r="T468" s="385"/>
      <c r="U468" s="385"/>
      <c r="V468" s="385"/>
      <c r="W468" s="385"/>
      <c r="X468" s="385"/>
      <c r="Y468" s="385"/>
      <c r="Z468" s="385"/>
      <c r="AA468" s="385"/>
      <c r="AB468" s="385"/>
    </row>
    <row r="469" spans="1:28" ht="15.75" customHeight="1">
      <c r="A469" s="385"/>
      <c r="B469" s="385"/>
      <c r="C469" s="526"/>
      <c r="D469" s="385"/>
      <c r="E469" s="385"/>
      <c r="F469" s="385"/>
      <c r="G469" s="385"/>
      <c r="H469" s="30"/>
      <c r="I469" s="385"/>
      <c r="J469" s="385"/>
      <c r="K469" s="385"/>
      <c r="L469" s="385"/>
      <c r="M469" s="385"/>
      <c r="N469" s="385"/>
      <c r="O469" s="385"/>
      <c r="P469" s="385"/>
      <c r="Q469" s="385"/>
      <c r="R469" s="385"/>
      <c r="S469" s="385"/>
      <c r="T469" s="385"/>
      <c r="U469" s="385"/>
      <c r="V469" s="385"/>
      <c r="W469" s="385"/>
      <c r="X469" s="385"/>
      <c r="Y469" s="385"/>
      <c r="Z469" s="385"/>
      <c r="AA469" s="385"/>
      <c r="AB469" s="385"/>
    </row>
    <row r="470" spans="1:28" ht="15.75" customHeight="1">
      <c r="A470" s="385"/>
      <c r="B470" s="385"/>
      <c r="C470" s="526"/>
      <c r="D470" s="385"/>
      <c r="E470" s="385"/>
      <c r="F470" s="385"/>
      <c r="G470" s="385"/>
      <c r="H470" s="30"/>
      <c r="I470" s="385"/>
      <c r="J470" s="385"/>
      <c r="K470" s="385"/>
      <c r="L470" s="385"/>
      <c r="M470" s="385"/>
      <c r="N470" s="385"/>
      <c r="O470" s="385"/>
      <c r="P470" s="385"/>
      <c r="Q470" s="385"/>
      <c r="R470" s="385"/>
      <c r="S470" s="385"/>
      <c r="T470" s="385"/>
      <c r="U470" s="385"/>
      <c r="V470" s="385"/>
      <c r="W470" s="385"/>
      <c r="X470" s="385"/>
      <c r="Y470" s="385"/>
      <c r="Z470" s="385"/>
      <c r="AA470" s="385"/>
      <c r="AB470" s="385"/>
    </row>
    <row r="471" spans="1:28" ht="15.75" customHeight="1">
      <c r="A471" s="385"/>
      <c r="B471" s="385"/>
      <c r="C471" s="526"/>
      <c r="D471" s="385"/>
      <c r="E471" s="385"/>
      <c r="F471" s="385"/>
      <c r="G471" s="385"/>
      <c r="H471" s="30"/>
      <c r="I471" s="385"/>
      <c r="J471" s="385"/>
      <c r="K471" s="385"/>
      <c r="L471" s="385"/>
      <c r="M471" s="385"/>
      <c r="N471" s="385"/>
      <c r="O471" s="385"/>
      <c r="P471" s="385"/>
      <c r="Q471" s="385"/>
      <c r="R471" s="385"/>
      <c r="S471" s="385"/>
      <c r="T471" s="385"/>
      <c r="U471" s="385"/>
      <c r="V471" s="385"/>
      <c r="W471" s="385"/>
      <c r="X471" s="385"/>
      <c r="Y471" s="385"/>
      <c r="Z471" s="385"/>
      <c r="AA471" s="385"/>
      <c r="AB471" s="385"/>
    </row>
    <row r="472" spans="1:28" ht="15.75" customHeight="1">
      <c r="A472" s="385"/>
      <c r="B472" s="385"/>
      <c r="C472" s="526"/>
      <c r="D472" s="385"/>
      <c r="E472" s="385"/>
      <c r="F472" s="385"/>
      <c r="G472" s="385"/>
      <c r="H472" s="30"/>
      <c r="I472" s="385"/>
      <c r="J472" s="385"/>
      <c r="K472" s="385"/>
      <c r="L472" s="385"/>
      <c r="M472" s="385"/>
      <c r="N472" s="385"/>
      <c r="O472" s="385"/>
      <c r="P472" s="385"/>
      <c r="Q472" s="385"/>
      <c r="R472" s="385"/>
      <c r="S472" s="385"/>
      <c r="T472" s="385"/>
      <c r="U472" s="385"/>
      <c r="V472" s="385"/>
      <c r="W472" s="385"/>
      <c r="X472" s="385"/>
      <c r="Y472" s="385"/>
      <c r="Z472" s="385"/>
      <c r="AA472" s="385"/>
      <c r="AB472" s="385"/>
    </row>
    <row r="473" spans="1:28" ht="15.75" customHeight="1">
      <c r="A473" s="385"/>
      <c r="B473" s="385"/>
      <c r="C473" s="526"/>
      <c r="D473" s="385"/>
      <c r="E473" s="385"/>
      <c r="F473" s="385"/>
      <c r="G473" s="385"/>
      <c r="H473" s="30"/>
      <c r="I473" s="385"/>
      <c r="J473" s="385"/>
      <c r="K473" s="385"/>
      <c r="L473" s="385"/>
      <c r="M473" s="385"/>
      <c r="N473" s="385"/>
      <c r="O473" s="385"/>
      <c r="P473" s="385"/>
      <c r="Q473" s="385"/>
      <c r="R473" s="385"/>
      <c r="S473" s="385"/>
      <c r="T473" s="385"/>
      <c r="U473" s="385"/>
      <c r="V473" s="385"/>
      <c r="W473" s="385"/>
      <c r="X473" s="385"/>
      <c r="Y473" s="385"/>
      <c r="Z473" s="385"/>
      <c r="AA473" s="385"/>
      <c r="AB473" s="385"/>
    </row>
    <row r="474" spans="1:28" ht="15.75" customHeight="1">
      <c r="A474" s="385"/>
      <c r="B474" s="385"/>
      <c r="C474" s="526"/>
      <c r="D474" s="385"/>
      <c r="E474" s="385"/>
      <c r="F474" s="385"/>
      <c r="G474" s="385"/>
      <c r="H474" s="30"/>
      <c r="I474" s="385"/>
      <c r="J474" s="385"/>
      <c r="K474" s="385"/>
      <c r="L474" s="385"/>
      <c r="M474" s="385"/>
      <c r="N474" s="385"/>
      <c r="O474" s="385"/>
      <c r="P474" s="385"/>
      <c r="Q474" s="385"/>
      <c r="R474" s="385"/>
      <c r="S474" s="385"/>
      <c r="T474" s="385"/>
      <c r="U474" s="385"/>
      <c r="V474" s="385"/>
      <c r="W474" s="385"/>
      <c r="X474" s="385"/>
      <c r="Y474" s="385"/>
      <c r="Z474" s="385"/>
      <c r="AA474" s="385"/>
      <c r="AB474" s="385"/>
    </row>
    <row r="475" spans="1:28" ht="15.75" customHeight="1">
      <c r="A475" s="385"/>
      <c r="B475" s="385"/>
      <c r="C475" s="526"/>
      <c r="D475" s="385"/>
      <c r="E475" s="385"/>
      <c r="F475" s="385"/>
      <c r="G475" s="385"/>
      <c r="H475" s="30"/>
      <c r="I475" s="385"/>
      <c r="J475" s="385"/>
      <c r="K475" s="385"/>
      <c r="L475" s="385"/>
      <c r="M475" s="385"/>
      <c r="N475" s="385"/>
      <c r="O475" s="385"/>
      <c r="P475" s="385"/>
      <c r="Q475" s="385"/>
      <c r="R475" s="385"/>
      <c r="S475" s="385"/>
      <c r="T475" s="385"/>
      <c r="U475" s="385"/>
      <c r="V475" s="385"/>
      <c r="W475" s="385"/>
      <c r="X475" s="385"/>
      <c r="Y475" s="385"/>
      <c r="Z475" s="385"/>
      <c r="AA475" s="385"/>
      <c r="AB475" s="385"/>
    </row>
    <row r="476" spans="1:28" ht="15.75" customHeight="1">
      <c r="A476" s="385"/>
      <c r="B476" s="385"/>
      <c r="C476" s="526"/>
      <c r="D476" s="385"/>
      <c r="E476" s="385"/>
      <c r="F476" s="385"/>
      <c r="G476" s="385"/>
      <c r="H476" s="30"/>
      <c r="I476" s="385"/>
      <c r="J476" s="385"/>
      <c r="K476" s="385"/>
      <c r="L476" s="385"/>
      <c r="M476" s="385"/>
      <c r="N476" s="385"/>
      <c r="O476" s="385"/>
      <c r="P476" s="385"/>
      <c r="Q476" s="385"/>
      <c r="R476" s="385"/>
      <c r="S476" s="385"/>
      <c r="T476" s="385"/>
      <c r="U476" s="385"/>
      <c r="V476" s="385"/>
      <c r="W476" s="385"/>
      <c r="X476" s="385"/>
      <c r="Y476" s="385"/>
      <c r="Z476" s="385"/>
      <c r="AA476" s="385"/>
      <c r="AB476" s="385"/>
    </row>
    <row r="477" spans="1:28" ht="15.75" customHeight="1">
      <c r="A477" s="385"/>
      <c r="B477" s="385"/>
      <c r="C477" s="526"/>
      <c r="D477" s="385"/>
      <c r="E477" s="385"/>
      <c r="F477" s="385"/>
      <c r="G477" s="385"/>
      <c r="H477" s="30"/>
      <c r="I477" s="385"/>
      <c r="J477" s="385"/>
      <c r="K477" s="385"/>
      <c r="L477" s="385"/>
      <c r="M477" s="385"/>
      <c r="N477" s="385"/>
      <c r="O477" s="385"/>
      <c r="P477" s="385"/>
      <c r="Q477" s="385"/>
      <c r="R477" s="385"/>
      <c r="S477" s="385"/>
      <c r="T477" s="385"/>
      <c r="U477" s="385"/>
      <c r="V477" s="385"/>
      <c r="W477" s="385"/>
      <c r="X477" s="385"/>
      <c r="Y477" s="385"/>
      <c r="Z477" s="385"/>
      <c r="AA477" s="385"/>
      <c r="AB477" s="385"/>
    </row>
    <row r="478" spans="1:28" ht="15.75" customHeight="1">
      <c r="A478" s="385"/>
      <c r="B478" s="385"/>
      <c r="C478" s="526"/>
      <c r="D478" s="385"/>
      <c r="E478" s="385"/>
      <c r="F478" s="385"/>
      <c r="G478" s="385"/>
      <c r="H478" s="30"/>
      <c r="I478" s="385"/>
      <c r="J478" s="385"/>
      <c r="K478" s="385"/>
      <c r="L478" s="385"/>
      <c r="M478" s="385"/>
      <c r="N478" s="385"/>
      <c r="O478" s="385"/>
      <c r="P478" s="385"/>
      <c r="Q478" s="385"/>
      <c r="R478" s="385"/>
      <c r="S478" s="385"/>
      <c r="T478" s="385"/>
      <c r="U478" s="385"/>
      <c r="V478" s="385"/>
      <c r="W478" s="385"/>
      <c r="X478" s="385"/>
      <c r="Y478" s="385"/>
      <c r="Z478" s="385"/>
      <c r="AA478" s="385"/>
      <c r="AB478" s="385"/>
    </row>
    <row r="479" spans="1:28" ht="15.75" customHeight="1">
      <c r="A479" s="385"/>
      <c r="B479" s="385"/>
      <c r="C479" s="526"/>
      <c r="D479" s="385"/>
      <c r="E479" s="385"/>
      <c r="F479" s="385"/>
      <c r="G479" s="385"/>
      <c r="H479" s="30"/>
      <c r="I479" s="385"/>
      <c r="J479" s="385"/>
      <c r="K479" s="385"/>
      <c r="L479" s="385"/>
      <c r="M479" s="385"/>
      <c r="N479" s="385"/>
      <c r="O479" s="385"/>
      <c r="P479" s="385"/>
      <c r="Q479" s="385"/>
      <c r="R479" s="385"/>
      <c r="S479" s="385"/>
      <c r="T479" s="385"/>
      <c r="U479" s="385"/>
      <c r="V479" s="385"/>
      <c r="W479" s="385"/>
      <c r="X479" s="385"/>
      <c r="Y479" s="385"/>
      <c r="Z479" s="385"/>
      <c r="AA479" s="385"/>
      <c r="AB479" s="385"/>
    </row>
    <row r="480" spans="1:28" ht="15.75" customHeight="1">
      <c r="A480" s="385"/>
      <c r="B480" s="385"/>
      <c r="C480" s="526"/>
      <c r="D480" s="385"/>
      <c r="E480" s="385"/>
      <c r="F480" s="385"/>
      <c r="G480" s="385"/>
      <c r="H480" s="30"/>
      <c r="I480" s="385"/>
      <c r="J480" s="385"/>
      <c r="K480" s="385"/>
      <c r="L480" s="385"/>
      <c r="M480" s="385"/>
      <c r="N480" s="385"/>
      <c r="O480" s="385"/>
      <c r="P480" s="385"/>
      <c r="Q480" s="385"/>
      <c r="R480" s="385"/>
      <c r="S480" s="385"/>
      <c r="T480" s="385"/>
      <c r="U480" s="385"/>
      <c r="V480" s="385"/>
      <c r="W480" s="385"/>
      <c r="X480" s="385"/>
      <c r="Y480" s="385"/>
      <c r="Z480" s="385"/>
      <c r="AA480" s="385"/>
      <c r="AB480" s="385"/>
    </row>
    <row r="481" spans="1:28" ht="15.75" customHeight="1">
      <c r="A481" s="385"/>
      <c r="B481" s="385"/>
      <c r="C481" s="526"/>
      <c r="D481" s="385"/>
      <c r="E481" s="385"/>
      <c r="F481" s="385"/>
      <c r="G481" s="385"/>
      <c r="H481" s="30"/>
      <c r="I481" s="385"/>
      <c r="J481" s="385"/>
      <c r="K481" s="385"/>
      <c r="L481" s="385"/>
      <c r="M481" s="385"/>
      <c r="N481" s="385"/>
      <c r="O481" s="385"/>
      <c r="P481" s="385"/>
      <c r="Q481" s="385"/>
      <c r="R481" s="385"/>
      <c r="S481" s="385"/>
      <c r="T481" s="385"/>
      <c r="U481" s="385"/>
      <c r="V481" s="385"/>
      <c r="W481" s="385"/>
      <c r="X481" s="385"/>
      <c r="Y481" s="385"/>
      <c r="Z481" s="385"/>
      <c r="AA481" s="385"/>
      <c r="AB481" s="385"/>
    </row>
    <row r="482" spans="1:28" ht="15.75" customHeight="1">
      <c r="A482" s="385"/>
      <c r="B482" s="385"/>
      <c r="C482" s="526"/>
      <c r="D482" s="385"/>
      <c r="E482" s="385"/>
      <c r="F482" s="385"/>
      <c r="G482" s="385"/>
      <c r="H482" s="30"/>
      <c r="I482" s="385"/>
      <c r="J482" s="385"/>
      <c r="K482" s="385"/>
      <c r="L482" s="385"/>
      <c r="M482" s="385"/>
      <c r="N482" s="385"/>
      <c r="O482" s="385"/>
      <c r="P482" s="385"/>
      <c r="Q482" s="385"/>
      <c r="R482" s="385"/>
      <c r="S482" s="385"/>
      <c r="T482" s="385"/>
      <c r="U482" s="385"/>
      <c r="V482" s="385"/>
      <c r="W482" s="385"/>
      <c r="X482" s="385"/>
      <c r="Y482" s="385"/>
      <c r="Z482" s="385"/>
      <c r="AA482" s="385"/>
      <c r="AB482" s="385"/>
    </row>
    <row r="483" spans="1:28" ht="15.75" customHeight="1">
      <c r="A483" s="385"/>
      <c r="B483" s="385"/>
      <c r="C483" s="526"/>
      <c r="D483" s="385"/>
      <c r="E483" s="385"/>
      <c r="F483" s="385"/>
      <c r="G483" s="385"/>
      <c r="H483" s="30"/>
      <c r="I483" s="385"/>
      <c r="J483" s="385"/>
      <c r="K483" s="385"/>
      <c r="L483" s="385"/>
      <c r="M483" s="385"/>
      <c r="N483" s="385"/>
      <c r="O483" s="385"/>
      <c r="P483" s="385"/>
      <c r="Q483" s="385"/>
      <c r="R483" s="385"/>
      <c r="S483" s="385"/>
      <c r="T483" s="385"/>
      <c r="U483" s="385"/>
      <c r="V483" s="385"/>
      <c r="W483" s="385"/>
      <c r="X483" s="385"/>
      <c r="Y483" s="385"/>
      <c r="Z483" s="385"/>
      <c r="AA483" s="385"/>
      <c r="AB483" s="385"/>
    </row>
    <row r="484" spans="1:28" ht="15.75" customHeight="1">
      <c r="A484" s="385"/>
      <c r="B484" s="385"/>
      <c r="C484" s="526"/>
      <c r="D484" s="385"/>
      <c r="E484" s="385"/>
      <c r="F484" s="385"/>
      <c r="G484" s="385"/>
      <c r="H484" s="30"/>
      <c r="I484" s="385"/>
      <c r="J484" s="385"/>
      <c r="K484" s="385"/>
      <c r="L484" s="385"/>
      <c r="M484" s="385"/>
      <c r="N484" s="385"/>
      <c r="O484" s="385"/>
      <c r="P484" s="385"/>
      <c r="Q484" s="385"/>
      <c r="R484" s="385"/>
      <c r="S484" s="385"/>
      <c r="T484" s="385"/>
      <c r="U484" s="385"/>
      <c r="V484" s="385"/>
      <c r="W484" s="385"/>
      <c r="X484" s="385"/>
      <c r="Y484" s="385"/>
      <c r="Z484" s="385"/>
      <c r="AA484" s="385"/>
      <c r="AB484" s="385"/>
    </row>
    <row r="485" spans="1:28" ht="15.75" customHeight="1">
      <c r="A485" s="385"/>
      <c r="B485" s="385"/>
      <c r="C485" s="526"/>
      <c r="D485" s="385"/>
      <c r="E485" s="385"/>
      <c r="F485" s="385"/>
      <c r="G485" s="385"/>
      <c r="H485" s="30"/>
      <c r="I485" s="385"/>
      <c r="J485" s="385"/>
      <c r="K485" s="385"/>
      <c r="L485" s="385"/>
      <c r="M485" s="385"/>
      <c r="N485" s="385"/>
      <c r="O485" s="385"/>
      <c r="P485" s="385"/>
      <c r="Q485" s="385"/>
      <c r="R485" s="385"/>
      <c r="S485" s="385"/>
      <c r="T485" s="385"/>
      <c r="U485" s="385"/>
      <c r="V485" s="385"/>
      <c r="W485" s="385"/>
      <c r="X485" s="385"/>
      <c r="Y485" s="385"/>
      <c r="Z485" s="385"/>
      <c r="AA485" s="385"/>
      <c r="AB485" s="385"/>
    </row>
    <row r="486" spans="1:28" ht="15.75" customHeight="1">
      <c r="A486" s="385"/>
      <c r="B486" s="385"/>
      <c r="C486" s="526"/>
      <c r="D486" s="385"/>
      <c r="E486" s="385"/>
      <c r="F486" s="385"/>
      <c r="G486" s="385"/>
      <c r="H486" s="30"/>
      <c r="I486" s="385"/>
      <c r="J486" s="385"/>
      <c r="K486" s="385"/>
      <c r="L486" s="385"/>
      <c r="M486" s="385"/>
      <c r="N486" s="385"/>
      <c r="O486" s="385"/>
      <c r="P486" s="385"/>
      <c r="Q486" s="385"/>
      <c r="R486" s="385"/>
      <c r="S486" s="385"/>
      <c r="T486" s="385"/>
      <c r="U486" s="385"/>
      <c r="V486" s="385"/>
      <c r="W486" s="385"/>
      <c r="X486" s="385"/>
      <c r="Y486" s="385"/>
      <c r="Z486" s="385"/>
      <c r="AA486" s="385"/>
      <c r="AB486" s="385"/>
    </row>
    <row r="487" spans="1:28" ht="15.75" customHeight="1">
      <c r="A487" s="385"/>
      <c r="B487" s="385"/>
      <c r="C487" s="526"/>
      <c r="D487" s="385"/>
      <c r="E487" s="385"/>
      <c r="F487" s="385"/>
      <c r="G487" s="385"/>
      <c r="H487" s="30"/>
      <c r="I487" s="385"/>
      <c r="J487" s="385"/>
      <c r="K487" s="385"/>
      <c r="L487" s="385"/>
      <c r="M487" s="385"/>
      <c r="N487" s="385"/>
      <c r="O487" s="385"/>
      <c r="P487" s="385"/>
      <c r="Q487" s="385"/>
      <c r="R487" s="385"/>
      <c r="S487" s="385"/>
      <c r="T487" s="385"/>
      <c r="U487" s="385"/>
      <c r="V487" s="385"/>
      <c r="W487" s="385"/>
      <c r="X487" s="385"/>
      <c r="Y487" s="385"/>
      <c r="Z487" s="385"/>
      <c r="AA487" s="385"/>
      <c r="AB487" s="385"/>
    </row>
    <row r="488" spans="1:28" ht="15.75" customHeight="1">
      <c r="A488" s="385"/>
      <c r="B488" s="385"/>
      <c r="C488" s="526"/>
      <c r="D488" s="385"/>
      <c r="E488" s="385"/>
      <c r="F488" s="385"/>
      <c r="G488" s="385"/>
      <c r="H488" s="30"/>
      <c r="I488" s="385"/>
      <c r="J488" s="385"/>
      <c r="K488" s="385"/>
      <c r="L488" s="385"/>
      <c r="M488" s="385"/>
      <c r="N488" s="385"/>
      <c r="O488" s="385"/>
      <c r="P488" s="385"/>
      <c r="Q488" s="385"/>
      <c r="R488" s="385"/>
      <c r="S488" s="385"/>
      <c r="T488" s="385"/>
      <c r="U488" s="385"/>
      <c r="V488" s="385"/>
      <c r="W488" s="385"/>
      <c r="X488" s="385"/>
      <c r="Y488" s="385"/>
      <c r="Z488" s="385"/>
      <c r="AA488" s="385"/>
      <c r="AB488" s="385"/>
    </row>
    <row r="489" spans="1:28" ht="15.75" customHeight="1">
      <c r="A489" s="385"/>
      <c r="B489" s="385"/>
      <c r="C489" s="526"/>
      <c r="D489" s="385"/>
      <c r="E489" s="385"/>
      <c r="F489" s="385"/>
      <c r="G489" s="385"/>
      <c r="H489" s="30"/>
      <c r="I489" s="385"/>
      <c r="J489" s="385"/>
      <c r="K489" s="385"/>
      <c r="L489" s="385"/>
      <c r="M489" s="385"/>
      <c r="N489" s="385"/>
      <c r="O489" s="385"/>
      <c r="P489" s="385"/>
      <c r="Q489" s="385"/>
      <c r="R489" s="385"/>
      <c r="S489" s="385"/>
      <c r="T489" s="385"/>
      <c r="U489" s="385"/>
      <c r="V489" s="385"/>
      <c r="W489" s="385"/>
      <c r="X489" s="385"/>
      <c r="Y489" s="385"/>
      <c r="Z489" s="385"/>
      <c r="AA489" s="385"/>
      <c r="AB489" s="385"/>
    </row>
    <row r="490" spans="1:28" ht="15.75" customHeight="1">
      <c r="A490" s="385"/>
      <c r="B490" s="385"/>
      <c r="C490" s="526"/>
      <c r="D490" s="385"/>
      <c r="E490" s="385"/>
      <c r="F490" s="385"/>
      <c r="G490" s="385"/>
      <c r="H490" s="30"/>
      <c r="I490" s="385"/>
      <c r="J490" s="385"/>
      <c r="K490" s="385"/>
      <c r="L490" s="385"/>
      <c r="M490" s="385"/>
      <c r="N490" s="385"/>
      <c r="O490" s="385"/>
      <c r="P490" s="385"/>
      <c r="Q490" s="385"/>
      <c r="R490" s="385"/>
      <c r="S490" s="385"/>
      <c r="T490" s="385"/>
      <c r="U490" s="385"/>
      <c r="V490" s="385"/>
      <c r="W490" s="385"/>
      <c r="X490" s="385"/>
      <c r="Y490" s="385"/>
      <c r="Z490" s="385"/>
      <c r="AA490" s="385"/>
      <c r="AB490" s="385"/>
    </row>
    <row r="491" spans="1:28" ht="15.75" customHeight="1">
      <c r="A491" s="385"/>
      <c r="B491" s="385"/>
      <c r="C491" s="526"/>
      <c r="D491" s="385"/>
      <c r="E491" s="385"/>
      <c r="F491" s="385"/>
      <c r="G491" s="385"/>
      <c r="H491" s="30"/>
      <c r="I491" s="385"/>
      <c r="J491" s="385"/>
      <c r="K491" s="385"/>
      <c r="L491" s="385"/>
      <c r="M491" s="385"/>
      <c r="N491" s="385"/>
      <c r="O491" s="385"/>
      <c r="P491" s="385"/>
      <c r="Q491" s="385"/>
      <c r="R491" s="385"/>
      <c r="S491" s="385"/>
      <c r="T491" s="385"/>
      <c r="U491" s="385"/>
      <c r="V491" s="385"/>
      <c r="W491" s="385"/>
      <c r="X491" s="385"/>
      <c r="Y491" s="385"/>
      <c r="Z491" s="385"/>
      <c r="AA491" s="385"/>
      <c r="AB491" s="385"/>
    </row>
    <row r="492" spans="1:28" ht="15.75" customHeight="1">
      <c r="A492" s="385"/>
      <c r="B492" s="385"/>
      <c r="C492" s="526"/>
      <c r="D492" s="385"/>
      <c r="E492" s="385"/>
      <c r="F492" s="385"/>
      <c r="G492" s="385"/>
      <c r="H492" s="30"/>
      <c r="I492" s="385"/>
      <c r="J492" s="385"/>
      <c r="K492" s="385"/>
      <c r="L492" s="385"/>
      <c r="M492" s="385"/>
      <c r="N492" s="385"/>
      <c r="O492" s="385"/>
      <c r="P492" s="385"/>
      <c r="Q492" s="385"/>
      <c r="R492" s="385"/>
      <c r="S492" s="385"/>
      <c r="T492" s="385"/>
      <c r="U492" s="385"/>
      <c r="V492" s="385"/>
      <c r="W492" s="385"/>
      <c r="X492" s="385"/>
      <c r="Y492" s="385"/>
      <c r="Z492" s="385"/>
      <c r="AA492" s="385"/>
      <c r="AB492" s="385"/>
    </row>
    <row r="493" spans="1:28" ht="15.75" customHeight="1">
      <c r="A493" s="385"/>
      <c r="B493" s="385"/>
      <c r="C493" s="526"/>
      <c r="D493" s="385"/>
      <c r="E493" s="385"/>
      <c r="F493" s="385"/>
      <c r="G493" s="385"/>
      <c r="H493" s="30"/>
      <c r="I493" s="385"/>
      <c r="J493" s="385"/>
      <c r="K493" s="385"/>
      <c r="L493" s="385"/>
      <c r="M493" s="385"/>
      <c r="N493" s="385"/>
      <c r="O493" s="385"/>
      <c r="P493" s="385"/>
      <c r="Q493" s="385"/>
      <c r="R493" s="385"/>
      <c r="S493" s="385"/>
      <c r="T493" s="385"/>
      <c r="U493" s="385"/>
      <c r="V493" s="385"/>
      <c r="W493" s="385"/>
      <c r="X493" s="385"/>
      <c r="Y493" s="385"/>
      <c r="Z493" s="385"/>
      <c r="AA493" s="385"/>
      <c r="AB493" s="385"/>
    </row>
    <row r="494" spans="1:28" ht="15.75" customHeight="1">
      <c r="A494" s="385"/>
      <c r="B494" s="385"/>
      <c r="C494" s="526"/>
      <c r="D494" s="385"/>
      <c r="E494" s="385"/>
      <c r="F494" s="385"/>
      <c r="G494" s="385"/>
      <c r="H494" s="30"/>
      <c r="I494" s="385"/>
      <c r="J494" s="385"/>
      <c r="K494" s="385"/>
      <c r="L494" s="385"/>
      <c r="M494" s="385"/>
      <c r="N494" s="385"/>
      <c r="O494" s="385"/>
      <c r="P494" s="385"/>
      <c r="Q494" s="385"/>
      <c r="R494" s="385"/>
      <c r="S494" s="385"/>
      <c r="T494" s="385"/>
      <c r="U494" s="385"/>
      <c r="V494" s="385"/>
      <c r="W494" s="385"/>
      <c r="X494" s="385"/>
      <c r="Y494" s="385"/>
      <c r="Z494" s="385"/>
      <c r="AA494" s="385"/>
      <c r="AB494" s="385"/>
    </row>
    <row r="495" spans="1:28" ht="15.75" customHeight="1">
      <c r="A495" s="385"/>
      <c r="B495" s="385"/>
      <c r="C495" s="526"/>
      <c r="D495" s="385"/>
      <c r="E495" s="385"/>
      <c r="F495" s="385"/>
      <c r="G495" s="385"/>
      <c r="H495" s="30"/>
      <c r="I495" s="385"/>
      <c r="J495" s="385"/>
      <c r="K495" s="385"/>
      <c r="L495" s="385"/>
      <c r="M495" s="385"/>
      <c r="N495" s="385"/>
      <c r="O495" s="385"/>
      <c r="P495" s="385"/>
      <c r="Q495" s="385"/>
      <c r="R495" s="385"/>
      <c r="S495" s="385"/>
      <c r="T495" s="385"/>
      <c r="U495" s="385"/>
      <c r="V495" s="385"/>
      <c r="W495" s="385"/>
      <c r="X495" s="385"/>
      <c r="Y495" s="385"/>
      <c r="Z495" s="385"/>
      <c r="AA495" s="385"/>
      <c r="AB495" s="385"/>
    </row>
    <row r="496" spans="1:28" ht="15.75" customHeight="1">
      <c r="A496" s="385"/>
      <c r="B496" s="385"/>
      <c r="C496" s="526"/>
      <c r="D496" s="385"/>
      <c r="E496" s="385"/>
      <c r="F496" s="385"/>
      <c r="G496" s="385"/>
      <c r="H496" s="30"/>
      <c r="I496" s="385"/>
      <c r="J496" s="385"/>
      <c r="K496" s="385"/>
      <c r="L496" s="385"/>
      <c r="M496" s="385"/>
      <c r="N496" s="385"/>
      <c r="O496" s="385"/>
      <c r="P496" s="385"/>
      <c r="Q496" s="385"/>
      <c r="R496" s="385"/>
      <c r="S496" s="385"/>
      <c r="T496" s="385"/>
      <c r="U496" s="385"/>
      <c r="V496" s="385"/>
      <c r="W496" s="385"/>
      <c r="X496" s="385"/>
      <c r="Y496" s="385"/>
      <c r="Z496" s="385"/>
      <c r="AA496" s="385"/>
      <c r="AB496" s="385"/>
    </row>
    <row r="497" spans="1:28" ht="15.75" customHeight="1">
      <c r="A497" s="385"/>
      <c r="B497" s="385"/>
      <c r="C497" s="526"/>
      <c r="D497" s="385"/>
      <c r="E497" s="385"/>
      <c r="F497" s="385"/>
      <c r="G497" s="385"/>
      <c r="H497" s="30"/>
      <c r="I497" s="385"/>
      <c r="J497" s="385"/>
      <c r="K497" s="385"/>
      <c r="L497" s="385"/>
      <c r="M497" s="385"/>
      <c r="N497" s="385"/>
      <c r="O497" s="385"/>
      <c r="P497" s="385"/>
      <c r="Q497" s="385"/>
      <c r="R497" s="385"/>
      <c r="S497" s="385"/>
      <c r="T497" s="385"/>
      <c r="U497" s="385"/>
      <c r="V497" s="385"/>
      <c r="W497" s="385"/>
      <c r="X497" s="385"/>
      <c r="Y497" s="385"/>
      <c r="Z497" s="385"/>
      <c r="AA497" s="385"/>
      <c r="AB497" s="385"/>
    </row>
    <row r="498" spans="1:28" ht="15.75" customHeight="1">
      <c r="A498" s="385"/>
      <c r="B498" s="385"/>
      <c r="C498" s="526"/>
      <c r="D498" s="385"/>
      <c r="E498" s="385"/>
      <c r="F498" s="385"/>
      <c r="G498" s="385"/>
      <c r="H498" s="30"/>
      <c r="I498" s="385"/>
      <c r="J498" s="385"/>
      <c r="K498" s="385"/>
      <c r="L498" s="385"/>
      <c r="M498" s="385"/>
      <c r="N498" s="385"/>
      <c r="O498" s="385"/>
      <c r="P498" s="385"/>
      <c r="Q498" s="385"/>
      <c r="R498" s="385"/>
      <c r="S498" s="385"/>
      <c r="T498" s="385"/>
      <c r="U498" s="385"/>
      <c r="V498" s="385"/>
      <c r="W498" s="385"/>
      <c r="X498" s="385"/>
      <c r="Y498" s="385"/>
      <c r="Z498" s="385"/>
      <c r="AA498" s="385"/>
      <c r="AB498" s="385"/>
    </row>
    <row r="499" spans="1:28" ht="15.75" customHeight="1">
      <c r="A499" s="385"/>
      <c r="B499" s="385"/>
      <c r="C499" s="526"/>
      <c r="D499" s="385"/>
      <c r="E499" s="385"/>
      <c r="F499" s="385"/>
      <c r="G499" s="385"/>
      <c r="H499" s="30"/>
      <c r="I499" s="385"/>
      <c r="J499" s="385"/>
      <c r="K499" s="385"/>
      <c r="L499" s="385"/>
      <c r="M499" s="385"/>
      <c r="N499" s="385"/>
      <c r="O499" s="385"/>
      <c r="P499" s="385"/>
      <c r="Q499" s="385"/>
      <c r="R499" s="385"/>
      <c r="S499" s="385"/>
      <c r="T499" s="385"/>
      <c r="U499" s="385"/>
      <c r="V499" s="385"/>
      <c r="W499" s="385"/>
      <c r="X499" s="385"/>
      <c r="Y499" s="385"/>
      <c r="Z499" s="385"/>
      <c r="AA499" s="385"/>
      <c r="AB499" s="385"/>
    </row>
    <row r="500" spans="1:28" ht="15.75" customHeight="1">
      <c r="A500" s="385"/>
      <c r="B500" s="385"/>
      <c r="C500" s="526"/>
      <c r="D500" s="385"/>
      <c r="E500" s="385"/>
      <c r="F500" s="385"/>
      <c r="G500" s="385"/>
      <c r="H500" s="30"/>
      <c r="I500" s="385"/>
      <c r="J500" s="385"/>
      <c r="K500" s="385"/>
      <c r="L500" s="385"/>
      <c r="M500" s="385"/>
      <c r="N500" s="385"/>
      <c r="O500" s="385"/>
      <c r="P500" s="385"/>
      <c r="Q500" s="385"/>
      <c r="R500" s="385"/>
      <c r="S500" s="385"/>
      <c r="T500" s="385"/>
      <c r="U500" s="385"/>
      <c r="V500" s="385"/>
      <c r="W500" s="385"/>
      <c r="X500" s="385"/>
      <c r="Y500" s="385"/>
      <c r="Z500" s="385"/>
      <c r="AA500" s="385"/>
      <c r="AB500" s="385"/>
    </row>
    <row r="501" spans="1:28" ht="15.75" customHeight="1">
      <c r="A501" s="385"/>
      <c r="B501" s="385"/>
      <c r="C501" s="526"/>
      <c r="D501" s="385"/>
      <c r="E501" s="385"/>
      <c r="F501" s="385"/>
      <c r="G501" s="385"/>
      <c r="H501" s="30"/>
      <c r="I501" s="385"/>
      <c r="J501" s="385"/>
      <c r="K501" s="385"/>
      <c r="L501" s="385"/>
      <c r="M501" s="385"/>
      <c r="N501" s="385"/>
      <c r="O501" s="385"/>
      <c r="P501" s="385"/>
      <c r="Q501" s="385"/>
      <c r="R501" s="385"/>
      <c r="S501" s="385"/>
      <c r="T501" s="385"/>
      <c r="U501" s="385"/>
      <c r="V501" s="385"/>
      <c r="W501" s="385"/>
      <c r="X501" s="385"/>
      <c r="Y501" s="385"/>
      <c r="Z501" s="385"/>
      <c r="AA501" s="385"/>
      <c r="AB501" s="385"/>
    </row>
    <row r="502" spans="1:28" ht="15.75" customHeight="1">
      <c r="A502" s="385"/>
      <c r="B502" s="385"/>
      <c r="C502" s="526"/>
      <c r="D502" s="385"/>
      <c r="E502" s="385"/>
      <c r="F502" s="385"/>
      <c r="G502" s="385"/>
      <c r="H502" s="30"/>
      <c r="I502" s="385"/>
      <c r="J502" s="385"/>
      <c r="K502" s="385"/>
      <c r="L502" s="385"/>
      <c r="M502" s="385"/>
      <c r="N502" s="385"/>
      <c r="O502" s="385"/>
      <c r="P502" s="385"/>
      <c r="Q502" s="385"/>
      <c r="R502" s="385"/>
      <c r="S502" s="385"/>
      <c r="T502" s="385"/>
      <c r="U502" s="385"/>
      <c r="V502" s="385"/>
      <c r="W502" s="385"/>
      <c r="X502" s="385"/>
      <c r="Y502" s="385"/>
      <c r="Z502" s="385"/>
      <c r="AA502" s="385"/>
      <c r="AB502" s="385"/>
    </row>
    <row r="503" spans="1:28" ht="15.75" customHeight="1">
      <c r="A503" s="385"/>
      <c r="B503" s="385"/>
      <c r="C503" s="526"/>
      <c r="D503" s="385"/>
      <c r="E503" s="385"/>
      <c r="F503" s="385"/>
      <c r="G503" s="385"/>
      <c r="H503" s="30"/>
      <c r="I503" s="385"/>
      <c r="J503" s="385"/>
      <c r="K503" s="385"/>
      <c r="L503" s="385"/>
      <c r="M503" s="385"/>
      <c r="N503" s="385"/>
      <c r="O503" s="385"/>
      <c r="P503" s="385"/>
      <c r="Q503" s="385"/>
      <c r="R503" s="385"/>
      <c r="S503" s="385"/>
      <c r="T503" s="385"/>
      <c r="U503" s="385"/>
      <c r="V503" s="385"/>
      <c r="W503" s="385"/>
      <c r="X503" s="385"/>
      <c r="Y503" s="385"/>
      <c r="Z503" s="385"/>
      <c r="AA503" s="385"/>
      <c r="AB503" s="385"/>
    </row>
    <row r="504" spans="1:28" ht="15.75" customHeight="1">
      <c r="A504" s="385"/>
      <c r="B504" s="385"/>
      <c r="C504" s="526"/>
      <c r="D504" s="385"/>
      <c r="E504" s="385"/>
      <c r="F504" s="385"/>
      <c r="G504" s="385"/>
      <c r="H504" s="30"/>
      <c r="I504" s="385"/>
      <c r="J504" s="385"/>
      <c r="K504" s="385"/>
      <c r="L504" s="385"/>
      <c r="M504" s="385"/>
      <c r="N504" s="385"/>
      <c r="O504" s="385"/>
      <c r="P504" s="385"/>
      <c r="Q504" s="385"/>
      <c r="R504" s="385"/>
      <c r="S504" s="385"/>
      <c r="T504" s="385"/>
      <c r="U504" s="385"/>
      <c r="V504" s="385"/>
      <c r="W504" s="385"/>
      <c r="X504" s="385"/>
      <c r="Y504" s="385"/>
      <c r="Z504" s="385"/>
      <c r="AA504" s="385"/>
      <c r="AB504" s="385"/>
    </row>
    <row r="505" spans="1:28" ht="15.75" customHeight="1">
      <c r="A505" s="385"/>
      <c r="B505" s="385"/>
      <c r="C505" s="526"/>
      <c r="D505" s="385"/>
      <c r="E505" s="385"/>
      <c r="F505" s="385"/>
      <c r="G505" s="385"/>
      <c r="H505" s="30"/>
      <c r="I505" s="385"/>
      <c r="J505" s="385"/>
      <c r="K505" s="385"/>
      <c r="L505" s="385"/>
      <c r="M505" s="385"/>
      <c r="N505" s="385"/>
      <c r="O505" s="385"/>
      <c r="P505" s="385"/>
      <c r="Q505" s="385"/>
      <c r="R505" s="385"/>
      <c r="S505" s="385"/>
      <c r="T505" s="385"/>
      <c r="U505" s="385"/>
      <c r="V505" s="385"/>
      <c r="W505" s="385"/>
      <c r="X505" s="385"/>
      <c r="Y505" s="385"/>
      <c r="Z505" s="385"/>
      <c r="AA505" s="385"/>
      <c r="AB505" s="385"/>
    </row>
    <row r="506" spans="1:28" ht="15.75" customHeight="1">
      <c r="A506" s="385"/>
      <c r="B506" s="385"/>
      <c r="C506" s="526"/>
      <c r="D506" s="385"/>
      <c r="E506" s="385"/>
      <c r="F506" s="385"/>
      <c r="G506" s="385"/>
      <c r="H506" s="30"/>
      <c r="I506" s="385"/>
      <c r="J506" s="385"/>
      <c r="K506" s="385"/>
      <c r="L506" s="385"/>
      <c r="M506" s="385"/>
      <c r="N506" s="385"/>
      <c r="O506" s="385"/>
      <c r="P506" s="385"/>
      <c r="Q506" s="385"/>
      <c r="R506" s="385"/>
      <c r="S506" s="385"/>
      <c r="T506" s="385"/>
      <c r="U506" s="385"/>
      <c r="V506" s="385"/>
      <c r="W506" s="385"/>
      <c r="X506" s="385"/>
      <c r="Y506" s="385"/>
      <c r="Z506" s="385"/>
      <c r="AA506" s="385"/>
      <c r="AB506" s="385"/>
    </row>
    <row r="507" spans="1:28" ht="15.75" customHeight="1">
      <c r="A507" s="385"/>
      <c r="B507" s="385"/>
      <c r="C507" s="526"/>
      <c r="D507" s="385"/>
      <c r="E507" s="385"/>
      <c r="F507" s="385"/>
      <c r="G507" s="385"/>
      <c r="H507" s="30"/>
      <c r="I507" s="385"/>
      <c r="J507" s="385"/>
      <c r="K507" s="385"/>
      <c r="L507" s="385"/>
      <c r="M507" s="385"/>
      <c r="N507" s="385"/>
      <c r="O507" s="385"/>
      <c r="P507" s="385"/>
      <c r="Q507" s="385"/>
      <c r="R507" s="385"/>
      <c r="S507" s="385"/>
      <c r="T507" s="385"/>
      <c r="U507" s="385"/>
      <c r="V507" s="385"/>
      <c r="W507" s="385"/>
      <c r="X507" s="385"/>
      <c r="Y507" s="385"/>
      <c r="Z507" s="385"/>
      <c r="AA507" s="385"/>
      <c r="AB507" s="385"/>
    </row>
    <row r="508" spans="1:28" ht="15.75" customHeight="1">
      <c r="A508" s="385"/>
      <c r="B508" s="385"/>
      <c r="C508" s="526"/>
      <c r="D508" s="385"/>
      <c r="E508" s="385"/>
      <c r="F508" s="385"/>
      <c r="G508" s="385"/>
      <c r="H508" s="30"/>
      <c r="I508" s="385"/>
      <c r="J508" s="385"/>
      <c r="K508" s="385"/>
      <c r="L508" s="385"/>
      <c r="M508" s="385"/>
      <c r="N508" s="385"/>
      <c r="O508" s="385"/>
      <c r="P508" s="385"/>
      <c r="Q508" s="385"/>
      <c r="R508" s="385"/>
      <c r="S508" s="385"/>
      <c r="T508" s="385"/>
      <c r="U508" s="385"/>
      <c r="V508" s="385"/>
      <c r="W508" s="385"/>
      <c r="X508" s="385"/>
      <c r="Y508" s="385"/>
      <c r="Z508" s="385"/>
      <c r="AA508" s="385"/>
      <c r="AB508" s="385"/>
    </row>
    <row r="509" spans="1:28" ht="15.75" customHeight="1">
      <c r="A509" s="385"/>
      <c r="B509" s="385"/>
      <c r="C509" s="526"/>
      <c r="D509" s="385"/>
      <c r="E509" s="385"/>
      <c r="F509" s="385"/>
      <c r="G509" s="385"/>
      <c r="H509" s="30"/>
      <c r="I509" s="385"/>
      <c r="J509" s="385"/>
      <c r="K509" s="385"/>
      <c r="L509" s="385"/>
      <c r="M509" s="385"/>
      <c r="N509" s="385"/>
      <c r="O509" s="385"/>
      <c r="P509" s="385"/>
      <c r="Q509" s="385"/>
      <c r="R509" s="385"/>
      <c r="S509" s="385"/>
      <c r="T509" s="385"/>
      <c r="U509" s="385"/>
      <c r="V509" s="385"/>
      <c r="W509" s="385"/>
      <c r="X509" s="385"/>
      <c r="Y509" s="385"/>
      <c r="Z509" s="385"/>
      <c r="AA509" s="385"/>
      <c r="AB509" s="385"/>
    </row>
    <row r="510" spans="1:28" ht="15.75" customHeight="1">
      <c r="A510" s="385"/>
      <c r="B510" s="385"/>
      <c r="C510" s="526"/>
      <c r="D510" s="385"/>
      <c r="E510" s="385"/>
      <c r="F510" s="385"/>
      <c r="G510" s="385"/>
      <c r="H510" s="30"/>
      <c r="I510" s="385"/>
      <c r="J510" s="385"/>
      <c r="K510" s="385"/>
      <c r="L510" s="385"/>
      <c r="M510" s="385"/>
      <c r="N510" s="385"/>
      <c r="O510" s="385"/>
      <c r="P510" s="385"/>
      <c r="Q510" s="385"/>
      <c r="R510" s="385"/>
      <c r="S510" s="385"/>
      <c r="T510" s="385"/>
      <c r="U510" s="385"/>
      <c r="V510" s="385"/>
      <c r="W510" s="385"/>
      <c r="X510" s="385"/>
      <c r="Y510" s="385"/>
      <c r="Z510" s="385"/>
      <c r="AA510" s="385"/>
      <c r="AB510" s="385"/>
    </row>
    <row r="511" spans="1:28" ht="15.75" customHeight="1">
      <c r="A511" s="385"/>
      <c r="B511" s="385"/>
      <c r="C511" s="526"/>
      <c r="D511" s="385"/>
      <c r="E511" s="385"/>
      <c r="F511" s="385"/>
      <c r="G511" s="385"/>
      <c r="H511" s="30"/>
      <c r="I511" s="385"/>
      <c r="J511" s="385"/>
      <c r="K511" s="385"/>
      <c r="L511" s="385"/>
      <c r="M511" s="385"/>
      <c r="N511" s="385"/>
      <c r="O511" s="385"/>
      <c r="P511" s="385"/>
      <c r="Q511" s="385"/>
      <c r="R511" s="385"/>
      <c r="S511" s="385"/>
      <c r="T511" s="385"/>
      <c r="U511" s="385"/>
      <c r="V511" s="385"/>
      <c r="W511" s="385"/>
      <c r="X511" s="385"/>
      <c r="Y511" s="385"/>
      <c r="Z511" s="385"/>
      <c r="AA511" s="385"/>
      <c r="AB511" s="385"/>
    </row>
    <row r="512" spans="1:28" ht="15.75" customHeight="1">
      <c r="A512" s="385"/>
      <c r="B512" s="385"/>
      <c r="C512" s="526"/>
      <c r="D512" s="385"/>
      <c r="E512" s="385"/>
      <c r="F512" s="385"/>
      <c r="G512" s="385"/>
      <c r="H512" s="30"/>
      <c r="I512" s="385"/>
      <c r="J512" s="385"/>
      <c r="K512" s="385"/>
      <c r="L512" s="385"/>
      <c r="M512" s="385"/>
      <c r="N512" s="385"/>
      <c r="O512" s="385"/>
      <c r="P512" s="385"/>
      <c r="Q512" s="385"/>
      <c r="R512" s="385"/>
      <c r="S512" s="385"/>
      <c r="T512" s="385"/>
      <c r="U512" s="385"/>
      <c r="V512" s="385"/>
      <c r="W512" s="385"/>
      <c r="X512" s="385"/>
      <c r="Y512" s="385"/>
      <c r="Z512" s="385"/>
      <c r="AA512" s="385"/>
      <c r="AB512" s="385"/>
    </row>
    <row r="513" spans="1:28" ht="15.75" customHeight="1">
      <c r="A513" s="385"/>
      <c r="B513" s="385"/>
      <c r="C513" s="526"/>
      <c r="D513" s="385"/>
      <c r="E513" s="385"/>
      <c r="F513" s="385"/>
      <c r="G513" s="385"/>
      <c r="H513" s="30"/>
      <c r="I513" s="385"/>
      <c r="J513" s="385"/>
      <c r="K513" s="385"/>
      <c r="L513" s="385"/>
      <c r="M513" s="385"/>
      <c r="N513" s="385"/>
      <c r="O513" s="385"/>
      <c r="P513" s="385"/>
      <c r="Q513" s="385"/>
      <c r="R513" s="385"/>
      <c r="S513" s="385"/>
      <c r="T513" s="385"/>
      <c r="U513" s="385"/>
      <c r="V513" s="385"/>
      <c r="W513" s="385"/>
      <c r="X513" s="385"/>
      <c r="Y513" s="385"/>
      <c r="Z513" s="385"/>
      <c r="AA513" s="385"/>
      <c r="AB513" s="385"/>
    </row>
    <row r="514" spans="1:28" ht="15.75" customHeight="1">
      <c r="A514" s="385"/>
      <c r="B514" s="385"/>
      <c r="C514" s="526"/>
      <c r="D514" s="385"/>
      <c r="E514" s="385"/>
      <c r="F514" s="385"/>
      <c r="G514" s="385"/>
      <c r="H514" s="30"/>
      <c r="I514" s="385"/>
      <c r="J514" s="385"/>
      <c r="K514" s="385"/>
      <c r="L514" s="385"/>
      <c r="M514" s="385"/>
      <c r="N514" s="385"/>
      <c r="O514" s="385"/>
      <c r="P514" s="385"/>
      <c r="Q514" s="385"/>
      <c r="R514" s="385"/>
      <c r="S514" s="385"/>
      <c r="T514" s="385"/>
      <c r="U514" s="385"/>
      <c r="V514" s="385"/>
      <c r="W514" s="385"/>
      <c r="X514" s="385"/>
      <c r="Y514" s="385"/>
      <c r="Z514" s="385"/>
      <c r="AA514" s="385"/>
      <c r="AB514" s="385"/>
    </row>
    <row r="515" spans="1:28" ht="15.75" customHeight="1">
      <c r="A515" s="385"/>
      <c r="B515" s="385"/>
      <c r="C515" s="526"/>
      <c r="D515" s="385"/>
      <c r="E515" s="385"/>
      <c r="F515" s="385"/>
      <c r="G515" s="385"/>
      <c r="H515" s="30"/>
      <c r="I515" s="385"/>
      <c r="J515" s="385"/>
      <c r="K515" s="385"/>
      <c r="L515" s="385"/>
      <c r="M515" s="385"/>
      <c r="N515" s="385"/>
      <c r="O515" s="385"/>
      <c r="P515" s="385"/>
      <c r="Q515" s="385"/>
      <c r="R515" s="385"/>
      <c r="S515" s="385"/>
      <c r="T515" s="385"/>
      <c r="U515" s="385"/>
      <c r="V515" s="385"/>
      <c r="W515" s="385"/>
      <c r="X515" s="385"/>
      <c r="Y515" s="385"/>
      <c r="Z515" s="385"/>
      <c r="AA515" s="385"/>
      <c r="AB515" s="385"/>
    </row>
    <row r="516" spans="1:28" ht="15.75" customHeight="1">
      <c r="A516" s="385"/>
      <c r="B516" s="385"/>
      <c r="C516" s="526"/>
      <c r="D516" s="385"/>
      <c r="E516" s="385"/>
      <c r="F516" s="385"/>
      <c r="G516" s="385"/>
      <c r="H516" s="30"/>
      <c r="I516" s="385"/>
      <c r="J516" s="385"/>
      <c r="K516" s="385"/>
      <c r="L516" s="385"/>
      <c r="M516" s="385"/>
      <c r="N516" s="385"/>
      <c r="O516" s="385"/>
      <c r="P516" s="385"/>
      <c r="Q516" s="385"/>
      <c r="R516" s="385"/>
      <c r="S516" s="385"/>
      <c r="T516" s="385"/>
      <c r="U516" s="385"/>
      <c r="V516" s="385"/>
      <c r="W516" s="385"/>
      <c r="X516" s="385"/>
      <c r="Y516" s="385"/>
      <c r="Z516" s="385"/>
      <c r="AA516" s="385"/>
      <c r="AB516" s="385"/>
    </row>
    <row r="517" spans="1:28" ht="15.75" customHeight="1">
      <c r="A517" s="385"/>
      <c r="B517" s="385"/>
      <c r="C517" s="526"/>
      <c r="D517" s="385"/>
      <c r="E517" s="385"/>
      <c r="F517" s="385"/>
      <c r="G517" s="385"/>
      <c r="H517" s="30"/>
      <c r="I517" s="385"/>
      <c r="J517" s="385"/>
      <c r="K517" s="385"/>
      <c r="L517" s="385"/>
      <c r="M517" s="385"/>
      <c r="N517" s="385"/>
      <c r="O517" s="385"/>
      <c r="P517" s="385"/>
      <c r="Q517" s="385"/>
      <c r="R517" s="385"/>
      <c r="S517" s="385"/>
      <c r="T517" s="385"/>
      <c r="U517" s="385"/>
      <c r="V517" s="385"/>
      <c r="W517" s="385"/>
      <c r="X517" s="385"/>
      <c r="Y517" s="385"/>
      <c r="Z517" s="385"/>
      <c r="AA517" s="385"/>
      <c r="AB517" s="385"/>
    </row>
    <row r="518" spans="1:28" ht="15.75" customHeight="1">
      <c r="A518" s="385"/>
      <c r="B518" s="385"/>
      <c r="C518" s="526"/>
      <c r="D518" s="385"/>
      <c r="E518" s="385"/>
      <c r="F518" s="385"/>
      <c r="G518" s="385"/>
      <c r="H518" s="30"/>
      <c r="I518" s="385"/>
      <c r="J518" s="385"/>
      <c r="K518" s="385"/>
      <c r="L518" s="385"/>
      <c r="M518" s="385"/>
      <c r="N518" s="385"/>
      <c r="O518" s="385"/>
      <c r="P518" s="385"/>
      <c r="Q518" s="385"/>
      <c r="R518" s="385"/>
      <c r="S518" s="385"/>
      <c r="T518" s="385"/>
      <c r="U518" s="385"/>
      <c r="V518" s="385"/>
      <c r="W518" s="385"/>
      <c r="X518" s="385"/>
      <c r="Y518" s="385"/>
      <c r="Z518" s="385"/>
      <c r="AA518" s="385"/>
      <c r="AB518" s="385"/>
    </row>
    <row r="519" spans="1:28" ht="15.75" customHeight="1">
      <c r="A519" s="385"/>
      <c r="B519" s="385"/>
      <c r="C519" s="526"/>
      <c r="D519" s="385"/>
      <c r="E519" s="385"/>
      <c r="F519" s="385"/>
      <c r="G519" s="385"/>
      <c r="H519" s="30"/>
      <c r="I519" s="385"/>
      <c r="J519" s="385"/>
      <c r="K519" s="385"/>
      <c r="L519" s="385"/>
      <c r="M519" s="385"/>
      <c r="N519" s="385"/>
      <c r="O519" s="385"/>
      <c r="P519" s="385"/>
      <c r="Q519" s="385"/>
      <c r="R519" s="385"/>
      <c r="S519" s="385"/>
      <c r="T519" s="385"/>
      <c r="U519" s="385"/>
      <c r="V519" s="385"/>
      <c r="W519" s="385"/>
      <c r="X519" s="385"/>
      <c r="Y519" s="385"/>
      <c r="Z519" s="385"/>
      <c r="AA519" s="385"/>
      <c r="AB519" s="385"/>
    </row>
    <row r="520" spans="1:28" ht="15.75" customHeight="1">
      <c r="A520" s="385"/>
      <c r="B520" s="385"/>
      <c r="C520" s="526"/>
      <c r="D520" s="385"/>
      <c r="E520" s="385"/>
      <c r="F520" s="385"/>
      <c r="G520" s="385"/>
      <c r="H520" s="30"/>
      <c r="I520" s="385"/>
      <c r="J520" s="385"/>
      <c r="K520" s="385"/>
      <c r="L520" s="385"/>
      <c r="M520" s="385"/>
      <c r="N520" s="385"/>
      <c r="O520" s="385"/>
      <c r="P520" s="385"/>
      <c r="Q520" s="385"/>
      <c r="R520" s="385"/>
      <c r="S520" s="385"/>
      <c r="T520" s="385"/>
      <c r="U520" s="385"/>
      <c r="V520" s="385"/>
      <c r="W520" s="385"/>
      <c r="X520" s="385"/>
      <c r="Y520" s="385"/>
      <c r="Z520" s="385"/>
      <c r="AA520" s="385"/>
      <c r="AB520" s="385"/>
    </row>
    <row r="521" spans="1:28" ht="15.75" customHeight="1">
      <c r="A521" s="385"/>
      <c r="B521" s="385"/>
      <c r="C521" s="526"/>
      <c r="D521" s="385"/>
      <c r="E521" s="385"/>
      <c r="F521" s="385"/>
      <c r="G521" s="385"/>
      <c r="H521" s="30"/>
      <c r="I521" s="385"/>
      <c r="J521" s="385"/>
      <c r="K521" s="385"/>
      <c r="L521" s="385"/>
      <c r="M521" s="385"/>
      <c r="N521" s="385"/>
      <c r="O521" s="385"/>
      <c r="P521" s="385"/>
      <c r="Q521" s="385"/>
      <c r="R521" s="385"/>
      <c r="S521" s="385"/>
      <c r="T521" s="385"/>
      <c r="U521" s="385"/>
      <c r="V521" s="385"/>
      <c r="W521" s="385"/>
      <c r="X521" s="385"/>
      <c r="Y521" s="385"/>
      <c r="Z521" s="385"/>
      <c r="AA521" s="385"/>
      <c r="AB521" s="385"/>
    </row>
    <row r="522" spans="1:28" ht="15.75" customHeight="1">
      <c r="A522" s="385"/>
      <c r="B522" s="385"/>
      <c r="C522" s="526"/>
      <c r="D522" s="385"/>
      <c r="E522" s="385"/>
      <c r="F522" s="385"/>
      <c r="G522" s="385"/>
      <c r="H522" s="30"/>
      <c r="I522" s="385"/>
      <c r="J522" s="385"/>
      <c r="K522" s="385"/>
      <c r="L522" s="385"/>
      <c r="M522" s="385"/>
      <c r="N522" s="385"/>
      <c r="O522" s="385"/>
      <c r="P522" s="385"/>
      <c r="Q522" s="385"/>
      <c r="R522" s="385"/>
      <c r="S522" s="385"/>
      <c r="T522" s="385"/>
      <c r="U522" s="385"/>
      <c r="V522" s="385"/>
      <c r="W522" s="385"/>
      <c r="X522" s="385"/>
      <c r="Y522" s="385"/>
      <c r="Z522" s="385"/>
      <c r="AA522" s="385"/>
      <c r="AB522" s="385"/>
    </row>
    <row r="523" spans="1:28" ht="15.75" customHeight="1">
      <c r="A523" s="385"/>
      <c r="B523" s="385"/>
      <c r="C523" s="526"/>
      <c r="D523" s="385"/>
      <c r="E523" s="385"/>
      <c r="F523" s="385"/>
      <c r="G523" s="385"/>
      <c r="H523" s="30"/>
      <c r="I523" s="385"/>
      <c r="J523" s="385"/>
      <c r="K523" s="385"/>
      <c r="L523" s="385"/>
      <c r="M523" s="385"/>
      <c r="N523" s="385"/>
      <c r="O523" s="385"/>
      <c r="P523" s="385"/>
      <c r="Q523" s="385"/>
      <c r="R523" s="385"/>
      <c r="S523" s="385"/>
      <c r="T523" s="385"/>
      <c r="U523" s="385"/>
      <c r="V523" s="385"/>
      <c r="W523" s="385"/>
      <c r="X523" s="385"/>
      <c r="Y523" s="385"/>
      <c r="Z523" s="385"/>
      <c r="AA523" s="385"/>
      <c r="AB523" s="385"/>
    </row>
    <row r="524" spans="1:28" ht="15.75" customHeight="1">
      <c r="A524" s="385"/>
      <c r="B524" s="385"/>
      <c r="C524" s="526"/>
      <c r="D524" s="385"/>
      <c r="E524" s="385"/>
      <c r="F524" s="385"/>
      <c r="G524" s="385"/>
      <c r="H524" s="30"/>
      <c r="I524" s="385"/>
      <c r="J524" s="385"/>
      <c r="K524" s="385"/>
      <c r="L524" s="385"/>
      <c r="M524" s="385"/>
      <c r="N524" s="385"/>
      <c r="O524" s="385"/>
      <c r="P524" s="385"/>
      <c r="Q524" s="385"/>
      <c r="R524" s="385"/>
      <c r="S524" s="385"/>
      <c r="T524" s="385"/>
      <c r="U524" s="385"/>
      <c r="V524" s="385"/>
      <c r="W524" s="385"/>
      <c r="X524" s="385"/>
      <c r="Y524" s="385"/>
      <c r="Z524" s="385"/>
      <c r="AA524" s="385"/>
      <c r="AB524" s="385"/>
    </row>
    <row r="525" spans="1:28" ht="15.75" customHeight="1">
      <c r="A525" s="385"/>
      <c r="B525" s="385"/>
      <c r="C525" s="526"/>
      <c r="D525" s="385"/>
      <c r="E525" s="385"/>
      <c r="F525" s="385"/>
      <c r="G525" s="385"/>
      <c r="H525" s="30"/>
      <c r="I525" s="385"/>
      <c r="J525" s="385"/>
      <c r="K525" s="385"/>
      <c r="L525" s="385"/>
      <c r="M525" s="385"/>
      <c r="N525" s="385"/>
      <c r="O525" s="385"/>
      <c r="P525" s="385"/>
      <c r="Q525" s="385"/>
      <c r="R525" s="385"/>
      <c r="S525" s="385"/>
      <c r="T525" s="385"/>
      <c r="U525" s="385"/>
      <c r="V525" s="385"/>
      <c r="W525" s="385"/>
      <c r="X525" s="385"/>
      <c r="Y525" s="385"/>
      <c r="Z525" s="385"/>
      <c r="AA525" s="385"/>
      <c r="AB525" s="385"/>
    </row>
    <row r="526" spans="1:28" ht="15.75" customHeight="1">
      <c r="A526" s="385"/>
      <c r="B526" s="385"/>
      <c r="C526" s="526"/>
      <c r="D526" s="385"/>
      <c r="E526" s="385"/>
      <c r="F526" s="385"/>
      <c r="G526" s="385"/>
      <c r="H526" s="30"/>
      <c r="I526" s="385"/>
      <c r="J526" s="385"/>
      <c r="K526" s="385"/>
      <c r="L526" s="385"/>
      <c r="M526" s="385"/>
      <c r="N526" s="385"/>
      <c r="O526" s="385"/>
      <c r="P526" s="385"/>
      <c r="Q526" s="385"/>
      <c r="R526" s="385"/>
      <c r="S526" s="385"/>
      <c r="T526" s="385"/>
      <c r="U526" s="385"/>
      <c r="V526" s="385"/>
      <c r="W526" s="385"/>
      <c r="X526" s="385"/>
      <c r="Y526" s="385"/>
      <c r="Z526" s="385"/>
      <c r="AA526" s="385"/>
      <c r="AB526" s="385"/>
    </row>
    <row r="527" spans="1:28" ht="15.75" customHeight="1">
      <c r="A527" s="385"/>
      <c r="B527" s="385"/>
      <c r="C527" s="526"/>
      <c r="D527" s="385"/>
      <c r="E527" s="385"/>
      <c r="F527" s="385"/>
      <c r="G527" s="385"/>
      <c r="H527" s="30"/>
      <c r="I527" s="385"/>
      <c r="J527" s="385"/>
      <c r="K527" s="385"/>
      <c r="L527" s="385"/>
      <c r="M527" s="385"/>
      <c r="N527" s="385"/>
      <c r="O527" s="385"/>
      <c r="P527" s="385"/>
      <c r="Q527" s="385"/>
      <c r="R527" s="385"/>
      <c r="S527" s="385"/>
      <c r="T527" s="385"/>
      <c r="U527" s="385"/>
      <c r="V527" s="385"/>
      <c r="W527" s="385"/>
      <c r="X527" s="385"/>
      <c r="Y527" s="385"/>
      <c r="Z527" s="385"/>
      <c r="AA527" s="385"/>
      <c r="AB527" s="385"/>
    </row>
    <row r="528" spans="1:28" ht="15.75" customHeight="1">
      <c r="A528" s="385"/>
      <c r="B528" s="385"/>
      <c r="C528" s="526"/>
      <c r="D528" s="385"/>
      <c r="E528" s="385"/>
      <c r="F528" s="385"/>
      <c r="G528" s="385"/>
      <c r="H528" s="30"/>
      <c r="I528" s="385"/>
      <c r="J528" s="385"/>
      <c r="K528" s="385"/>
      <c r="L528" s="385"/>
      <c r="M528" s="385"/>
      <c r="N528" s="385"/>
      <c r="O528" s="385"/>
      <c r="P528" s="385"/>
      <c r="Q528" s="385"/>
      <c r="R528" s="385"/>
      <c r="S528" s="385"/>
      <c r="T528" s="385"/>
      <c r="U528" s="385"/>
      <c r="V528" s="385"/>
      <c r="W528" s="385"/>
      <c r="X528" s="385"/>
      <c r="Y528" s="385"/>
      <c r="Z528" s="385"/>
      <c r="AA528" s="385"/>
      <c r="AB528" s="385"/>
    </row>
    <row r="529" spans="1:28" ht="15.75" customHeight="1">
      <c r="A529" s="385"/>
      <c r="B529" s="385"/>
      <c r="C529" s="526"/>
      <c r="D529" s="385"/>
      <c r="E529" s="385"/>
      <c r="F529" s="385"/>
      <c r="G529" s="385"/>
      <c r="H529" s="30"/>
      <c r="I529" s="385"/>
      <c r="J529" s="385"/>
      <c r="K529" s="385"/>
      <c r="L529" s="385"/>
      <c r="M529" s="385"/>
      <c r="N529" s="385"/>
      <c r="O529" s="385"/>
      <c r="P529" s="385"/>
      <c r="Q529" s="385"/>
      <c r="R529" s="385"/>
      <c r="S529" s="385"/>
      <c r="T529" s="385"/>
      <c r="U529" s="385"/>
      <c r="V529" s="385"/>
      <c r="W529" s="385"/>
      <c r="X529" s="385"/>
      <c r="Y529" s="385"/>
      <c r="Z529" s="385"/>
      <c r="AA529" s="385"/>
      <c r="AB529" s="385"/>
    </row>
    <row r="530" spans="1:28" ht="15.75" customHeight="1">
      <c r="A530" s="385"/>
      <c r="B530" s="385"/>
      <c r="C530" s="526"/>
      <c r="D530" s="385"/>
      <c r="E530" s="385"/>
      <c r="F530" s="385"/>
      <c r="G530" s="385"/>
      <c r="H530" s="30"/>
      <c r="I530" s="385"/>
      <c r="J530" s="385"/>
      <c r="K530" s="385"/>
      <c r="L530" s="385"/>
      <c r="M530" s="385"/>
      <c r="N530" s="385"/>
      <c r="O530" s="385"/>
      <c r="P530" s="385"/>
      <c r="Q530" s="385"/>
      <c r="R530" s="385"/>
      <c r="S530" s="385"/>
      <c r="T530" s="385"/>
      <c r="U530" s="385"/>
      <c r="V530" s="385"/>
      <c r="W530" s="385"/>
      <c r="X530" s="385"/>
      <c r="Y530" s="385"/>
      <c r="Z530" s="385"/>
      <c r="AA530" s="385"/>
      <c r="AB530" s="385"/>
    </row>
    <row r="531" spans="1:28" ht="15.75" customHeight="1">
      <c r="A531" s="385"/>
      <c r="B531" s="385"/>
      <c r="C531" s="526"/>
      <c r="D531" s="385"/>
      <c r="E531" s="385"/>
      <c r="F531" s="385"/>
      <c r="G531" s="385"/>
      <c r="H531" s="30"/>
      <c r="I531" s="385"/>
      <c r="J531" s="385"/>
      <c r="K531" s="385"/>
      <c r="L531" s="385"/>
      <c r="M531" s="385"/>
      <c r="N531" s="385"/>
      <c r="O531" s="385"/>
      <c r="P531" s="385"/>
      <c r="Q531" s="385"/>
      <c r="R531" s="385"/>
      <c r="S531" s="385"/>
      <c r="T531" s="385"/>
      <c r="U531" s="385"/>
      <c r="V531" s="385"/>
      <c r="W531" s="385"/>
      <c r="X531" s="385"/>
      <c r="Y531" s="385"/>
      <c r="Z531" s="385"/>
      <c r="AA531" s="385"/>
      <c r="AB531" s="385"/>
    </row>
    <row r="532" spans="1:28" ht="15.75" customHeight="1">
      <c r="A532" s="385"/>
      <c r="B532" s="385"/>
      <c r="C532" s="526"/>
      <c r="D532" s="385"/>
      <c r="E532" s="385"/>
      <c r="F532" s="385"/>
      <c r="G532" s="385"/>
      <c r="H532" s="30"/>
      <c r="I532" s="385"/>
      <c r="J532" s="385"/>
      <c r="K532" s="385"/>
      <c r="L532" s="385"/>
      <c r="M532" s="385"/>
      <c r="N532" s="385"/>
      <c r="O532" s="385"/>
      <c r="P532" s="385"/>
      <c r="Q532" s="385"/>
      <c r="R532" s="385"/>
      <c r="S532" s="385"/>
      <c r="T532" s="385"/>
      <c r="U532" s="385"/>
      <c r="V532" s="385"/>
      <c r="W532" s="385"/>
      <c r="X532" s="385"/>
      <c r="Y532" s="385"/>
      <c r="Z532" s="385"/>
      <c r="AA532" s="385"/>
      <c r="AB532" s="385"/>
    </row>
    <row r="533" spans="1:28" ht="15.75" customHeight="1">
      <c r="A533" s="385"/>
      <c r="B533" s="385"/>
      <c r="C533" s="526"/>
      <c r="D533" s="385"/>
      <c r="E533" s="385"/>
      <c r="F533" s="385"/>
      <c r="G533" s="385"/>
      <c r="H533" s="30"/>
      <c r="I533" s="385"/>
      <c r="J533" s="385"/>
      <c r="K533" s="385"/>
      <c r="L533" s="385"/>
      <c r="M533" s="385"/>
      <c r="N533" s="385"/>
      <c r="O533" s="385"/>
      <c r="P533" s="385"/>
      <c r="Q533" s="385"/>
      <c r="R533" s="385"/>
      <c r="S533" s="385"/>
      <c r="T533" s="385"/>
      <c r="U533" s="385"/>
      <c r="V533" s="385"/>
      <c r="W533" s="385"/>
      <c r="X533" s="385"/>
      <c r="Y533" s="385"/>
      <c r="Z533" s="385"/>
      <c r="AA533" s="385"/>
      <c r="AB533" s="385"/>
    </row>
    <row r="534" spans="1:28" ht="15.75" customHeight="1">
      <c r="A534" s="385"/>
      <c r="B534" s="385"/>
      <c r="C534" s="526"/>
      <c r="D534" s="385"/>
      <c r="E534" s="385"/>
      <c r="F534" s="385"/>
      <c r="G534" s="385"/>
      <c r="H534" s="30"/>
      <c r="I534" s="385"/>
      <c r="J534" s="385"/>
      <c r="K534" s="385"/>
      <c r="L534" s="385"/>
      <c r="M534" s="385"/>
      <c r="N534" s="385"/>
      <c r="O534" s="385"/>
      <c r="P534" s="385"/>
      <c r="Q534" s="385"/>
      <c r="R534" s="385"/>
      <c r="S534" s="385"/>
      <c r="T534" s="385"/>
      <c r="U534" s="385"/>
      <c r="V534" s="385"/>
      <c r="W534" s="385"/>
      <c r="X534" s="385"/>
      <c r="Y534" s="385"/>
      <c r="Z534" s="385"/>
      <c r="AA534" s="385"/>
      <c r="AB534" s="385"/>
    </row>
    <row r="535" spans="1:28" ht="15.75" customHeight="1">
      <c r="A535" s="385"/>
      <c r="B535" s="385"/>
      <c r="C535" s="526"/>
      <c r="D535" s="385"/>
      <c r="E535" s="385"/>
      <c r="F535" s="385"/>
      <c r="G535" s="385"/>
      <c r="H535" s="30"/>
      <c r="I535" s="385"/>
      <c r="J535" s="385"/>
      <c r="K535" s="385"/>
      <c r="L535" s="385"/>
      <c r="M535" s="385"/>
      <c r="N535" s="385"/>
      <c r="O535" s="385"/>
      <c r="P535" s="385"/>
      <c r="Q535" s="385"/>
      <c r="R535" s="385"/>
      <c r="S535" s="385"/>
      <c r="T535" s="385"/>
      <c r="U535" s="385"/>
      <c r="V535" s="385"/>
      <c r="W535" s="385"/>
      <c r="X535" s="385"/>
      <c r="Y535" s="385"/>
      <c r="Z535" s="385"/>
      <c r="AA535" s="385"/>
      <c r="AB535" s="385"/>
    </row>
    <row r="536" spans="1:28" ht="15.75" customHeight="1">
      <c r="A536" s="385"/>
      <c r="B536" s="385"/>
      <c r="C536" s="526"/>
      <c r="D536" s="385"/>
      <c r="E536" s="385"/>
      <c r="F536" s="385"/>
      <c r="G536" s="385"/>
      <c r="H536" s="30"/>
      <c r="I536" s="385"/>
      <c r="J536" s="385"/>
      <c r="K536" s="385"/>
      <c r="L536" s="385"/>
      <c r="M536" s="385"/>
      <c r="N536" s="385"/>
      <c r="O536" s="385"/>
      <c r="P536" s="385"/>
      <c r="Q536" s="385"/>
      <c r="R536" s="385"/>
      <c r="S536" s="385"/>
      <c r="T536" s="385"/>
      <c r="U536" s="385"/>
      <c r="V536" s="385"/>
      <c r="W536" s="385"/>
      <c r="X536" s="385"/>
      <c r="Y536" s="385"/>
      <c r="Z536" s="385"/>
      <c r="AA536" s="385"/>
      <c r="AB536" s="385"/>
    </row>
    <row r="537" spans="1:28" ht="15.75" customHeight="1">
      <c r="A537" s="385"/>
      <c r="B537" s="385"/>
      <c r="C537" s="526"/>
      <c r="D537" s="385"/>
      <c r="E537" s="385"/>
      <c r="F537" s="385"/>
      <c r="G537" s="385"/>
      <c r="H537" s="30"/>
      <c r="I537" s="385"/>
      <c r="J537" s="385"/>
      <c r="K537" s="385"/>
      <c r="L537" s="385"/>
      <c r="M537" s="385"/>
      <c r="N537" s="385"/>
      <c r="O537" s="385"/>
      <c r="P537" s="385"/>
      <c r="Q537" s="385"/>
      <c r="R537" s="385"/>
      <c r="S537" s="385"/>
      <c r="T537" s="385"/>
      <c r="U537" s="385"/>
      <c r="V537" s="385"/>
      <c r="W537" s="385"/>
      <c r="X537" s="385"/>
      <c r="Y537" s="385"/>
      <c r="Z537" s="385"/>
      <c r="AA537" s="385"/>
      <c r="AB537" s="385"/>
    </row>
    <row r="538" spans="1:28" ht="15.75" customHeight="1">
      <c r="A538" s="385"/>
      <c r="B538" s="385"/>
      <c r="C538" s="526"/>
      <c r="D538" s="385"/>
      <c r="E538" s="385"/>
      <c r="F538" s="385"/>
      <c r="G538" s="385"/>
      <c r="H538" s="30"/>
      <c r="I538" s="385"/>
      <c r="J538" s="385"/>
      <c r="K538" s="385"/>
      <c r="L538" s="385"/>
      <c r="M538" s="385"/>
      <c r="N538" s="385"/>
      <c r="O538" s="385"/>
      <c r="P538" s="385"/>
      <c r="Q538" s="385"/>
      <c r="R538" s="385"/>
      <c r="S538" s="385"/>
      <c r="T538" s="385"/>
      <c r="U538" s="385"/>
      <c r="V538" s="385"/>
      <c r="W538" s="385"/>
      <c r="X538" s="385"/>
      <c r="Y538" s="385"/>
      <c r="Z538" s="385"/>
      <c r="AA538" s="385"/>
      <c r="AB538" s="385"/>
    </row>
    <row r="539" spans="1:28" ht="15.75" customHeight="1">
      <c r="A539" s="385"/>
      <c r="B539" s="385"/>
      <c r="C539" s="526"/>
      <c r="D539" s="385"/>
      <c r="E539" s="385"/>
      <c r="F539" s="385"/>
      <c r="G539" s="385"/>
      <c r="H539" s="30"/>
      <c r="I539" s="385"/>
      <c r="J539" s="385"/>
      <c r="K539" s="385"/>
      <c r="L539" s="385"/>
      <c r="M539" s="385"/>
      <c r="N539" s="385"/>
      <c r="O539" s="385"/>
      <c r="P539" s="385"/>
      <c r="Q539" s="385"/>
      <c r="R539" s="385"/>
      <c r="S539" s="385"/>
      <c r="T539" s="385"/>
      <c r="U539" s="385"/>
      <c r="V539" s="385"/>
      <c r="W539" s="385"/>
      <c r="X539" s="385"/>
      <c r="Y539" s="385"/>
      <c r="Z539" s="385"/>
      <c r="AA539" s="385"/>
      <c r="AB539" s="385"/>
    </row>
    <row r="540" spans="1:28" ht="15.75" customHeight="1">
      <c r="A540" s="385"/>
      <c r="B540" s="385"/>
      <c r="C540" s="526"/>
      <c r="D540" s="385"/>
      <c r="E540" s="385"/>
      <c r="F540" s="385"/>
      <c r="G540" s="385"/>
      <c r="H540" s="30"/>
      <c r="I540" s="385"/>
      <c r="J540" s="385"/>
      <c r="K540" s="385"/>
      <c r="L540" s="385"/>
      <c r="M540" s="385"/>
      <c r="N540" s="385"/>
      <c r="O540" s="385"/>
      <c r="P540" s="385"/>
      <c r="Q540" s="385"/>
      <c r="R540" s="385"/>
      <c r="S540" s="385"/>
      <c r="T540" s="385"/>
      <c r="U540" s="385"/>
      <c r="V540" s="385"/>
      <c r="W540" s="385"/>
      <c r="X540" s="385"/>
      <c r="Y540" s="385"/>
      <c r="Z540" s="385"/>
      <c r="AA540" s="385"/>
      <c r="AB540" s="385"/>
    </row>
    <row r="541" spans="1:28" ht="15.75" customHeight="1">
      <c r="A541" s="385"/>
      <c r="B541" s="385"/>
      <c r="C541" s="526"/>
      <c r="D541" s="385"/>
      <c r="E541" s="385"/>
      <c r="F541" s="385"/>
      <c r="G541" s="385"/>
      <c r="H541" s="30"/>
      <c r="I541" s="385"/>
      <c r="J541" s="385"/>
      <c r="K541" s="385"/>
      <c r="L541" s="385"/>
      <c r="M541" s="385"/>
      <c r="N541" s="385"/>
      <c r="O541" s="385"/>
      <c r="P541" s="385"/>
      <c r="Q541" s="385"/>
      <c r="R541" s="385"/>
      <c r="S541" s="385"/>
      <c r="T541" s="385"/>
      <c r="U541" s="385"/>
      <c r="V541" s="385"/>
      <c r="W541" s="385"/>
      <c r="X541" s="385"/>
      <c r="Y541" s="385"/>
      <c r="Z541" s="385"/>
      <c r="AA541" s="385"/>
      <c r="AB541" s="385"/>
    </row>
    <row r="542" spans="1:28" ht="15.75" customHeight="1">
      <c r="A542" s="385"/>
      <c r="B542" s="385"/>
      <c r="C542" s="526"/>
      <c r="D542" s="385"/>
      <c r="E542" s="385"/>
      <c r="F542" s="385"/>
      <c r="G542" s="385"/>
      <c r="H542" s="30"/>
      <c r="I542" s="385"/>
      <c r="J542" s="385"/>
      <c r="K542" s="385"/>
      <c r="L542" s="385"/>
      <c r="M542" s="385"/>
      <c r="N542" s="385"/>
      <c r="O542" s="385"/>
      <c r="P542" s="385"/>
      <c r="Q542" s="385"/>
      <c r="R542" s="385"/>
      <c r="S542" s="385"/>
      <c r="T542" s="385"/>
      <c r="U542" s="385"/>
      <c r="V542" s="385"/>
      <c r="W542" s="385"/>
      <c r="X542" s="385"/>
      <c r="Y542" s="385"/>
      <c r="Z542" s="385"/>
      <c r="AA542" s="385"/>
      <c r="AB542" s="385"/>
    </row>
    <row r="543" spans="1:28" ht="15.75" customHeight="1">
      <c r="A543" s="385"/>
      <c r="B543" s="385"/>
      <c r="C543" s="526"/>
      <c r="D543" s="385"/>
      <c r="E543" s="385"/>
      <c r="F543" s="385"/>
      <c r="G543" s="385"/>
      <c r="H543" s="30"/>
      <c r="I543" s="385"/>
      <c r="J543" s="385"/>
      <c r="K543" s="385"/>
      <c r="L543" s="385"/>
      <c r="M543" s="385"/>
      <c r="N543" s="385"/>
      <c r="O543" s="385"/>
      <c r="P543" s="385"/>
      <c r="Q543" s="385"/>
      <c r="R543" s="385"/>
      <c r="S543" s="385"/>
      <c r="T543" s="385"/>
      <c r="U543" s="385"/>
      <c r="V543" s="385"/>
      <c r="W543" s="385"/>
      <c r="X543" s="385"/>
      <c r="Y543" s="385"/>
      <c r="Z543" s="385"/>
      <c r="AA543" s="385"/>
      <c r="AB543" s="385"/>
    </row>
    <row r="544" spans="1:28" ht="15.75" customHeight="1">
      <c r="A544" s="385"/>
      <c r="B544" s="385"/>
      <c r="C544" s="526"/>
      <c r="D544" s="385"/>
      <c r="E544" s="385"/>
      <c r="F544" s="385"/>
      <c r="G544" s="385"/>
      <c r="H544" s="30"/>
      <c r="I544" s="385"/>
      <c r="J544" s="385"/>
      <c r="K544" s="385"/>
      <c r="L544" s="385"/>
      <c r="M544" s="385"/>
      <c r="N544" s="385"/>
      <c r="O544" s="385"/>
      <c r="P544" s="385"/>
      <c r="Q544" s="385"/>
      <c r="R544" s="385"/>
      <c r="S544" s="385"/>
      <c r="T544" s="385"/>
      <c r="U544" s="385"/>
      <c r="V544" s="385"/>
      <c r="W544" s="385"/>
      <c r="X544" s="385"/>
      <c r="Y544" s="385"/>
      <c r="Z544" s="385"/>
      <c r="AA544" s="385"/>
      <c r="AB544" s="385"/>
    </row>
    <row r="545" spans="1:28" ht="15.75" customHeight="1">
      <c r="A545" s="385"/>
      <c r="B545" s="385"/>
      <c r="C545" s="526"/>
      <c r="D545" s="385"/>
      <c r="E545" s="385"/>
      <c r="F545" s="385"/>
      <c r="G545" s="385"/>
      <c r="H545" s="30"/>
      <c r="I545" s="385"/>
      <c r="J545" s="385"/>
      <c r="K545" s="385"/>
      <c r="L545" s="385"/>
      <c r="M545" s="385"/>
      <c r="N545" s="385"/>
      <c r="O545" s="385"/>
      <c r="P545" s="385"/>
      <c r="Q545" s="385"/>
      <c r="R545" s="385"/>
      <c r="S545" s="385"/>
      <c r="T545" s="385"/>
      <c r="U545" s="385"/>
      <c r="V545" s="385"/>
      <c r="W545" s="385"/>
      <c r="X545" s="385"/>
      <c r="Y545" s="385"/>
      <c r="Z545" s="385"/>
      <c r="AA545" s="385"/>
      <c r="AB545" s="385"/>
    </row>
    <row r="546" spans="1:28" ht="15.75" customHeight="1">
      <c r="A546" s="385"/>
      <c r="B546" s="385"/>
      <c r="C546" s="526"/>
      <c r="D546" s="385"/>
      <c r="E546" s="385"/>
      <c r="F546" s="385"/>
      <c r="G546" s="385"/>
      <c r="H546" s="30"/>
      <c r="I546" s="385"/>
      <c r="J546" s="385"/>
      <c r="K546" s="385"/>
      <c r="L546" s="385"/>
      <c r="M546" s="385"/>
      <c r="N546" s="385"/>
      <c r="O546" s="385"/>
      <c r="P546" s="385"/>
      <c r="Q546" s="385"/>
      <c r="R546" s="385"/>
      <c r="S546" s="385"/>
      <c r="T546" s="385"/>
      <c r="U546" s="385"/>
      <c r="V546" s="385"/>
      <c r="W546" s="385"/>
      <c r="X546" s="385"/>
      <c r="Y546" s="385"/>
      <c r="Z546" s="385"/>
      <c r="AA546" s="385"/>
      <c r="AB546" s="385"/>
    </row>
    <row r="547" spans="1:28" ht="15.75" customHeight="1">
      <c r="A547" s="385"/>
      <c r="B547" s="385"/>
      <c r="C547" s="526"/>
      <c r="D547" s="385"/>
      <c r="E547" s="385"/>
      <c r="F547" s="385"/>
      <c r="G547" s="385"/>
      <c r="H547" s="30"/>
      <c r="I547" s="385"/>
      <c r="J547" s="385"/>
      <c r="K547" s="385"/>
      <c r="L547" s="385"/>
      <c r="M547" s="385"/>
      <c r="N547" s="385"/>
      <c r="O547" s="385"/>
      <c r="P547" s="385"/>
      <c r="Q547" s="385"/>
      <c r="R547" s="385"/>
      <c r="S547" s="385"/>
      <c r="T547" s="385"/>
      <c r="U547" s="385"/>
      <c r="V547" s="385"/>
      <c r="W547" s="385"/>
      <c r="X547" s="385"/>
      <c r="Y547" s="385"/>
      <c r="Z547" s="385"/>
      <c r="AA547" s="385"/>
      <c r="AB547" s="385"/>
    </row>
    <row r="548" spans="1:28" ht="15.75" customHeight="1">
      <c r="A548" s="385"/>
      <c r="B548" s="385"/>
      <c r="C548" s="526"/>
      <c r="D548" s="385"/>
      <c r="E548" s="385"/>
      <c r="F548" s="385"/>
      <c r="G548" s="385"/>
      <c r="H548" s="30"/>
      <c r="I548" s="385"/>
      <c r="J548" s="385"/>
      <c r="K548" s="385"/>
      <c r="L548" s="385"/>
      <c r="M548" s="385"/>
      <c r="N548" s="385"/>
      <c r="O548" s="385"/>
      <c r="P548" s="385"/>
      <c r="Q548" s="385"/>
      <c r="R548" s="385"/>
      <c r="S548" s="385"/>
      <c r="T548" s="385"/>
      <c r="U548" s="385"/>
      <c r="V548" s="385"/>
      <c r="W548" s="385"/>
      <c r="X548" s="385"/>
      <c r="Y548" s="385"/>
      <c r="Z548" s="385"/>
      <c r="AA548" s="385"/>
      <c r="AB548" s="385"/>
    </row>
    <row r="549" spans="1:28" ht="15.75" customHeight="1">
      <c r="A549" s="385"/>
      <c r="B549" s="385"/>
      <c r="C549" s="526"/>
      <c r="D549" s="385"/>
      <c r="E549" s="385"/>
      <c r="F549" s="385"/>
      <c r="G549" s="385"/>
      <c r="H549" s="30"/>
      <c r="I549" s="385"/>
      <c r="J549" s="385"/>
      <c r="K549" s="385"/>
      <c r="L549" s="385"/>
      <c r="M549" s="385"/>
      <c r="N549" s="385"/>
      <c r="O549" s="385"/>
      <c r="P549" s="385"/>
      <c r="Q549" s="385"/>
      <c r="R549" s="385"/>
      <c r="S549" s="385"/>
      <c r="T549" s="385"/>
      <c r="U549" s="385"/>
      <c r="V549" s="385"/>
      <c r="W549" s="385"/>
      <c r="X549" s="385"/>
      <c r="Y549" s="385"/>
      <c r="Z549" s="385"/>
      <c r="AA549" s="385"/>
      <c r="AB549" s="385"/>
    </row>
    <row r="550" spans="1:28" ht="15.75" customHeight="1">
      <c r="A550" s="385"/>
      <c r="B550" s="385"/>
      <c r="C550" s="526"/>
      <c r="D550" s="385"/>
      <c r="E550" s="385"/>
      <c r="F550" s="385"/>
      <c r="G550" s="385"/>
      <c r="H550" s="30"/>
      <c r="I550" s="385"/>
      <c r="J550" s="385"/>
      <c r="K550" s="385"/>
      <c r="L550" s="385"/>
      <c r="M550" s="385"/>
      <c r="N550" s="385"/>
      <c r="O550" s="385"/>
      <c r="P550" s="385"/>
      <c r="Q550" s="385"/>
      <c r="R550" s="385"/>
      <c r="S550" s="385"/>
      <c r="T550" s="385"/>
      <c r="U550" s="385"/>
      <c r="V550" s="385"/>
      <c r="W550" s="385"/>
      <c r="X550" s="385"/>
      <c r="Y550" s="385"/>
      <c r="Z550" s="385"/>
      <c r="AA550" s="385"/>
      <c r="AB550" s="385"/>
    </row>
    <row r="551" spans="1:28" ht="15.75" customHeight="1">
      <c r="A551" s="385"/>
      <c r="B551" s="385"/>
      <c r="C551" s="526"/>
      <c r="D551" s="385"/>
      <c r="E551" s="385"/>
      <c r="F551" s="385"/>
      <c r="G551" s="385"/>
      <c r="H551" s="30"/>
      <c r="I551" s="385"/>
      <c r="J551" s="385"/>
      <c r="K551" s="385"/>
      <c r="L551" s="385"/>
      <c r="M551" s="385"/>
      <c r="N551" s="385"/>
      <c r="O551" s="385"/>
      <c r="P551" s="385"/>
      <c r="Q551" s="385"/>
      <c r="R551" s="385"/>
      <c r="S551" s="385"/>
      <c r="T551" s="385"/>
      <c r="U551" s="385"/>
      <c r="V551" s="385"/>
      <c r="W551" s="385"/>
      <c r="X551" s="385"/>
      <c r="Y551" s="385"/>
      <c r="Z551" s="385"/>
      <c r="AA551" s="385"/>
      <c r="AB551" s="385"/>
    </row>
    <row r="552" spans="1:28" ht="15.75" customHeight="1">
      <c r="A552" s="385"/>
      <c r="B552" s="385"/>
      <c r="C552" s="526"/>
      <c r="D552" s="385"/>
      <c r="E552" s="385"/>
      <c r="F552" s="385"/>
      <c r="G552" s="385"/>
      <c r="H552" s="30"/>
      <c r="I552" s="385"/>
      <c r="J552" s="385"/>
      <c r="K552" s="385"/>
      <c r="L552" s="385"/>
      <c r="M552" s="385"/>
      <c r="N552" s="385"/>
      <c r="O552" s="385"/>
      <c r="P552" s="385"/>
      <c r="Q552" s="385"/>
      <c r="R552" s="385"/>
      <c r="S552" s="385"/>
      <c r="T552" s="385"/>
      <c r="U552" s="385"/>
      <c r="V552" s="385"/>
      <c r="W552" s="385"/>
      <c r="X552" s="385"/>
      <c r="Y552" s="385"/>
      <c r="Z552" s="385"/>
      <c r="AA552" s="385"/>
      <c r="AB552" s="385"/>
    </row>
    <row r="553" spans="1:28" ht="15.75" customHeight="1">
      <c r="A553" s="385"/>
      <c r="B553" s="385"/>
      <c r="C553" s="526"/>
      <c r="D553" s="385"/>
      <c r="E553" s="385"/>
      <c r="F553" s="385"/>
      <c r="G553" s="385"/>
      <c r="H553" s="30"/>
      <c r="I553" s="385"/>
      <c r="J553" s="385"/>
      <c r="K553" s="385"/>
      <c r="L553" s="385"/>
      <c r="M553" s="385"/>
      <c r="N553" s="385"/>
      <c r="O553" s="385"/>
      <c r="P553" s="385"/>
      <c r="Q553" s="385"/>
      <c r="R553" s="385"/>
      <c r="S553" s="385"/>
      <c r="T553" s="385"/>
      <c r="U553" s="385"/>
      <c r="V553" s="385"/>
      <c r="W553" s="385"/>
      <c r="X553" s="385"/>
      <c r="Y553" s="385"/>
      <c r="Z553" s="385"/>
      <c r="AA553" s="385"/>
      <c r="AB553" s="385"/>
    </row>
    <row r="554" spans="1:28" ht="15.75" customHeight="1">
      <c r="A554" s="385"/>
      <c r="B554" s="385"/>
      <c r="C554" s="526"/>
      <c r="D554" s="385"/>
      <c r="E554" s="385"/>
      <c r="F554" s="385"/>
      <c r="G554" s="385"/>
      <c r="H554" s="30"/>
      <c r="I554" s="385"/>
      <c r="J554" s="385"/>
      <c r="K554" s="385"/>
      <c r="L554" s="385"/>
      <c r="M554" s="385"/>
      <c r="N554" s="385"/>
      <c r="O554" s="385"/>
      <c r="P554" s="385"/>
      <c r="Q554" s="385"/>
      <c r="R554" s="385"/>
      <c r="S554" s="385"/>
      <c r="T554" s="385"/>
      <c r="U554" s="385"/>
      <c r="V554" s="385"/>
      <c r="W554" s="385"/>
      <c r="X554" s="385"/>
      <c r="Y554" s="385"/>
      <c r="Z554" s="385"/>
      <c r="AA554" s="385"/>
      <c r="AB554" s="385"/>
    </row>
    <row r="555" spans="1:28" ht="15.75" customHeight="1">
      <c r="A555" s="385"/>
      <c r="B555" s="385"/>
      <c r="C555" s="526"/>
      <c r="D555" s="385"/>
      <c r="E555" s="385"/>
      <c r="F555" s="385"/>
      <c r="G555" s="385"/>
      <c r="H555" s="30"/>
      <c r="I555" s="385"/>
      <c r="J555" s="385"/>
      <c r="K555" s="385"/>
      <c r="L555" s="385"/>
      <c r="M555" s="385"/>
      <c r="N555" s="385"/>
      <c r="O555" s="385"/>
      <c r="P555" s="385"/>
      <c r="Q555" s="385"/>
      <c r="R555" s="385"/>
      <c r="S555" s="385"/>
      <c r="T555" s="385"/>
      <c r="U555" s="385"/>
      <c r="V555" s="385"/>
      <c r="W555" s="385"/>
      <c r="X555" s="385"/>
      <c r="Y555" s="385"/>
      <c r="Z555" s="385"/>
      <c r="AA555" s="385"/>
      <c r="AB555" s="385"/>
    </row>
    <row r="556" spans="1:28" ht="15.75" customHeight="1">
      <c r="A556" s="385"/>
      <c r="B556" s="385"/>
      <c r="C556" s="526"/>
      <c r="D556" s="385"/>
      <c r="E556" s="385"/>
      <c r="F556" s="385"/>
      <c r="G556" s="385"/>
      <c r="H556" s="30"/>
      <c r="I556" s="385"/>
      <c r="J556" s="385"/>
      <c r="K556" s="385"/>
      <c r="L556" s="385"/>
      <c r="M556" s="385"/>
      <c r="N556" s="385"/>
      <c r="O556" s="385"/>
      <c r="P556" s="385"/>
      <c r="Q556" s="385"/>
      <c r="R556" s="385"/>
      <c r="S556" s="385"/>
      <c r="T556" s="385"/>
      <c r="U556" s="385"/>
      <c r="V556" s="385"/>
      <c r="W556" s="385"/>
      <c r="X556" s="385"/>
      <c r="Y556" s="385"/>
      <c r="Z556" s="385"/>
      <c r="AA556" s="385"/>
      <c r="AB556" s="385"/>
    </row>
    <row r="557" spans="1:28" ht="15.75" customHeight="1">
      <c r="A557" s="385"/>
      <c r="B557" s="385"/>
      <c r="C557" s="526"/>
      <c r="D557" s="385"/>
      <c r="E557" s="385"/>
      <c r="F557" s="385"/>
      <c r="G557" s="385"/>
      <c r="H557" s="30"/>
      <c r="I557" s="385"/>
      <c r="J557" s="385"/>
      <c r="K557" s="385"/>
      <c r="L557" s="385"/>
      <c r="M557" s="385"/>
      <c r="N557" s="385"/>
      <c r="O557" s="385"/>
      <c r="P557" s="385"/>
      <c r="Q557" s="385"/>
      <c r="R557" s="385"/>
      <c r="S557" s="385"/>
      <c r="T557" s="385"/>
      <c r="U557" s="385"/>
      <c r="V557" s="385"/>
      <c r="W557" s="385"/>
      <c r="X557" s="385"/>
      <c r="Y557" s="385"/>
      <c r="Z557" s="385"/>
      <c r="AA557" s="385"/>
      <c r="AB557" s="385"/>
    </row>
    <row r="558" spans="1:28" ht="15.75" customHeight="1">
      <c r="A558" s="385"/>
      <c r="B558" s="385"/>
      <c r="C558" s="526"/>
      <c r="D558" s="385"/>
      <c r="E558" s="385"/>
      <c r="F558" s="385"/>
      <c r="G558" s="385"/>
      <c r="H558" s="30"/>
      <c r="I558" s="385"/>
      <c r="J558" s="385"/>
      <c r="K558" s="385"/>
      <c r="L558" s="385"/>
      <c r="M558" s="385"/>
      <c r="N558" s="385"/>
      <c r="O558" s="385"/>
      <c r="P558" s="385"/>
      <c r="Q558" s="385"/>
      <c r="R558" s="385"/>
      <c r="S558" s="385"/>
      <c r="T558" s="385"/>
      <c r="U558" s="385"/>
      <c r="V558" s="385"/>
      <c r="W558" s="385"/>
      <c r="X558" s="385"/>
      <c r="Y558" s="385"/>
      <c r="Z558" s="385"/>
      <c r="AA558" s="385"/>
      <c r="AB558" s="385"/>
    </row>
    <row r="559" spans="1:28" ht="15.75" customHeight="1">
      <c r="A559" s="385"/>
      <c r="B559" s="385"/>
      <c r="C559" s="526"/>
      <c r="D559" s="385"/>
      <c r="E559" s="385"/>
      <c r="F559" s="385"/>
      <c r="G559" s="385"/>
      <c r="H559" s="30"/>
      <c r="I559" s="385"/>
      <c r="J559" s="385"/>
      <c r="K559" s="385"/>
      <c r="L559" s="385"/>
      <c r="M559" s="385"/>
      <c r="N559" s="385"/>
      <c r="O559" s="385"/>
      <c r="P559" s="385"/>
      <c r="Q559" s="385"/>
      <c r="R559" s="385"/>
      <c r="S559" s="385"/>
      <c r="T559" s="385"/>
      <c r="U559" s="385"/>
      <c r="V559" s="385"/>
      <c r="W559" s="385"/>
      <c r="X559" s="385"/>
      <c r="Y559" s="385"/>
      <c r="Z559" s="385"/>
      <c r="AA559" s="385"/>
      <c r="AB559" s="385"/>
    </row>
    <row r="560" spans="1:28" ht="15.75" customHeight="1">
      <c r="A560" s="385"/>
      <c r="B560" s="385"/>
      <c r="C560" s="526"/>
      <c r="D560" s="385"/>
      <c r="E560" s="385"/>
      <c r="F560" s="385"/>
      <c r="G560" s="385"/>
      <c r="H560" s="30"/>
      <c r="I560" s="385"/>
      <c r="J560" s="385"/>
      <c r="K560" s="385"/>
      <c r="L560" s="385"/>
      <c r="M560" s="385"/>
      <c r="N560" s="385"/>
      <c r="O560" s="385"/>
      <c r="P560" s="385"/>
      <c r="Q560" s="385"/>
      <c r="R560" s="385"/>
      <c r="S560" s="385"/>
      <c r="T560" s="385"/>
      <c r="U560" s="385"/>
      <c r="V560" s="385"/>
      <c r="W560" s="385"/>
      <c r="X560" s="385"/>
      <c r="Y560" s="385"/>
      <c r="Z560" s="385"/>
      <c r="AA560" s="385"/>
      <c r="AB560" s="385"/>
    </row>
    <row r="561" spans="1:28" ht="15.75" customHeight="1">
      <c r="A561" s="385"/>
      <c r="B561" s="385"/>
      <c r="C561" s="526"/>
      <c r="D561" s="385"/>
      <c r="E561" s="385"/>
      <c r="F561" s="385"/>
      <c r="G561" s="385"/>
      <c r="H561" s="30"/>
      <c r="I561" s="385"/>
      <c r="J561" s="385"/>
      <c r="K561" s="385"/>
      <c r="L561" s="385"/>
      <c r="M561" s="385"/>
      <c r="N561" s="385"/>
      <c r="O561" s="385"/>
      <c r="P561" s="385"/>
      <c r="Q561" s="385"/>
      <c r="R561" s="385"/>
      <c r="S561" s="385"/>
      <c r="T561" s="385"/>
      <c r="U561" s="385"/>
      <c r="V561" s="385"/>
      <c r="W561" s="385"/>
      <c r="X561" s="385"/>
      <c r="Y561" s="385"/>
      <c r="Z561" s="385"/>
      <c r="AA561" s="385"/>
      <c r="AB561" s="385"/>
    </row>
    <row r="562" spans="1:28" ht="15.75" customHeight="1">
      <c r="A562" s="385"/>
      <c r="B562" s="385"/>
      <c r="C562" s="526"/>
      <c r="D562" s="385"/>
      <c r="E562" s="385"/>
      <c r="F562" s="385"/>
      <c r="G562" s="385"/>
      <c r="H562" s="30"/>
      <c r="I562" s="385"/>
      <c r="J562" s="385"/>
      <c r="K562" s="385"/>
      <c r="L562" s="385"/>
      <c r="M562" s="385"/>
      <c r="N562" s="385"/>
      <c r="O562" s="385"/>
      <c r="P562" s="385"/>
      <c r="Q562" s="385"/>
      <c r="R562" s="385"/>
      <c r="S562" s="385"/>
      <c r="T562" s="385"/>
      <c r="U562" s="385"/>
      <c r="V562" s="385"/>
      <c r="W562" s="385"/>
      <c r="X562" s="385"/>
      <c r="Y562" s="385"/>
      <c r="Z562" s="385"/>
      <c r="AA562" s="385"/>
      <c r="AB562" s="385"/>
    </row>
    <row r="563" spans="1:28" ht="15.75" customHeight="1">
      <c r="A563" s="385"/>
      <c r="B563" s="385"/>
      <c r="C563" s="526"/>
      <c r="D563" s="385"/>
      <c r="E563" s="385"/>
      <c r="F563" s="385"/>
      <c r="G563" s="385"/>
      <c r="H563" s="30"/>
      <c r="I563" s="385"/>
      <c r="J563" s="385"/>
      <c r="K563" s="385"/>
      <c r="L563" s="385"/>
      <c r="M563" s="385"/>
      <c r="N563" s="385"/>
      <c r="O563" s="385"/>
      <c r="P563" s="385"/>
      <c r="Q563" s="385"/>
      <c r="R563" s="385"/>
      <c r="S563" s="385"/>
      <c r="T563" s="385"/>
      <c r="U563" s="385"/>
      <c r="V563" s="385"/>
      <c r="W563" s="385"/>
      <c r="X563" s="385"/>
      <c r="Y563" s="385"/>
      <c r="Z563" s="385"/>
      <c r="AA563" s="385"/>
      <c r="AB563" s="385"/>
    </row>
    <row r="564" spans="1:28" ht="15.75" customHeight="1">
      <c r="A564" s="385"/>
      <c r="B564" s="385"/>
      <c r="C564" s="526"/>
      <c r="D564" s="385"/>
      <c r="E564" s="385"/>
      <c r="F564" s="385"/>
      <c r="G564" s="385"/>
      <c r="H564" s="30"/>
      <c r="I564" s="385"/>
      <c r="J564" s="385"/>
      <c r="K564" s="385"/>
      <c r="L564" s="385"/>
      <c r="M564" s="385"/>
      <c r="N564" s="385"/>
      <c r="O564" s="385"/>
      <c r="P564" s="385"/>
      <c r="Q564" s="385"/>
      <c r="R564" s="385"/>
      <c r="S564" s="385"/>
      <c r="T564" s="385"/>
      <c r="U564" s="385"/>
      <c r="V564" s="385"/>
      <c r="W564" s="385"/>
      <c r="X564" s="385"/>
      <c r="Y564" s="385"/>
      <c r="Z564" s="385"/>
      <c r="AA564" s="385"/>
      <c r="AB564" s="385"/>
    </row>
    <row r="565" spans="1:28" ht="15.75" customHeight="1">
      <c r="A565" s="385"/>
      <c r="B565" s="385"/>
      <c r="C565" s="526"/>
      <c r="D565" s="385"/>
      <c r="E565" s="385"/>
      <c r="F565" s="385"/>
      <c r="G565" s="385"/>
      <c r="H565" s="30"/>
      <c r="I565" s="385"/>
      <c r="J565" s="385"/>
      <c r="K565" s="385"/>
      <c r="L565" s="385"/>
      <c r="M565" s="385"/>
      <c r="N565" s="385"/>
      <c r="O565" s="385"/>
      <c r="P565" s="385"/>
      <c r="Q565" s="385"/>
      <c r="R565" s="385"/>
      <c r="S565" s="385"/>
      <c r="T565" s="385"/>
      <c r="U565" s="385"/>
      <c r="V565" s="385"/>
      <c r="W565" s="385"/>
      <c r="X565" s="385"/>
      <c r="Y565" s="385"/>
      <c r="Z565" s="385"/>
      <c r="AA565" s="385"/>
      <c r="AB565" s="385"/>
    </row>
    <row r="566" spans="1:28" ht="15.75" customHeight="1">
      <c r="A566" s="385"/>
      <c r="B566" s="385"/>
      <c r="C566" s="526"/>
      <c r="D566" s="385"/>
      <c r="E566" s="385"/>
      <c r="F566" s="385"/>
      <c r="G566" s="385"/>
      <c r="H566" s="30"/>
      <c r="I566" s="385"/>
      <c r="J566" s="385"/>
      <c r="K566" s="385"/>
      <c r="L566" s="385"/>
      <c r="M566" s="385"/>
      <c r="N566" s="385"/>
      <c r="O566" s="385"/>
      <c r="P566" s="385"/>
      <c r="Q566" s="385"/>
      <c r="R566" s="385"/>
      <c r="S566" s="385"/>
      <c r="T566" s="385"/>
      <c r="U566" s="385"/>
      <c r="V566" s="385"/>
      <c r="W566" s="385"/>
      <c r="X566" s="385"/>
      <c r="Y566" s="385"/>
      <c r="Z566" s="385"/>
      <c r="AA566" s="385"/>
      <c r="AB566" s="385"/>
    </row>
    <row r="567" spans="1:28" ht="15.75" customHeight="1">
      <c r="A567" s="385"/>
      <c r="B567" s="385"/>
      <c r="C567" s="526"/>
      <c r="D567" s="385"/>
      <c r="E567" s="385"/>
      <c r="F567" s="385"/>
      <c r="G567" s="385"/>
      <c r="H567" s="30"/>
      <c r="I567" s="385"/>
      <c r="J567" s="385"/>
      <c r="K567" s="385"/>
      <c r="L567" s="385"/>
      <c r="M567" s="385"/>
      <c r="N567" s="385"/>
      <c r="O567" s="385"/>
      <c r="P567" s="385"/>
      <c r="Q567" s="385"/>
      <c r="R567" s="385"/>
      <c r="S567" s="385"/>
      <c r="T567" s="385"/>
      <c r="U567" s="385"/>
      <c r="V567" s="385"/>
      <c r="W567" s="385"/>
      <c r="X567" s="385"/>
      <c r="Y567" s="385"/>
      <c r="Z567" s="385"/>
      <c r="AA567" s="385"/>
      <c r="AB567" s="385"/>
    </row>
    <row r="568" spans="1:28" ht="15.75" customHeight="1">
      <c r="A568" s="385"/>
      <c r="B568" s="385"/>
      <c r="C568" s="526"/>
      <c r="D568" s="385"/>
      <c r="E568" s="385"/>
      <c r="F568" s="385"/>
      <c r="G568" s="385"/>
      <c r="H568" s="30"/>
      <c r="I568" s="385"/>
      <c r="J568" s="385"/>
      <c r="K568" s="385"/>
      <c r="L568" s="385"/>
      <c r="M568" s="385"/>
      <c r="N568" s="385"/>
      <c r="O568" s="385"/>
      <c r="P568" s="385"/>
      <c r="Q568" s="385"/>
      <c r="R568" s="385"/>
      <c r="S568" s="385"/>
      <c r="T568" s="385"/>
      <c r="U568" s="385"/>
      <c r="V568" s="385"/>
      <c r="W568" s="385"/>
      <c r="X568" s="385"/>
      <c r="Y568" s="385"/>
      <c r="Z568" s="385"/>
      <c r="AA568" s="385"/>
      <c r="AB568" s="385"/>
    </row>
    <row r="569" spans="1:28" ht="15.75" customHeight="1">
      <c r="A569" s="385"/>
      <c r="B569" s="385"/>
      <c r="C569" s="526"/>
      <c r="D569" s="385"/>
      <c r="E569" s="385"/>
      <c r="F569" s="385"/>
      <c r="G569" s="385"/>
      <c r="H569" s="30"/>
      <c r="I569" s="385"/>
      <c r="J569" s="385"/>
      <c r="K569" s="385"/>
      <c r="L569" s="385"/>
      <c r="M569" s="385"/>
      <c r="N569" s="385"/>
      <c r="O569" s="385"/>
      <c r="P569" s="385"/>
      <c r="Q569" s="385"/>
      <c r="R569" s="385"/>
      <c r="S569" s="385"/>
      <c r="T569" s="385"/>
      <c r="U569" s="385"/>
      <c r="V569" s="385"/>
      <c r="W569" s="385"/>
      <c r="X569" s="385"/>
      <c r="Y569" s="385"/>
      <c r="Z569" s="385"/>
      <c r="AA569" s="385"/>
      <c r="AB569" s="385"/>
    </row>
    <row r="570" spans="1:28" ht="15.75" customHeight="1">
      <c r="A570" s="385"/>
      <c r="B570" s="385"/>
      <c r="C570" s="526"/>
      <c r="D570" s="385"/>
      <c r="E570" s="385"/>
      <c r="F570" s="385"/>
      <c r="G570" s="385"/>
      <c r="H570" s="30"/>
      <c r="I570" s="385"/>
      <c r="J570" s="385"/>
      <c r="K570" s="385"/>
      <c r="L570" s="385"/>
      <c r="M570" s="385"/>
      <c r="N570" s="385"/>
      <c r="O570" s="385"/>
      <c r="P570" s="385"/>
      <c r="Q570" s="385"/>
      <c r="R570" s="385"/>
      <c r="S570" s="385"/>
      <c r="T570" s="385"/>
      <c r="U570" s="385"/>
      <c r="V570" s="385"/>
      <c r="W570" s="385"/>
      <c r="X570" s="385"/>
      <c r="Y570" s="385"/>
      <c r="Z570" s="385"/>
      <c r="AA570" s="385"/>
      <c r="AB570" s="385"/>
    </row>
    <row r="571" spans="1:28" ht="15.75" customHeight="1">
      <c r="A571" s="385"/>
      <c r="B571" s="385"/>
      <c r="C571" s="526"/>
      <c r="D571" s="385"/>
      <c r="E571" s="385"/>
      <c r="F571" s="385"/>
      <c r="G571" s="385"/>
      <c r="H571" s="30"/>
      <c r="I571" s="385"/>
      <c r="J571" s="385"/>
      <c r="K571" s="385"/>
      <c r="L571" s="385"/>
      <c r="M571" s="385"/>
      <c r="N571" s="385"/>
      <c r="O571" s="385"/>
      <c r="P571" s="385"/>
      <c r="Q571" s="385"/>
      <c r="R571" s="385"/>
      <c r="S571" s="385"/>
      <c r="T571" s="385"/>
      <c r="U571" s="385"/>
      <c r="V571" s="385"/>
      <c r="W571" s="385"/>
      <c r="X571" s="385"/>
      <c r="Y571" s="385"/>
      <c r="Z571" s="385"/>
      <c r="AA571" s="385"/>
      <c r="AB571" s="385"/>
    </row>
    <row r="572" spans="1:28" ht="15.75" customHeight="1">
      <c r="A572" s="385"/>
      <c r="B572" s="385"/>
      <c r="C572" s="526"/>
      <c r="D572" s="385"/>
      <c r="E572" s="385"/>
      <c r="F572" s="385"/>
      <c r="G572" s="385"/>
      <c r="H572" s="30"/>
      <c r="I572" s="385"/>
      <c r="J572" s="385"/>
      <c r="K572" s="385"/>
      <c r="L572" s="385"/>
      <c r="M572" s="385"/>
      <c r="N572" s="385"/>
      <c r="O572" s="385"/>
      <c r="P572" s="385"/>
      <c r="Q572" s="385"/>
      <c r="R572" s="385"/>
      <c r="S572" s="385"/>
      <c r="T572" s="385"/>
      <c r="U572" s="385"/>
      <c r="V572" s="385"/>
      <c r="W572" s="385"/>
      <c r="X572" s="385"/>
      <c r="Y572" s="385"/>
      <c r="Z572" s="385"/>
      <c r="AA572" s="385"/>
      <c r="AB572" s="385"/>
    </row>
    <row r="573" spans="1:28" ht="15.75" customHeight="1">
      <c r="A573" s="385"/>
      <c r="B573" s="385"/>
      <c r="C573" s="526"/>
      <c r="D573" s="385"/>
      <c r="E573" s="385"/>
      <c r="F573" s="385"/>
      <c r="G573" s="385"/>
      <c r="H573" s="30"/>
      <c r="I573" s="385"/>
      <c r="J573" s="385"/>
      <c r="K573" s="385"/>
      <c r="L573" s="385"/>
      <c r="M573" s="385"/>
      <c r="N573" s="385"/>
      <c r="O573" s="385"/>
      <c r="P573" s="385"/>
      <c r="Q573" s="385"/>
      <c r="R573" s="385"/>
      <c r="S573" s="385"/>
      <c r="T573" s="385"/>
      <c r="U573" s="385"/>
      <c r="V573" s="385"/>
      <c r="W573" s="385"/>
      <c r="X573" s="385"/>
      <c r="Y573" s="385"/>
      <c r="Z573" s="385"/>
      <c r="AA573" s="385"/>
      <c r="AB573" s="385"/>
    </row>
    <row r="574" spans="1:28" ht="15.75" customHeight="1">
      <c r="A574" s="385"/>
      <c r="B574" s="385"/>
      <c r="C574" s="526"/>
      <c r="D574" s="385"/>
      <c r="E574" s="385"/>
      <c r="F574" s="385"/>
      <c r="G574" s="385"/>
      <c r="H574" s="30"/>
      <c r="I574" s="385"/>
      <c r="J574" s="385"/>
      <c r="K574" s="385"/>
      <c r="L574" s="385"/>
      <c r="M574" s="385"/>
      <c r="N574" s="385"/>
      <c r="O574" s="385"/>
      <c r="P574" s="385"/>
      <c r="Q574" s="385"/>
      <c r="R574" s="385"/>
      <c r="S574" s="385"/>
      <c r="T574" s="385"/>
      <c r="U574" s="385"/>
      <c r="V574" s="385"/>
      <c r="W574" s="385"/>
      <c r="X574" s="385"/>
      <c r="Y574" s="385"/>
      <c r="Z574" s="385"/>
      <c r="AA574" s="385"/>
      <c r="AB574" s="385"/>
    </row>
    <row r="575" spans="1:28" ht="15.75" customHeight="1">
      <c r="A575" s="385"/>
      <c r="B575" s="385"/>
      <c r="C575" s="526"/>
      <c r="D575" s="385"/>
      <c r="E575" s="385"/>
      <c r="F575" s="385"/>
      <c r="G575" s="385"/>
      <c r="H575" s="30"/>
      <c r="I575" s="385"/>
      <c r="J575" s="385"/>
      <c r="K575" s="385"/>
      <c r="L575" s="385"/>
      <c r="M575" s="385"/>
      <c r="N575" s="385"/>
      <c r="O575" s="385"/>
      <c r="P575" s="385"/>
      <c r="Q575" s="385"/>
      <c r="R575" s="385"/>
      <c r="S575" s="385"/>
      <c r="T575" s="385"/>
      <c r="U575" s="385"/>
      <c r="V575" s="385"/>
      <c r="W575" s="385"/>
      <c r="X575" s="385"/>
      <c r="Y575" s="385"/>
      <c r="Z575" s="385"/>
      <c r="AA575" s="385"/>
      <c r="AB575" s="385"/>
    </row>
    <row r="576" spans="1:28" ht="15.75" customHeight="1">
      <c r="A576" s="385"/>
      <c r="B576" s="385"/>
      <c r="C576" s="526"/>
      <c r="D576" s="385"/>
      <c r="E576" s="385"/>
      <c r="F576" s="385"/>
      <c r="G576" s="385"/>
      <c r="H576" s="30"/>
      <c r="I576" s="385"/>
      <c r="J576" s="385"/>
      <c r="K576" s="385"/>
      <c r="L576" s="385"/>
      <c r="M576" s="385"/>
      <c r="N576" s="385"/>
      <c r="O576" s="385"/>
      <c r="P576" s="385"/>
      <c r="Q576" s="385"/>
      <c r="R576" s="385"/>
      <c r="S576" s="385"/>
      <c r="T576" s="385"/>
      <c r="U576" s="385"/>
      <c r="V576" s="385"/>
      <c r="W576" s="385"/>
      <c r="X576" s="385"/>
      <c r="Y576" s="385"/>
      <c r="Z576" s="385"/>
      <c r="AA576" s="385"/>
      <c r="AB576" s="385"/>
    </row>
    <row r="577" spans="1:28" ht="15.75" customHeight="1">
      <c r="A577" s="385"/>
      <c r="B577" s="385"/>
      <c r="C577" s="526"/>
      <c r="D577" s="385"/>
      <c r="E577" s="385"/>
      <c r="F577" s="385"/>
      <c r="G577" s="385"/>
      <c r="H577" s="30"/>
      <c r="I577" s="385"/>
      <c r="J577" s="385"/>
      <c r="K577" s="385"/>
      <c r="L577" s="385"/>
      <c r="M577" s="385"/>
      <c r="N577" s="385"/>
      <c r="O577" s="385"/>
      <c r="P577" s="385"/>
      <c r="Q577" s="385"/>
      <c r="R577" s="385"/>
      <c r="S577" s="385"/>
      <c r="T577" s="385"/>
      <c r="U577" s="385"/>
      <c r="V577" s="385"/>
      <c r="W577" s="385"/>
      <c r="X577" s="385"/>
      <c r="Y577" s="385"/>
      <c r="Z577" s="385"/>
      <c r="AA577" s="385"/>
      <c r="AB577" s="385"/>
    </row>
    <row r="578" spans="1:28" ht="15.75" customHeight="1">
      <c r="A578" s="385"/>
      <c r="B578" s="385"/>
      <c r="C578" s="526"/>
      <c r="D578" s="385"/>
      <c r="E578" s="385"/>
      <c r="F578" s="385"/>
      <c r="G578" s="385"/>
      <c r="H578" s="30"/>
      <c r="I578" s="385"/>
      <c r="J578" s="385"/>
      <c r="K578" s="385"/>
      <c r="L578" s="385"/>
      <c r="M578" s="385"/>
      <c r="N578" s="385"/>
      <c r="O578" s="385"/>
      <c r="P578" s="385"/>
      <c r="Q578" s="385"/>
      <c r="R578" s="385"/>
      <c r="S578" s="385"/>
      <c r="T578" s="385"/>
      <c r="U578" s="385"/>
      <c r="V578" s="385"/>
      <c r="W578" s="385"/>
      <c r="X578" s="385"/>
      <c r="Y578" s="385"/>
      <c r="Z578" s="385"/>
      <c r="AA578" s="385"/>
      <c r="AB578" s="385"/>
    </row>
    <row r="579" spans="1:28" ht="15.75" customHeight="1">
      <c r="A579" s="385"/>
      <c r="B579" s="385"/>
      <c r="C579" s="526"/>
      <c r="D579" s="385"/>
      <c r="E579" s="385"/>
      <c r="F579" s="385"/>
      <c r="G579" s="385"/>
      <c r="H579" s="30"/>
      <c r="I579" s="385"/>
      <c r="J579" s="385"/>
      <c r="K579" s="385"/>
      <c r="L579" s="385"/>
      <c r="M579" s="385"/>
      <c r="N579" s="385"/>
      <c r="O579" s="385"/>
      <c r="P579" s="385"/>
      <c r="Q579" s="385"/>
      <c r="R579" s="385"/>
      <c r="S579" s="385"/>
      <c r="T579" s="385"/>
      <c r="U579" s="385"/>
      <c r="V579" s="385"/>
      <c r="W579" s="385"/>
      <c r="X579" s="385"/>
      <c r="Y579" s="385"/>
      <c r="Z579" s="385"/>
      <c r="AA579" s="385"/>
      <c r="AB579" s="385"/>
    </row>
    <row r="580" spans="1:28" ht="15.75" customHeight="1">
      <c r="A580" s="385"/>
      <c r="B580" s="385"/>
      <c r="C580" s="526"/>
      <c r="D580" s="385"/>
      <c r="E580" s="385"/>
      <c r="F580" s="385"/>
      <c r="G580" s="385"/>
      <c r="H580" s="30"/>
      <c r="I580" s="385"/>
      <c r="J580" s="385"/>
      <c r="K580" s="385"/>
      <c r="L580" s="385"/>
      <c r="M580" s="385"/>
      <c r="N580" s="385"/>
      <c r="O580" s="385"/>
      <c r="P580" s="385"/>
      <c r="Q580" s="385"/>
      <c r="R580" s="385"/>
      <c r="S580" s="385"/>
      <c r="T580" s="385"/>
      <c r="U580" s="385"/>
      <c r="V580" s="385"/>
      <c r="W580" s="385"/>
      <c r="X580" s="385"/>
      <c r="Y580" s="385"/>
      <c r="Z580" s="385"/>
      <c r="AA580" s="385"/>
      <c r="AB580" s="385"/>
    </row>
    <row r="581" spans="1:28" ht="15.75" customHeight="1">
      <c r="A581" s="385"/>
      <c r="B581" s="385"/>
      <c r="C581" s="526"/>
      <c r="D581" s="385"/>
      <c r="E581" s="385"/>
      <c r="F581" s="385"/>
      <c r="G581" s="385"/>
      <c r="H581" s="30"/>
      <c r="I581" s="385"/>
      <c r="J581" s="385"/>
      <c r="K581" s="385"/>
      <c r="L581" s="385"/>
      <c r="M581" s="385"/>
      <c r="N581" s="385"/>
      <c r="O581" s="385"/>
      <c r="P581" s="385"/>
      <c r="Q581" s="385"/>
      <c r="R581" s="385"/>
      <c r="S581" s="385"/>
      <c r="T581" s="385"/>
      <c r="U581" s="385"/>
      <c r="V581" s="385"/>
      <c r="W581" s="385"/>
      <c r="X581" s="385"/>
      <c r="Y581" s="385"/>
      <c r="Z581" s="385"/>
      <c r="AA581" s="385"/>
      <c r="AB581" s="385"/>
    </row>
    <row r="582" spans="1:28" ht="15.75" customHeight="1">
      <c r="A582" s="385"/>
      <c r="B582" s="385"/>
      <c r="C582" s="526"/>
      <c r="D582" s="385"/>
      <c r="E582" s="385"/>
      <c r="F582" s="385"/>
      <c r="G582" s="385"/>
      <c r="H582" s="30"/>
      <c r="I582" s="385"/>
      <c r="J582" s="385"/>
      <c r="K582" s="385"/>
      <c r="L582" s="385"/>
      <c r="M582" s="385"/>
      <c r="N582" s="385"/>
      <c r="O582" s="385"/>
      <c r="P582" s="385"/>
      <c r="Q582" s="385"/>
      <c r="R582" s="385"/>
      <c r="S582" s="385"/>
      <c r="T582" s="385"/>
      <c r="U582" s="385"/>
      <c r="V582" s="385"/>
      <c r="W582" s="385"/>
      <c r="X582" s="385"/>
      <c r="Y582" s="385"/>
      <c r="Z582" s="385"/>
      <c r="AA582" s="385"/>
      <c r="AB582" s="385"/>
    </row>
    <row r="583" spans="1:28" ht="15.75" customHeight="1">
      <c r="A583" s="385"/>
      <c r="B583" s="385"/>
      <c r="C583" s="526"/>
      <c r="D583" s="385"/>
      <c r="E583" s="385"/>
      <c r="F583" s="385"/>
      <c r="G583" s="385"/>
      <c r="H583" s="30"/>
      <c r="I583" s="385"/>
      <c r="J583" s="385"/>
      <c r="K583" s="385"/>
      <c r="L583" s="385"/>
      <c r="M583" s="385"/>
      <c r="N583" s="385"/>
      <c r="O583" s="385"/>
      <c r="P583" s="385"/>
      <c r="Q583" s="385"/>
      <c r="R583" s="385"/>
      <c r="S583" s="385"/>
      <c r="T583" s="385"/>
      <c r="U583" s="385"/>
      <c r="V583" s="385"/>
      <c r="W583" s="385"/>
      <c r="X583" s="385"/>
      <c r="Y583" s="385"/>
      <c r="Z583" s="385"/>
      <c r="AA583" s="385"/>
      <c r="AB583" s="385"/>
    </row>
    <row r="584" spans="1:28" ht="15.75" customHeight="1">
      <c r="A584" s="385"/>
      <c r="B584" s="385"/>
      <c r="C584" s="526"/>
      <c r="D584" s="385"/>
      <c r="E584" s="385"/>
      <c r="F584" s="385"/>
      <c r="G584" s="385"/>
      <c r="H584" s="30"/>
      <c r="I584" s="385"/>
      <c r="J584" s="385"/>
      <c r="K584" s="385"/>
      <c r="L584" s="385"/>
      <c r="M584" s="385"/>
      <c r="N584" s="385"/>
      <c r="O584" s="385"/>
      <c r="P584" s="385"/>
      <c r="Q584" s="385"/>
      <c r="R584" s="385"/>
      <c r="S584" s="385"/>
      <c r="T584" s="385"/>
      <c r="U584" s="385"/>
      <c r="V584" s="385"/>
      <c r="W584" s="385"/>
      <c r="X584" s="385"/>
      <c r="Y584" s="385"/>
      <c r="Z584" s="385"/>
      <c r="AA584" s="385"/>
      <c r="AB584" s="385"/>
    </row>
    <row r="585" spans="1:28" ht="15.75" customHeight="1">
      <c r="A585" s="385"/>
      <c r="B585" s="385"/>
      <c r="C585" s="526"/>
      <c r="D585" s="385"/>
      <c r="E585" s="385"/>
      <c r="F585" s="385"/>
      <c r="G585" s="385"/>
      <c r="H585" s="30"/>
      <c r="I585" s="385"/>
      <c r="J585" s="385"/>
      <c r="K585" s="385"/>
      <c r="L585" s="385"/>
      <c r="M585" s="385"/>
      <c r="N585" s="385"/>
      <c r="O585" s="385"/>
      <c r="P585" s="385"/>
      <c r="Q585" s="385"/>
      <c r="R585" s="385"/>
      <c r="S585" s="385"/>
      <c r="T585" s="385"/>
      <c r="U585" s="385"/>
      <c r="V585" s="385"/>
      <c r="W585" s="385"/>
      <c r="X585" s="385"/>
      <c r="Y585" s="385"/>
      <c r="Z585" s="385"/>
      <c r="AA585" s="385"/>
      <c r="AB585" s="385"/>
    </row>
    <row r="586" spans="1:28" ht="15.75" customHeight="1">
      <c r="A586" s="385"/>
      <c r="B586" s="385"/>
      <c r="C586" s="526"/>
      <c r="D586" s="385"/>
      <c r="E586" s="385"/>
      <c r="F586" s="385"/>
      <c r="G586" s="385"/>
      <c r="H586" s="30"/>
      <c r="I586" s="385"/>
      <c r="J586" s="385"/>
      <c r="K586" s="385"/>
      <c r="L586" s="385"/>
      <c r="M586" s="385"/>
      <c r="N586" s="385"/>
      <c r="O586" s="385"/>
      <c r="P586" s="385"/>
      <c r="Q586" s="385"/>
      <c r="R586" s="385"/>
      <c r="S586" s="385"/>
      <c r="T586" s="385"/>
      <c r="U586" s="385"/>
      <c r="V586" s="385"/>
      <c r="W586" s="385"/>
      <c r="X586" s="385"/>
      <c r="Y586" s="385"/>
      <c r="Z586" s="385"/>
      <c r="AA586" s="385"/>
      <c r="AB586" s="385"/>
    </row>
    <row r="587" spans="1:28" ht="15.75" customHeight="1">
      <c r="A587" s="385"/>
      <c r="B587" s="385"/>
      <c r="C587" s="526"/>
      <c r="D587" s="385"/>
      <c r="E587" s="385"/>
      <c r="F587" s="385"/>
      <c r="G587" s="385"/>
      <c r="H587" s="30"/>
      <c r="I587" s="385"/>
      <c r="J587" s="385"/>
      <c r="K587" s="385"/>
      <c r="L587" s="385"/>
      <c r="M587" s="385"/>
      <c r="N587" s="385"/>
      <c r="O587" s="385"/>
      <c r="P587" s="385"/>
      <c r="Q587" s="385"/>
      <c r="R587" s="385"/>
      <c r="S587" s="385"/>
      <c r="T587" s="385"/>
      <c r="U587" s="385"/>
      <c r="V587" s="385"/>
      <c r="W587" s="385"/>
      <c r="X587" s="385"/>
      <c r="Y587" s="385"/>
      <c r="Z587" s="385"/>
      <c r="AA587" s="385"/>
      <c r="AB587" s="385"/>
    </row>
    <row r="588" spans="1:28" ht="15.75" customHeight="1">
      <c r="A588" s="385"/>
      <c r="B588" s="385"/>
      <c r="C588" s="526"/>
      <c r="D588" s="385"/>
      <c r="E588" s="385"/>
      <c r="F588" s="385"/>
      <c r="G588" s="385"/>
      <c r="H588" s="30"/>
      <c r="I588" s="385"/>
      <c r="J588" s="385"/>
      <c r="K588" s="385"/>
      <c r="L588" s="385"/>
      <c r="M588" s="385"/>
      <c r="N588" s="385"/>
      <c r="O588" s="385"/>
      <c r="P588" s="385"/>
      <c r="Q588" s="385"/>
      <c r="R588" s="385"/>
      <c r="S588" s="385"/>
      <c r="T588" s="385"/>
      <c r="U588" s="385"/>
      <c r="V588" s="385"/>
      <c r="W588" s="385"/>
      <c r="X588" s="385"/>
      <c r="Y588" s="385"/>
      <c r="Z588" s="385"/>
      <c r="AA588" s="385"/>
      <c r="AB588" s="385"/>
    </row>
    <row r="589" spans="1:28" ht="15.75" customHeight="1">
      <c r="A589" s="385"/>
      <c r="B589" s="385"/>
      <c r="C589" s="526"/>
      <c r="D589" s="385"/>
      <c r="E589" s="385"/>
      <c r="F589" s="385"/>
      <c r="G589" s="385"/>
      <c r="H589" s="30"/>
      <c r="I589" s="385"/>
      <c r="J589" s="385"/>
      <c r="K589" s="385"/>
      <c r="L589" s="385"/>
      <c r="M589" s="385"/>
      <c r="N589" s="385"/>
      <c r="O589" s="385"/>
      <c r="P589" s="385"/>
      <c r="Q589" s="385"/>
      <c r="R589" s="385"/>
      <c r="S589" s="385"/>
      <c r="T589" s="385"/>
      <c r="U589" s="385"/>
      <c r="V589" s="385"/>
      <c r="W589" s="385"/>
      <c r="X589" s="385"/>
      <c r="Y589" s="385"/>
      <c r="Z589" s="385"/>
      <c r="AA589" s="385"/>
      <c r="AB589" s="385"/>
    </row>
    <row r="590" spans="1:28" ht="15.75" customHeight="1">
      <c r="A590" s="385"/>
      <c r="B590" s="385"/>
      <c r="C590" s="526"/>
      <c r="D590" s="385"/>
      <c r="E590" s="385"/>
      <c r="F590" s="385"/>
      <c r="G590" s="385"/>
      <c r="H590" s="30"/>
      <c r="I590" s="385"/>
      <c r="J590" s="385"/>
      <c r="K590" s="385"/>
      <c r="L590" s="385"/>
      <c r="M590" s="385"/>
      <c r="N590" s="385"/>
      <c r="O590" s="385"/>
      <c r="P590" s="385"/>
      <c r="Q590" s="385"/>
      <c r="R590" s="385"/>
      <c r="S590" s="385"/>
      <c r="T590" s="385"/>
      <c r="U590" s="385"/>
      <c r="V590" s="385"/>
      <c r="W590" s="385"/>
      <c r="X590" s="385"/>
      <c r="Y590" s="385"/>
      <c r="Z590" s="385"/>
      <c r="AA590" s="385"/>
      <c r="AB590" s="385"/>
    </row>
    <row r="591" spans="1:28" ht="15.75" customHeight="1">
      <c r="A591" s="385"/>
      <c r="B591" s="385"/>
      <c r="C591" s="526"/>
      <c r="D591" s="385"/>
      <c r="E591" s="385"/>
      <c r="F591" s="385"/>
      <c r="G591" s="385"/>
      <c r="H591" s="30"/>
      <c r="I591" s="385"/>
      <c r="J591" s="385"/>
      <c r="K591" s="385"/>
      <c r="L591" s="385"/>
      <c r="M591" s="385"/>
      <c r="N591" s="385"/>
      <c r="O591" s="385"/>
      <c r="P591" s="385"/>
      <c r="Q591" s="385"/>
      <c r="R591" s="385"/>
      <c r="S591" s="385"/>
      <c r="T591" s="385"/>
      <c r="U591" s="385"/>
      <c r="V591" s="385"/>
      <c r="W591" s="385"/>
      <c r="X591" s="385"/>
      <c r="Y591" s="385"/>
      <c r="Z591" s="385"/>
      <c r="AA591" s="385"/>
      <c r="AB591" s="385"/>
    </row>
    <row r="592" spans="1:28" ht="15.75" customHeight="1">
      <c r="A592" s="385"/>
      <c r="B592" s="385"/>
      <c r="C592" s="526"/>
      <c r="D592" s="385"/>
      <c r="E592" s="385"/>
      <c r="F592" s="385"/>
      <c r="G592" s="385"/>
      <c r="H592" s="30"/>
      <c r="I592" s="385"/>
      <c r="J592" s="385"/>
      <c r="K592" s="385"/>
      <c r="L592" s="385"/>
      <c r="M592" s="385"/>
      <c r="N592" s="385"/>
      <c r="O592" s="385"/>
      <c r="P592" s="385"/>
      <c r="Q592" s="385"/>
      <c r="R592" s="385"/>
      <c r="S592" s="385"/>
      <c r="T592" s="385"/>
      <c r="U592" s="385"/>
      <c r="V592" s="385"/>
      <c r="W592" s="385"/>
      <c r="X592" s="385"/>
      <c r="Y592" s="385"/>
      <c r="Z592" s="385"/>
      <c r="AA592" s="385"/>
      <c r="AB592" s="385"/>
    </row>
    <row r="593" spans="1:28" ht="15.75" customHeight="1">
      <c r="A593" s="385"/>
      <c r="B593" s="385"/>
      <c r="C593" s="526"/>
      <c r="D593" s="385"/>
      <c r="E593" s="385"/>
      <c r="F593" s="385"/>
      <c r="G593" s="385"/>
      <c r="H593" s="30"/>
      <c r="I593" s="385"/>
      <c r="J593" s="385"/>
      <c r="K593" s="385"/>
      <c r="L593" s="385"/>
      <c r="M593" s="385"/>
      <c r="N593" s="385"/>
      <c r="O593" s="385"/>
      <c r="P593" s="385"/>
      <c r="Q593" s="385"/>
      <c r="R593" s="385"/>
      <c r="S593" s="385"/>
      <c r="T593" s="385"/>
      <c r="U593" s="385"/>
      <c r="V593" s="385"/>
      <c r="W593" s="385"/>
      <c r="X593" s="385"/>
      <c r="Y593" s="385"/>
      <c r="Z593" s="385"/>
      <c r="AA593" s="385"/>
      <c r="AB593" s="385"/>
    </row>
    <row r="594" spans="1:28" ht="15.75" customHeight="1">
      <c r="A594" s="385"/>
      <c r="B594" s="385"/>
      <c r="C594" s="526"/>
      <c r="D594" s="385"/>
      <c r="E594" s="385"/>
      <c r="F594" s="385"/>
      <c r="G594" s="385"/>
      <c r="H594" s="30"/>
      <c r="I594" s="385"/>
      <c r="J594" s="385"/>
      <c r="K594" s="385"/>
      <c r="L594" s="385"/>
      <c r="M594" s="385"/>
      <c r="N594" s="385"/>
      <c r="O594" s="385"/>
      <c r="P594" s="385"/>
      <c r="Q594" s="385"/>
      <c r="R594" s="385"/>
      <c r="S594" s="385"/>
      <c r="T594" s="385"/>
      <c r="U594" s="385"/>
      <c r="V594" s="385"/>
      <c r="W594" s="385"/>
      <c r="X594" s="385"/>
      <c r="Y594" s="385"/>
      <c r="Z594" s="385"/>
      <c r="AA594" s="385"/>
      <c r="AB594" s="385"/>
    </row>
    <row r="595" spans="1:28" ht="15.75" customHeight="1">
      <c r="A595" s="385"/>
      <c r="B595" s="385"/>
      <c r="C595" s="526"/>
      <c r="D595" s="385"/>
      <c r="E595" s="385"/>
      <c r="F595" s="385"/>
      <c r="G595" s="385"/>
      <c r="H595" s="30"/>
      <c r="I595" s="385"/>
      <c r="J595" s="385"/>
      <c r="K595" s="385"/>
      <c r="L595" s="385"/>
      <c r="M595" s="385"/>
      <c r="N595" s="385"/>
      <c r="O595" s="385"/>
      <c r="P595" s="385"/>
      <c r="Q595" s="385"/>
      <c r="R595" s="385"/>
      <c r="S595" s="385"/>
      <c r="T595" s="385"/>
      <c r="U595" s="385"/>
      <c r="V595" s="385"/>
      <c r="W595" s="385"/>
      <c r="X595" s="385"/>
      <c r="Y595" s="385"/>
      <c r="Z595" s="385"/>
      <c r="AA595" s="385"/>
      <c r="AB595" s="385"/>
    </row>
    <row r="596" spans="1:28" ht="15.75" customHeight="1">
      <c r="A596" s="385"/>
      <c r="B596" s="385"/>
      <c r="C596" s="526"/>
      <c r="D596" s="385"/>
      <c r="E596" s="385"/>
      <c r="F596" s="385"/>
      <c r="G596" s="385"/>
      <c r="H596" s="30"/>
      <c r="I596" s="385"/>
      <c r="J596" s="385"/>
      <c r="K596" s="385"/>
      <c r="L596" s="385"/>
      <c r="M596" s="385"/>
      <c r="N596" s="385"/>
      <c r="O596" s="385"/>
      <c r="P596" s="385"/>
      <c r="Q596" s="385"/>
      <c r="R596" s="385"/>
      <c r="S596" s="385"/>
      <c r="T596" s="385"/>
      <c r="U596" s="385"/>
      <c r="V596" s="385"/>
      <c r="W596" s="385"/>
      <c r="X596" s="385"/>
      <c r="Y596" s="385"/>
      <c r="Z596" s="385"/>
      <c r="AA596" s="385"/>
      <c r="AB596" s="385"/>
    </row>
    <row r="597" spans="1:28" ht="15.75" customHeight="1">
      <c r="A597" s="385"/>
      <c r="B597" s="385"/>
      <c r="C597" s="526"/>
      <c r="D597" s="385"/>
      <c r="E597" s="385"/>
      <c r="F597" s="385"/>
      <c r="G597" s="385"/>
      <c r="H597" s="30"/>
      <c r="I597" s="385"/>
      <c r="J597" s="385"/>
      <c r="K597" s="385"/>
      <c r="L597" s="385"/>
      <c r="M597" s="385"/>
      <c r="N597" s="385"/>
      <c r="O597" s="385"/>
      <c r="P597" s="385"/>
      <c r="Q597" s="385"/>
      <c r="R597" s="385"/>
      <c r="S597" s="385"/>
      <c r="T597" s="385"/>
      <c r="U597" s="385"/>
      <c r="V597" s="385"/>
      <c r="W597" s="385"/>
      <c r="X597" s="385"/>
      <c r="Y597" s="385"/>
      <c r="Z597" s="385"/>
      <c r="AA597" s="385"/>
      <c r="AB597" s="385"/>
    </row>
    <row r="598" spans="1:28" ht="15.75" customHeight="1">
      <c r="A598" s="385"/>
      <c r="B598" s="385"/>
      <c r="C598" s="526"/>
      <c r="D598" s="385"/>
      <c r="E598" s="385"/>
      <c r="F598" s="385"/>
      <c r="G598" s="385"/>
      <c r="H598" s="30"/>
      <c r="I598" s="385"/>
      <c r="J598" s="385"/>
      <c r="K598" s="385"/>
      <c r="L598" s="385"/>
      <c r="M598" s="385"/>
      <c r="N598" s="385"/>
      <c r="O598" s="385"/>
      <c r="P598" s="385"/>
      <c r="Q598" s="385"/>
      <c r="R598" s="385"/>
      <c r="S598" s="385"/>
      <c r="T598" s="385"/>
      <c r="U598" s="385"/>
      <c r="V598" s="385"/>
      <c r="W598" s="385"/>
      <c r="X598" s="385"/>
      <c r="Y598" s="385"/>
      <c r="Z598" s="385"/>
      <c r="AA598" s="385"/>
      <c r="AB598" s="385"/>
    </row>
    <row r="599" spans="1:28" ht="15.75" customHeight="1">
      <c r="A599" s="385"/>
      <c r="B599" s="385"/>
      <c r="C599" s="526"/>
      <c r="D599" s="385"/>
      <c r="E599" s="385"/>
      <c r="F599" s="385"/>
      <c r="G599" s="385"/>
      <c r="H599" s="30"/>
      <c r="I599" s="385"/>
      <c r="J599" s="385"/>
      <c r="K599" s="385"/>
      <c r="L599" s="385"/>
      <c r="M599" s="385"/>
      <c r="N599" s="385"/>
      <c r="O599" s="385"/>
      <c r="P599" s="385"/>
      <c r="Q599" s="385"/>
      <c r="R599" s="385"/>
      <c r="S599" s="385"/>
      <c r="T599" s="385"/>
      <c r="U599" s="385"/>
      <c r="V599" s="385"/>
      <c r="W599" s="385"/>
      <c r="X599" s="385"/>
      <c r="Y599" s="385"/>
      <c r="Z599" s="385"/>
      <c r="AA599" s="385"/>
      <c r="AB599" s="385"/>
    </row>
    <row r="600" spans="1:28" ht="15.75" customHeight="1">
      <c r="A600" s="385"/>
      <c r="B600" s="385"/>
      <c r="C600" s="526"/>
      <c r="D600" s="385"/>
      <c r="E600" s="385"/>
      <c r="F600" s="385"/>
      <c r="G600" s="385"/>
      <c r="H600" s="30"/>
      <c r="I600" s="385"/>
      <c r="J600" s="385"/>
      <c r="K600" s="385"/>
      <c r="L600" s="385"/>
      <c r="M600" s="385"/>
      <c r="N600" s="385"/>
      <c r="O600" s="385"/>
      <c r="P600" s="385"/>
      <c r="Q600" s="385"/>
      <c r="R600" s="385"/>
      <c r="S600" s="385"/>
      <c r="T600" s="385"/>
      <c r="U600" s="385"/>
      <c r="V600" s="385"/>
      <c r="W600" s="385"/>
      <c r="X600" s="385"/>
      <c r="Y600" s="385"/>
      <c r="Z600" s="385"/>
      <c r="AA600" s="385"/>
      <c r="AB600" s="385"/>
    </row>
    <row r="601" spans="1:28" ht="15.75" customHeight="1">
      <c r="A601" s="385"/>
      <c r="B601" s="385"/>
      <c r="C601" s="526"/>
      <c r="D601" s="385"/>
      <c r="E601" s="385"/>
      <c r="F601" s="385"/>
      <c r="G601" s="385"/>
      <c r="H601" s="30"/>
      <c r="I601" s="385"/>
      <c r="J601" s="385"/>
      <c r="K601" s="385"/>
      <c r="L601" s="385"/>
      <c r="M601" s="385"/>
      <c r="N601" s="385"/>
      <c r="O601" s="385"/>
      <c r="P601" s="385"/>
      <c r="Q601" s="385"/>
      <c r="R601" s="385"/>
      <c r="S601" s="385"/>
      <c r="T601" s="385"/>
      <c r="U601" s="385"/>
      <c r="V601" s="385"/>
      <c r="W601" s="385"/>
      <c r="X601" s="385"/>
      <c r="Y601" s="385"/>
      <c r="Z601" s="385"/>
      <c r="AA601" s="385"/>
      <c r="AB601" s="385"/>
    </row>
    <row r="602" spans="1:28" ht="15.75" customHeight="1">
      <c r="A602" s="385"/>
      <c r="B602" s="385"/>
      <c r="C602" s="526"/>
      <c r="D602" s="385"/>
      <c r="E602" s="385"/>
      <c r="F602" s="385"/>
      <c r="G602" s="385"/>
      <c r="H602" s="30"/>
      <c r="I602" s="385"/>
      <c r="J602" s="385"/>
      <c r="K602" s="385"/>
      <c r="L602" s="385"/>
      <c r="M602" s="385"/>
      <c r="N602" s="385"/>
      <c r="O602" s="385"/>
      <c r="P602" s="385"/>
      <c r="Q602" s="385"/>
      <c r="R602" s="385"/>
      <c r="S602" s="385"/>
      <c r="T602" s="385"/>
      <c r="U602" s="385"/>
      <c r="V602" s="385"/>
      <c r="W602" s="385"/>
      <c r="X602" s="385"/>
      <c r="Y602" s="385"/>
      <c r="Z602" s="385"/>
      <c r="AA602" s="385"/>
      <c r="AB602" s="385"/>
    </row>
    <row r="603" spans="1:28" ht="15.75" customHeight="1">
      <c r="A603" s="385"/>
      <c r="B603" s="385"/>
      <c r="C603" s="526"/>
      <c r="D603" s="385"/>
      <c r="E603" s="385"/>
      <c r="F603" s="385"/>
      <c r="G603" s="385"/>
      <c r="H603" s="30"/>
      <c r="I603" s="385"/>
      <c r="J603" s="385"/>
      <c r="K603" s="385"/>
      <c r="L603" s="385"/>
      <c r="M603" s="385"/>
      <c r="N603" s="385"/>
      <c r="O603" s="385"/>
      <c r="P603" s="385"/>
      <c r="Q603" s="385"/>
      <c r="R603" s="385"/>
      <c r="S603" s="385"/>
      <c r="T603" s="385"/>
      <c r="U603" s="385"/>
      <c r="V603" s="385"/>
      <c r="W603" s="385"/>
      <c r="X603" s="385"/>
      <c r="Y603" s="385"/>
      <c r="Z603" s="385"/>
      <c r="AA603" s="385"/>
      <c r="AB603" s="385"/>
    </row>
    <row r="604" spans="1:28" ht="15.75" customHeight="1">
      <c r="A604" s="385"/>
      <c r="B604" s="385"/>
      <c r="C604" s="526"/>
      <c r="D604" s="385"/>
      <c r="E604" s="385"/>
      <c r="F604" s="385"/>
      <c r="G604" s="385"/>
      <c r="H604" s="30"/>
      <c r="I604" s="385"/>
      <c r="J604" s="385"/>
      <c r="K604" s="385"/>
      <c r="L604" s="385"/>
      <c r="M604" s="385"/>
      <c r="N604" s="385"/>
      <c r="O604" s="385"/>
      <c r="P604" s="385"/>
      <c r="Q604" s="385"/>
      <c r="R604" s="385"/>
      <c r="S604" s="385"/>
      <c r="T604" s="385"/>
      <c r="U604" s="385"/>
      <c r="V604" s="385"/>
      <c r="W604" s="385"/>
      <c r="X604" s="385"/>
      <c r="Y604" s="385"/>
      <c r="Z604" s="385"/>
      <c r="AA604" s="385"/>
      <c r="AB604" s="385"/>
    </row>
    <row r="605" spans="1:28" ht="15.75" customHeight="1">
      <c r="A605" s="385"/>
      <c r="B605" s="385"/>
      <c r="C605" s="526"/>
      <c r="D605" s="385"/>
      <c r="E605" s="385"/>
      <c r="F605" s="385"/>
      <c r="G605" s="385"/>
      <c r="H605" s="30"/>
      <c r="I605" s="385"/>
      <c r="J605" s="385"/>
      <c r="K605" s="385"/>
      <c r="L605" s="385"/>
      <c r="M605" s="385"/>
      <c r="N605" s="385"/>
      <c r="O605" s="385"/>
      <c r="P605" s="385"/>
      <c r="Q605" s="385"/>
      <c r="R605" s="385"/>
      <c r="S605" s="385"/>
      <c r="T605" s="385"/>
      <c r="U605" s="385"/>
      <c r="V605" s="385"/>
      <c r="W605" s="385"/>
      <c r="X605" s="385"/>
      <c r="Y605" s="385"/>
      <c r="Z605" s="385"/>
      <c r="AA605" s="385"/>
      <c r="AB605" s="385"/>
    </row>
    <row r="606" spans="1:28" ht="15.75" customHeight="1">
      <c r="A606" s="385"/>
      <c r="B606" s="385"/>
      <c r="C606" s="526"/>
      <c r="D606" s="385"/>
      <c r="E606" s="385"/>
      <c r="F606" s="385"/>
      <c r="G606" s="385"/>
      <c r="H606" s="30"/>
      <c r="I606" s="385"/>
      <c r="J606" s="385"/>
      <c r="K606" s="385"/>
      <c r="L606" s="385"/>
      <c r="M606" s="385"/>
      <c r="N606" s="385"/>
      <c r="O606" s="385"/>
      <c r="P606" s="385"/>
      <c r="Q606" s="385"/>
      <c r="R606" s="385"/>
      <c r="S606" s="385"/>
      <c r="T606" s="385"/>
      <c r="U606" s="385"/>
      <c r="V606" s="385"/>
      <c r="W606" s="385"/>
      <c r="X606" s="385"/>
      <c r="Y606" s="385"/>
      <c r="Z606" s="385"/>
      <c r="AA606" s="385"/>
      <c r="AB606" s="385"/>
    </row>
    <row r="607" spans="1:28" ht="15.75" customHeight="1">
      <c r="A607" s="385"/>
      <c r="B607" s="385"/>
      <c r="C607" s="526"/>
      <c r="D607" s="385"/>
      <c r="E607" s="385"/>
      <c r="F607" s="385"/>
      <c r="G607" s="385"/>
      <c r="H607" s="30"/>
      <c r="I607" s="385"/>
      <c r="J607" s="385"/>
      <c r="K607" s="385"/>
      <c r="L607" s="385"/>
      <c r="M607" s="385"/>
      <c r="N607" s="385"/>
      <c r="O607" s="385"/>
      <c r="P607" s="385"/>
      <c r="Q607" s="385"/>
      <c r="R607" s="385"/>
      <c r="S607" s="385"/>
      <c r="T607" s="385"/>
      <c r="U607" s="385"/>
      <c r="V607" s="385"/>
      <c r="W607" s="385"/>
      <c r="X607" s="385"/>
      <c r="Y607" s="385"/>
      <c r="Z607" s="385"/>
      <c r="AA607" s="385"/>
      <c r="AB607" s="385"/>
    </row>
    <row r="608" spans="1:28" ht="15.75" customHeight="1">
      <c r="A608" s="385"/>
      <c r="B608" s="385"/>
      <c r="C608" s="526"/>
      <c r="D608" s="385"/>
      <c r="E608" s="385"/>
      <c r="F608" s="385"/>
      <c r="G608" s="385"/>
      <c r="H608" s="30"/>
      <c r="I608" s="385"/>
      <c r="J608" s="385"/>
      <c r="K608" s="385"/>
      <c r="L608" s="385"/>
      <c r="M608" s="385"/>
      <c r="N608" s="385"/>
      <c r="O608" s="385"/>
      <c r="P608" s="385"/>
      <c r="Q608" s="385"/>
      <c r="R608" s="385"/>
      <c r="S608" s="385"/>
      <c r="T608" s="385"/>
      <c r="U608" s="385"/>
      <c r="V608" s="385"/>
      <c r="W608" s="385"/>
      <c r="X608" s="385"/>
      <c r="Y608" s="385"/>
      <c r="Z608" s="385"/>
      <c r="AA608" s="385"/>
      <c r="AB608" s="385"/>
    </row>
    <row r="609" spans="1:28" ht="15.75" customHeight="1">
      <c r="A609" s="385"/>
      <c r="B609" s="385"/>
      <c r="C609" s="526"/>
      <c r="D609" s="385"/>
      <c r="E609" s="385"/>
      <c r="F609" s="385"/>
      <c r="G609" s="385"/>
      <c r="H609" s="30"/>
      <c r="I609" s="385"/>
      <c r="J609" s="385"/>
      <c r="K609" s="385"/>
      <c r="L609" s="385"/>
      <c r="M609" s="385"/>
      <c r="N609" s="385"/>
      <c r="O609" s="385"/>
      <c r="P609" s="385"/>
      <c r="Q609" s="385"/>
      <c r="R609" s="385"/>
      <c r="S609" s="385"/>
      <c r="T609" s="385"/>
      <c r="U609" s="385"/>
      <c r="V609" s="385"/>
      <c r="W609" s="385"/>
      <c r="X609" s="385"/>
      <c r="Y609" s="385"/>
      <c r="Z609" s="385"/>
      <c r="AA609" s="385"/>
      <c r="AB609" s="385"/>
    </row>
    <row r="610" spans="1:28" ht="15.75" customHeight="1">
      <c r="A610" s="385"/>
      <c r="B610" s="385"/>
      <c r="C610" s="526"/>
      <c r="D610" s="385"/>
      <c r="E610" s="385"/>
      <c r="F610" s="385"/>
      <c r="G610" s="385"/>
      <c r="H610" s="30"/>
      <c r="I610" s="385"/>
      <c r="J610" s="385"/>
      <c r="K610" s="385"/>
      <c r="L610" s="385"/>
      <c r="M610" s="385"/>
      <c r="N610" s="385"/>
      <c r="O610" s="385"/>
      <c r="P610" s="385"/>
      <c r="Q610" s="385"/>
      <c r="R610" s="385"/>
      <c r="S610" s="385"/>
      <c r="T610" s="385"/>
      <c r="U610" s="385"/>
      <c r="V610" s="385"/>
      <c r="W610" s="385"/>
      <c r="X610" s="385"/>
      <c r="Y610" s="385"/>
      <c r="Z610" s="385"/>
      <c r="AA610" s="385"/>
      <c r="AB610" s="385"/>
    </row>
    <row r="611" spans="1:28" ht="15.75" customHeight="1">
      <c r="A611" s="385"/>
      <c r="B611" s="385"/>
      <c r="C611" s="526"/>
      <c r="D611" s="385"/>
      <c r="E611" s="385"/>
      <c r="F611" s="385"/>
      <c r="G611" s="385"/>
      <c r="H611" s="30"/>
      <c r="I611" s="385"/>
      <c r="J611" s="385"/>
      <c r="K611" s="385"/>
      <c r="L611" s="385"/>
      <c r="M611" s="385"/>
      <c r="N611" s="385"/>
      <c r="O611" s="385"/>
      <c r="P611" s="385"/>
      <c r="Q611" s="385"/>
      <c r="R611" s="385"/>
      <c r="S611" s="385"/>
      <c r="T611" s="385"/>
      <c r="U611" s="385"/>
      <c r="V611" s="385"/>
      <c r="W611" s="385"/>
      <c r="X611" s="385"/>
      <c r="Y611" s="385"/>
      <c r="Z611" s="385"/>
      <c r="AA611" s="385"/>
      <c r="AB611" s="385"/>
    </row>
    <row r="612" spans="1:28" ht="15.75" customHeight="1">
      <c r="A612" s="385"/>
      <c r="B612" s="385"/>
      <c r="C612" s="526"/>
      <c r="D612" s="385"/>
      <c r="E612" s="385"/>
      <c r="F612" s="385"/>
      <c r="G612" s="385"/>
      <c r="H612" s="30"/>
      <c r="I612" s="385"/>
      <c r="J612" s="385"/>
      <c r="K612" s="385"/>
      <c r="L612" s="385"/>
      <c r="M612" s="385"/>
      <c r="N612" s="385"/>
      <c r="O612" s="385"/>
      <c r="P612" s="385"/>
      <c r="Q612" s="385"/>
      <c r="R612" s="385"/>
      <c r="S612" s="385"/>
      <c r="T612" s="385"/>
      <c r="U612" s="385"/>
      <c r="V612" s="385"/>
      <c r="W612" s="385"/>
      <c r="X612" s="385"/>
      <c r="Y612" s="385"/>
      <c r="Z612" s="385"/>
      <c r="AA612" s="385"/>
      <c r="AB612" s="385"/>
    </row>
    <row r="613" spans="1:28" ht="15.75" customHeight="1">
      <c r="A613" s="385"/>
      <c r="B613" s="385"/>
      <c r="C613" s="526"/>
      <c r="D613" s="385"/>
      <c r="E613" s="385"/>
      <c r="F613" s="385"/>
      <c r="G613" s="385"/>
      <c r="H613" s="30"/>
      <c r="I613" s="385"/>
      <c r="J613" s="385"/>
      <c r="K613" s="385"/>
      <c r="L613" s="385"/>
      <c r="M613" s="385"/>
      <c r="N613" s="385"/>
      <c r="O613" s="385"/>
      <c r="P613" s="385"/>
      <c r="Q613" s="385"/>
      <c r="R613" s="385"/>
      <c r="S613" s="385"/>
      <c r="T613" s="385"/>
      <c r="U613" s="385"/>
      <c r="V613" s="385"/>
      <c r="W613" s="385"/>
      <c r="X613" s="385"/>
      <c r="Y613" s="385"/>
      <c r="Z613" s="385"/>
      <c r="AA613" s="385"/>
      <c r="AB613" s="385"/>
    </row>
    <row r="614" spans="1:28" ht="15.75" customHeight="1">
      <c r="A614" s="385"/>
      <c r="B614" s="385"/>
      <c r="C614" s="526"/>
      <c r="D614" s="385"/>
      <c r="E614" s="385"/>
      <c r="F614" s="385"/>
      <c r="G614" s="385"/>
      <c r="H614" s="30"/>
      <c r="I614" s="385"/>
      <c r="J614" s="385"/>
      <c r="K614" s="385"/>
      <c r="L614" s="385"/>
      <c r="M614" s="385"/>
      <c r="N614" s="385"/>
      <c r="O614" s="385"/>
      <c r="P614" s="385"/>
      <c r="Q614" s="385"/>
      <c r="R614" s="385"/>
      <c r="S614" s="385"/>
      <c r="T614" s="385"/>
      <c r="U614" s="385"/>
      <c r="V614" s="385"/>
      <c r="W614" s="385"/>
      <c r="X614" s="385"/>
      <c r="Y614" s="385"/>
      <c r="Z614" s="385"/>
      <c r="AA614" s="385"/>
      <c r="AB614" s="385"/>
    </row>
    <row r="615" spans="1:28" ht="15.75" customHeight="1">
      <c r="A615" s="385"/>
      <c r="B615" s="385"/>
      <c r="C615" s="526"/>
      <c r="D615" s="385"/>
      <c r="E615" s="385"/>
      <c r="F615" s="385"/>
      <c r="G615" s="385"/>
      <c r="H615" s="30"/>
      <c r="I615" s="385"/>
      <c r="J615" s="385"/>
      <c r="K615" s="385"/>
      <c r="L615" s="385"/>
      <c r="M615" s="385"/>
      <c r="N615" s="385"/>
      <c r="O615" s="385"/>
      <c r="P615" s="385"/>
      <c r="Q615" s="385"/>
      <c r="R615" s="385"/>
      <c r="S615" s="385"/>
      <c r="T615" s="385"/>
      <c r="U615" s="385"/>
      <c r="V615" s="385"/>
      <c r="W615" s="385"/>
      <c r="X615" s="385"/>
      <c r="Y615" s="385"/>
      <c r="Z615" s="385"/>
      <c r="AA615" s="385"/>
      <c r="AB615" s="385"/>
    </row>
    <row r="616" spans="1:28" ht="15.75" customHeight="1">
      <c r="A616" s="385"/>
      <c r="B616" s="385"/>
      <c r="C616" s="526"/>
      <c r="D616" s="385"/>
      <c r="E616" s="385"/>
      <c r="F616" s="385"/>
      <c r="G616" s="385"/>
      <c r="H616" s="30"/>
      <c r="I616" s="385"/>
      <c r="J616" s="385"/>
      <c r="K616" s="385"/>
      <c r="L616" s="385"/>
      <c r="M616" s="385"/>
      <c r="N616" s="385"/>
      <c r="O616" s="385"/>
      <c r="P616" s="385"/>
      <c r="Q616" s="385"/>
      <c r="R616" s="385"/>
      <c r="S616" s="385"/>
      <c r="T616" s="385"/>
      <c r="U616" s="385"/>
      <c r="V616" s="385"/>
      <c r="W616" s="385"/>
      <c r="X616" s="385"/>
      <c r="Y616" s="385"/>
      <c r="Z616" s="385"/>
      <c r="AA616" s="385"/>
      <c r="AB616" s="385"/>
    </row>
    <row r="617" spans="1:28" ht="15.75" customHeight="1">
      <c r="A617" s="385"/>
      <c r="B617" s="385"/>
      <c r="C617" s="526"/>
      <c r="D617" s="385"/>
      <c r="E617" s="385"/>
      <c r="F617" s="385"/>
      <c r="G617" s="385"/>
      <c r="H617" s="30"/>
      <c r="I617" s="385"/>
      <c r="J617" s="385"/>
      <c r="K617" s="385"/>
      <c r="L617" s="385"/>
      <c r="M617" s="385"/>
      <c r="N617" s="385"/>
      <c r="O617" s="385"/>
      <c r="P617" s="385"/>
      <c r="Q617" s="385"/>
      <c r="R617" s="385"/>
      <c r="S617" s="385"/>
      <c r="T617" s="385"/>
      <c r="U617" s="385"/>
      <c r="V617" s="385"/>
      <c r="W617" s="385"/>
      <c r="X617" s="385"/>
      <c r="Y617" s="385"/>
      <c r="Z617" s="385"/>
      <c r="AA617" s="385"/>
      <c r="AB617" s="385"/>
    </row>
    <row r="618" spans="1:28" ht="15.75" customHeight="1">
      <c r="A618" s="385"/>
      <c r="B618" s="385"/>
      <c r="C618" s="526"/>
      <c r="D618" s="385"/>
      <c r="E618" s="385"/>
      <c r="F618" s="385"/>
      <c r="G618" s="385"/>
      <c r="H618" s="30"/>
      <c r="I618" s="385"/>
      <c r="J618" s="385"/>
      <c r="K618" s="385"/>
      <c r="L618" s="385"/>
      <c r="M618" s="385"/>
      <c r="N618" s="385"/>
      <c r="O618" s="385"/>
      <c r="P618" s="385"/>
      <c r="Q618" s="385"/>
      <c r="R618" s="385"/>
      <c r="S618" s="385"/>
      <c r="T618" s="385"/>
      <c r="U618" s="385"/>
      <c r="V618" s="385"/>
      <c r="W618" s="385"/>
      <c r="X618" s="385"/>
      <c r="Y618" s="385"/>
      <c r="Z618" s="385"/>
      <c r="AA618" s="385"/>
      <c r="AB618" s="385"/>
    </row>
    <row r="619" spans="1:28" ht="15.75" customHeight="1">
      <c r="A619" s="385"/>
      <c r="B619" s="385"/>
      <c r="C619" s="526"/>
      <c r="D619" s="385"/>
      <c r="E619" s="385"/>
      <c r="F619" s="385"/>
      <c r="G619" s="385"/>
      <c r="H619" s="30"/>
      <c r="I619" s="385"/>
      <c r="J619" s="385"/>
      <c r="K619" s="385"/>
      <c r="L619" s="385"/>
      <c r="M619" s="385"/>
      <c r="N619" s="385"/>
      <c r="O619" s="385"/>
      <c r="P619" s="385"/>
      <c r="Q619" s="385"/>
      <c r="R619" s="385"/>
      <c r="S619" s="385"/>
      <c r="T619" s="385"/>
      <c r="U619" s="385"/>
      <c r="V619" s="385"/>
      <c r="W619" s="385"/>
      <c r="X619" s="385"/>
      <c r="Y619" s="385"/>
      <c r="Z619" s="385"/>
      <c r="AA619" s="385"/>
      <c r="AB619" s="385"/>
    </row>
    <row r="620" spans="1:28" ht="15.75" customHeight="1">
      <c r="A620" s="385"/>
      <c r="B620" s="385"/>
      <c r="C620" s="526"/>
      <c r="D620" s="385"/>
      <c r="E620" s="385"/>
      <c r="F620" s="385"/>
      <c r="G620" s="385"/>
      <c r="H620" s="30"/>
      <c r="I620" s="385"/>
      <c r="J620" s="385"/>
      <c r="K620" s="385"/>
      <c r="L620" s="385"/>
      <c r="M620" s="385"/>
      <c r="N620" s="385"/>
      <c r="O620" s="385"/>
      <c r="P620" s="385"/>
      <c r="Q620" s="385"/>
      <c r="R620" s="385"/>
      <c r="S620" s="385"/>
      <c r="T620" s="385"/>
      <c r="U620" s="385"/>
      <c r="V620" s="385"/>
      <c r="W620" s="385"/>
      <c r="X620" s="385"/>
      <c r="Y620" s="385"/>
      <c r="Z620" s="385"/>
      <c r="AA620" s="385"/>
      <c r="AB620" s="385"/>
    </row>
    <row r="621" spans="1:28" ht="15.75" customHeight="1">
      <c r="A621" s="385"/>
      <c r="B621" s="385"/>
      <c r="C621" s="526"/>
      <c r="D621" s="385"/>
      <c r="E621" s="385"/>
      <c r="F621" s="385"/>
      <c r="G621" s="385"/>
      <c r="H621" s="30"/>
      <c r="I621" s="385"/>
      <c r="J621" s="385"/>
      <c r="K621" s="385"/>
      <c r="L621" s="385"/>
      <c r="M621" s="385"/>
      <c r="N621" s="385"/>
      <c r="O621" s="385"/>
      <c r="P621" s="385"/>
      <c r="Q621" s="385"/>
      <c r="R621" s="385"/>
      <c r="S621" s="385"/>
      <c r="T621" s="385"/>
      <c r="U621" s="385"/>
      <c r="V621" s="385"/>
      <c r="W621" s="385"/>
      <c r="X621" s="385"/>
      <c r="Y621" s="385"/>
      <c r="Z621" s="385"/>
      <c r="AA621" s="385"/>
      <c r="AB621" s="385"/>
    </row>
    <row r="622" spans="1:28" ht="15.75" customHeight="1">
      <c r="A622" s="385"/>
      <c r="B622" s="385"/>
      <c r="C622" s="526"/>
      <c r="D622" s="385"/>
      <c r="E622" s="385"/>
      <c r="F622" s="385"/>
      <c r="G622" s="385"/>
      <c r="H622" s="30"/>
      <c r="I622" s="385"/>
      <c r="J622" s="385"/>
      <c r="K622" s="385"/>
      <c r="L622" s="385"/>
      <c r="M622" s="385"/>
      <c r="N622" s="385"/>
      <c r="O622" s="385"/>
      <c r="P622" s="385"/>
      <c r="Q622" s="385"/>
      <c r="R622" s="385"/>
      <c r="S622" s="385"/>
      <c r="T622" s="385"/>
      <c r="U622" s="385"/>
      <c r="V622" s="385"/>
      <c r="W622" s="385"/>
      <c r="X622" s="385"/>
      <c r="Y622" s="385"/>
      <c r="Z622" s="385"/>
      <c r="AA622" s="385"/>
      <c r="AB622" s="385"/>
    </row>
    <row r="623" spans="1:28" ht="15.75" customHeight="1">
      <c r="A623" s="385"/>
      <c r="B623" s="385"/>
      <c r="C623" s="526"/>
      <c r="D623" s="385"/>
      <c r="E623" s="385"/>
      <c r="F623" s="385"/>
      <c r="G623" s="385"/>
      <c r="H623" s="30"/>
      <c r="I623" s="385"/>
      <c r="J623" s="385"/>
      <c r="K623" s="385"/>
      <c r="L623" s="385"/>
      <c r="M623" s="385"/>
      <c r="N623" s="385"/>
      <c r="O623" s="385"/>
      <c r="P623" s="385"/>
      <c r="Q623" s="385"/>
      <c r="R623" s="385"/>
      <c r="S623" s="385"/>
      <c r="T623" s="385"/>
      <c r="U623" s="385"/>
      <c r="V623" s="385"/>
      <c r="W623" s="385"/>
      <c r="X623" s="385"/>
      <c r="Y623" s="385"/>
      <c r="Z623" s="385"/>
      <c r="AA623" s="385"/>
      <c r="AB623" s="385"/>
    </row>
    <row r="624" spans="1:28" ht="15.75" customHeight="1">
      <c r="A624" s="385"/>
      <c r="B624" s="385"/>
      <c r="C624" s="526"/>
      <c r="D624" s="385"/>
      <c r="E624" s="385"/>
      <c r="F624" s="385"/>
      <c r="G624" s="385"/>
      <c r="H624" s="30"/>
      <c r="I624" s="385"/>
      <c r="J624" s="385"/>
      <c r="K624" s="385"/>
      <c r="L624" s="385"/>
      <c r="M624" s="385"/>
      <c r="N624" s="385"/>
      <c r="O624" s="385"/>
      <c r="P624" s="385"/>
      <c r="Q624" s="385"/>
      <c r="R624" s="385"/>
      <c r="S624" s="385"/>
      <c r="T624" s="385"/>
      <c r="U624" s="385"/>
      <c r="V624" s="385"/>
      <c r="W624" s="385"/>
      <c r="X624" s="385"/>
      <c r="Y624" s="385"/>
      <c r="Z624" s="385"/>
      <c r="AA624" s="385"/>
      <c r="AB624" s="385"/>
    </row>
    <row r="625" spans="1:28" ht="15.75" customHeight="1">
      <c r="A625" s="385"/>
      <c r="B625" s="385"/>
      <c r="C625" s="526"/>
      <c r="D625" s="385"/>
      <c r="E625" s="385"/>
      <c r="F625" s="385"/>
      <c r="G625" s="385"/>
      <c r="H625" s="30"/>
      <c r="I625" s="385"/>
      <c r="J625" s="385"/>
      <c r="K625" s="385"/>
      <c r="L625" s="385"/>
      <c r="M625" s="385"/>
      <c r="N625" s="385"/>
      <c r="O625" s="385"/>
      <c r="P625" s="385"/>
      <c r="Q625" s="385"/>
      <c r="R625" s="385"/>
      <c r="S625" s="385"/>
      <c r="T625" s="385"/>
      <c r="U625" s="385"/>
      <c r="V625" s="385"/>
      <c r="W625" s="385"/>
      <c r="X625" s="385"/>
      <c r="Y625" s="385"/>
      <c r="Z625" s="385"/>
      <c r="AA625" s="385"/>
      <c r="AB625" s="385"/>
    </row>
    <row r="626" spans="1:28" ht="15.75" customHeight="1">
      <c r="A626" s="385"/>
      <c r="B626" s="385"/>
      <c r="C626" s="526"/>
      <c r="D626" s="385"/>
      <c r="E626" s="385"/>
      <c r="F626" s="385"/>
      <c r="G626" s="385"/>
      <c r="H626" s="30"/>
      <c r="I626" s="385"/>
      <c r="J626" s="385"/>
      <c r="K626" s="385"/>
      <c r="L626" s="385"/>
      <c r="M626" s="385"/>
      <c r="N626" s="385"/>
      <c r="O626" s="385"/>
      <c r="P626" s="385"/>
      <c r="Q626" s="385"/>
      <c r="R626" s="385"/>
      <c r="S626" s="385"/>
      <c r="T626" s="385"/>
      <c r="U626" s="385"/>
      <c r="V626" s="385"/>
      <c r="W626" s="385"/>
      <c r="X626" s="385"/>
      <c r="Y626" s="385"/>
      <c r="Z626" s="385"/>
      <c r="AA626" s="385"/>
      <c r="AB626" s="385"/>
    </row>
    <row r="627" spans="1:28" ht="15.75" customHeight="1">
      <c r="A627" s="385"/>
      <c r="B627" s="385"/>
      <c r="C627" s="526"/>
      <c r="D627" s="385"/>
      <c r="E627" s="385"/>
      <c r="F627" s="385"/>
      <c r="G627" s="385"/>
      <c r="H627" s="30"/>
      <c r="I627" s="385"/>
      <c r="J627" s="385"/>
      <c r="K627" s="385"/>
      <c r="L627" s="385"/>
      <c r="M627" s="385"/>
      <c r="N627" s="385"/>
      <c r="O627" s="385"/>
      <c r="P627" s="385"/>
      <c r="Q627" s="385"/>
      <c r="R627" s="385"/>
      <c r="S627" s="385"/>
      <c r="T627" s="385"/>
      <c r="U627" s="385"/>
      <c r="V627" s="385"/>
      <c r="W627" s="385"/>
      <c r="X627" s="385"/>
      <c r="Y627" s="385"/>
      <c r="Z627" s="385"/>
      <c r="AA627" s="385"/>
      <c r="AB627" s="385"/>
    </row>
    <row r="628" spans="1:28" ht="15.75" customHeight="1">
      <c r="A628" s="385"/>
      <c r="B628" s="385"/>
      <c r="C628" s="526"/>
      <c r="D628" s="385"/>
      <c r="E628" s="385"/>
      <c r="F628" s="385"/>
      <c r="G628" s="385"/>
      <c r="H628" s="30"/>
      <c r="I628" s="385"/>
      <c r="J628" s="385"/>
      <c r="K628" s="385"/>
      <c r="L628" s="385"/>
      <c r="M628" s="385"/>
      <c r="N628" s="385"/>
      <c r="O628" s="385"/>
      <c r="P628" s="385"/>
      <c r="Q628" s="385"/>
      <c r="R628" s="385"/>
      <c r="S628" s="385"/>
      <c r="T628" s="385"/>
      <c r="U628" s="385"/>
      <c r="V628" s="385"/>
      <c r="W628" s="385"/>
      <c r="X628" s="385"/>
      <c r="Y628" s="385"/>
      <c r="Z628" s="385"/>
      <c r="AA628" s="385"/>
      <c r="AB628" s="385"/>
    </row>
    <row r="629" spans="1:28" ht="15.75" customHeight="1">
      <c r="A629" s="385"/>
      <c r="B629" s="385"/>
      <c r="C629" s="526"/>
      <c r="D629" s="385"/>
      <c r="E629" s="385"/>
      <c r="F629" s="385"/>
      <c r="G629" s="385"/>
      <c r="H629" s="30"/>
      <c r="I629" s="385"/>
      <c r="J629" s="385"/>
      <c r="K629" s="385"/>
      <c r="L629" s="385"/>
      <c r="M629" s="385"/>
      <c r="N629" s="385"/>
      <c r="O629" s="385"/>
      <c r="P629" s="385"/>
      <c r="Q629" s="385"/>
      <c r="R629" s="385"/>
      <c r="S629" s="385"/>
      <c r="T629" s="385"/>
      <c r="U629" s="385"/>
      <c r="V629" s="385"/>
      <c r="W629" s="385"/>
      <c r="X629" s="385"/>
      <c r="Y629" s="385"/>
      <c r="Z629" s="385"/>
      <c r="AA629" s="385"/>
      <c r="AB629" s="385"/>
    </row>
    <row r="630" spans="1:28" ht="15.75" customHeight="1">
      <c r="A630" s="385"/>
      <c r="B630" s="385"/>
      <c r="C630" s="526"/>
      <c r="D630" s="385"/>
      <c r="E630" s="385"/>
      <c r="F630" s="385"/>
      <c r="G630" s="385"/>
      <c r="H630" s="30"/>
      <c r="I630" s="385"/>
      <c r="J630" s="385"/>
      <c r="K630" s="385"/>
      <c r="L630" s="385"/>
      <c r="M630" s="385"/>
      <c r="N630" s="385"/>
      <c r="O630" s="385"/>
      <c r="P630" s="385"/>
      <c r="Q630" s="385"/>
      <c r="R630" s="385"/>
      <c r="S630" s="385"/>
      <c r="T630" s="385"/>
      <c r="U630" s="385"/>
      <c r="V630" s="385"/>
      <c r="W630" s="385"/>
      <c r="X630" s="385"/>
      <c r="Y630" s="385"/>
      <c r="Z630" s="385"/>
      <c r="AA630" s="385"/>
      <c r="AB630" s="385"/>
    </row>
    <row r="631" spans="1:28" ht="15.75" customHeight="1">
      <c r="A631" s="385"/>
      <c r="B631" s="385"/>
      <c r="C631" s="526"/>
      <c r="D631" s="385"/>
      <c r="E631" s="385"/>
      <c r="F631" s="385"/>
      <c r="G631" s="385"/>
      <c r="H631" s="30"/>
      <c r="I631" s="385"/>
      <c r="J631" s="385"/>
      <c r="K631" s="385"/>
      <c r="L631" s="385"/>
      <c r="M631" s="385"/>
      <c r="N631" s="385"/>
      <c r="O631" s="385"/>
      <c r="P631" s="385"/>
      <c r="Q631" s="385"/>
      <c r="R631" s="385"/>
      <c r="S631" s="385"/>
      <c r="T631" s="385"/>
      <c r="U631" s="385"/>
      <c r="V631" s="385"/>
      <c r="W631" s="385"/>
      <c r="X631" s="385"/>
      <c r="Y631" s="385"/>
      <c r="Z631" s="385"/>
      <c r="AA631" s="385"/>
      <c r="AB631" s="385"/>
    </row>
    <row r="632" spans="1:28" ht="15.75" customHeight="1">
      <c r="A632" s="385"/>
      <c r="B632" s="385"/>
      <c r="C632" s="526"/>
      <c r="D632" s="385"/>
      <c r="E632" s="385"/>
      <c r="F632" s="385"/>
      <c r="G632" s="385"/>
      <c r="H632" s="30"/>
      <c r="I632" s="385"/>
      <c r="J632" s="385"/>
      <c r="K632" s="385"/>
      <c r="L632" s="385"/>
      <c r="M632" s="385"/>
      <c r="N632" s="385"/>
      <c r="O632" s="385"/>
      <c r="P632" s="385"/>
      <c r="Q632" s="385"/>
      <c r="R632" s="385"/>
      <c r="S632" s="385"/>
      <c r="T632" s="385"/>
      <c r="U632" s="385"/>
      <c r="V632" s="385"/>
      <c r="W632" s="385"/>
      <c r="X632" s="385"/>
      <c r="Y632" s="385"/>
      <c r="Z632" s="385"/>
      <c r="AA632" s="385"/>
      <c r="AB632" s="385"/>
    </row>
    <row r="633" spans="1:28" ht="15.75" customHeight="1">
      <c r="A633" s="385"/>
      <c r="B633" s="385"/>
      <c r="C633" s="526"/>
      <c r="D633" s="385"/>
      <c r="E633" s="385"/>
      <c r="F633" s="385"/>
      <c r="G633" s="385"/>
      <c r="H633" s="30"/>
      <c r="I633" s="385"/>
      <c r="J633" s="385"/>
      <c r="K633" s="385"/>
      <c r="L633" s="385"/>
      <c r="M633" s="385"/>
      <c r="N633" s="385"/>
      <c r="O633" s="385"/>
      <c r="P633" s="385"/>
      <c r="Q633" s="385"/>
      <c r="R633" s="385"/>
      <c r="S633" s="385"/>
      <c r="T633" s="385"/>
      <c r="U633" s="385"/>
      <c r="V633" s="385"/>
      <c r="W633" s="385"/>
      <c r="X633" s="385"/>
      <c r="Y633" s="385"/>
      <c r="Z633" s="385"/>
      <c r="AA633" s="385"/>
      <c r="AB633" s="385"/>
    </row>
    <row r="634" spans="1:28" ht="15.75" customHeight="1">
      <c r="A634" s="385"/>
      <c r="B634" s="385"/>
      <c r="C634" s="526"/>
      <c r="D634" s="385"/>
      <c r="E634" s="385"/>
      <c r="F634" s="385"/>
      <c r="G634" s="385"/>
      <c r="H634" s="30"/>
      <c r="I634" s="385"/>
      <c r="J634" s="385"/>
      <c r="K634" s="385"/>
      <c r="L634" s="385"/>
      <c r="M634" s="385"/>
      <c r="N634" s="385"/>
      <c r="O634" s="385"/>
      <c r="P634" s="385"/>
      <c r="Q634" s="385"/>
      <c r="R634" s="385"/>
      <c r="S634" s="385"/>
      <c r="T634" s="385"/>
      <c r="U634" s="385"/>
      <c r="V634" s="385"/>
      <c r="W634" s="385"/>
      <c r="X634" s="385"/>
      <c r="Y634" s="385"/>
      <c r="Z634" s="385"/>
      <c r="AA634" s="385"/>
      <c r="AB634" s="385"/>
    </row>
    <row r="635" spans="1:28" ht="15.75" customHeight="1">
      <c r="A635" s="385"/>
      <c r="B635" s="385"/>
      <c r="C635" s="526"/>
      <c r="D635" s="385"/>
      <c r="E635" s="385"/>
      <c r="F635" s="385"/>
      <c r="G635" s="385"/>
      <c r="H635" s="30"/>
      <c r="I635" s="385"/>
      <c r="J635" s="385"/>
      <c r="K635" s="385"/>
      <c r="L635" s="385"/>
      <c r="M635" s="385"/>
      <c r="N635" s="385"/>
      <c r="O635" s="385"/>
      <c r="P635" s="385"/>
      <c r="Q635" s="385"/>
      <c r="R635" s="385"/>
      <c r="S635" s="385"/>
      <c r="T635" s="385"/>
      <c r="U635" s="385"/>
      <c r="V635" s="385"/>
      <c r="W635" s="385"/>
      <c r="X635" s="385"/>
      <c r="Y635" s="385"/>
      <c r="Z635" s="385"/>
      <c r="AA635" s="385"/>
      <c r="AB635" s="385"/>
    </row>
    <row r="636" spans="1:28" ht="15.75" customHeight="1">
      <c r="A636" s="385"/>
      <c r="B636" s="385"/>
      <c r="C636" s="526"/>
      <c r="D636" s="385"/>
      <c r="E636" s="385"/>
      <c r="F636" s="385"/>
      <c r="G636" s="385"/>
      <c r="H636" s="30"/>
      <c r="I636" s="385"/>
      <c r="J636" s="385"/>
      <c r="K636" s="385"/>
      <c r="L636" s="385"/>
      <c r="M636" s="385"/>
      <c r="N636" s="385"/>
      <c r="O636" s="385"/>
      <c r="P636" s="385"/>
      <c r="Q636" s="385"/>
      <c r="R636" s="385"/>
      <c r="S636" s="385"/>
      <c r="T636" s="385"/>
      <c r="U636" s="385"/>
      <c r="V636" s="385"/>
      <c r="W636" s="385"/>
      <c r="X636" s="385"/>
      <c r="Y636" s="385"/>
      <c r="Z636" s="385"/>
      <c r="AA636" s="385"/>
      <c r="AB636" s="385"/>
    </row>
    <row r="637" spans="1:28" ht="15.75" customHeight="1">
      <c r="A637" s="385"/>
      <c r="B637" s="385"/>
      <c r="C637" s="526"/>
      <c r="D637" s="385"/>
      <c r="E637" s="385"/>
      <c r="F637" s="385"/>
      <c r="G637" s="385"/>
      <c r="H637" s="30"/>
      <c r="I637" s="385"/>
      <c r="J637" s="385"/>
      <c r="K637" s="385"/>
      <c r="L637" s="385"/>
      <c r="M637" s="385"/>
      <c r="N637" s="385"/>
      <c r="O637" s="385"/>
      <c r="P637" s="385"/>
      <c r="Q637" s="385"/>
      <c r="R637" s="385"/>
      <c r="S637" s="385"/>
      <c r="T637" s="385"/>
      <c r="U637" s="385"/>
      <c r="V637" s="385"/>
      <c r="W637" s="385"/>
      <c r="X637" s="385"/>
      <c r="Y637" s="385"/>
      <c r="Z637" s="385"/>
      <c r="AA637" s="385"/>
      <c r="AB637" s="385"/>
    </row>
    <row r="638" spans="1:28" ht="15.75" customHeight="1">
      <c r="A638" s="385"/>
      <c r="B638" s="385"/>
      <c r="C638" s="526"/>
      <c r="D638" s="385"/>
      <c r="E638" s="385"/>
      <c r="F638" s="385"/>
      <c r="G638" s="385"/>
      <c r="H638" s="30"/>
      <c r="I638" s="385"/>
      <c r="J638" s="385"/>
      <c r="K638" s="385"/>
      <c r="L638" s="385"/>
      <c r="M638" s="385"/>
      <c r="N638" s="385"/>
      <c r="O638" s="385"/>
      <c r="P638" s="385"/>
      <c r="Q638" s="385"/>
      <c r="R638" s="385"/>
      <c r="S638" s="385"/>
      <c r="T638" s="385"/>
      <c r="U638" s="385"/>
      <c r="V638" s="385"/>
      <c r="W638" s="385"/>
      <c r="X638" s="385"/>
      <c r="Y638" s="385"/>
      <c r="Z638" s="385"/>
      <c r="AA638" s="385"/>
      <c r="AB638" s="385"/>
    </row>
    <row r="639" spans="1:28" ht="15.75" customHeight="1">
      <c r="A639" s="385"/>
      <c r="B639" s="385"/>
      <c r="C639" s="526"/>
      <c r="D639" s="385"/>
      <c r="E639" s="385"/>
      <c r="F639" s="385"/>
      <c r="G639" s="385"/>
      <c r="H639" s="30"/>
      <c r="I639" s="385"/>
      <c r="J639" s="385"/>
      <c r="K639" s="385"/>
      <c r="L639" s="385"/>
      <c r="M639" s="385"/>
      <c r="N639" s="385"/>
      <c r="O639" s="385"/>
      <c r="P639" s="385"/>
      <c r="Q639" s="385"/>
      <c r="R639" s="385"/>
      <c r="S639" s="385"/>
      <c r="T639" s="385"/>
      <c r="U639" s="385"/>
      <c r="V639" s="385"/>
      <c r="W639" s="385"/>
      <c r="X639" s="385"/>
      <c r="Y639" s="385"/>
      <c r="Z639" s="385"/>
      <c r="AA639" s="385"/>
      <c r="AB639" s="385"/>
    </row>
    <row r="640" spans="1:28" ht="15.75" customHeight="1">
      <c r="A640" s="385"/>
      <c r="B640" s="385"/>
      <c r="C640" s="526"/>
      <c r="D640" s="385"/>
      <c r="E640" s="385"/>
      <c r="F640" s="385"/>
      <c r="G640" s="385"/>
      <c r="H640" s="30"/>
      <c r="I640" s="385"/>
      <c r="J640" s="385"/>
      <c r="K640" s="385"/>
      <c r="L640" s="385"/>
      <c r="M640" s="385"/>
      <c r="N640" s="385"/>
      <c r="O640" s="385"/>
      <c r="P640" s="385"/>
      <c r="Q640" s="385"/>
      <c r="R640" s="385"/>
      <c r="S640" s="385"/>
      <c r="T640" s="385"/>
      <c r="U640" s="385"/>
      <c r="V640" s="385"/>
      <c r="W640" s="385"/>
      <c r="X640" s="385"/>
      <c r="Y640" s="385"/>
      <c r="Z640" s="385"/>
      <c r="AA640" s="385"/>
      <c r="AB640" s="385"/>
    </row>
    <row r="641" spans="1:28" ht="15.75" customHeight="1">
      <c r="A641" s="385"/>
      <c r="B641" s="385"/>
      <c r="C641" s="526"/>
      <c r="D641" s="385"/>
      <c r="E641" s="385"/>
      <c r="F641" s="385"/>
      <c r="G641" s="385"/>
      <c r="H641" s="30"/>
      <c r="I641" s="385"/>
      <c r="J641" s="385"/>
      <c r="K641" s="385"/>
      <c r="L641" s="385"/>
      <c r="M641" s="385"/>
      <c r="N641" s="385"/>
      <c r="O641" s="385"/>
      <c r="P641" s="385"/>
      <c r="Q641" s="385"/>
      <c r="R641" s="385"/>
      <c r="S641" s="385"/>
      <c r="T641" s="385"/>
      <c r="U641" s="385"/>
      <c r="V641" s="385"/>
      <c r="W641" s="385"/>
      <c r="X641" s="385"/>
      <c r="Y641" s="385"/>
      <c r="Z641" s="385"/>
      <c r="AA641" s="385"/>
      <c r="AB641" s="385"/>
    </row>
    <row r="642" spans="1:28" ht="15.75" customHeight="1">
      <c r="A642" s="385"/>
      <c r="B642" s="385"/>
      <c r="C642" s="526"/>
      <c r="D642" s="385"/>
      <c r="E642" s="385"/>
      <c r="F642" s="385"/>
      <c r="G642" s="385"/>
      <c r="H642" s="30"/>
      <c r="I642" s="385"/>
      <c r="J642" s="385"/>
      <c r="K642" s="385"/>
      <c r="L642" s="385"/>
      <c r="M642" s="385"/>
      <c r="N642" s="385"/>
      <c r="O642" s="385"/>
      <c r="P642" s="385"/>
      <c r="Q642" s="385"/>
      <c r="R642" s="385"/>
      <c r="S642" s="385"/>
      <c r="T642" s="385"/>
      <c r="U642" s="385"/>
      <c r="V642" s="385"/>
      <c r="W642" s="385"/>
      <c r="X642" s="385"/>
      <c r="Y642" s="385"/>
      <c r="Z642" s="385"/>
      <c r="AA642" s="385"/>
      <c r="AB642" s="385"/>
    </row>
    <row r="643" spans="1:28" ht="15.75" customHeight="1">
      <c r="A643" s="385"/>
      <c r="B643" s="385"/>
      <c r="C643" s="526"/>
      <c r="D643" s="385"/>
      <c r="E643" s="385"/>
      <c r="F643" s="385"/>
      <c r="G643" s="385"/>
      <c r="H643" s="30"/>
      <c r="I643" s="385"/>
      <c r="J643" s="385"/>
      <c r="K643" s="385"/>
      <c r="L643" s="385"/>
      <c r="M643" s="385"/>
      <c r="N643" s="385"/>
      <c r="O643" s="385"/>
      <c r="P643" s="385"/>
      <c r="Q643" s="385"/>
      <c r="R643" s="385"/>
      <c r="S643" s="385"/>
      <c r="T643" s="385"/>
      <c r="U643" s="385"/>
      <c r="V643" s="385"/>
      <c r="W643" s="385"/>
      <c r="X643" s="385"/>
      <c r="Y643" s="385"/>
      <c r="Z643" s="385"/>
      <c r="AA643" s="385"/>
      <c r="AB643" s="385"/>
    </row>
    <row r="644" spans="1:28" ht="15.75" customHeight="1">
      <c r="A644" s="385"/>
      <c r="B644" s="385"/>
      <c r="C644" s="526"/>
      <c r="D644" s="385"/>
      <c r="E644" s="385"/>
      <c r="F644" s="385"/>
      <c r="G644" s="385"/>
      <c r="H644" s="30"/>
      <c r="I644" s="385"/>
      <c r="J644" s="385"/>
      <c r="K644" s="385"/>
      <c r="L644" s="385"/>
      <c r="M644" s="385"/>
      <c r="N644" s="385"/>
      <c r="O644" s="385"/>
      <c r="P644" s="385"/>
      <c r="Q644" s="385"/>
      <c r="R644" s="385"/>
      <c r="S644" s="385"/>
      <c r="T644" s="385"/>
      <c r="U644" s="385"/>
      <c r="V644" s="385"/>
      <c r="W644" s="385"/>
      <c r="X644" s="385"/>
      <c r="Y644" s="385"/>
      <c r="Z644" s="385"/>
      <c r="AA644" s="385"/>
      <c r="AB644" s="385"/>
    </row>
    <row r="645" spans="1:28" ht="15.75" customHeight="1">
      <c r="A645" s="385"/>
      <c r="B645" s="385"/>
      <c r="C645" s="526"/>
      <c r="D645" s="385"/>
      <c r="E645" s="385"/>
      <c r="F645" s="385"/>
      <c r="G645" s="385"/>
      <c r="H645" s="30"/>
      <c r="I645" s="385"/>
      <c r="J645" s="385"/>
      <c r="K645" s="385"/>
      <c r="L645" s="385"/>
      <c r="M645" s="385"/>
      <c r="N645" s="385"/>
      <c r="O645" s="385"/>
      <c r="P645" s="385"/>
      <c r="Q645" s="385"/>
      <c r="R645" s="385"/>
      <c r="S645" s="385"/>
      <c r="T645" s="385"/>
      <c r="U645" s="385"/>
      <c r="V645" s="385"/>
      <c r="W645" s="385"/>
      <c r="X645" s="385"/>
      <c r="Y645" s="385"/>
      <c r="Z645" s="385"/>
      <c r="AA645" s="385"/>
      <c r="AB645" s="385"/>
    </row>
    <row r="646" spans="1:28" ht="15.75" customHeight="1">
      <c r="A646" s="385"/>
      <c r="B646" s="385"/>
      <c r="C646" s="526"/>
      <c r="D646" s="385"/>
      <c r="E646" s="385"/>
      <c r="F646" s="385"/>
      <c r="G646" s="385"/>
      <c r="H646" s="30"/>
      <c r="I646" s="385"/>
      <c r="J646" s="385"/>
      <c r="K646" s="385"/>
      <c r="L646" s="385"/>
      <c r="M646" s="385"/>
      <c r="N646" s="385"/>
      <c r="O646" s="385"/>
      <c r="P646" s="385"/>
      <c r="Q646" s="385"/>
      <c r="R646" s="385"/>
      <c r="S646" s="385"/>
      <c r="T646" s="385"/>
      <c r="U646" s="385"/>
      <c r="V646" s="385"/>
      <c r="W646" s="385"/>
      <c r="X646" s="385"/>
      <c r="Y646" s="385"/>
      <c r="Z646" s="385"/>
      <c r="AA646" s="385"/>
      <c r="AB646" s="385"/>
    </row>
    <row r="647" spans="1:28" ht="15.75" customHeight="1">
      <c r="A647" s="385"/>
      <c r="B647" s="385"/>
      <c r="C647" s="526"/>
      <c r="D647" s="385"/>
      <c r="E647" s="385"/>
      <c r="F647" s="385"/>
      <c r="G647" s="385"/>
      <c r="H647" s="30"/>
      <c r="I647" s="385"/>
      <c r="J647" s="385"/>
      <c r="K647" s="385"/>
      <c r="L647" s="385"/>
      <c r="M647" s="385"/>
      <c r="N647" s="385"/>
      <c r="O647" s="385"/>
      <c r="P647" s="385"/>
      <c r="Q647" s="385"/>
      <c r="R647" s="385"/>
      <c r="S647" s="385"/>
      <c r="T647" s="385"/>
      <c r="U647" s="385"/>
      <c r="V647" s="385"/>
      <c r="W647" s="385"/>
      <c r="X647" s="385"/>
      <c r="Y647" s="385"/>
      <c r="Z647" s="385"/>
      <c r="AA647" s="385"/>
      <c r="AB647" s="385"/>
    </row>
    <row r="648" spans="1:28" ht="15.75" customHeight="1">
      <c r="A648" s="385"/>
      <c r="B648" s="385"/>
      <c r="C648" s="526"/>
      <c r="D648" s="385"/>
      <c r="E648" s="385"/>
      <c r="F648" s="385"/>
      <c r="G648" s="385"/>
      <c r="H648" s="30"/>
      <c r="I648" s="385"/>
      <c r="J648" s="385"/>
      <c r="K648" s="385"/>
      <c r="L648" s="385"/>
      <c r="M648" s="385"/>
      <c r="N648" s="385"/>
      <c r="O648" s="385"/>
      <c r="P648" s="385"/>
      <c r="Q648" s="385"/>
      <c r="R648" s="385"/>
      <c r="S648" s="385"/>
      <c r="T648" s="385"/>
      <c r="U648" s="385"/>
      <c r="V648" s="385"/>
      <c r="W648" s="385"/>
      <c r="X648" s="385"/>
      <c r="Y648" s="385"/>
      <c r="Z648" s="385"/>
      <c r="AA648" s="385"/>
      <c r="AB648" s="385"/>
    </row>
    <row r="649" spans="1:28" ht="15.75" customHeight="1">
      <c r="A649" s="385"/>
      <c r="B649" s="385"/>
      <c r="C649" s="526"/>
      <c r="D649" s="385"/>
      <c r="E649" s="385"/>
      <c r="F649" s="385"/>
      <c r="G649" s="385"/>
      <c r="H649" s="30"/>
      <c r="I649" s="385"/>
      <c r="J649" s="385"/>
      <c r="K649" s="385"/>
      <c r="L649" s="385"/>
      <c r="M649" s="385"/>
      <c r="N649" s="385"/>
      <c r="O649" s="385"/>
      <c r="P649" s="385"/>
      <c r="Q649" s="385"/>
      <c r="R649" s="385"/>
      <c r="S649" s="385"/>
      <c r="T649" s="385"/>
      <c r="U649" s="385"/>
      <c r="V649" s="385"/>
      <c r="W649" s="385"/>
      <c r="X649" s="385"/>
      <c r="Y649" s="385"/>
      <c r="Z649" s="385"/>
      <c r="AA649" s="385"/>
      <c r="AB649" s="385"/>
    </row>
    <row r="650" spans="1:28" ht="15.75" customHeight="1">
      <c r="A650" s="385"/>
      <c r="B650" s="385"/>
      <c r="C650" s="526"/>
      <c r="D650" s="385"/>
      <c r="E650" s="385"/>
      <c r="F650" s="385"/>
      <c r="G650" s="385"/>
      <c r="H650" s="30"/>
      <c r="I650" s="385"/>
      <c r="J650" s="385"/>
      <c r="K650" s="385"/>
      <c r="L650" s="385"/>
      <c r="M650" s="385"/>
      <c r="N650" s="385"/>
      <c r="O650" s="385"/>
      <c r="P650" s="385"/>
      <c r="Q650" s="385"/>
      <c r="R650" s="385"/>
      <c r="S650" s="385"/>
      <c r="T650" s="385"/>
      <c r="U650" s="385"/>
      <c r="V650" s="385"/>
      <c r="W650" s="385"/>
      <c r="X650" s="385"/>
      <c r="Y650" s="385"/>
      <c r="Z650" s="385"/>
      <c r="AA650" s="385"/>
      <c r="AB650" s="385"/>
    </row>
    <row r="651" spans="1:28" ht="15.75" customHeight="1">
      <c r="A651" s="385"/>
      <c r="B651" s="385"/>
      <c r="C651" s="526"/>
      <c r="D651" s="385"/>
      <c r="E651" s="385"/>
      <c r="F651" s="385"/>
      <c r="G651" s="385"/>
      <c r="H651" s="30"/>
      <c r="I651" s="385"/>
      <c r="J651" s="385"/>
      <c r="K651" s="385"/>
      <c r="L651" s="385"/>
      <c r="M651" s="385"/>
      <c r="N651" s="385"/>
      <c r="O651" s="385"/>
      <c r="P651" s="385"/>
      <c r="Q651" s="385"/>
      <c r="R651" s="385"/>
      <c r="S651" s="385"/>
      <c r="T651" s="385"/>
      <c r="U651" s="385"/>
      <c r="V651" s="385"/>
      <c r="W651" s="385"/>
      <c r="X651" s="385"/>
      <c r="Y651" s="385"/>
      <c r="Z651" s="385"/>
      <c r="AA651" s="385"/>
      <c r="AB651" s="385"/>
    </row>
    <row r="652" spans="1:28" ht="15.75" customHeight="1">
      <c r="A652" s="385"/>
      <c r="B652" s="385"/>
      <c r="C652" s="526"/>
      <c r="D652" s="385"/>
      <c r="E652" s="385"/>
      <c r="F652" s="385"/>
      <c r="G652" s="385"/>
      <c r="H652" s="30"/>
      <c r="I652" s="385"/>
      <c r="J652" s="385"/>
      <c r="K652" s="385"/>
      <c r="L652" s="385"/>
      <c r="M652" s="385"/>
      <c r="N652" s="385"/>
      <c r="O652" s="385"/>
      <c r="P652" s="385"/>
      <c r="Q652" s="385"/>
      <c r="R652" s="385"/>
      <c r="S652" s="385"/>
      <c r="T652" s="385"/>
      <c r="U652" s="385"/>
      <c r="V652" s="385"/>
      <c r="W652" s="385"/>
      <c r="X652" s="385"/>
      <c r="Y652" s="385"/>
      <c r="Z652" s="385"/>
      <c r="AA652" s="385"/>
      <c r="AB652" s="385"/>
    </row>
    <row r="653" spans="1:28" ht="15.75" customHeight="1">
      <c r="A653" s="385"/>
      <c r="B653" s="385"/>
      <c r="C653" s="526"/>
      <c r="D653" s="385"/>
      <c r="E653" s="385"/>
      <c r="F653" s="385"/>
      <c r="G653" s="385"/>
      <c r="H653" s="30"/>
      <c r="I653" s="385"/>
      <c r="J653" s="385"/>
      <c r="K653" s="385"/>
      <c r="L653" s="385"/>
      <c r="M653" s="385"/>
      <c r="N653" s="385"/>
      <c r="O653" s="385"/>
      <c r="P653" s="385"/>
      <c r="Q653" s="385"/>
      <c r="R653" s="385"/>
      <c r="S653" s="385"/>
      <c r="T653" s="385"/>
      <c r="U653" s="385"/>
      <c r="V653" s="385"/>
      <c r="W653" s="385"/>
      <c r="X653" s="385"/>
      <c r="Y653" s="385"/>
      <c r="Z653" s="385"/>
      <c r="AA653" s="385"/>
      <c r="AB653" s="385"/>
    </row>
    <row r="654" spans="1:28" ht="15.75" customHeight="1">
      <c r="A654" s="385"/>
      <c r="B654" s="385"/>
      <c r="C654" s="526"/>
      <c r="D654" s="385"/>
      <c r="E654" s="385"/>
      <c r="F654" s="385"/>
      <c r="G654" s="385"/>
      <c r="H654" s="30"/>
      <c r="I654" s="385"/>
      <c r="J654" s="385"/>
      <c r="K654" s="385"/>
      <c r="L654" s="385"/>
      <c r="M654" s="385"/>
      <c r="N654" s="385"/>
      <c r="O654" s="385"/>
      <c r="P654" s="385"/>
      <c r="Q654" s="385"/>
      <c r="R654" s="385"/>
      <c r="S654" s="385"/>
      <c r="T654" s="385"/>
      <c r="U654" s="385"/>
      <c r="V654" s="385"/>
      <c r="W654" s="385"/>
      <c r="X654" s="385"/>
      <c r="Y654" s="385"/>
      <c r="Z654" s="385"/>
      <c r="AA654" s="385"/>
      <c r="AB654" s="385"/>
    </row>
    <row r="655" spans="1:28" ht="15.75" customHeight="1">
      <c r="A655" s="385"/>
      <c r="B655" s="385"/>
      <c r="C655" s="526"/>
      <c r="D655" s="385"/>
      <c r="E655" s="385"/>
      <c r="F655" s="385"/>
      <c r="G655" s="385"/>
      <c r="H655" s="30"/>
      <c r="I655" s="385"/>
      <c r="J655" s="385"/>
      <c r="K655" s="385"/>
      <c r="L655" s="385"/>
      <c r="M655" s="385"/>
      <c r="N655" s="385"/>
      <c r="O655" s="385"/>
      <c r="P655" s="385"/>
      <c r="Q655" s="385"/>
      <c r="R655" s="385"/>
      <c r="S655" s="385"/>
      <c r="T655" s="385"/>
      <c r="U655" s="385"/>
      <c r="V655" s="385"/>
      <c r="W655" s="385"/>
      <c r="X655" s="385"/>
      <c r="Y655" s="385"/>
      <c r="Z655" s="385"/>
      <c r="AA655" s="385"/>
      <c r="AB655" s="385"/>
    </row>
    <row r="656" spans="1:28" ht="15.75" customHeight="1">
      <c r="A656" s="385"/>
      <c r="B656" s="385"/>
      <c r="C656" s="526"/>
      <c r="D656" s="385"/>
      <c r="E656" s="385"/>
      <c r="F656" s="385"/>
      <c r="G656" s="385"/>
      <c r="H656" s="30"/>
      <c r="I656" s="385"/>
      <c r="J656" s="385"/>
      <c r="K656" s="385"/>
      <c r="L656" s="385"/>
      <c r="M656" s="385"/>
      <c r="N656" s="385"/>
      <c r="O656" s="385"/>
      <c r="P656" s="385"/>
      <c r="Q656" s="385"/>
      <c r="R656" s="385"/>
      <c r="S656" s="385"/>
      <c r="T656" s="385"/>
      <c r="U656" s="385"/>
      <c r="V656" s="385"/>
      <c r="W656" s="385"/>
      <c r="X656" s="385"/>
      <c r="Y656" s="385"/>
      <c r="Z656" s="385"/>
      <c r="AA656" s="385"/>
      <c r="AB656" s="385"/>
    </row>
    <row r="657" spans="1:28" ht="15.75" customHeight="1">
      <c r="A657" s="385"/>
      <c r="B657" s="385"/>
      <c r="C657" s="526"/>
      <c r="D657" s="385"/>
      <c r="E657" s="385"/>
      <c r="F657" s="385"/>
      <c r="G657" s="385"/>
      <c r="H657" s="30"/>
      <c r="I657" s="385"/>
      <c r="J657" s="385"/>
      <c r="K657" s="385"/>
      <c r="L657" s="385"/>
      <c r="M657" s="385"/>
      <c r="N657" s="385"/>
      <c r="O657" s="385"/>
      <c r="P657" s="385"/>
      <c r="Q657" s="385"/>
      <c r="R657" s="385"/>
      <c r="S657" s="385"/>
      <c r="T657" s="385"/>
      <c r="U657" s="385"/>
      <c r="V657" s="385"/>
      <c r="W657" s="385"/>
      <c r="X657" s="385"/>
      <c r="Y657" s="385"/>
      <c r="Z657" s="385"/>
      <c r="AA657" s="385"/>
      <c r="AB657" s="385"/>
    </row>
    <row r="658" spans="1:28" ht="15.75" customHeight="1">
      <c r="A658" s="385"/>
      <c r="B658" s="385"/>
      <c r="C658" s="526"/>
      <c r="D658" s="385"/>
      <c r="E658" s="385"/>
      <c r="F658" s="385"/>
      <c r="G658" s="385"/>
      <c r="H658" s="30"/>
      <c r="I658" s="385"/>
      <c r="J658" s="385"/>
      <c r="K658" s="385"/>
      <c r="L658" s="385"/>
      <c r="M658" s="385"/>
      <c r="N658" s="385"/>
      <c r="O658" s="385"/>
      <c r="P658" s="385"/>
      <c r="Q658" s="385"/>
      <c r="R658" s="385"/>
      <c r="S658" s="385"/>
      <c r="T658" s="385"/>
      <c r="U658" s="385"/>
      <c r="V658" s="385"/>
      <c r="W658" s="385"/>
      <c r="X658" s="385"/>
      <c r="Y658" s="385"/>
      <c r="Z658" s="385"/>
      <c r="AA658" s="385"/>
      <c r="AB658" s="385"/>
    </row>
    <row r="659" spans="1:28" ht="15.75" customHeight="1">
      <c r="A659" s="385"/>
      <c r="B659" s="385"/>
      <c r="C659" s="526"/>
      <c r="D659" s="385"/>
      <c r="E659" s="385"/>
      <c r="F659" s="385"/>
      <c r="G659" s="385"/>
      <c r="H659" s="30"/>
      <c r="I659" s="385"/>
      <c r="J659" s="385"/>
      <c r="K659" s="385"/>
      <c r="L659" s="385"/>
      <c r="M659" s="385"/>
      <c r="N659" s="385"/>
      <c r="O659" s="385"/>
      <c r="P659" s="385"/>
      <c r="Q659" s="385"/>
      <c r="R659" s="385"/>
      <c r="S659" s="385"/>
      <c r="T659" s="385"/>
      <c r="U659" s="385"/>
      <c r="V659" s="385"/>
      <c r="W659" s="385"/>
      <c r="X659" s="385"/>
      <c r="Y659" s="385"/>
      <c r="Z659" s="385"/>
      <c r="AA659" s="385"/>
      <c r="AB659" s="385"/>
    </row>
    <row r="660" spans="1:28" ht="15.75" customHeight="1">
      <c r="A660" s="385"/>
      <c r="B660" s="385"/>
      <c r="C660" s="526"/>
      <c r="D660" s="385"/>
      <c r="E660" s="385"/>
      <c r="F660" s="385"/>
      <c r="G660" s="385"/>
      <c r="H660" s="30"/>
      <c r="I660" s="385"/>
      <c r="J660" s="385"/>
      <c r="K660" s="385"/>
      <c r="L660" s="385"/>
      <c r="M660" s="385"/>
      <c r="N660" s="385"/>
      <c r="O660" s="385"/>
      <c r="P660" s="385"/>
      <c r="Q660" s="385"/>
      <c r="R660" s="385"/>
      <c r="S660" s="385"/>
      <c r="T660" s="385"/>
      <c r="U660" s="385"/>
      <c r="V660" s="385"/>
      <c r="W660" s="385"/>
      <c r="X660" s="385"/>
      <c r="Y660" s="385"/>
      <c r="Z660" s="385"/>
      <c r="AA660" s="385"/>
      <c r="AB660" s="385"/>
    </row>
    <row r="661" spans="1:28" ht="15.75" customHeight="1">
      <c r="A661" s="385"/>
      <c r="B661" s="385"/>
      <c r="C661" s="526"/>
      <c r="D661" s="385"/>
      <c r="E661" s="385"/>
      <c r="F661" s="385"/>
      <c r="G661" s="385"/>
      <c r="H661" s="30"/>
      <c r="I661" s="385"/>
      <c r="J661" s="385"/>
      <c r="K661" s="385"/>
      <c r="L661" s="385"/>
      <c r="M661" s="385"/>
      <c r="N661" s="385"/>
      <c r="O661" s="385"/>
      <c r="P661" s="385"/>
      <c r="Q661" s="385"/>
      <c r="R661" s="385"/>
      <c r="S661" s="385"/>
      <c r="T661" s="385"/>
      <c r="U661" s="385"/>
      <c r="V661" s="385"/>
      <c r="W661" s="385"/>
      <c r="X661" s="385"/>
      <c r="Y661" s="385"/>
      <c r="Z661" s="385"/>
      <c r="AA661" s="385"/>
      <c r="AB661" s="385"/>
    </row>
    <row r="662" spans="1:28" ht="15.75" customHeight="1">
      <c r="A662" s="385"/>
      <c r="B662" s="385"/>
      <c r="C662" s="526"/>
      <c r="D662" s="385"/>
      <c r="E662" s="385"/>
      <c r="F662" s="385"/>
      <c r="G662" s="385"/>
      <c r="H662" s="30"/>
      <c r="I662" s="385"/>
      <c r="J662" s="385"/>
      <c r="K662" s="385"/>
      <c r="L662" s="385"/>
      <c r="M662" s="385"/>
      <c r="N662" s="385"/>
      <c r="O662" s="385"/>
      <c r="P662" s="385"/>
      <c r="Q662" s="385"/>
      <c r="R662" s="385"/>
      <c r="S662" s="385"/>
      <c r="T662" s="385"/>
      <c r="U662" s="385"/>
      <c r="V662" s="385"/>
      <c r="W662" s="385"/>
      <c r="X662" s="385"/>
      <c r="Y662" s="385"/>
      <c r="Z662" s="385"/>
      <c r="AA662" s="385"/>
      <c r="AB662" s="385"/>
    </row>
    <row r="663" spans="1:28" ht="15.75" customHeight="1">
      <c r="A663" s="385"/>
      <c r="B663" s="385"/>
      <c r="C663" s="526"/>
      <c r="D663" s="385"/>
      <c r="E663" s="385"/>
      <c r="F663" s="385"/>
      <c r="G663" s="385"/>
      <c r="H663" s="30"/>
      <c r="I663" s="385"/>
      <c r="J663" s="385"/>
      <c r="K663" s="385"/>
      <c r="L663" s="385"/>
      <c r="M663" s="385"/>
      <c r="N663" s="385"/>
      <c r="O663" s="385"/>
      <c r="P663" s="385"/>
      <c r="Q663" s="385"/>
      <c r="R663" s="385"/>
      <c r="S663" s="385"/>
      <c r="T663" s="385"/>
      <c r="U663" s="385"/>
      <c r="V663" s="385"/>
      <c r="W663" s="385"/>
      <c r="X663" s="385"/>
      <c r="Y663" s="385"/>
      <c r="Z663" s="385"/>
      <c r="AA663" s="385"/>
      <c r="AB663" s="385"/>
    </row>
    <row r="664" spans="1:28" ht="15.75" customHeight="1">
      <c r="A664" s="385"/>
      <c r="B664" s="385"/>
      <c r="C664" s="526"/>
      <c r="D664" s="385"/>
      <c r="E664" s="385"/>
      <c r="F664" s="385"/>
      <c r="G664" s="385"/>
      <c r="H664" s="30"/>
      <c r="I664" s="385"/>
      <c r="J664" s="385"/>
      <c r="K664" s="385"/>
      <c r="L664" s="385"/>
      <c r="M664" s="385"/>
      <c r="N664" s="385"/>
      <c r="O664" s="385"/>
      <c r="P664" s="385"/>
      <c r="Q664" s="385"/>
      <c r="R664" s="385"/>
      <c r="S664" s="385"/>
      <c r="T664" s="385"/>
      <c r="U664" s="385"/>
      <c r="V664" s="385"/>
      <c r="W664" s="385"/>
      <c r="X664" s="385"/>
      <c r="Y664" s="385"/>
      <c r="Z664" s="385"/>
      <c r="AA664" s="385"/>
      <c r="AB664" s="385"/>
    </row>
    <row r="665" spans="1:28" ht="15.75" customHeight="1">
      <c r="A665" s="385"/>
      <c r="B665" s="385"/>
      <c r="C665" s="526"/>
      <c r="D665" s="385"/>
      <c r="E665" s="385"/>
      <c r="F665" s="385"/>
      <c r="G665" s="385"/>
      <c r="H665" s="30"/>
      <c r="I665" s="385"/>
      <c r="J665" s="385"/>
      <c r="K665" s="385"/>
      <c r="L665" s="385"/>
      <c r="M665" s="385"/>
      <c r="N665" s="385"/>
      <c r="O665" s="385"/>
      <c r="P665" s="385"/>
      <c r="Q665" s="385"/>
      <c r="R665" s="385"/>
      <c r="S665" s="385"/>
      <c r="T665" s="385"/>
      <c r="U665" s="385"/>
      <c r="V665" s="385"/>
      <c r="W665" s="385"/>
      <c r="X665" s="385"/>
      <c r="Y665" s="385"/>
      <c r="Z665" s="385"/>
      <c r="AA665" s="385"/>
      <c r="AB665" s="385"/>
    </row>
    <row r="666" spans="1:28" ht="15.75" customHeight="1">
      <c r="A666" s="385"/>
      <c r="B666" s="385"/>
      <c r="C666" s="526"/>
      <c r="D666" s="385"/>
      <c r="E666" s="385"/>
      <c r="F666" s="385"/>
      <c r="G666" s="385"/>
      <c r="H666" s="30"/>
      <c r="I666" s="385"/>
      <c r="J666" s="385"/>
      <c r="K666" s="385"/>
      <c r="L666" s="385"/>
      <c r="M666" s="385"/>
      <c r="N666" s="385"/>
      <c r="O666" s="385"/>
      <c r="P666" s="385"/>
      <c r="Q666" s="385"/>
      <c r="R666" s="385"/>
      <c r="S666" s="385"/>
      <c r="T666" s="385"/>
      <c r="U666" s="385"/>
      <c r="V666" s="385"/>
      <c r="W666" s="385"/>
      <c r="X666" s="385"/>
      <c r="Y666" s="385"/>
      <c r="Z666" s="385"/>
      <c r="AA666" s="385"/>
      <c r="AB666" s="385"/>
    </row>
    <row r="667" spans="1:28" ht="15.75" customHeight="1">
      <c r="A667" s="385"/>
      <c r="B667" s="385"/>
      <c r="C667" s="526"/>
      <c r="D667" s="385"/>
      <c r="E667" s="385"/>
      <c r="F667" s="385"/>
      <c r="G667" s="385"/>
      <c r="H667" s="30"/>
      <c r="I667" s="385"/>
      <c r="J667" s="385"/>
      <c r="K667" s="385"/>
      <c r="L667" s="385"/>
      <c r="M667" s="385"/>
      <c r="N667" s="385"/>
      <c r="O667" s="385"/>
      <c r="P667" s="385"/>
      <c r="Q667" s="385"/>
      <c r="R667" s="385"/>
      <c r="S667" s="385"/>
      <c r="T667" s="385"/>
      <c r="U667" s="385"/>
      <c r="V667" s="385"/>
      <c r="W667" s="385"/>
      <c r="X667" s="385"/>
      <c r="Y667" s="385"/>
      <c r="Z667" s="385"/>
      <c r="AA667" s="385"/>
      <c r="AB667" s="385"/>
    </row>
    <row r="668" spans="1:28" ht="15.75" customHeight="1">
      <c r="A668" s="385"/>
      <c r="B668" s="385"/>
      <c r="C668" s="526"/>
      <c r="D668" s="385"/>
      <c r="E668" s="385"/>
      <c r="F668" s="385"/>
      <c r="G668" s="385"/>
      <c r="H668" s="30"/>
      <c r="I668" s="385"/>
      <c r="J668" s="385"/>
      <c r="K668" s="385"/>
      <c r="L668" s="385"/>
      <c r="M668" s="385"/>
      <c r="N668" s="385"/>
      <c r="O668" s="385"/>
      <c r="P668" s="385"/>
      <c r="Q668" s="385"/>
      <c r="R668" s="385"/>
      <c r="S668" s="385"/>
      <c r="T668" s="385"/>
      <c r="U668" s="385"/>
      <c r="V668" s="385"/>
      <c r="W668" s="385"/>
      <c r="X668" s="385"/>
      <c r="Y668" s="385"/>
      <c r="Z668" s="385"/>
      <c r="AA668" s="385"/>
      <c r="AB668" s="385"/>
    </row>
    <row r="669" spans="1:28" ht="15.75" customHeight="1">
      <c r="A669" s="385"/>
      <c r="B669" s="385"/>
      <c r="C669" s="526"/>
      <c r="D669" s="385"/>
      <c r="E669" s="385"/>
      <c r="F669" s="385"/>
      <c r="G669" s="385"/>
      <c r="H669" s="30"/>
      <c r="I669" s="385"/>
      <c r="J669" s="385"/>
      <c r="K669" s="385"/>
      <c r="L669" s="385"/>
      <c r="M669" s="385"/>
      <c r="N669" s="385"/>
      <c r="O669" s="385"/>
      <c r="P669" s="385"/>
      <c r="Q669" s="385"/>
      <c r="R669" s="385"/>
      <c r="S669" s="385"/>
      <c r="T669" s="385"/>
      <c r="U669" s="385"/>
      <c r="V669" s="385"/>
      <c r="W669" s="385"/>
      <c r="X669" s="385"/>
      <c r="Y669" s="385"/>
      <c r="Z669" s="385"/>
      <c r="AA669" s="385"/>
      <c r="AB669" s="385"/>
    </row>
    <row r="670" spans="1:28" ht="15.75" customHeight="1">
      <c r="A670" s="385"/>
      <c r="B670" s="385"/>
      <c r="C670" s="526"/>
      <c r="D670" s="385"/>
      <c r="E670" s="385"/>
      <c r="F670" s="385"/>
      <c r="G670" s="385"/>
      <c r="H670" s="30"/>
      <c r="I670" s="385"/>
      <c r="J670" s="385"/>
      <c r="K670" s="385"/>
      <c r="L670" s="385"/>
      <c r="M670" s="385"/>
      <c r="N670" s="385"/>
      <c r="O670" s="385"/>
      <c r="P670" s="385"/>
      <c r="Q670" s="385"/>
      <c r="R670" s="385"/>
      <c r="S670" s="385"/>
      <c r="T670" s="385"/>
      <c r="U670" s="385"/>
      <c r="V670" s="385"/>
      <c r="W670" s="385"/>
      <c r="X670" s="385"/>
      <c r="Y670" s="385"/>
      <c r="Z670" s="385"/>
      <c r="AA670" s="385"/>
      <c r="AB670" s="385"/>
    </row>
    <row r="671" spans="1:28" ht="15.75" customHeight="1">
      <c r="A671" s="385"/>
      <c r="B671" s="385"/>
      <c r="C671" s="526"/>
      <c r="D671" s="385"/>
      <c r="E671" s="385"/>
      <c r="F671" s="385"/>
      <c r="G671" s="385"/>
      <c r="H671" s="30"/>
      <c r="I671" s="385"/>
      <c r="J671" s="385"/>
      <c r="K671" s="385"/>
      <c r="L671" s="385"/>
      <c r="M671" s="385"/>
      <c r="N671" s="385"/>
      <c r="O671" s="385"/>
      <c r="P671" s="385"/>
      <c r="Q671" s="385"/>
      <c r="R671" s="385"/>
      <c r="S671" s="385"/>
      <c r="T671" s="385"/>
      <c r="U671" s="385"/>
      <c r="V671" s="385"/>
      <c r="W671" s="385"/>
      <c r="X671" s="385"/>
      <c r="Y671" s="385"/>
      <c r="Z671" s="385"/>
      <c r="AA671" s="385"/>
      <c r="AB671" s="385"/>
    </row>
    <row r="672" spans="1:28" ht="15.75" customHeight="1">
      <c r="A672" s="385"/>
      <c r="B672" s="385"/>
      <c r="C672" s="526"/>
      <c r="D672" s="385"/>
      <c r="E672" s="385"/>
      <c r="F672" s="385"/>
      <c r="G672" s="385"/>
      <c r="H672" s="30"/>
      <c r="I672" s="385"/>
      <c r="J672" s="385"/>
      <c r="K672" s="385"/>
      <c r="L672" s="385"/>
      <c r="M672" s="385"/>
      <c r="N672" s="385"/>
      <c r="O672" s="385"/>
      <c r="P672" s="385"/>
      <c r="Q672" s="385"/>
      <c r="R672" s="385"/>
      <c r="S672" s="385"/>
      <c r="T672" s="385"/>
      <c r="U672" s="385"/>
      <c r="V672" s="385"/>
      <c r="W672" s="385"/>
      <c r="X672" s="385"/>
      <c r="Y672" s="385"/>
      <c r="Z672" s="385"/>
      <c r="AA672" s="385"/>
      <c r="AB672" s="385"/>
    </row>
    <row r="673" spans="1:28" ht="15.75" customHeight="1">
      <c r="A673" s="385"/>
      <c r="B673" s="385"/>
      <c r="C673" s="526"/>
      <c r="D673" s="385"/>
      <c r="E673" s="385"/>
      <c r="F673" s="385"/>
      <c r="G673" s="385"/>
      <c r="H673" s="30"/>
      <c r="I673" s="385"/>
      <c r="J673" s="385"/>
      <c r="K673" s="385"/>
      <c r="L673" s="385"/>
      <c r="M673" s="385"/>
      <c r="N673" s="385"/>
      <c r="O673" s="385"/>
      <c r="P673" s="385"/>
      <c r="Q673" s="385"/>
      <c r="R673" s="385"/>
      <c r="S673" s="385"/>
      <c r="T673" s="385"/>
      <c r="U673" s="385"/>
      <c r="V673" s="385"/>
      <c r="W673" s="385"/>
      <c r="X673" s="385"/>
      <c r="Y673" s="385"/>
      <c r="Z673" s="385"/>
      <c r="AA673" s="385"/>
      <c r="AB673" s="385"/>
    </row>
    <row r="674" spans="1:28" ht="15.75" customHeight="1">
      <c r="A674" s="385"/>
      <c r="B674" s="385"/>
      <c r="C674" s="526"/>
      <c r="D674" s="385"/>
      <c r="E674" s="385"/>
      <c r="F674" s="385"/>
      <c r="G674" s="385"/>
      <c r="H674" s="30"/>
      <c r="I674" s="385"/>
      <c r="J674" s="385"/>
      <c r="K674" s="385"/>
      <c r="L674" s="385"/>
      <c r="M674" s="385"/>
      <c r="N674" s="385"/>
      <c r="O674" s="385"/>
      <c r="P674" s="385"/>
      <c r="Q674" s="385"/>
      <c r="R674" s="385"/>
      <c r="S674" s="385"/>
      <c r="T674" s="385"/>
      <c r="U674" s="385"/>
      <c r="V674" s="385"/>
      <c r="W674" s="385"/>
      <c r="X674" s="385"/>
      <c r="Y674" s="385"/>
      <c r="Z674" s="385"/>
      <c r="AA674" s="385"/>
      <c r="AB674" s="385"/>
    </row>
    <row r="675" spans="1:28" ht="15.75" customHeight="1">
      <c r="A675" s="385"/>
      <c r="B675" s="385"/>
      <c r="C675" s="526"/>
      <c r="D675" s="385"/>
      <c r="E675" s="385"/>
      <c r="F675" s="385"/>
      <c r="G675" s="385"/>
      <c r="H675" s="30"/>
      <c r="I675" s="385"/>
      <c r="J675" s="385"/>
      <c r="K675" s="385"/>
      <c r="L675" s="385"/>
      <c r="M675" s="385"/>
      <c r="N675" s="385"/>
      <c r="O675" s="385"/>
      <c r="P675" s="385"/>
      <c r="Q675" s="385"/>
      <c r="R675" s="385"/>
      <c r="S675" s="385"/>
      <c r="T675" s="385"/>
      <c r="U675" s="385"/>
      <c r="V675" s="385"/>
      <c r="W675" s="385"/>
      <c r="X675" s="385"/>
      <c r="Y675" s="385"/>
      <c r="Z675" s="385"/>
      <c r="AA675" s="385"/>
      <c r="AB675" s="385"/>
    </row>
    <row r="676" spans="1:28" ht="15.75" customHeight="1">
      <c r="A676" s="385"/>
      <c r="B676" s="385"/>
      <c r="C676" s="526"/>
      <c r="D676" s="385"/>
      <c r="E676" s="385"/>
      <c r="F676" s="385"/>
      <c r="G676" s="385"/>
      <c r="H676" s="30"/>
      <c r="I676" s="385"/>
      <c r="J676" s="385"/>
      <c r="K676" s="385"/>
      <c r="L676" s="385"/>
      <c r="M676" s="385"/>
      <c r="N676" s="385"/>
      <c r="O676" s="385"/>
      <c r="P676" s="385"/>
      <c r="Q676" s="385"/>
      <c r="R676" s="385"/>
      <c r="S676" s="385"/>
      <c r="T676" s="385"/>
      <c r="U676" s="385"/>
      <c r="V676" s="385"/>
      <c r="W676" s="385"/>
      <c r="X676" s="385"/>
      <c r="Y676" s="385"/>
      <c r="Z676" s="385"/>
      <c r="AA676" s="385"/>
      <c r="AB676" s="385"/>
    </row>
    <row r="677" spans="1:28" ht="15.75" customHeight="1">
      <c r="A677" s="385"/>
      <c r="B677" s="385"/>
      <c r="C677" s="526"/>
      <c r="D677" s="385"/>
      <c r="E677" s="385"/>
      <c r="F677" s="385"/>
      <c r="G677" s="385"/>
      <c r="H677" s="30"/>
      <c r="I677" s="385"/>
      <c r="J677" s="385"/>
      <c r="K677" s="385"/>
      <c r="L677" s="385"/>
      <c r="M677" s="385"/>
      <c r="N677" s="385"/>
      <c r="O677" s="385"/>
      <c r="P677" s="385"/>
      <c r="Q677" s="385"/>
      <c r="R677" s="385"/>
      <c r="S677" s="385"/>
      <c r="T677" s="385"/>
      <c r="U677" s="385"/>
      <c r="V677" s="385"/>
      <c r="W677" s="385"/>
      <c r="X677" s="385"/>
      <c r="Y677" s="385"/>
      <c r="Z677" s="385"/>
      <c r="AA677" s="385"/>
      <c r="AB677" s="385"/>
    </row>
    <row r="678" spans="1:28" ht="15.75" customHeight="1">
      <c r="A678" s="385"/>
      <c r="B678" s="385"/>
      <c r="C678" s="526"/>
      <c r="D678" s="385"/>
      <c r="E678" s="385"/>
      <c r="F678" s="385"/>
      <c r="G678" s="385"/>
      <c r="H678" s="30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  <c r="X678" s="385"/>
      <c r="Y678" s="385"/>
      <c r="Z678" s="385"/>
      <c r="AA678" s="385"/>
      <c r="AB678" s="385"/>
    </row>
    <row r="679" spans="1:28" ht="15.75" customHeight="1">
      <c r="A679" s="385"/>
      <c r="B679" s="385"/>
      <c r="C679" s="526"/>
      <c r="D679" s="385"/>
      <c r="E679" s="385"/>
      <c r="F679" s="385"/>
      <c r="G679" s="385"/>
      <c r="H679" s="30"/>
      <c r="I679" s="385"/>
      <c r="J679" s="385"/>
      <c r="K679" s="385"/>
      <c r="L679" s="385"/>
      <c r="M679" s="385"/>
      <c r="N679" s="385"/>
      <c r="O679" s="385"/>
      <c r="P679" s="385"/>
      <c r="Q679" s="385"/>
      <c r="R679" s="385"/>
      <c r="S679" s="385"/>
      <c r="T679" s="385"/>
      <c r="U679" s="385"/>
      <c r="V679" s="385"/>
      <c r="W679" s="385"/>
      <c r="X679" s="385"/>
      <c r="Y679" s="385"/>
      <c r="Z679" s="385"/>
      <c r="AA679" s="385"/>
      <c r="AB679" s="385"/>
    </row>
    <row r="680" spans="1:28" ht="15.75" customHeight="1">
      <c r="A680" s="385"/>
      <c r="B680" s="385"/>
      <c r="C680" s="526"/>
      <c r="D680" s="385"/>
      <c r="E680" s="385"/>
      <c r="F680" s="385"/>
      <c r="G680" s="385"/>
      <c r="H680" s="30"/>
      <c r="I680" s="385"/>
      <c r="J680" s="385"/>
      <c r="K680" s="385"/>
      <c r="L680" s="385"/>
      <c r="M680" s="385"/>
      <c r="N680" s="385"/>
      <c r="O680" s="385"/>
      <c r="P680" s="385"/>
      <c r="Q680" s="385"/>
      <c r="R680" s="385"/>
      <c r="S680" s="385"/>
      <c r="T680" s="385"/>
      <c r="U680" s="385"/>
      <c r="V680" s="385"/>
      <c r="W680" s="385"/>
      <c r="X680" s="385"/>
      <c r="Y680" s="385"/>
      <c r="Z680" s="385"/>
      <c r="AA680" s="385"/>
      <c r="AB680" s="385"/>
    </row>
    <row r="681" spans="1:28" ht="15.75" customHeight="1">
      <c r="A681" s="385"/>
      <c r="B681" s="385"/>
      <c r="C681" s="526"/>
      <c r="D681" s="385"/>
      <c r="E681" s="385"/>
      <c r="F681" s="385"/>
      <c r="G681" s="385"/>
      <c r="H681" s="30"/>
      <c r="I681" s="385"/>
      <c r="J681" s="385"/>
      <c r="K681" s="385"/>
      <c r="L681" s="385"/>
      <c r="M681" s="385"/>
      <c r="N681" s="385"/>
      <c r="O681" s="385"/>
      <c r="P681" s="385"/>
      <c r="Q681" s="385"/>
      <c r="R681" s="385"/>
      <c r="S681" s="385"/>
      <c r="T681" s="385"/>
      <c r="U681" s="385"/>
      <c r="V681" s="385"/>
      <c r="W681" s="385"/>
      <c r="X681" s="385"/>
      <c r="Y681" s="385"/>
      <c r="Z681" s="385"/>
      <c r="AA681" s="385"/>
      <c r="AB681" s="385"/>
    </row>
    <row r="682" spans="1:28" ht="15.75" customHeight="1">
      <c r="A682" s="385"/>
      <c r="B682" s="385"/>
      <c r="C682" s="526"/>
      <c r="D682" s="385"/>
      <c r="E682" s="385"/>
      <c r="F682" s="385"/>
      <c r="G682" s="385"/>
      <c r="H682" s="30"/>
      <c r="I682" s="385"/>
      <c r="J682" s="385"/>
      <c r="K682" s="385"/>
      <c r="L682" s="385"/>
      <c r="M682" s="385"/>
      <c r="N682" s="385"/>
      <c r="O682" s="385"/>
      <c r="P682" s="385"/>
      <c r="Q682" s="385"/>
      <c r="R682" s="385"/>
      <c r="S682" s="385"/>
      <c r="T682" s="385"/>
      <c r="U682" s="385"/>
      <c r="V682" s="385"/>
      <c r="W682" s="385"/>
      <c r="X682" s="385"/>
      <c r="Y682" s="385"/>
      <c r="Z682" s="385"/>
      <c r="AA682" s="385"/>
      <c r="AB682" s="385"/>
    </row>
    <row r="683" spans="1:28" ht="15.75" customHeight="1">
      <c r="A683" s="385"/>
      <c r="B683" s="385"/>
      <c r="C683" s="526"/>
      <c r="D683" s="385"/>
      <c r="E683" s="385"/>
      <c r="F683" s="385"/>
      <c r="G683" s="385"/>
      <c r="H683" s="30"/>
      <c r="I683" s="385"/>
      <c r="J683" s="385"/>
      <c r="K683" s="385"/>
      <c r="L683" s="385"/>
      <c r="M683" s="385"/>
      <c r="N683" s="385"/>
      <c r="O683" s="385"/>
      <c r="P683" s="385"/>
      <c r="Q683" s="385"/>
      <c r="R683" s="385"/>
      <c r="S683" s="385"/>
      <c r="T683" s="385"/>
      <c r="U683" s="385"/>
      <c r="V683" s="385"/>
      <c r="W683" s="385"/>
      <c r="X683" s="385"/>
      <c r="Y683" s="385"/>
      <c r="Z683" s="385"/>
      <c r="AA683" s="385"/>
      <c r="AB683" s="385"/>
    </row>
    <row r="684" spans="1:28" ht="15.75" customHeight="1">
      <c r="A684" s="385"/>
      <c r="B684" s="385"/>
      <c r="C684" s="526"/>
      <c r="D684" s="385"/>
      <c r="E684" s="385"/>
      <c r="F684" s="385"/>
      <c r="G684" s="385"/>
      <c r="H684" s="30"/>
      <c r="I684" s="385"/>
      <c r="J684" s="385"/>
      <c r="K684" s="385"/>
      <c r="L684" s="385"/>
      <c r="M684" s="385"/>
      <c r="N684" s="385"/>
      <c r="O684" s="385"/>
      <c r="P684" s="385"/>
      <c r="Q684" s="385"/>
      <c r="R684" s="385"/>
      <c r="S684" s="385"/>
      <c r="T684" s="385"/>
      <c r="U684" s="385"/>
      <c r="V684" s="385"/>
      <c r="W684" s="385"/>
      <c r="X684" s="385"/>
      <c r="Y684" s="385"/>
      <c r="Z684" s="385"/>
      <c r="AA684" s="385"/>
      <c r="AB684" s="385"/>
    </row>
    <row r="685" spans="1:28" ht="15.75" customHeight="1">
      <c r="A685" s="385"/>
      <c r="B685" s="385"/>
      <c r="C685" s="526"/>
      <c r="D685" s="385"/>
      <c r="E685" s="385"/>
      <c r="F685" s="385"/>
      <c r="G685" s="385"/>
      <c r="H685" s="30"/>
      <c r="I685" s="385"/>
      <c r="J685" s="385"/>
      <c r="K685" s="385"/>
      <c r="L685" s="385"/>
      <c r="M685" s="385"/>
      <c r="N685" s="385"/>
      <c r="O685" s="385"/>
      <c r="P685" s="385"/>
      <c r="Q685" s="385"/>
      <c r="R685" s="385"/>
      <c r="S685" s="385"/>
      <c r="T685" s="385"/>
      <c r="U685" s="385"/>
      <c r="V685" s="385"/>
      <c r="W685" s="385"/>
      <c r="X685" s="385"/>
      <c r="Y685" s="385"/>
      <c r="Z685" s="385"/>
      <c r="AA685" s="385"/>
      <c r="AB685" s="385"/>
    </row>
    <row r="686" spans="1:28" ht="15.75" customHeight="1">
      <c r="A686" s="385"/>
      <c r="B686" s="385"/>
      <c r="C686" s="526"/>
      <c r="D686" s="385"/>
      <c r="E686" s="385"/>
      <c r="F686" s="385"/>
      <c r="G686" s="385"/>
      <c r="H686" s="30"/>
      <c r="I686" s="385"/>
      <c r="J686" s="385"/>
      <c r="K686" s="385"/>
      <c r="L686" s="385"/>
      <c r="M686" s="385"/>
      <c r="N686" s="385"/>
      <c r="O686" s="385"/>
      <c r="P686" s="385"/>
      <c r="Q686" s="385"/>
      <c r="R686" s="385"/>
      <c r="S686" s="385"/>
      <c r="T686" s="385"/>
      <c r="U686" s="385"/>
      <c r="V686" s="385"/>
      <c r="W686" s="385"/>
      <c r="X686" s="385"/>
      <c r="Y686" s="385"/>
      <c r="Z686" s="385"/>
      <c r="AA686" s="385"/>
      <c r="AB686" s="385"/>
    </row>
    <row r="687" spans="1:28" ht="15.75" customHeight="1">
      <c r="A687" s="385"/>
      <c r="B687" s="385"/>
      <c r="C687" s="526"/>
      <c r="D687" s="385"/>
      <c r="E687" s="385"/>
      <c r="F687" s="385"/>
      <c r="G687" s="385"/>
      <c r="H687" s="30"/>
      <c r="I687" s="385"/>
      <c r="J687" s="385"/>
      <c r="K687" s="385"/>
      <c r="L687" s="385"/>
      <c r="M687" s="385"/>
      <c r="N687" s="385"/>
      <c r="O687" s="385"/>
      <c r="P687" s="385"/>
      <c r="Q687" s="385"/>
      <c r="R687" s="385"/>
      <c r="S687" s="385"/>
      <c r="T687" s="385"/>
      <c r="U687" s="385"/>
      <c r="V687" s="385"/>
      <c r="W687" s="385"/>
      <c r="X687" s="385"/>
      <c r="Y687" s="385"/>
      <c r="Z687" s="385"/>
      <c r="AA687" s="385"/>
      <c r="AB687" s="385"/>
    </row>
    <row r="688" spans="1:28" ht="15.75" customHeight="1">
      <c r="A688" s="385"/>
      <c r="B688" s="385"/>
      <c r="C688" s="526"/>
      <c r="D688" s="385"/>
      <c r="E688" s="385"/>
      <c r="F688" s="385"/>
      <c r="G688" s="385"/>
      <c r="H688" s="30"/>
      <c r="I688" s="385"/>
      <c r="J688" s="385"/>
      <c r="K688" s="385"/>
      <c r="L688" s="385"/>
      <c r="M688" s="385"/>
      <c r="N688" s="385"/>
      <c r="O688" s="385"/>
      <c r="P688" s="385"/>
      <c r="Q688" s="385"/>
      <c r="R688" s="385"/>
      <c r="S688" s="385"/>
      <c r="T688" s="385"/>
      <c r="U688" s="385"/>
      <c r="V688" s="385"/>
      <c r="W688" s="385"/>
      <c r="X688" s="385"/>
      <c r="Y688" s="385"/>
      <c r="Z688" s="385"/>
      <c r="AA688" s="385"/>
      <c r="AB688" s="385"/>
    </row>
    <row r="689" spans="1:28" ht="15.75" customHeight="1">
      <c r="A689" s="385"/>
      <c r="B689" s="385"/>
      <c r="C689" s="526"/>
      <c r="D689" s="385"/>
      <c r="E689" s="385"/>
      <c r="F689" s="385"/>
      <c r="G689" s="385"/>
      <c r="H689" s="30"/>
      <c r="I689" s="385"/>
      <c r="J689" s="385"/>
      <c r="K689" s="385"/>
      <c r="L689" s="385"/>
      <c r="M689" s="385"/>
      <c r="N689" s="385"/>
      <c r="O689" s="385"/>
      <c r="P689" s="385"/>
      <c r="Q689" s="385"/>
      <c r="R689" s="385"/>
      <c r="S689" s="385"/>
      <c r="T689" s="385"/>
      <c r="U689" s="385"/>
      <c r="V689" s="385"/>
      <c r="W689" s="385"/>
      <c r="X689" s="385"/>
      <c r="Y689" s="385"/>
      <c r="Z689" s="385"/>
      <c r="AA689" s="385"/>
      <c r="AB689" s="385"/>
    </row>
    <row r="690" spans="1:28" ht="15.75" customHeight="1">
      <c r="A690" s="385"/>
      <c r="B690" s="385"/>
      <c r="C690" s="526"/>
      <c r="D690" s="385"/>
      <c r="E690" s="385"/>
      <c r="F690" s="385"/>
      <c r="G690" s="385"/>
      <c r="H690" s="30"/>
      <c r="I690" s="385"/>
      <c r="J690" s="385"/>
      <c r="K690" s="385"/>
      <c r="L690" s="385"/>
      <c r="M690" s="385"/>
      <c r="N690" s="385"/>
      <c r="O690" s="385"/>
      <c r="P690" s="385"/>
      <c r="Q690" s="385"/>
      <c r="R690" s="385"/>
      <c r="S690" s="385"/>
      <c r="T690" s="385"/>
      <c r="U690" s="385"/>
      <c r="V690" s="385"/>
      <c r="W690" s="385"/>
      <c r="X690" s="385"/>
      <c r="Y690" s="385"/>
      <c r="Z690" s="385"/>
      <c r="AA690" s="385"/>
      <c r="AB690" s="385"/>
    </row>
    <row r="691" spans="1:28" ht="15.75" customHeight="1">
      <c r="A691" s="385"/>
      <c r="B691" s="385"/>
      <c r="C691" s="526"/>
      <c r="D691" s="385"/>
      <c r="E691" s="385"/>
      <c r="F691" s="385"/>
      <c r="G691" s="385"/>
      <c r="H691" s="30"/>
      <c r="I691" s="385"/>
      <c r="J691" s="385"/>
      <c r="K691" s="385"/>
      <c r="L691" s="385"/>
      <c r="M691" s="385"/>
      <c r="N691" s="385"/>
      <c r="O691" s="385"/>
      <c r="P691" s="385"/>
      <c r="Q691" s="385"/>
      <c r="R691" s="385"/>
      <c r="S691" s="385"/>
      <c r="T691" s="385"/>
      <c r="U691" s="385"/>
      <c r="V691" s="385"/>
      <c r="W691" s="385"/>
      <c r="X691" s="385"/>
      <c r="Y691" s="385"/>
      <c r="Z691" s="385"/>
      <c r="AA691" s="385"/>
      <c r="AB691" s="385"/>
    </row>
    <row r="692" spans="1:28" ht="15.75" customHeight="1">
      <c r="A692" s="385"/>
      <c r="B692" s="385"/>
      <c r="C692" s="526"/>
      <c r="D692" s="385"/>
      <c r="E692" s="385"/>
      <c r="F692" s="385"/>
      <c r="G692" s="385"/>
      <c r="H692" s="30"/>
      <c r="I692" s="385"/>
      <c r="J692" s="385"/>
      <c r="K692" s="385"/>
      <c r="L692" s="385"/>
      <c r="M692" s="385"/>
      <c r="N692" s="385"/>
      <c r="O692" s="385"/>
      <c r="P692" s="385"/>
      <c r="Q692" s="385"/>
      <c r="R692" s="385"/>
      <c r="S692" s="385"/>
      <c r="T692" s="385"/>
      <c r="U692" s="385"/>
      <c r="V692" s="385"/>
      <c r="W692" s="385"/>
      <c r="X692" s="385"/>
      <c r="Y692" s="385"/>
      <c r="Z692" s="385"/>
      <c r="AA692" s="385"/>
      <c r="AB692" s="385"/>
    </row>
    <row r="693" spans="1:28" ht="15.75" customHeight="1">
      <c r="A693" s="385"/>
      <c r="B693" s="385"/>
      <c r="C693" s="526"/>
      <c r="D693" s="385"/>
      <c r="E693" s="385"/>
      <c r="F693" s="385"/>
      <c r="G693" s="385"/>
      <c r="H693" s="30"/>
      <c r="I693" s="385"/>
      <c r="J693" s="385"/>
      <c r="K693" s="385"/>
      <c r="L693" s="385"/>
      <c r="M693" s="385"/>
      <c r="N693" s="385"/>
      <c r="O693" s="385"/>
      <c r="P693" s="385"/>
      <c r="Q693" s="385"/>
      <c r="R693" s="385"/>
      <c r="S693" s="385"/>
      <c r="T693" s="385"/>
      <c r="U693" s="385"/>
      <c r="V693" s="385"/>
      <c r="W693" s="385"/>
      <c r="X693" s="385"/>
      <c r="Y693" s="385"/>
      <c r="Z693" s="385"/>
      <c r="AA693" s="385"/>
      <c r="AB693" s="385"/>
    </row>
    <row r="694" spans="1:28" ht="15.75" customHeight="1">
      <c r="A694" s="385"/>
      <c r="B694" s="385"/>
      <c r="C694" s="526"/>
      <c r="D694" s="385"/>
      <c r="E694" s="385"/>
      <c r="F694" s="385"/>
      <c r="G694" s="385"/>
      <c r="H694" s="30"/>
      <c r="I694" s="385"/>
      <c r="J694" s="385"/>
      <c r="K694" s="385"/>
      <c r="L694" s="385"/>
      <c r="M694" s="385"/>
      <c r="N694" s="385"/>
      <c r="O694" s="385"/>
      <c r="P694" s="385"/>
      <c r="Q694" s="385"/>
      <c r="R694" s="385"/>
      <c r="S694" s="385"/>
      <c r="T694" s="385"/>
      <c r="U694" s="385"/>
      <c r="V694" s="385"/>
      <c r="W694" s="385"/>
      <c r="X694" s="385"/>
      <c r="Y694" s="385"/>
      <c r="Z694" s="385"/>
      <c r="AA694" s="385"/>
      <c r="AB694" s="385"/>
    </row>
    <row r="695" spans="1:28" ht="15.75" customHeight="1">
      <c r="A695" s="385"/>
      <c r="B695" s="385"/>
      <c r="C695" s="526"/>
      <c r="D695" s="385"/>
      <c r="E695" s="385"/>
      <c r="F695" s="385"/>
      <c r="G695" s="385"/>
      <c r="H695" s="30"/>
      <c r="I695" s="385"/>
      <c r="J695" s="385"/>
      <c r="K695" s="385"/>
      <c r="L695" s="385"/>
      <c r="M695" s="385"/>
      <c r="N695" s="385"/>
      <c r="O695" s="385"/>
      <c r="P695" s="385"/>
      <c r="Q695" s="385"/>
      <c r="R695" s="385"/>
      <c r="S695" s="385"/>
      <c r="T695" s="385"/>
      <c r="U695" s="385"/>
      <c r="V695" s="385"/>
      <c r="W695" s="385"/>
      <c r="X695" s="385"/>
      <c r="Y695" s="385"/>
      <c r="Z695" s="385"/>
      <c r="AA695" s="385"/>
      <c r="AB695" s="385"/>
    </row>
    <row r="696" spans="1:28" ht="15.75" customHeight="1">
      <c r="A696" s="385"/>
      <c r="B696" s="385"/>
      <c r="C696" s="526"/>
      <c r="D696" s="385"/>
      <c r="E696" s="385"/>
      <c r="F696" s="385"/>
      <c r="G696" s="385"/>
      <c r="H696" s="30"/>
      <c r="I696" s="385"/>
      <c r="J696" s="385"/>
      <c r="K696" s="385"/>
      <c r="L696" s="385"/>
      <c r="M696" s="385"/>
      <c r="N696" s="385"/>
      <c r="O696" s="385"/>
      <c r="P696" s="385"/>
      <c r="Q696" s="385"/>
      <c r="R696" s="385"/>
      <c r="S696" s="385"/>
      <c r="T696" s="385"/>
      <c r="U696" s="385"/>
      <c r="V696" s="385"/>
      <c r="W696" s="385"/>
      <c r="X696" s="385"/>
      <c r="Y696" s="385"/>
      <c r="Z696" s="385"/>
      <c r="AA696" s="385"/>
      <c r="AB696" s="385"/>
    </row>
    <row r="697" spans="1:28" ht="15.75" customHeight="1">
      <c r="A697" s="385"/>
      <c r="B697" s="385"/>
      <c r="C697" s="526"/>
      <c r="D697" s="385"/>
      <c r="E697" s="385"/>
      <c r="F697" s="385"/>
      <c r="G697" s="385"/>
      <c r="H697" s="30"/>
      <c r="I697" s="385"/>
      <c r="J697" s="385"/>
      <c r="K697" s="385"/>
      <c r="L697" s="385"/>
      <c r="M697" s="385"/>
      <c r="N697" s="385"/>
      <c r="O697" s="385"/>
      <c r="P697" s="385"/>
      <c r="Q697" s="385"/>
      <c r="R697" s="385"/>
      <c r="S697" s="385"/>
      <c r="T697" s="385"/>
      <c r="U697" s="385"/>
      <c r="V697" s="385"/>
      <c r="W697" s="385"/>
      <c r="X697" s="385"/>
      <c r="Y697" s="385"/>
      <c r="Z697" s="385"/>
      <c r="AA697" s="385"/>
      <c r="AB697" s="385"/>
    </row>
    <row r="698" spans="1:28" ht="15.75" customHeight="1">
      <c r="A698" s="385"/>
      <c r="B698" s="385"/>
      <c r="C698" s="526"/>
      <c r="D698" s="385"/>
      <c r="E698" s="385"/>
      <c r="F698" s="385"/>
      <c r="G698" s="385"/>
      <c r="H698" s="30"/>
      <c r="I698" s="385"/>
      <c r="J698" s="385"/>
      <c r="K698" s="385"/>
      <c r="L698" s="385"/>
      <c r="M698" s="385"/>
      <c r="N698" s="385"/>
      <c r="O698" s="385"/>
      <c r="P698" s="385"/>
      <c r="Q698" s="385"/>
      <c r="R698" s="385"/>
      <c r="S698" s="385"/>
      <c r="T698" s="385"/>
      <c r="U698" s="385"/>
      <c r="V698" s="385"/>
      <c r="W698" s="385"/>
      <c r="X698" s="385"/>
      <c r="Y698" s="385"/>
      <c r="Z698" s="385"/>
      <c r="AA698" s="385"/>
      <c r="AB698" s="385"/>
    </row>
    <row r="699" spans="1:28" ht="15.75" customHeight="1">
      <c r="A699" s="385"/>
      <c r="B699" s="385"/>
      <c r="C699" s="526"/>
      <c r="D699" s="385"/>
      <c r="E699" s="385"/>
      <c r="F699" s="385"/>
      <c r="G699" s="385"/>
      <c r="H699" s="30"/>
      <c r="I699" s="385"/>
      <c r="J699" s="385"/>
      <c r="K699" s="385"/>
      <c r="L699" s="385"/>
      <c r="M699" s="385"/>
      <c r="N699" s="385"/>
      <c r="O699" s="385"/>
      <c r="P699" s="385"/>
      <c r="Q699" s="385"/>
      <c r="R699" s="385"/>
      <c r="S699" s="385"/>
      <c r="T699" s="385"/>
      <c r="U699" s="385"/>
      <c r="V699" s="385"/>
      <c r="W699" s="385"/>
      <c r="X699" s="385"/>
      <c r="Y699" s="385"/>
      <c r="Z699" s="385"/>
      <c r="AA699" s="385"/>
      <c r="AB699" s="385"/>
    </row>
    <row r="700" spans="1:28" ht="15.75" customHeight="1">
      <c r="A700" s="385"/>
      <c r="B700" s="385"/>
      <c r="C700" s="526"/>
      <c r="D700" s="385"/>
      <c r="E700" s="385"/>
      <c r="F700" s="385"/>
      <c r="G700" s="385"/>
      <c r="H700" s="30"/>
      <c r="I700" s="385"/>
      <c r="J700" s="385"/>
      <c r="K700" s="385"/>
      <c r="L700" s="385"/>
      <c r="M700" s="385"/>
      <c r="N700" s="385"/>
      <c r="O700" s="385"/>
      <c r="P700" s="385"/>
      <c r="Q700" s="385"/>
      <c r="R700" s="385"/>
      <c r="S700" s="385"/>
      <c r="T700" s="385"/>
      <c r="U700" s="385"/>
      <c r="V700" s="385"/>
      <c r="W700" s="385"/>
      <c r="X700" s="385"/>
      <c r="Y700" s="385"/>
      <c r="Z700" s="385"/>
      <c r="AA700" s="385"/>
      <c r="AB700" s="385"/>
    </row>
    <row r="701" spans="1:28" ht="15.75" customHeight="1">
      <c r="A701" s="385"/>
      <c r="B701" s="385"/>
      <c r="C701" s="526"/>
      <c r="D701" s="385"/>
      <c r="E701" s="385"/>
      <c r="F701" s="385"/>
      <c r="G701" s="385"/>
      <c r="H701" s="30"/>
      <c r="I701" s="385"/>
      <c r="J701" s="385"/>
      <c r="K701" s="385"/>
      <c r="L701" s="385"/>
      <c r="M701" s="385"/>
      <c r="N701" s="385"/>
      <c r="O701" s="385"/>
      <c r="P701" s="385"/>
      <c r="Q701" s="385"/>
      <c r="R701" s="385"/>
      <c r="S701" s="385"/>
      <c r="T701" s="385"/>
      <c r="U701" s="385"/>
      <c r="V701" s="385"/>
      <c r="W701" s="385"/>
      <c r="X701" s="385"/>
      <c r="Y701" s="385"/>
      <c r="Z701" s="385"/>
      <c r="AA701" s="385"/>
      <c r="AB701" s="385"/>
    </row>
    <row r="702" spans="1:28" ht="15.75" customHeight="1">
      <c r="A702" s="385"/>
      <c r="B702" s="385"/>
      <c r="C702" s="526"/>
      <c r="D702" s="385"/>
      <c r="E702" s="385"/>
      <c r="F702" s="385"/>
      <c r="G702" s="385"/>
      <c r="H702" s="30"/>
      <c r="I702" s="385"/>
      <c r="J702" s="385"/>
      <c r="K702" s="385"/>
      <c r="L702" s="385"/>
      <c r="M702" s="385"/>
      <c r="N702" s="385"/>
      <c r="O702" s="385"/>
      <c r="P702" s="385"/>
      <c r="Q702" s="385"/>
      <c r="R702" s="385"/>
      <c r="S702" s="385"/>
      <c r="T702" s="385"/>
      <c r="U702" s="385"/>
      <c r="V702" s="385"/>
      <c r="W702" s="385"/>
      <c r="X702" s="385"/>
      <c r="Y702" s="385"/>
      <c r="Z702" s="385"/>
      <c r="AA702" s="385"/>
      <c r="AB702" s="385"/>
    </row>
    <row r="703" spans="1:28" ht="15.75" customHeight="1">
      <c r="A703" s="385"/>
      <c r="B703" s="385"/>
      <c r="C703" s="526"/>
      <c r="D703" s="385"/>
      <c r="E703" s="385"/>
      <c r="F703" s="385"/>
      <c r="G703" s="385"/>
      <c r="H703" s="30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  <c r="X703" s="385"/>
      <c r="Y703" s="385"/>
      <c r="Z703" s="385"/>
      <c r="AA703" s="385"/>
      <c r="AB703" s="385"/>
    </row>
    <row r="704" spans="1:28" ht="15.75" customHeight="1">
      <c r="A704" s="385"/>
      <c r="B704" s="385"/>
      <c r="C704" s="526"/>
      <c r="D704" s="385"/>
      <c r="E704" s="385"/>
      <c r="F704" s="385"/>
      <c r="G704" s="385"/>
      <c r="H704" s="30"/>
      <c r="I704" s="385"/>
      <c r="J704" s="385"/>
      <c r="K704" s="385"/>
      <c r="L704" s="385"/>
      <c r="M704" s="385"/>
      <c r="N704" s="385"/>
      <c r="O704" s="385"/>
      <c r="P704" s="385"/>
      <c r="Q704" s="385"/>
      <c r="R704" s="385"/>
      <c r="S704" s="385"/>
      <c r="T704" s="385"/>
      <c r="U704" s="385"/>
      <c r="V704" s="385"/>
      <c r="W704" s="385"/>
      <c r="X704" s="385"/>
      <c r="Y704" s="385"/>
      <c r="Z704" s="385"/>
      <c r="AA704" s="385"/>
      <c r="AB704" s="385"/>
    </row>
    <row r="705" spans="1:28" ht="15.75" customHeight="1">
      <c r="A705" s="385"/>
      <c r="B705" s="385"/>
      <c r="C705" s="526"/>
      <c r="D705" s="385"/>
      <c r="E705" s="385"/>
      <c r="F705" s="385"/>
      <c r="G705" s="385"/>
      <c r="H705" s="30"/>
      <c r="I705" s="385"/>
      <c r="J705" s="385"/>
      <c r="K705" s="385"/>
      <c r="L705" s="385"/>
      <c r="M705" s="385"/>
      <c r="N705" s="385"/>
      <c r="O705" s="385"/>
      <c r="P705" s="385"/>
      <c r="Q705" s="385"/>
      <c r="R705" s="385"/>
      <c r="S705" s="385"/>
      <c r="T705" s="385"/>
      <c r="U705" s="385"/>
      <c r="V705" s="385"/>
      <c r="W705" s="385"/>
      <c r="X705" s="385"/>
      <c r="Y705" s="385"/>
      <c r="Z705" s="385"/>
      <c r="AA705" s="385"/>
      <c r="AB705" s="385"/>
    </row>
    <row r="706" spans="1:28" ht="15.75" customHeight="1">
      <c r="A706" s="385"/>
      <c r="B706" s="385"/>
      <c r="C706" s="526"/>
      <c r="D706" s="385"/>
      <c r="E706" s="385"/>
      <c r="F706" s="385"/>
      <c r="G706" s="385"/>
      <c r="H706" s="30"/>
      <c r="I706" s="385"/>
      <c r="J706" s="385"/>
      <c r="K706" s="385"/>
      <c r="L706" s="385"/>
      <c r="M706" s="385"/>
      <c r="N706" s="385"/>
      <c r="O706" s="385"/>
      <c r="P706" s="385"/>
      <c r="Q706" s="385"/>
      <c r="R706" s="385"/>
      <c r="S706" s="385"/>
      <c r="T706" s="385"/>
      <c r="U706" s="385"/>
      <c r="V706" s="385"/>
      <c r="W706" s="385"/>
      <c r="X706" s="385"/>
      <c r="Y706" s="385"/>
      <c r="Z706" s="385"/>
      <c r="AA706" s="385"/>
      <c r="AB706" s="385"/>
    </row>
    <row r="707" spans="1:28" ht="15.75" customHeight="1">
      <c r="A707" s="385"/>
      <c r="B707" s="385"/>
      <c r="C707" s="526"/>
      <c r="D707" s="385"/>
      <c r="E707" s="385"/>
      <c r="F707" s="385"/>
      <c r="G707" s="385"/>
      <c r="H707" s="30"/>
      <c r="I707" s="385"/>
      <c r="J707" s="385"/>
      <c r="K707" s="385"/>
      <c r="L707" s="385"/>
      <c r="M707" s="385"/>
      <c r="N707" s="385"/>
      <c r="O707" s="385"/>
      <c r="P707" s="385"/>
      <c r="Q707" s="385"/>
      <c r="R707" s="385"/>
      <c r="S707" s="385"/>
      <c r="T707" s="385"/>
      <c r="U707" s="385"/>
      <c r="V707" s="385"/>
      <c r="W707" s="385"/>
      <c r="X707" s="385"/>
      <c r="Y707" s="385"/>
      <c r="Z707" s="385"/>
      <c r="AA707" s="385"/>
      <c r="AB707" s="385"/>
    </row>
    <row r="708" spans="1:28" ht="15.75" customHeight="1">
      <c r="A708" s="385"/>
      <c r="B708" s="385"/>
      <c r="C708" s="526"/>
      <c r="D708" s="385"/>
      <c r="E708" s="385"/>
      <c r="F708" s="385"/>
      <c r="G708" s="385"/>
      <c r="H708" s="30"/>
      <c r="I708" s="385"/>
      <c r="J708" s="385"/>
      <c r="K708" s="385"/>
      <c r="L708" s="385"/>
      <c r="M708" s="385"/>
      <c r="N708" s="385"/>
      <c r="O708" s="385"/>
      <c r="P708" s="385"/>
      <c r="Q708" s="385"/>
      <c r="R708" s="385"/>
      <c r="S708" s="385"/>
      <c r="T708" s="385"/>
      <c r="U708" s="385"/>
      <c r="V708" s="385"/>
      <c r="W708" s="385"/>
      <c r="X708" s="385"/>
      <c r="Y708" s="385"/>
      <c r="Z708" s="385"/>
      <c r="AA708" s="385"/>
      <c r="AB708" s="385"/>
    </row>
    <row r="709" spans="1:28" ht="15.75" customHeight="1">
      <c r="A709" s="385"/>
      <c r="B709" s="385"/>
      <c r="C709" s="526"/>
      <c r="D709" s="385"/>
      <c r="E709" s="385"/>
      <c r="F709" s="385"/>
      <c r="G709" s="385"/>
      <c r="H709" s="30"/>
      <c r="I709" s="385"/>
      <c r="J709" s="385"/>
      <c r="K709" s="385"/>
      <c r="L709" s="385"/>
      <c r="M709" s="385"/>
      <c r="N709" s="385"/>
      <c r="O709" s="385"/>
      <c r="P709" s="385"/>
      <c r="Q709" s="385"/>
      <c r="R709" s="385"/>
      <c r="S709" s="385"/>
      <c r="T709" s="385"/>
      <c r="U709" s="385"/>
      <c r="V709" s="385"/>
      <c r="W709" s="385"/>
      <c r="X709" s="385"/>
      <c r="Y709" s="385"/>
      <c r="Z709" s="385"/>
      <c r="AA709" s="385"/>
      <c r="AB709" s="385"/>
    </row>
    <row r="710" spans="1:28" ht="15.75" customHeight="1">
      <c r="A710" s="385"/>
      <c r="B710" s="385"/>
      <c r="C710" s="526"/>
      <c r="D710" s="385"/>
      <c r="E710" s="385"/>
      <c r="F710" s="385"/>
      <c r="G710" s="385"/>
      <c r="H710" s="30"/>
      <c r="I710" s="385"/>
      <c r="J710" s="385"/>
      <c r="K710" s="385"/>
      <c r="L710" s="385"/>
      <c r="M710" s="385"/>
      <c r="N710" s="385"/>
      <c r="O710" s="385"/>
      <c r="P710" s="385"/>
      <c r="Q710" s="385"/>
      <c r="R710" s="385"/>
      <c r="S710" s="385"/>
      <c r="T710" s="385"/>
      <c r="U710" s="385"/>
      <c r="V710" s="385"/>
      <c r="W710" s="385"/>
      <c r="X710" s="385"/>
      <c r="Y710" s="385"/>
      <c r="Z710" s="385"/>
      <c r="AA710" s="385"/>
      <c r="AB710" s="385"/>
    </row>
    <row r="711" spans="1:28" ht="15.75" customHeight="1">
      <c r="A711" s="385"/>
      <c r="B711" s="385"/>
      <c r="C711" s="526"/>
      <c r="D711" s="385"/>
      <c r="E711" s="385"/>
      <c r="F711" s="385"/>
      <c r="G711" s="385"/>
      <c r="H711" s="30"/>
      <c r="I711" s="385"/>
      <c r="J711" s="385"/>
      <c r="K711" s="385"/>
      <c r="L711" s="385"/>
      <c r="M711" s="385"/>
      <c r="N711" s="385"/>
      <c r="O711" s="385"/>
      <c r="P711" s="385"/>
      <c r="Q711" s="385"/>
      <c r="R711" s="385"/>
      <c r="S711" s="385"/>
      <c r="T711" s="385"/>
      <c r="U711" s="385"/>
      <c r="V711" s="385"/>
      <c r="W711" s="385"/>
      <c r="X711" s="385"/>
      <c r="Y711" s="385"/>
      <c r="Z711" s="385"/>
      <c r="AA711" s="385"/>
      <c r="AB711" s="385"/>
    </row>
    <row r="712" spans="1:28" ht="15.75" customHeight="1">
      <c r="A712" s="385"/>
      <c r="B712" s="385"/>
      <c r="C712" s="526"/>
      <c r="D712" s="385"/>
      <c r="E712" s="385"/>
      <c r="F712" s="385"/>
      <c r="G712" s="385"/>
      <c r="H712" s="30"/>
      <c r="I712" s="385"/>
      <c r="J712" s="385"/>
      <c r="K712" s="385"/>
      <c r="L712" s="385"/>
      <c r="M712" s="385"/>
      <c r="N712" s="385"/>
      <c r="O712" s="385"/>
      <c r="P712" s="385"/>
      <c r="Q712" s="385"/>
      <c r="R712" s="385"/>
      <c r="S712" s="385"/>
      <c r="T712" s="385"/>
      <c r="U712" s="385"/>
      <c r="V712" s="385"/>
      <c r="W712" s="385"/>
      <c r="X712" s="385"/>
      <c r="Y712" s="385"/>
      <c r="Z712" s="385"/>
      <c r="AA712" s="385"/>
      <c r="AB712" s="385"/>
    </row>
    <row r="713" spans="1:28" ht="15.75" customHeight="1">
      <c r="A713" s="385"/>
      <c r="B713" s="385"/>
      <c r="C713" s="526"/>
      <c r="D713" s="385"/>
      <c r="E713" s="385"/>
      <c r="F713" s="385"/>
      <c r="G713" s="385"/>
      <c r="H713" s="30"/>
      <c r="I713" s="385"/>
      <c r="J713" s="385"/>
      <c r="K713" s="385"/>
      <c r="L713" s="385"/>
      <c r="M713" s="385"/>
      <c r="N713" s="385"/>
      <c r="O713" s="385"/>
      <c r="P713" s="385"/>
      <c r="Q713" s="385"/>
      <c r="R713" s="385"/>
      <c r="S713" s="385"/>
      <c r="T713" s="385"/>
      <c r="U713" s="385"/>
      <c r="V713" s="385"/>
      <c r="W713" s="385"/>
      <c r="X713" s="385"/>
      <c r="Y713" s="385"/>
      <c r="Z713" s="385"/>
      <c r="AA713" s="385"/>
      <c r="AB713" s="385"/>
    </row>
    <row r="714" spans="1:28" ht="15.75" customHeight="1">
      <c r="A714" s="385"/>
      <c r="B714" s="385"/>
      <c r="C714" s="526"/>
      <c r="D714" s="385"/>
      <c r="E714" s="385"/>
      <c r="F714" s="385"/>
      <c r="G714" s="385"/>
      <c r="H714" s="30"/>
      <c r="I714" s="385"/>
      <c r="J714" s="385"/>
      <c r="K714" s="385"/>
      <c r="L714" s="385"/>
      <c r="M714" s="385"/>
      <c r="N714" s="385"/>
      <c r="O714" s="385"/>
      <c r="P714" s="385"/>
      <c r="Q714" s="385"/>
      <c r="R714" s="385"/>
      <c r="S714" s="385"/>
      <c r="T714" s="385"/>
      <c r="U714" s="385"/>
      <c r="V714" s="385"/>
      <c r="W714" s="385"/>
      <c r="X714" s="385"/>
      <c r="Y714" s="385"/>
      <c r="Z714" s="385"/>
      <c r="AA714" s="385"/>
      <c r="AB714" s="385"/>
    </row>
    <row r="715" spans="1:28" ht="15.75" customHeight="1">
      <c r="A715" s="385"/>
      <c r="B715" s="385"/>
      <c r="C715" s="526"/>
      <c r="D715" s="385"/>
      <c r="E715" s="385"/>
      <c r="F715" s="385"/>
      <c r="G715" s="385"/>
      <c r="H715" s="30"/>
      <c r="I715" s="385"/>
      <c r="J715" s="385"/>
      <c r="K715" s="385"/>
      <c r="L715" s="385"/>
      <c r="M715" s="385"/>
      <c r="N715" s="385"/>
      <c r="O715" s="385"/>
      <c r="P715" s="385"/>
      <c r="Q715" s="385"/>
      <c r="R715" s="385"/>
      <c r="S715" s="385"/>
      <c r="T715" s="385"/>
      <c r="U715" s="385"/>
      <c r="V715" s="385"/>
      <c r="W715" s="385"/>
      <c r="X715" s="385"/>
      <c r="Y715" s="385"/>
      <c r="Z715" s="385"/>
      <c r="AA715" s="385"/>
      <c r="AB715" s="385"/>
    </row>
    <row r="716" spans="1:28" ht="15.75" customHeight="1">
      <c r="A716" s="385"/>
      <c r="B716" s="385"/>
      <c r="C716" s="526"/>
      <c r="D716" s="385"/>
      <c r="E716" s="385"/>
      <c r="F716" s="385"/>
      <c r="G716" s="385"/>
      <c r="H716" s="30"/>
      <c r="I716" s="385"/>
      <c r="J716" s="385"/>
      <c r="K716" s="385"/>
      <c r="L716" s="385"/>
      <c r="M716" s="385"/>
      <c r="N716" s="385"/>
      <c r="O716" s="385"/>
      <c r="P716" s="385"/>
      <c r="Q716" s="385"/>
      <c r="R716" s="385"/>
      <c r="S716" s="385"/>
      <c r="T716" s="385"/>
      <c r="U716" s="385"/>
      <c r="V716" s="385"/>
      <c r="W716" s="385"/>
      <c r="X716" s="385"/>
      <c r="Y716" s="385"/>
      <c r="Z716" s="385"/>
      <c r="AA716" s="385"/>
      <c r="AB716" s="385"/>
    </row>
    <row r="717" spans="1:28" ht="15.75" customHeight="1">
      <c r="A717" s="385"/>
      <c r="B717" s="385"/>
      <c r="C717" s="526"/>
      <c r="D717" s="385"/>
      <c r="E717" s="385"/>
      <c r="F717" s="385"/>
      <c r="G717" s="385"/>
      <c r="H717" s="30"/>
      <c r="I717" s="385"/>
      <c r="J717" s="385"/>
      <c r="K717" s="385"/>
      <c r="L717" s="385"/>
      <c r="M717" s="385"/>
      <c r="N717" s="385"/>
      <c r="O717" s="385"/>
      <c r="P717" s="385"/>
      <c r="Q717" s="385"/>
      <c r="R717" s="385"/>
      <c r="S717" s="385"/>
      <c r="T717" s="385"/>
      <c r="U717" s="385"/>
      <c r="V717" s="385"/>
      <c r="W717" s="385"/>
      <c r="X717" s="385"/>
      <c r="Y717" s="385"/>
      <c r="Z717" s="385"/>
      <c r="AA717" s="385"/>
      <c r="AB717" s="385"/>
    </row>
    <row r="718" spans="1:28" ht="15.75" customHeight="1">
      <c r="A718" s="385"/>
      <c r="B718" s="385"/>
      <c r="C718" s="526"/>
      <c r="D718" s="385"/>
      <c r="E718" s="385"/>
      <c r="F718" s="385"/>
      <c r="G718" s="385"/>
      <c r="H718" s="30"/>
      <c r="I718" s="385"/>
      <c r="J718" s="385"/>
      <c r="K718" s="385"/>
      <c r="L718" s="385"/>
      <c r="M718" s="385"/>
      <c r="N718" s="385"/>
      <c r="O718" s="385"/>
      <c r="P718" s="385"/>
      <c r="Q718" s="385"/>
      <c r="R718" s="385"/>
      <c r="S718" s="385"/>
      <c r="T718" s="385"/>
      <c r="U718" s="385"/>
      <c r="V718" s="385"/>
      <c r="W718" s="385"/>
      <c r="X718" s="385"/>
      <c r="Y718" s="385"/>
      <c r="Z718" s="385"/>
      <c r="AA718" s="385"/>
      <c r="AB718" s="385"/>
    </row>
    <row r="719" spans="1:28" ht="15.75" customHeight="1">
      <c r="A719" s="385"/>
      <c r="B719" s="385"/>
      <c r="C719" s="526"/>
      <c r="D719" s="385"/>
      <c r="E719" s="385"/>
      <c r="F719" s="385"/>
      <c r="G719" s="385"/>
      <c r="H719" s="30"/>
      <c r="I719" s="385"/>
      <c r="J719" s="385"/>
      <c r="K719" s="385"/>
      <c r="L719" s="385"/>
      <c r="M719" s="385"/>
      <c r="N719" s="385"/>
      <c r="O719" s="385"/>
      <c r="P719" s="385"/>
      <c r="Q719" s="385"/>
      <c r="R719" s="385"/>
      <c r="S719" s="385"/>
      <c r="T719" s="385"/>
      <c r="U719" s="385"/>
      <c r="V719" s="385"/>
      <c r="W719" s="385"/>
      <c r="X719" s="385"/>
      <c r="Y719" s="385"/>
      <c r="Z719" s="385"/>
      <c r="AA719" s="385"/>
      <c r="AB719" s="385"/>
    </row>
    <row r="720" spans="1:28" ht="15.75" customHeight="1">
      <c r="A720" s="385"/>
      <c r="B720" s="385"/>
      <c r="C720" s="526"/>
      <c r="D720" s="385"/>
      <c r="E720" s="385"/>
      <c r="F720" s="385"/>
      <c r="G720" s="385"/>
      <c r="H720" s="30"/>
      <c r="I720" s="385"/>
      <c r="J720" s="385"/>
      <c r="K720" s="385"/>
      <c r="L720" s="385"/>
      <c r="M720" s="385"/>
      <c r="N720" s="385"/>
      <c r="O720" s="385"/>
      <c r="P720" s="385"/>
      <c r="Q720" s="385"/>
      <c r="R720" s="385"/>
      <c r="S720" s="385"/>
      <c r="T720" s="385"/>
      <c r="U720" s="385"/>
      <c r="V720" s="385"/>
      <c r="W720" s="385"/>
      <c r="X720" s="385"/>
      <c r="Y720" s="385"/>
      <c r="Z720" s="385"/>
      <c r="AA720" s="385"/>
      <c r="AB720" s="385"/>
    </row>
    <row r="721" spans="1:28" ht="15.75" customHeight="1">
      <c r="A721" s="385"/>
      <c r="B721" s="385"/>
      <c r="C721" s="526"/>
      <c r="D721" s="385"/>
      <c r="E721" s="385"/>
      <c r="F721" s="385"/>
      <c r="G721" s="385"/>
      <c r="H721" s="30"/>
      <c r="I721" s="385"/>
      <c r="J721" s="385"/>
      <c r="K721" s="385"/>
      <c r="L721" s="385"/>
      <c r="M721" s="385"/>
      <c r="N721" s="385"/>
      <c r="O721" s="385"/>
      <c r="P721" s="385"/>
      <c r="Q721" s="385"/>
      <c r="R721" s="385"/>
      <c r="S721" s="385"/>
      <c r="T721" s="385"/>
      <c r="U721" s="385"/>
      <c r="V721" s="385"/>
      <c r="W721" s="385"/>
      <c r="X721" s="385"/>
      <c r="Y721" s="385"/>
      <c r="Z721" s="385"/>
      <c r="AA721" s="385"/>
      <c r="AB721" s="385"/>
    </row>
    <row r="722" spans="1:28" ht="15.75" customHeight="1">
      <c r="A722" s="385"/>
      <c r="B722" s="385"/>
      <c r="C722" s="526"/>
      <c r="D722" s="385"/>
      <c r="E722" s="385"/>
      <c r="F722" s="385"/>
      <c r="G722" s="385"/>
      <c r="H722" s="30"/>
      <c r="I722" s="385"/>
      <c r="J722" s="385"/>
      <c r="K722" s="385"/>
      <c r="L722" s="385"/>
      <c r="M722" s="385"/>
      <c r="N722" s="385"/>
      <c r="O722" s="385"/>
      <c r="P722" s="385"/>
      <c r="Q722" s="385"/>
      <c r="R722" s="385"/>
      <c r="S722" s="385"/>
      <c r="T722" s="385"/>
      <c r="U722" s="385"/>
      <c r="V722" s="385"/>
      <c r="W722" s="385"/>
      <c r="X722" s="385"/>
      <c r="Y722" s="385"/>
      <c r="Z722" s="385"/>
      <c r="AA722" s="385"/>
      <c r="AB722" s="385"/>
    </row>
    <row r="723" spans="1:28" ht="15.75" customHeight="1">
      <c r="A723" s="385"/>
      <c r="B723" s="385"/>
      <c r="C723" s="526"/>
      <c r="D723" s="385"/>
      <c r="E723" s="385"/>
      <c r="F723" s="385"/>
      <c r="G723" s="385"/>
      <c r="H723" s="30"/>
      <c r="I723" s="385"/>
      <c r="J723" s="385"/>
      <c r="K723" s="385"/>
      <c r="L723" s="385"/>
      <c r="M723" s="385"/>
      <c r="N723" s="385"/>
      <c r="O723" s="385"/>
      <c r="P723" s="385"/>
      <c r="Q723" s="385"/>
      <c r="R723" s="385"/>
      <c r="S723" s="385"/>
      <c r="T723" s="385"/>
      <c r="U723" s="385"/>
      <c r="V723" s="385"/>
      <c r="W723" s="385"/>
      <c r="X723" s="385"/>
      <c r="Y723" s="385"/>
      <c r="Z723" s="385"/>
      <c r="AA723" s="385"/>
      <c r="AB723" s="385"/>
    </row>
    <row r="724" spans="1:28" ht="15.75" customHeight="1">
      <c r="A724" s="385"/>
      <c r="B724" s="385"/>
      <c r="C724" s="526"/>
      <c r="D724" s="385"/>
      <c r="E724" s="385"/>
      <c r="F724" s="385"/>
      <c r="G724" s="385"/>
      <c r="H724" s="30"/>
      <c r="I724" s="385"/>
      <c r="J724" s="385"/>
      <c r="K724" s="385"/>
      <c r="L724" s="385"/>
      <c r="M724" s="385"/>
      <c r="N724" s="385"/>
      <c r="O724" s="385"/>
      <c r="P724" s="385"/>
      <c r="Q724" s="385"/>
      <c r="R724" s="385"/>
      <c r="S724" s="385"/>
      <c r="T724" s="385"/>
      <c r="U724" s="385"/>
      <c r="V724" s="385"/>
      <c r="W724" s="385"/>
      <c r="X724" s="385"/>
      <c r="Y724" s="385"/>
      <c r="Z724" s="385"/>
      <c r="AA724" s="385"/>
      <c r="AB724" s="385"/>
    </row>
    <row r="725" spans="1:28" ht="15.75" customHeight="1">
      <c r="A725" s="385"/>
      <c r="B725" s="385"/>
      <c r="C725" s="526"/>
      <c r="D725" s="385"/>
      <c r="E725" s="385"/>
      <c r="F725" s="385"/>
      <c r="G725" s="385"/>
      <c r="H725" s="30"/>
      <c r="I725" s="385"/>
      <c r="J725" s="385"/>
      <c r="K725" s="385"/>
      <c r="L725" s="385"/>
      <c r="M725" s="385"/>
      <c r="N725" s="385"/>
      <c r="O725" s="385"/>
      <c r="P725" s="385"/>
      <c r="Q725" s="385"/>
      <c r="R725" s="385"/>
      <c r="S725" s="385"/>
      <c r="T725" s="385"/>
      <c r="U725" s="385"/>
      <c r="V725" s="385"/>
      <c r="W725" s="385"/>
      <c r="X725" s="385"/>
      <c r="Y725" s="385"/>
      <c r="Z725" s="385"/>
      <c r="AA725" s="385"/>
      <c r="AB725" s="385"/>
    </row>
    <row r="726" spans="1:28" ht="15.75" customHeight="1">
      <c r="A726" s="385"/>
      <c r="B726" s="385"/>
      <c r="C726" s="526"/>
      <c r="D726" s="385"/>
      <c r="E726" s="385"/>
      <c r="F726" s="385"/>
      <c r="G726" s="385"/>
      <c r="H726" s="30"/>
      <c r="I726" s="385"/>
      <c r="J726" s="385"/>
      <c r="K726" s="385"/>
      <c r="L726" s="385"/>
      <c r="M726" s="385"/>
      <c r="N726" s="385"/>
      <c r="O726" s="385"/>
      <c r="P726" s="385"/>
      <c r="Q726" s="385"/>
      <c r="R726" s="385"/>
      <c r="S726" s="385"/>
      <c r="T726" s="385"/>
      <c r="U726" s="385"/>
      <c r="V726" s="385"/>
      <c r="W726" s="385"/>
      <c r="X726" s="385"/>
      <c r="Y726" s="385"/>
      <c r="Z726" s="385"/>
      <c r="AA726" s="385"/>
      <c r="AB726" s="385"/>
    </row>
    <row r="727" spans="1:28" ht="15.75" customHeight="1">
      <c r="A727" s="385"/>
      <c r="B727" s="385"/>
      <c r="C727" s="526"/>
      <c r="D727" s="385"/>
      <c r="E727" s="385"/>
      <c r="F727" s="385"/>
      <c r="G727" s="385"/>
      <c r="H727" s="30"/>
      <c r="I727" s="385"/>
      <c r="J727" s="385"/>
      <c r="K727" s="385"/>
      <c r="L727" s="385"/>
      <c r="M727" s="385"/>
      <c r="N727" s="385"/>
      <c r="O727" s="385"/>
      <c r="P727" s="385"/>
      <c r="Q727" s="385"/>
      <c r="R727" s="385"/>
      <c r="S727" s="385"/>
      <c r="T727" s="385"/>
      <c r="U727" s="385"/>
      <c r="V727" s="385"/>
      <c r="W727" s="385"/>
      <c r="X727" s="385"/>
      <c r="Y727" s="385"/>
      <c r="Z727" s="385"/>
      <c r="AA727" s="385"/>
      <c r="AB727" s="385"/>
    </row>
    <row r="728" spans="1:28" ht="15.75" customHeight="1">
      <c r="A728" s="385"/>
      <c r="B728" s="385"/>
      <c r="C728" s="526"/>
      <c r="D728" s="385"/>
      <c r="E728" s="385"/>
      <c r="F728" s="385"/>
      <c r="G728" s="385"/>
      <c r="H728" s="30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  <c r="X728" s="385"/>
      <c r="Y728" s="385"/>
      <c r="Z728" s="385"/>
      <c r="AA728" s="385"/>
      <c r="AB728" s="385"/>
    </row>
    <row r="729" spans="1:28" ht="15.75" customHeight="1">
      <c r="A729" s="385"/>
      <c r="B729" s="385"/>
      <c r="C729" s="526"/>
      <c r="D729" s="385"/>
      <c r="E729" s="385"/>
      <c r="F729" s="385"/>
      <c r="G729" s="385"/>
      <c r="H729" s="30"/>
      <c r="I729" s="385"/>
      <c r="J729" s="385"/>
      <c r="K729" s="385"/>
      <c r="L729" s="385"/>
      <c r="M729" s="385"/>
      <c r="N729" s="385"/>
      <c r="O729" s="385"/>
      <c r="P729" s="385"/>
      <c r="Q729" s="385"/>
      <c r="R729" s="385"/>
      <c r="S729" s="385"/>
      <c r="T729" s="385"/>
      <c r="U729" s="385"/>
      <c r="V729" s="385"/>
      <c r="W729" s="385"/>
      <c r="X729" s="385"/>
      <c r="Y729" s="385"/>
      <c r="Z729" s="385"/>
      <c r="AA729" s="385"/>
      <c r="AB729" s="385"/>
    </row>
    <row r="730" spans="1:28" ht="15.75" customHeight="1">
      <c r="A730" s="385"/>
      <c r="B730" s="385"/>
      <c r="C730" s="526"/>
      <c r="D730" s="385"/>
      <c r="E730" s="385"/>
      <c r="F730" s="385"/>
      <c r="G730" s="385"/>
      <c r="H730" s="30"/>
      <c r="I730" s="385"/>
      <c r="J730" s="385"/>
      <c r="K730" s="385"/>
      <c r="L730" s="385"/>
      <c r="M730" s="385"/>
      <c r="N730" s="385"/>
      <c r="O730" s="385"/>
      <c r="P730" s="385"/>
      <c r="Q730" s="385"/>
      <c r="R730" s="385"/>
      <c r="S730" s="385"/>
      <c r="T730" s="385"/>
      <c r="U730" s="385"/>
      <c r="V730" s="385"/>
      <c r="W730" s="385"/>
      <c r="X730" s="385"/>
      <c r="Y730" s="385"/>
      <c r="Z730" s="385"/>
      <c r="AA730" s="385"/>
      <c r="AB730" s="385"/>
    </row>
    <row r="731" spans="1:28" ht="15.75" customHeight="1">
      <c r="A731" s="385"/>
      <c r="B731" s="385"/>
      <c r="C731" s="526"/>
      <c r="D731" s="385"/>
      <c r="E731" s="385"/>
      <c r="F731" s="385"/>
      <c r="G731" s="385"/>
      <c r="H731" s="30"/>
      <c r="I731" s="385"/>
      <c r="J731" s="385"/>
      <c r="K731" s="385"/>
      <c r="L731" s="385"/>
      <c r="M731" s="385"/>
      <c r="N731" s="385"/>
      <c r="O731" s="385"/>
      <c r="P731" s="385"/>
      <c r="Q731" s="385"/>
      <c r="R731" s="385"/>
      <c r="S731" s="385"/>
      <c r="T731" s="385"/>
      <c r="U731" s="385"/>
      <c r="V731" s="385"/>
      <c r="W731" s="385"/>
      <c r="X731" s="385"/>
      <c r="Y731" s="385"/>
      <c r="Z731" s="385"/>
      <c r="AA731" s="385"/>
      <c r="AB731" s="385"/>
    </row>
    <row r="732" spans="1:28" ht="15.75" customHeight="1">
      <c r="A732" s="385"/>
      <c r="B732" s="385"/>
      <c r="C732" s="526"/>
      <c r="D732" s="385"/>
      <c r="E732" s="385"/>
      <c r="F732" s="385"/>
      <c r="G732" s="385"/>
      <c r="H732" s="30"/>
      <c r="I732" s="385"/>
      <c r="J732" s="385"/>
      <c r="K732" s="385"/>
      <c r="L732" s="385"/>
      <c r="M732" s="385"/>
      <c r="N732" s="385"/>
      <c r="O732" s="385"/>
      <c r="P732" s="385"/>
      <c r="Q732" s="385"/>
      <c r="R732" s="385"/>
      <c r="S732" s="385"/>
      <c r="T732" s="385"/>
      <c r="U732" s="385"/>
      <c r="V732" s="385"/>
      <c r="W732" s="385"/>
      <c r="X732" s="385"/>
      <c r="Y732" s="385"/>
      <c r="Z732" s="385"/>
      <c r="AA732" s="385"/>
      <c r="AB732" s="385"/>
    </row>
    <row r="733" spans="1:28" ht="15.75" customHeight="1">
      <c r="A733" s="385"/>
      <c r="B733" s="385"/>
      <c r="C733" s="526"/>
      <c r="D733" s="385"/>
      <c r="E733" s="385"/>
      <c r="F733" s="385"/>
      <c r="G733" s="385"/>
      <c r="H733" s="30"/>
      <c r="I733" s="385"/>
      <c r="J733" s="385"/>
      <c r="K733" s="385"/>
      <c r="L733" s="385"/>
      <c r="M733" s="385"/>
      <c r="N733" s="385"/>
      <c r="O733" s="385"/>
      <c r="P733" s="385"/>
      <c r="Q733" s="385"/>
      <c r="R733" s="385"/>
      <c r="S733" s="385"/>
      <c r="T733" s="385"/>
      <c r="U733" s="385"/>
      <c r="V733" s="385"/>
      <c r="W733" s="385"/>
      <c r="X733" s="385"/>
      <c r="Y733" s="385"/>
      <c r="Z733" s="385"/>
      <c r="AA733" s="385"/>
      <c r="AB733" s="385"/>
    </row>
    <row r="734" spans="1:28" ht="15.75" customHeight="1">
      <c r="A734" s="385"/>
      <c r="B734" s="385"/>
      <c r="C734" s="526"/>
      <c r="D734" s="385"/>
      <c r="E734" s="385"/>
      <c r="F734" s="385"/>
      <c r="G734" s="385"/>
      <c r="H734" s="30"/>
      <c r="I734" s="385"/>
      <c r="J734" s="385"/>
      <c r="K734" s="385"/>
      <c r="L734" s="385"/>
      <c r="M734" s="385"/>
      <c r="N734" s="385"/>
      <c r="O734" s="385"/>
      <c r="P734" s="385"/>
      <c r="Q734" s="385"/>
      <c r="R734" s="385"/>
      <c r="S734" s="385"/>
      <c r="T734" s="385"/>
      <c r="U734" s="385"/>
      <c r="V734" s="385"/>
      <c r="W734" s="385"/>
      <c r="X734" s="385"/>
      <c r="Y734" s="385"/>
      <c r="Z734" s="385"/>
      <c r="AA734" s="385"/>
      <c r="AB734" s="385"/>
    </row>
    <row r="735" spans="1:28" ht="15.75" customHeight="1">
      <c r="A735" s="385"/>
      <c r="B735" s="385"/>
      <c r="C735" s="526"/>
      <c r="D735" s="385"/>
      <c r="E735" s="385"/>
      <c r="F735" s="385"/>
      <c r="G735" s="385"/>
      <c r="H735" s="30"/>
      <c r="I735" s="385"/>
      <c r="J735" s="385"/>
      <c r="K735" s="385"/>
      <c r="L735" s="385"/>
      <c r="M735" s="385"/>
      <c r="N735" s="385"/>
      <c r="O735" s="385"/>
      <c r="P735" s="385"/>
      <c r="Q735" s="385"/>
      <c r="R735" s="385"/>
      <c r="S735" s="385"/>
      <c r="T735" s="385"/>
      <c r="U735" s="385"/>
      <c r="V735" s="385"/>
      <c r="W735" s="385"/>
      <c r="X735" s="385"/>
      <c r="Y735" s="385"/>
      <c r="Z735" s="385"/>
      <c r="AA735" s="385"/>
      <c r="AB735" s="385"/>
    </row>
    <row r="736" spans="1:28" ht="15.75" customHeight="1">
      <c r="A736" s="385"/>
      <c r="B736" s="385"/>
      <c r="C736" s="526"/>
      <c r="D736" s="385"/>
      <c r="E736" s="385"/>
      <c r="F736" s="385"/>
      <c r="G736" s="385"/>
      <c r="H736" s="30"/>
      <c r="I736" s="385"/>
      <c r="J736" s="385"/>
      <c r="K736" s="385"/>
      <c r="L736" s="385"/>
      <c r="M736" s="385"/>
      <c r="N736" s="385"/>
      <c r="O736" s="385"/>
      <c r="P736" s="385"/>
      <c r="Q736" s="385"/>
      <c r="R736" s="385"/>
      <c r="S736" s="385"/>
      <c r="T736" s="385"/>
      <c r="U736" s="385"/>
      <c r="V736" s="385"/>
      <c r="W736" s="385"/>
      <c r="X736" s="385"/>
      <c r="Y736" s="385"/>
      <c r="Z736" s="385"/>
      <c r="AA736" s="385"/>
      <c r="AB736" s="385"/>
    </row>
    <row r="737" spans="1:28" ht="15.75" customHeight="1">
      <c r="A737" s="385"/>
      <c r="B737" s="385"/>
      <c r="C737" s="526"/>
      <c r="D737" s="385"/>
      <c r="E737" s="385"/>
      <c r="F737" s="385"/>
      <c r="G737" s="385"/>
      <c r="H737" s="30"/>
      <c r="I737" s="385"/>
      <c r="J737" s="385"/>
      <c r="K737" s="385"/>
      <c r="L737" s="385"/>
      <c r="M737" s="385"/>
      <c r="N737" s="385"/>
      <c r="O737" s="385"/>
      <c r="P737" s="385"/>
      <c r="Q737" s="385"/>
      <c r="R737" s="385"/>
      <c r="S737" s="385"/>
      <c r="T737" s="385"/>
      <c r="U737" s="385"/>
      <c r="V737" s="385"/>
      <c r="W737" s="385"/>
      <c r="X737" s="385"/>
      <c r="Y737" s="385"/>
      <c r="Z737" s="385"/>
      <c r="AA737" s="385"/>
      <c r="AB737" s="385"/>
    </row>
    <row r="738" spans="1:28" ht="15.75" customHeight="1">
      <c r="A738" s="385"/>
      <c r="B738" s="385"/>
      <c r="C738" s="526"/>
      <c r="D738" s="385"/>
      <c r="E738" s="385"/>
      <c r="F738" s="385"/>
      <c r="G738" s="385"/>
      <c r="H738" s="30"/>
      <c r="I738" s="385"/>
      <c r="J738" s="385"/>
      <c r="K738" s="385"/>
      <c r="L738" s="385"/>
      <c r="M738" s="385"/>
      <c r="N738" s="385"/>
      <c r="O738" s="385"/>
      <c r="P738" s="385"/>
      <c r="Q738" s="385"/>
      <c r="R738" s="385"/>
      <c r="S738" s="385"/>
      <c r="T738" s="385"/>
      <c r="U738" s="385"/>
      <c r="V738" s="385"/>
      <c r="W738" s="385"/>
      <c r="X738" s="385"/>
      <c r="Y738" s="385"/>
      <c r="Z738" s="385"/>
      <c r="AA738" s="385"/>
      <c r="AB738" s="385"/>
    </row>
    <row r="739" spans="1:28" ht="15.75" customHeight="1">
      <c r="A739" s="385"/>
      <c r="B739" s="385"/>
      <c r="C739" s="526"/>
      <c r="D739" s="385"/>
      <c r="E739" s="385"/>
      <c r="F739" s="385"/>
      <c r="G739" s="385"/>
      <c r="H739" s="30"/>
      <c r="I739" s="385"/>
      <c r="J739" s="385"/>
      <c r="K739" s="385"/>
      <c r="L739" s="385"/>
      <c r="M739" s="385"/>
      <c r="N739" s="385"/>
      <c r="O739" s="385"/>
      <c r="P739" s="385"/>
      <c r="Q739" s="385"/>
      <c r="R739" s="385"/>
      <c r="S739" s="385"/>
      <c r="T739" s="385"/>
      <c r="U739" s="385"/>
      <c r="V739" s="385"/>
      <c r="W739" s="385"/>
      <c r="X739" s="385"/>
      <c r="Y739" s="385"/>
      <c r="Z739" s="385"/>
      <c r="AA739" s="385"/>
      <c r="AB739" s="385"/>
    </row>
    <row r="740" spans="1:28" ht="15.75" customHeight="1">
      <c r="A740" s="385"/>
      <c r="B740" s="385"/>
      <c r="C740" s="526"/>
      <c r="D740" s="385"/>
      <c r="E740" s="385"/>
      <c r="F740" s="385"/>
      <c r="G740" s="385"/>
      <c r="H740" s="30"/>
      <c r="I740" s="385"/>
      <c r="J740" s="385"/>
      <c r="K740" s="385"/>
      <c r="L740" s="385"/>
      <c r="M740" s="385"/>
      <c r="N740" s="385"/>
      <c r="O740" s="385"/>
      <c r="P740" s="385"/>
      <c r="Q740" s="385"/>
      <c r="R740" s="385"/>
      <c r="S740" s="385"/>
      <c r="T740" s="385"/>
      <c r="U740" s="385"/>
      <c r="V740" s="385"/>
      <c r="W740" s="385"/>
      <c r="X740" s="385"/>
      <c r="Y740" s="385"/>
      <c r="Z740" s="385"/>
      <c r="AA740" s="385"/>
      <c r="AB740" s="385"/>
    </row>
    <row r="741" spans="1:28" ht="15.75" customHeight="1">
      <c r="A741" s="385"/>
      <c r="B741" s="385"/>
      <c r="C741" s="526"/>
      <c r="D741" s="385"/>
      <c r="E741" s="385"/>
      <c r="F741" s="385"/>
      <c r="G741" s="385"/>
      <c r="H741" s="30"/>
      <c r="I741" s="385"/>
      <c r="J741" s="385"/>
      <c r="K741" s="385"/>
      <c r="L741" s="385"/>
      <c r="M741" s="385"/>
      <c r="N741" s="385"/>
      <c r="O741" s="385"/>
      <c r="P741" s="385"/>
      <c r="Q741" s="385"/>
      <c r="R741" s="385"/>
      <c r="S741" s="385"/>
      <c r="T741" s="385"/>
      <c r="U741" s="385"/>
      <c r="V741" s="385"/>
      <c r="W741" s="385"/>
      <c r="X741" s="385"/>
      <c r="Y741" s="385"/>
      <c r="Z741" s="385"/>
      <c r="AA741" s="385"/>
      <c r="AB741" s="385"/>
    </row>
    <row r="742" spans="1:28" ht="15.75" customHeight="1">
      <c r="A742" s="385"/>
      <c r="B742" s="385"/>
      <c r="C742" s="526"/>
      <c r="D742" s="385"/>
      <c r="E742" s="385"/>
      <c r="F742" s="385"/>
      <c r="G742" s="385"/>
      <c r="H742" s="30"/>
      <c r="I742" s="385"/>
      <c r="J742" s="385"/>
      <c r="K742" s="385"/>
      <c r="L742" s="385"/>
      <c r="M742" s="385"/>
      <c r="N742" s="385"/>
      <c r="O742" s="385"/>
      <c r="P742" s="385"/>
      <c r="Q742" s="385"/>
      <c r="R742" s="385"/>
      <c r="S742" s="385"/>
      <c r="T742" s="385"/>
      <c r="U742" s="385"/>
      <c r="V742" s="385"/>
      <c r="W742" s="385"/>
      <c r="X742" s="385"/>
      <c r="Y742" s="385"/>
      <c r="Z742" s="385"/>
      <c r="AA742" s="385"/>
      <c r="AB742" s="385"/>
    </row>
    <row r="743" spans="1:28" ht="15.75" customHeight="1">
      <c r="A743" s="385"/>
      <c r="B743" s="385"/>
      <c r="C743" s="526"/>
      <c r="D743" s="385"/>
      <c r="E743" s="385"/>
      <c r="F743" s="385"/>
      <c r="G743" s="385"/>
      <c r="H743" s="30"/>
      <c r="I743" s="385"/>
      <c r="J743" s="385"/>
      <c r="K743" s="385"/>
      <c r="L743" s="385"/>
      <c r="M743" s="385"/>
      <c r="N743" s="385"/>
      <c r="O743" s="385"/>
      <c r="P743" s="385"/>
      <c r="Q743" s="385"/>
      <c r="R743" s="385"/>
      <c r="S743" s="385"/>
      <c r="T743" s="385"/>
      <c r="U743" s="385"/>
      <c r="V743" s="385"/>
      <c r="W743" s="385"/>
      <c r="X743" s="385"/>
      <c r="Y743" s="385"/>
      <c r="Z743" s="385"/>
      <c r="AA743" s="385"/>
      <c r="AB743" s="385"/>
    </row>
    <row r="744" spans="1:28" ht="15.75" customHeight="1">
      <c r="A744" s="385"/>
      <c r="B744" s="385"/>
      <c r="C744" s="526"/>
      <c r="D744" s="385"/>
      <c r="E744" s="385"/>
      <c r="F744" s="385"/>
      <c r="G744" s="385"/>
      <c r="H744" s="30"/>
      <c r="I744" s="385"/>
      <c r="J744" s="385"/>
      <c r="K744" s="385"/>
      <c r="L744" s="385"/>
      <c r="M744" s="385"/>
      <c r="N744" s="385"/>
      <c r="O744" s="385"/>
      <c r="P744" s="385"/>
      <c r="Q744" s="385"/>
      <c r="R744" s="385"/>
      <c r="S744" s="385"/>
      <c r="T744" s="385"/>
      <c r="U744" s="385"/>
      <c r="V744" s="385"/>
      <c r="W744" s="385"/>
      <c r="X744" s="385"/>
      <c r="Y744" s="385"/>
      <c r="Z744" s="385"/>
      <c r="AA744" s="385"/>
      <c r="AB744" s="385"/>
    </row>
    <row r="745" spans="1:28" ht="15.75" customHeight="1">
      <c r="A745" s="385"/>
      <c r="B745" s="385"/>
      <c r="C745" s="526"/>
      <c r="D745" s="385"/>
      <c r="E745" s="385"/>
      <c r="F745" s="385"/>
      <c r="G745" s="385"/>
      <c r="H745" s="30"/>
      <c r="I745" s="385"/>
      <c r="J745" s="385"/>
      <c r="K745" s="385"/>
      <c r="L745" s="385"/>
      <c r="M745" s="385"/>
      <c r="N745" s="385"/>
      <c r="O745" s="385"/>
      <c r="P745" s="385"/>
      <c r="Q745" s="385"/>
      <c r="R745" s="385"/>
      <c r="S745" s="385"/>
      <c r="T745" s="385"/>
      <c r="U745" s="385"/>
      <c r="V745" s="385"/>
      <c r="W745" s="385"/>
      <c r="X745" s="385"/>
      <c r="Y745" s="385"/>
      <c r="Z745" s="385"/>
      <c r="AA745" s="385"/>
      <c r="AB745" s="385"/>
    </row>
    <row r="746" spans="1:28" ht="15.75" customHeight="1">
      <c r="A746" s="385"/>
      <c r="B746" s="385"/>
      <c r="C746" s="526"/>
      <c r="D746" s="385"/>
      <c r="E746" s="385"/>
      <c r="F746" s="385"/>
      <c r="G746" s="385"/>
      <c r="H746" s="30"/>
      <c r="I746" s="385"/>
      <c r="J746" s="385"/>
      <c r="K746" s="385"/>
      <c r="L746" s="385"/>
      <c r="M746" s="385"/>
      <c r="N746" s="385"/>
      <c r="O746" s="385"/>
      <c r="P746" s="385"/>
      <c r="Q746" s="385"/>
      <c r="R746" s="385"/>
      <c r="S746" s="385"/>
      <c r="T746" s="385"/>
      <c r="U746" s="385"/>
      <c r="V746" s="385"/>
      <c r="W746" s="385"/>
      <c r="X746" s="385"/>
      <c r="Y746" s="385"/>
      <c r="Z746" s="385"/>
      <c r="AA746" s="385"/>
      <c r="AB746" s="385"/>
    </row>
    <row r="747" spans="1:28" ht="15.75" customHeight="1">
      <c r="A747" s="385"/>
      <c r="B747" s="385"/>
      <c r="C747" s="526"/>
      <c r="D747" s="385"/>
      <c r="E747" s="385"/>
      <c r="F747" s="385"/>
      <c r="G747" s="385"/>
      <c r="H747" s="30"/>
      <c r="I747" s="385"/>
      <c r="J747" s="385"/>
      <c r="K747" s="385"/>
      <c r="L747" s="385"/>
      <c r="M747" s="385"/>
      <c r="N747" s="385"/>
      <c r="O747" s="385"/>
      <c r="P747" s="385"/>
      <c r="Q747" s="385"/>
      <c r="R747" s="385"/>
      <c r="S747" s="385"/>
      <c r="T747" s="385"/>
      <c r="U747" s="385"/>
      <c r="V747" s="385"/>
      <c r="W747" s="385"/>
      <c r="X747" s="385"/>
      <c r="Y747" s="385"/>
      <c r="Z747" s="385"/>
      <c r="AA747" s="385"/>
      <c r="AB747" s="385"/>
    </row>
    <row r="748" spans="1:28" ht="15.75" customHeight="1">
      <c r="A748" s="385"/>
      <c r="B748" s="385"/>
      <c r="C748" s="526"/>
      <c r="D748" s="385"/>
      <c r="E748" s="385"/>
      <c r="F748" s="385"/>
      <c r="G748" s="385"/>
      <c r="H748" s="30"/>
      <c r="I748" s="385"/>
      <c r="J748" s="385"/>
      <c r="K748" s="385"/>
      <c r="L748" s="385"/>
      <c r="M748" s="385"/>
      <c r="N748" s="385"/>
      <c r="O748" s="385"/>
      <c r="P748" s="385"/>
      <c r="Q748" s="385"/>
      <c r="R748" s="385"/>
      <c r="S748" s="385"/>
      <c r="T748" s="385"/>
      <c r="U748" s="385"/>
      <c r="V748" s="385"/>
      <c r="W748" s="385"/>
      <c r="X748" s="385"/>
      <c r="Y748" s="385"/>
      <c r="Z748" s="385"/>
      <c r="AA748" s="385"/>
      <c r="AB748" s="385"/>
    </row>
    <row r="749" spans="1:28" ht="15.75" customHeight="1">
      <c r="A749" s="385"/>
      <c r="B749" s="385"/>
      <c r="C749" s="526"/>
      <c r="D749" s="385"/>
      <c r="E749" s="385"/>
      <c r="F749" s="385"/>
      <c r="G749" s="385"/>
      <c r="H749" s="30"/>
      <c r="I749" s="385"/>
      <c r="J749" s="385"/>
      <c r="K749" s="385"/>
      <c r="L749" s="385"/>
      <c r="M749" s="385"/>
      <c r="N749" s="385"/>
      <c r="O749" s="385"/>
      <c r="P749" s="385"/>
      <c r="Q749" s="385"/>
      <c r="R749" s="385"/>
      <c r="S749" s="385"/>
      <c r="T749" s="385"/>
      <c r="U749" s="385"/>
      <c r="V749" s="385"/>
      <c r="W749" s="385"/>
      <c r="X749" s="385"/>
      <c r="Y749" s="385"/>
      <c r="Z749" s="385"/>
      <c r="AA749" s="385"/>
      <c r="AB749" s="385"/>
    </row>
    <row r="750" spans="1:28" ht="15.75" customHeight="1">
      <c r="A750" s="385"/>
      <c r="B750" s="385"/>
      <c r="C750" s="526"/>
      <c r="D750" s="385"/>
      <c r="E750" s="385"/>
      <c r="F750" s="385"/>
      <c r="G750" s="385"/>
      <c r="H750" s="30"/>
      <c r="I750" s="385"/>
      <c r="J750" s="385"/>
      <c r="K750" s="385"/>
      <c r="L750" s="385"/>
      <c r="M750" s="385"/>
      <c r="N750" s="385"/>
      <c r="O750" s="385"/>
      <c r="P750" s="385"/>
      <c r="Q750" s="385"/>
      <c r="R750" s="385"/>
      <c r="S750" s="385"/>
      <c r="T750" s="385"/>
      <c r="U750" s="385"/>
      <c r="V750" s="385"/>
      <c r="W750" s="385"/>
      <c r="X750" s="385"/>
      <c r="Y750" s="385"/>
      <c r="Z750" s="385"/>
      <c r="AA750" s="385"/>
      <c r="AB750" s="385"/>
    </row>
    <row r="751" spans="1:28" ht="15.75" customHeight="1">
      <c r="A751" s="385"/>
      <c r="B751" s="385"/>
      <c r="C751" s="526"/>
      <c r="D751" s="385"/>
      <c r="E751" s="385"/>
      <c r="F751" s="385"/>
      <c r="G751" s="385"/>
      <c r="H751" s="30"/>
      <c r="I751" s="385"/>
      <c r="J751" s="385"/>
      <c r="K751" s="385"/>
      <c r="L751" s="385"/>
      <c r="M751" s="385"/>
      <c r="N751" s="385"/>
      <c r="O751" s="385"/>
      <c r="P751" s="385"/>
      <c r="Q751" s="385"/>
      <c r="R751" s="385"/>
      <c r="S751" s="385"/>
      <c r="T751" s="385"/>
      <c r="U751" s="385"/>
      <c r="V751" s="385"/>
      <c r="W751" s="385"/>
      <c r="X751" s="385"/>
      <c r="Y751" s="385"/>
      <c r="Z751" s="385"/>
      <c r="AA751" s="385"/>
      <c r="AB751" s="385"/>
    </row>
    <row r="752" spans="1:28" ht="15.75" customHeight="1">
      <c r="A752" s="385"/>
      <c r="B752" s="385"/>
      <c r="C752" s="526"/>
      <c r="D752" s="385"/>
      <c r="E752" s="385"/>
      <c r="F752" s="385"/>
      <c r="G752" s="385"/>
      <c r="H752" s="30"/>
      <c r="I752" s="385"/>
      <c r="J752" s="385"/>
      <c r="K752" s="385"/>
      <c r="L752" s="385"/>
      <c r="M752" s="385"/>
      <c r="N752" s="385"/>
      <c r="O752" s="385"/>
      <c r="P752" s="385"/>
      <c r="Q752" s="385"/>
      <c r="R752" s="385"/>
      <c r="S752" s="385"/>
      <c r="T752" s="385"/>
      <c r="U752" s="385"/>
      <c r="V752" s="385"/>
      <c r="W752" s="385"/>
      <c r="X752" s="385"/>
      <c r="Y752" s="385"/>
      <c r="Z752" s="385"/>
      <c r="AA752" s="385"/>
      <c r="AB752" s="385"/>
    </row>
    <row r="753" spans="1:28" ht="15.75" customHeight="1">
      <c r="A753" s="385"/>
      <c r="B753" s="385"/>
      <c r="C753" s="526"/>
      <c r="D753" s="385"/>
      <c r="E753" s="385"/>
      <c r="F753" s="385"/>
      <c r="G753" s="385"/>
      <c r="H753" s="30"/>
      <c r="I753" s="385"/>
      <c r="J753" s="385"/>
      <c r="K753" s="385"/>
      <c r="L753" s="385"/>
      <c r="M753" s="385"/>
      <c r="N753" s="385"/>
      <c r="O753" s="385"/>
      <c r="P753" s="385"/>
      <c r="Q753" s="385"/>
      <c r="R753" s="385"/>
      <c r="S753" s="385"/>
      <c r="T753" s="385"/>
      <c r="U753" s="385"/>
      <c r="V753" s="385"/>
      <c r="W753" s="385"/>
      <c r="X753" s="385"/>
      <c r="Y753" s="385"/>
      <c r="Z753" s="385"/>
      <c r="AA753" s="385"/>
      <c r="AB753" s="385"/>
    </row>
    <row r="754" spans="1:28" ht="15.75" customHeight="1">
      <c r="A754" s="385"/>
      <c r="B754" s="385"/>
      <c r="C754" s="526"/>
      <c r="D754" s="385"/>
      <c r="E754" s="385"/>
      <c r="F754" s="385"/>
      <c r="G754" s="385"/>
      <c r="H754" s="30"/>
      <c r="I754" s="385"/>
      <c r="J754" s="385"/>
      <c r="K754" s="385"/>
      <c r="L754" s="385"/>
      <c r="M754" s="385"/>
      <c r="N754" s="385"/>
      <c r="O754" s="385"/>
      <c r="P754" s="385"/>
      <c r="Q754" s="385"/>
      <c r="R754" s="385"/>
      <c r="S754" s="385"/>
      <c r="T754" s="385"/>
      <c r="U754" s="385"/>
      <c r="V754" s="385"/>
      <c r="W754" s="385"/>
      <c r="X754" s="385"/>
      <c r="Y754" s="385"/>
      <c r="Z754" s="385"/>
      <c r="AA754" s="385"/>
      <c r="AB754" s="385"/>
    </row>
    <row r="755" spans="1:28" ht="15.75" customHeight="1">
      <c r="A755" s="385"/>
      <c r="B755" s="385"/>
      <c r="C755" s="526"/>
      <c r="D755" s="385"/>
      <c r="E755" s="385"/>
      <c r="F755" s="385"/>
      <c r="G755" s="385"/>
      <c r="H755" s="30"/>
      <c r="I755" s="385"/>
      <c r="J755" s="385"/>
      <c r="K755" s="385"/>
      <c r="L755" s="385"/>
      <c r="M755" s="385"/>
      <c r="N755" s="385"/>
      <c r="O755" s="385"/>
      <c r="P755" s="385"/>
      <c r="Q755" s="385"/>
      <c r="R755" s="385"/>
      <c r="S755" s="385"/>
      <c r="T755" s="385"/>
      <c r="U755" s="385"/>
      <c r="V755" s="385"/>
      <c r="W755" s="385"/>
      <c r="X755" s="385"/>
      <c r="Y755" s="385"/>
      <c r="Z755" s="385"/>
      <c r="AA755" s="385"/>
      <c r="AB755" s="385"/>
    </row>
    <row r="756" spans="1:28" ht="15.75" customHeight="1">
      <c r="A756" s="385"/>
      <c r="B756" s="385"/>
      <c r="C756" s="526"/>
      <c r="D756" s="385"/>
      <c r="E756" s="385"/>
      <c r="F756" s="385"/>
      <c r="G756" s="385"/>
      <c r="H756" s="30"/>
      <c r="I756" s="385"/>
      <c r="J756" s="385"/>
      <c r="K756" s="385"/>
      <c r="L756" s="385"/>
      <c r="M756" s="385"/>
      <c r="N756" s="385"/>
      <c r="O756" s="385"/>
      <c r="P756" s="385"/>
      <c r="Q756" s="385"/>
      <c r="R756" s="385"/>
      <c r="S756" s="385"/>
      <c r="T756" s="385"/>
      <c r="U756" s="385"/>
      <c r="V756" s="385"/>
      <c r="W756" s="385"/>
      <c r="X756" s="385"/>
      <c r="Y756" s="385"/>
      <c r="Z756" s="385"/>
      <c r="AA756" s="385"/>
      <c r="AB756" s="385"/>
    </row>
    <row r="757" spans="1:28" ht="15.75" customHeight="1">
      <c r="A757" s="385"/>
      <c r="B757" s="385"/>
      <c r="C757" s="526"/>
      <c r="D757" s="385"/>
      <c r="E757" s="385"/>
      <c r="F757" s="385"/>
      <c r="G757" s="385"/>
      <c r="H757" s="30"/>
      <c r="I757" s="385"/>
      <c r="J757" s="385"/>
      <c r="K757" s="385"/>
      <c r="L757" s="385"/>
      <c r="M757" s="385"/>
      <c r="N757" s="385"/>
      <c r="O757" s="385"/>
      <c r="P757" s="385"/>
      <c r="Q757" s="385"/>
      <c r="R757" s="385"/>
      <c r="S757" s="385"/>
      <c r="T757" s="385"/>
      <c r="U757" s="385"/>
      <c r="V757" s="385"/>
      <c r="W757" s="385"/>
      <c r="X757" s="385"/>
      <c r="Y757" s="385"/>
      <c r="Z757" s="385"/>
      <c r="AA757" s="385"/>
      <c r="AB757" s="385"/>
    </row>
    <row r="758" spans="1:28" ht="15.75" customHeight="1">
      <c r="A758" s="385"/>
      <c r="B758" s="385"/>
      <c r="C758" s="526"/>
      <c r="D758" s="385"/>
      <c r="E758" s="385"/>
      <c r="F758" s="385"/>
      <c r="G758" s="385"/>
      <c r="H758" s="30"/>
      <c r="I758" s="385"/>
      <c r="J758" s="385"/>
      <c r="K758" s="385"/>
      <c r="L758" s="385"/>
      <c r="M758" s="385"/>
      <c r="N758" s="385"/>
      <c r="O758" s="385"/>
      <c r="P758" s="385"/>
      <c r="Q758" s="385"/>
      <c r="R758" s="385"/>
      <c r="S758" s="385"/>
      <c r="T758" s="385"/>
      <c r="U758" s="385"/>
      <c r="V758" s="385"/>
      <c r="W758" s="385"/>
      <c r="X758" s="385"/>
      <c r="Y758" s="385"/>
      <c r="Z758" s="385"/>
      <c r="AA758" s="385"/>
      <c r="AB758" s="385"/>
    </row>
    <row r="759" spans="1:28" ht="15.75" customHeight="1">
      <c r="A759" s="385"/>
      <c r="B759" s="385"/>
      <c r="C759" s="526"/>
      <c r="D759" s="385"/>
      <c r="E759" s="385"/>
      <c r="F759" s="385"/>
      <c r="G759" s="385"/>
      <c r="H759" s="30"/>
      <c r="I759" s="385"/>
      <c r="J759" s="385"/>
      <c r="K759" s="385"/>
      <c r="L759" s="385"/>
      <c r="M759" s="385"/>
      <c r="N759" s="385"/>
      <c r="O759" s="385"/>
      <c r="P759" s="385"/>
      <c r="Q759" s="385"/>
      <c r="R759" s="385"/>
      <c r="S759" s="385"/>
      <c r="T759" s="385"/>
      <c r="U759" s="385"/>
      <c r="V759" s="385"/>
      <c r="W759" s="385"/>
      <c r="X759" s="385"/>
      <c r="Y759" s="385"/>
      <c r="Z759" s="385"/>
      <c r="AA759" s="385"/>
      <c r="AB759" s="385"/>
    </row>
    <row r="760" spans="1:28" ht="15.75" customHeight="1">
      <c r="A760" s="385"/>
      <c r="B760" s="385"/>
      <c r="C760" s="526"/>
      <c r="D760" s="385"/>
      <c r="E760" s="385"/>
      <c r="F760" s="385"/>
      <c r="G760" s="385"/>
      <c r="H760" s="30"/>
      <c r="I760" s="385"/>
      <c r="J760" s="385"/>
      <c r="K760" s="385"/>
      <c r="L760" s="385"/>
      <c r="M760" s="385"/>
      <c r="N760" s="385"/>
      <c r="O760" s="385"/>
      <c r="P760" s="385"/>
      <c r="Q760" s="385"/>
      <c r="R760" s="385"/>
      <c r="S760" s="385"/>
      <c r="T760" s="385"/>
      <c r="U760" s="385"/>
      <c r="V760" s="385"/>
      <c r="W760" s="385"/>
      <c r="X760" s="385"/>
      <c r="Y760" s="385"/>
      <c r="Z760" s="385"/>
      <c r="AA760" s="385"/>
      <c r="AB760" s="385"/>
    </row>
    <row r="761" spans="1:28" ht="15.75" customHeight="1">
      <c r="A761" s="385"/>
      <c r="B761" s="385"/>
      <c r="C761" s="526"/>
      <c r="D761" s="385"/>
      <c r="E761" s="385"/>
      <c r="F761" s="385"/>
      <c r="G761" s="385"/>
      <c r="H761" s="30"/>
      <c r="I761" s="385"/>
      <c r="J761" s="385"/>
      <c r="K761" s="385"/>
      <c r="L761" s="385"/>
      <c r="M761" s="385"/>
      <c r="N761" s="385"/>
      <c r="O761" s="385"/>
      <c r="P761" s="385"/>
      <c r="Q761" s="385"/>
      <c r="R761" s="385"/>
      <c r="S761" s="385"/>
      <c r="T761" s="385"/>
      <c r="U761" s="385"/>
      <c r="V761" s="385"/>
      <c r="W761" s="385"/>
      <c r="X761" s="385"/>
      <c r="Y761" s="385"/>
      <c r="Z761" s="385"/>
      <c r="AA761" s="385"/>
      <c r="AB761" s="385"/>
    </row>
    <row r="762" spans="1:28" ht="15.75" customHeight="1">
      <c r="A762" s="385"/>
      <c r="B762" s="385"/>
      <c r="C762" s="526"/>
      <c r="D762" s="385"/>
      <c r="E762" s="385"/>
      <c r="F762" s="385"/>
      <c r="G762" s="385"/>
      <c r="H762" s="30"/>
      <c r="I762" s="385"/>
      <c r="J762" s="385"/>
      <c r="K762" s="385"/>
      <c r="L762" s="385"/>
      <c r="M762" s="385"/>
      <c r="N762" s="385"/>
      <c r="O762" s="385"/>
      <c r="P762" s="385"/>
      <c r="Q762" s="385"/>
      <c r="R762" s="385"/>
      <c r="S762" s="385"/>
      <c r="T762" s="385"/>
      <c r="U762" s="385"/>
      <c r="V762" s="385"/>
      <c r="W762" s="385"/>
      <c r="X762" s="385"/>
      <c r="Y762" s="385"/>
      <c r="Z762" s="385"/>
      <c r="AA762" s="385"/>
      <c r="AB762" s="385"/>
    </row>
    <row r="763" spans="1:28" ht="15.75" customHeight="1">
      <c r="A763" s="385"/>
      <c r="B763" s="385"/>
      <c r="C763" s="526"/>
      <c r="D763" s="385"/>
      <c r="E763" s="385"/>
      <c r="F763" s="385"/>
      <c r="G763" s="385"/>
      <c r="H763" s="30"/>
      <c r="I763" s="385"/>
      <c r="J763" s="385"/>
      <c r="K763" s="385"/>
      <c r="L763" s="385"/>
      <c r="M763" s="385"/>
      <c r="N763" s="385"/>
      <c r="O763" s="385"/>
      <c r="P763" s="385"/>
      <c r="Q763" s="385"/>
      <c r="R763" s="385"/>
      <c r="S763" s="385"/>
      <c r="T763" s="385"/>
      <c r="U763" s="385"/>
      <c r="V763" s="385"/>
      <c r="W763" s="385"/>
      <c r="X763" s="385"/>
      <c r="Y763" s="385"/>
      <c r="Z763" s="385"/>
      <c r="AA763" s="385"/>
      <c r="AB763" s="385"/>
    </row>
    <row r="764" spans="1:28" ht="15.75" customHeight="1">
      <c r="A764" s="385"/>
      <c r="B764" s="385"/>
      <c r="C764" s="526"/>
      <c r="D764" s="385"/>
      <c r="E764" s="385"/>
      <c r="F764" s="385"/>
      <c r="G764" s="385"/>
      <c r="H764" s="30"/>
      <c r="I764" s="385"/>
      <c r="J764" s="385"/>
      <c r="K764" s="385"/>
      <c r="L764" s="385"/>
      <c r="M764" s="385"/>
      <c r="N764" s="385"/>
      <c r="O764" s="385"/>
      <c r="P764" s="385"/>
      <c r="Q764" s="385"/>
      <c r="R764" s="385"/>
      <c r="S764" s="385"/>
      <c r="T764" s="385"/>
      <c r="U764" s="385"/>
      <c r="V764" s="385"/>
      <c r="W764" s="385"/>
      <c r="X764" s="385"/>
      <c r="Y764" s="385"/>
      <c r="Z764" s="385"/>
      <c r="AA764" s="385"/>
      <c r="AB764" s="385"/>
    </row>
    <row r="765" spans="1:28" ht="15.75" customHeight="1">
      <c r="A765" s="385"/>
      <c r="B765" s="385"/>
      <c r="C765" s="526"/>
      <c r="D765" s="385"/>
      <c r="E765" s="385"/>
      <c r="F765" s="385"/>
      <c r="G765" s="385"/>
      <c r="H765" s="30"/>
      <c r="I765" s="385"/>
      <c r="J765" s="385"/>
      <c r="K765" s="385"/>
      <c r="L765" s="385"/>
      <c r="M765" s="385"/>
      <c r="N765" s="385"/>
      <c r="O765" s="385"/>
      <c r="P765" s="385"/>
      <c r="Q765" s="385"/>
      <c r="R765" s="385"/>
      <c r="S765" s="385"/>
      <c r="T765" s="385"/>
      <c r="U765" s="385"/>
      <c r="V765" s="385"/>
      <c r="W765" s="385"/>
      <c r="X765" s="385"/>
      <c r="Y765" s="385"/>
      <c r="Z765" s="385"/>
      <c r="AA765" s="385"/>
      <c r="AB765" s="385"/>
    </row>
    <row r="766" spans="1:28" ht="15.75" customHeight="1">
      <c r="A766" s="385"/>
      <c r="B766" s="385"/>
      <c r="C766" s="526"/>
      <c r="D766" s="385"/>
      <c r="E766" s="385"/>
      <c r="F766" s="385"/>
      <c r="G766" s="385"/>
      <c r="H766" s="30"/>
      <c r="I766" s="385"/>
      <c r="J766" s="385"/>
      <c r="K766" s="385"/>
      <c r="L766" s="385"/>
      <c r="M766" s="385"/>
      <c r="N766" s="385"/>
      <c r="O766" s="385"/>
      <c r="P766" s="385"/>
      <c r="Q766" s="385"/>
      <c r="R766" s="385"/>
      <c r="S766" s="385"/>
      <c r="T766" s="385"/>
      <c r="U766" s="385"/>
      <c r="V766" s="385"/>
      <c r="W766" s="385"/>
      <c r="X766" s="385"/>
      <c r="Y766" s="385"/>
      <c r="Z766" s="385"/>
      <c r="AA766" s="385"/>
      <c r="AB766" s="385"/>
    </row>
    <row r="767" spans="1:28" ht="15.75" customHeight="1">
      <c r="A767" s="385"/>
      <c r="B767" s="385"/>
      <c r="C767" s="526"/>
      <c r="D767" s="385"/>
      <c r="E767" s="385"/>
      <c r="F767" s="385"/>
      <c r="G767" s="385"/>
      <c r="H767" s="30"/>
      <c r="I767" s="385"/>
      <c r="J767" s="385"/>
      <c r="K767" s="385"/>
      <c r="L767" s="385"/>
      <c r="M767" s="385"/>
      <c r="N767" s="385"/>
      <c r="O767" s="385"/>
      <c r="P767" s="385"/>
      <c r="Q767" s="385"/>
      <c r="R767" s="385"/>
      <c r="S767" s="385"/>
      <c r="T767" s="385"/>
      <c r="U767" s="385"/>
      <c r="V767" s="385"/>
      <c r="W767" s="385"/>
      <c r="X767" s="385"/>
      <c r="Y767" s="385"/>
      <c r="Z767" s="385"/>
      <c r="AA767" s="385"/>
      <c r="AB767" s="385"/>
    </row>
    <row r="768" spans="1:28" ht="15.75" customHeight="1">
      <c r="A768" s="385"/>
      <c r="B768" s="385"/>
      <c r="C768" s="526"/>
      <c r="D768" s="385"/>
      <c r="E768" s="385"/>
      <c r="F768" s="385"/>
      <c r="G768" s="385"/>
      <c r="H768" s="30"/>
      <c r="I768" s="385"/>
      <c r="J768" s="385"/>
      <c r="K768" s="385"/>
      <c r="L768" s="385"/>
      <c r="M768" s="385"/>
      <c r="N768" s="385"/>
      <c r="O768" s="385"/>
      <c r="P768" s="385"/>
      <c r="Q768" s="385"/>
      <c r="R768" s="385"/>
      <c r="S768" s="385"/>
      <c r="T768" s="385"/>
      <c r="U768" s="385"/>
      <c r="V768" s="385"/>
      <c r="W768" s="385"/>
      <c r="X768" s="385"/>
      <c r="Y768" s="385"/>
      <c r="Z768" s="385"/>
      <c r="AA768" s="385"/>
      <c r="AB768" s="385"/>
    </row>
    <row r="769" spans="1:28" ht="15.75" customHeight="1">
      <c r="A769" s="385"/>
      <c r="B769" s="385"/>
      <c r="C769" s="526"/>
      <c r="D769" s="385"/>
      <c r="E769" s="385"/>
      <c r="F769" s="385"/>
      <c r="G769" s="385"/>
      <c r="H769" s="30"/>
      <c r="I769" s="385"/>
      <c r="J769" s="385"/>
      <c r="K769" s="385"/>
      <c r="L769" s="385"/>
      <c r="M769" s="385"/>
      <c r="N769" s="385"/>
      <c r="O769" s="385"/>
      <c r="P769" s="385"/>
      <c r="Q769" s="385"/>
      <c r="R769" s="385"/>
      <c r="S769" s="385"/>
      <c r="T769" s="385"/>
      <c r="U769" s="385"/>
      <c r="V769" s="385"/>
      <c r="W769" s="385"/>
      <c r="X769" s="385"/>
      <c r="Y769" s="385"/>
      <c r="Z769" s="385"/>
      <c r="AA769" s="385"/>
      <c r="AB769" s="385"/>
    </row>
    <row r="770" spans="1:28" ht="15.75" customHeight="1">
      <c r="A770" s="385"/>
      <c r="B770" s="385"/>
      <c r="C770" s="526"/>
      <c r="D770" s="385"/>
      <c r="E770" s="385"/>
      <c r="F770" s="385"/>
      <c r="G770" s="385"/>
      <c r="H770" s="30"/>
      <c r="I770" s="385"/>
      <c r="J770" s="385"/>
      <c r="K770" s="385"/>
      <c r="L770" s="385"/>
      <c r="M770" s="385"/>
      <c r="N770" s="385"/>
      <c r="O770" s="385"/>
      <c r="P770" s="385"/>
      <c r="Q770" s="385"/>
      <c r="R770" s="385"/>
      <c r="S770" s="385"/>
      <c r="T770" s="385"/>
      <c r="U770" s="385"/>
      <c r="V770" s="385"/>
      <c r="W770" s="385"/>
      <c r="X770" s="385"/>
      <c r="Y770" s="385"/>
      <c r="Z770" s="385"/>
      <c r="AA770" s="385"/>
      <c r="AB770" s="385"/>
    </row>
    <row r="771" spans="1:28" ht="15.75" customHeight="1">
      <c r="A771" s="385"/>
      <c r="B771" s="385"/>
      <c r="C771" s="526"/>
      <c r="D771" s="385"/>
      <c r="E771" s="385"/>
      <c r="F771" s="385"/>
      <c r="G771" s="385"/>
      <c r="H771" s="30"/>
      <c r="I771" s="385"/>
      <c r="J771" s="385"/>
      <c r="K771" s="385"/>
      <c r="L771" s="385"/>
      <c r="M771" s="385"/>
      <c r="N771" s="385"/>
      <c r="O771" s="385"/>
      <c r="P771" s="385"/>
      <c r="Q771" s="385"/>
      <c r="R771" s="385"/>
      <c r="S771" s="385"/>
      <c r="T771" s="385"/>
      <c r="U771" s="385"/>
      <c r="V771" s="385"/>
      <c r="W771" s="385"/>
      <c r="X771" s="385"/>
      <c r="Y771" s="385"/>
      <c r="Z771" s="385"/>
      <c r="AA771" s="385"/>
      <c r="AB771" s="385"/>
    </row>
    <row r="772" spans="1:28" ht="15.75" customHeight="1">
      <c r="A772" s="385"/>
      <c r="B772" s="385"/>
      <c r="C772" s="526"/>
      <c r="D772" s="385"/>
      <c r="E772" s="385"/>
      <c r="F772" s="385"/>
      <c r="G772" s="385"/>
      <c r="H772" s="30"/>
      <c r="I772" s="385"/>
      <c r="J772" s="385"/>
      <c r="K772" s="385"/>
      <c r="L772" s="385"/>
      <c r="M772" s="385"/>
      <c r="N772" s="385"/>
      <c r="O772" s="385"/>
      <c r="P772" s="385"/>
      <c r="Q772" s="385"/>
      <c r="R772" s="385"/>
      <c r="S772" s="385"/>
      <c r="T772" s="385"/>
      <c r="U772" s="385"/>
      <c r="V772" s="385"/>
      <c r="W772" s="385"/>
      <c r="X772" s="385"/>
      <c r="Y772" s="385"/>
      <c r="Z772" s="385"/>
      <c r="AA772" s="385"/>
      <c r="AB772" s="385"/>
    </row>
    <row r="773" spans="1:28" ht="15.75" customHeight="1">
      <c r="A773" s="385"/>
      <c r="B773" s="385"/>
      <c r="C773" s="526"/>
      <c r="D773" s="385"/>
      <c r="E773" s="385"/>
      <c r="F773" s="385"/>
      <c r="G773" s="385"/>
      <c r="H773" s="30"/>
      <c r="I773" s="385"/>
      <c r="J773" s="385"/>
      <c r="K773" s="385"/>
      <c r="L773" s="385"/>
      <c r="M773" s="385"/>
      <c r="N773" s="385"/>
      <c r="O773" s="385"/>
      <c r="P773" s="385"/>
      <c r="Q773" s="385"/>
      <c r="R773" s="385"/>
      <c r="S773" s="385"/>
      <c r="T773" s="385"/>
      <c r="U773" s="385"/>
      <c r="V773" s="385"/>
      <c r="W773" s="385"/>
      <c r="X773" s="385"/>
      <c r="Y773" s="385"/>
      <c r="Z773" s="385"/>
      <c r="AA773" s="385"/>
      <c r="AB773" s="385"/>
    </row>
    <row r="774" spans="1:28" ht="15.75" customHeight="1">
      <c r="A774" s="385"/>
      <c r="B774" s="385"/>
      <c r="C774" s="526"/>
      <c r="D774" s="385"/>
      <c r="E774" s="385"/>
      <c r="F774" s="385"/>
      <c r="G774" s="385"/>
      <c r="H774" s="30"/>
      <c r="I774" s="385"/>
      <c r="J774" s="385"/>
      <c r="K774" s="385"/>
      <c r="L774" s="385"/>
      <c r="M774" s="385"/>
      <c r="N774" s="385"/>
      <c r="O774" s="385"/>
      <c r="P774" s="385"/>
      <c r="Q774" s="385"/>
      <c r="R774" s="385"/>
      <c r="S774" s="385"/>
      <c r="T774" s="385"/>
      <c r="U774" s="385"/>
      <c r="V774" s="385"/>
      <c r="W774" s="385"/>
      <c r="X774" s="385"/>
      <c r="Y774" s="385"/>
      <c r="Z774" s="385"/>
      <c r="AA774" s="385"/>
      <c r="AB774" s="385"/>
    </row>
    <row r="775" spans="1:28" ht="15.75" customHeight="1">
      <c r="A775" s="385"/>
      <c r="B775" s="385"/>
      <c r="C775" s="526"/>
      <c r="D775" s="385"/>
      <c r="E775" s="385"/>
      <c r="F775" s="385"/>
      <c r="G775" s="385"/>
      <c r="H775" s="30"/>
      <c r="I775" s="385"/>
      <c r="J775" s="385"/>
      <c r="K775" s="385"/>
      <c r="L775" s="385"/>
      <c r="M775" s="385"/>
      <c r="N775" s="385"/>
      <c r="O775" s="385"/>
      <c r="P775" s="385"/>
      <c r="Q775" s="385"/>
      <c r="R775" s="385"/>
      <c r="S775" s="385"/>
      <c r="T775" s="385"/>
      <c r="U775" s="385"/>
      <c r="V775" s="385"/>
      <c r="W775" s="385"/>
      <c r="X775" s="385"/>
      <c r="Y775" s="385"/>
      <c r="Z775" s="385"/>
      <c r="AA775" s="385"/>
      <c r="AB775" s="385"/>
    </row>
    <row r="776" spans="1:28" ht="15.75" customHeight="1">
      <c r="A776" s="385"/>
      <c r="B776" s="385"/>
      <c r="C776" s="526"/>
      <c r="D776" s="385"/>
      <c r="E776" s="385"/>
      <c r="F776" s="385"/>
      <c r="G776" s="385"/>
      <c r="H776" s="30"/>
      <c r="I776" s="385"/>
      <c r="J776" s="385"/>
      <c r="K776" s="385"/>
      <c r="L776" s="385"/>
      <c r="M776" s="385"/>
      <c r="N776" s="385"/>
      <c r="O776" s="385"/>
      <c r="P776" s="385"/>
      <c r="Q776" s="385"/>
      <c r="R776" s="385"/>
      <c r="S776" s="385"/>
      <c r="T776" s="385"/>
      <c r="U776" s="385"/>
      <c r="V776" s="385"/>
      <c r="W776" s="385"/>
      <c r="X776" s="385"/>
      <c r="Y776" s="385"/>
      <c r="Z776" s="385"/>
      <c r="AA776" s="385"/>
      <c r="AB776" s="385"/>
    </row>
    <row r="777" spans="1:28" ht="15.75" customHeight="1">
      <c r="A777" s="385"/>
      <c r="B777" s="385"/>
      <c r="C777" s="526"/>
      <c r="D777" s="385"/>
      <c r="E777" s="385"/>
      <c r="F777" s="385"/>
      <c r="G777" s="385"/>
      <c r="H777" s="30"/>
      <c r="I777" s="385"/>
      <c r="J777" s="385"/>
      <c r="K777" s="385"/>
      <c r="L777" s="385"/>
      <c r="M777" s="385"/>
      <c r="N777" s="385"/>
      <c r="O777" s="385"/>
      <c r="P777" s="385"/>
      <c r="Q777" s="385"/>
      <c r="R777" s="385"/>
      <c r="S777" s="385"/>
      <c r="T777" s="385"/>
      <c r="U777" s="385"/>
      <c r="V777" s="385"/>
      <c r="W777" s="385"/>
      <c r="X777" s="385"/>
      <c r="Y777" s="385"/>
      <c r="Z777" s="385"/>
      <c r="AA777" s="385"/>
      <c r="AB777" s="385"/>
    </row>
    <row r="778" spans="1:28" ht="15.75" customHeight="1">
      <c r="A778" s="385"/>
      <c r="B778" s="385"/>
      <c r="C778" s="526"/>
      <c r="D778" s="385"/>
      <c r="E778" s="385"/>
      <c r="F778" s="385"/>
      <c r="G778" s="385"/>
      <c r="H778" s="30"/>
      <c r="I778" s="385"/>
      <c r="J778" s="385"/>
      <c r="K778" s="385"/>
      <c r="L778" s="385"/>
      <c r="M778" s="385"/>
      <c r="N778" s="385"/>
      <c r="O778" s="385"/>
      <c r="P778" s="385"/>
      <c r="Q778" s="385"/>
      <c r="R778" s="385"/>
      <c r="S778" s="385"/>
      <c r="T778" s="385"/>
      <c r="U778" s="385"/>
      <c r="V778" s="385"/>
      <c r="W778" s="385"/>
      <c r="X778" s="385"/>
      <c r="Y778" s="385"/>
      <c r="Z778" s="385"/>
      <c r="AA778" s="385"/>
      <c r="AB778" s="385"/>
    </row>
    <row r="779" spans="1:28" ht="15.75" customHeight="1">
      <c r="A779" s="385"/>
      <c r="B779" s="385"/>
      <c r="C779" s="526"/>
      <c r="D779" s="385"/>
      <c r="E779" s="385"/>
      <c r="F779" s="385"/>
      <c r="G779" s="385"/>
      <c r="H779" s="30"/>
      <c r="I779" s="385"/>
      <c r="J779" s="385"/>
      <c r="K779" s="385"/>
      <c r="L779" s="385"/>
      <c r="M779" s="385"/>
      <c r="N779" s="385"/>
      <c r="O779" s="385"/>
      <c r="P779" s="385"/>
      <c r="Q779" s="385"/>
      <c r="R779" s="385"/>
      <c r="S779" s="385"/>
      <c r="T779" s="385"/>
      <c r="U779" s="385"/>
      <c r="V779" s="385"/>
      <c r="W779" s="385"/>
      <c r="X779" s="385"/>
      <c r="Y779" s="385"/>
      <c r="Z779" s="385"/>
      <c r="AA779" s="385"/>
      <c r="AB779" s="385"/>
    </row>
    <row r="780" spans="1:28" ht="15.75" customHeight="1">
      <c r="A780" s="385"/>
      <c r="B780" s="385"/>
      <c r="C780" s="526"/>
      <c r="D780" s="385"/>
      <c r="E780" s="385"/>
      <c r="F780" s="385"/>
      <c r="G780" s="385"/>
      <c r="H780" s="30"/>
      <c r="I780" s="385"/>
      <c r="J780" s="385"/>
      <c r="K780" s="385"/>
      <c r="L780" s="385"/>
      <c r="M780" s="385"/>
      <c r="N780" s="385"/>
      <c r="O780" s="385"/>
      <c r="P780" s="385"/>
      <c r="Q780" s="385"/>
      <c r="R780" s="385"/>
      <c r="S780" s="385"/>
      <c r="T780" s="385"/>
      <c r="U780" s="385"/>
      <c r="V780" s="385"/>
      <c r="W780" s="385"/>
      <c r="X780" s="385"/>
      <c r="Y780" s="385"/>
      <c r="Z780" s="385"/>
      <c r="AA780" s="385"/>
      <c r="AB780" s="385"/>
    </row>
    <row r="781" spans="1:28" ht="15.75" customHeight="1">
      <c r="A781" s="385"/>
      <c r="B781" s="385"/>
      <c r="C781" s="526"/>
      <c r="D781" s="385"/>
      <c r="E781" s="385"/>
      <c r="F781" s="385"/>
      <c r="G781" s="385"/>
      <c r="H781" s="30"/>
      <c r="I781" s="385"/>
      <c r="J781" s="385"/>
      <c r="K781" s="385"/>
      <c r="L781" s="385"/>
      <c r="M781" s="385"/>
      <c r="N781" s="385"/>
      <c r="O781" s="385"/>
      <c r="P781" s="385"/>
      <c r="Q781" s="385"/>
      <c r="R781" s="385"/>
      <c r="S781" s="385"/>
      <c r="T781" s="385"/>
      <c r="U781" s="385"/>
      <c r="V781" s="385"/>
      <c r="W781" s="385"/>
      <c r="X781" s="385"/>
      <c r="Y781" s="385"/>
      <c r="Z781" s="385"/>
      <c r="AA781" s="385"/>
      <c r="AB781" s="385"/>
    </row>
    <row r="782" spans="1:28" ht="15.75" customHeight="1">
      <c r="A782" s="385"/>
      <c r="B782" s="385"/>
      <c r="C782" s="526"/>
      <c r="D782" s="385"/>
      <c r="E782" s="385"/>
      <c r="F782" s="385"/>
      <c r="G782" s="385"/>
      <c r="H782" s="30"/>
      <c r="I782" s="385"/>
      <c r="J782" s="385"/>
      <c r="K782" s="385"/>
      <c r="L782" s="385"/>
      <c r="M782" s="385"/>
      <c r="N782" s="385"/>
      <c r="O782" s="385"/>
      <c r="P782" s="385"/>
      <c r="Q782" s="385"/>
      <c r="R782" s="385"/>
      <c r="S782" s="385"/>
      <c r="T782" s="385"/>
      <c r="U782" s="385"/>
      <c r="V782" s="385"/>
      <c r="W782" s="385"/>
      <c r="X782" s="385"/>
      <c r="Y782" s="385"/>
      <c r="Z782" s="385"/>
      <c r="AA782" s="385"/>
      <c r="AB782" s="385"/>
    </row>
    <row r="783" spans="1:28" ht="15.75" customHeight="1">
      <c r="A783" s="385"/>
      <c r="B783" s="385"/>
      <c r="C783" s="526"/>
      <c r="D783" s="385"/>
      <c r="E783" s="385"/>
      <c r="F783" s="385"/>
      <c r="G783" s="385"/>
      <c r="H783" s="30"/>
      <c r="I783" s="385"/>
      <c r="J783" s="385"/>
      <c r="K783" s="385"/>
      <c r="L783" s="385"/>
      <c r="M783" s="385"/>
      <c r="N783" s="385"/>
      <c r="O783" s="385"/>
      <c r="P783" s="385"/>
      <c r="Q783" s="385"/>
      <c r="R783" s="385"/>
      <c r="S783" s="385"/>
      <c r="T783" s="385"/>
      <c r="U783" s="385"/>
      <c r="V783" s="385"/>
      <c r="W783" s="385"/>
      <c r="X783" s="385"/>
      <c r="Y783" s="385"/>
      <c r="Z783" s="385"/>
      <c r="AA783" s="385"/>
      <c r="AB783" s="385"/>
    </row>
    <row r="784" spans="1:28" ht="15.75" customHeight="1">
      <c r="A784" s="385"/>
      <c r="B784" s="385"/>
      <c r="C784" s="526"/>
      <c r="D784" s="385"/>
      <c r="E784" s="385"/>
      <c r="F784" s="385"/>
      <c r="G784" s="385"/>
      <c r="H784" s="30"/>
      <c r="I784" s="385"/>
      <c r="J784" s="385"/>
      <c r="K784" s="385"/>
      <c r="L784" s="385"/>
      <c r="M784" s="385"/>
      <c r="N784" s="385"/>
      <c r="O784" s="385"/>
      <c r="P784" s="385"/>
      <c r="Q784" s="385"/>
      <c r="R784" s="385"/>
      <c r="S784" s="385"/>
      <c r="T784" s="385"/>
      <c r="U784" s="385"/>
      <c r="V784" s="385"/>
      <c r="W784" s="385"/>
      <c r="X784" s="385"/>
      <c r="Y784" s="385"/>
      <c r="Z784" s="385"/>
      <c r="AA784" s="385"/>
      <c r="AB784" s="385"/>
    </row>
    <row r="785" spans="1:28" ht="15.75" customHeight="1">
      <c r="A785" s="385"/>
      <c r="B785" s="385"/>
      <c r="C785" s="526"/>
      <c r="D785" s="385"/>
      <c r="E785" s="385"/>
      <c r="F785" s="385"/>
      <c r="G785" s="385"/>
      <c r="H785" s="30"/>
      <c r="I785" s="385"/>
      <c r="J785" s="385"/>
      <c r="K785" s="385"/>
      <c r="L785" s="385"/>
      <c r="M785" s="385"/>
      <c r="N785" s="385"/>
      <c r="O785" s="385"/>
      <c r="P785" s="385"/>
      <c r="Q785" s="385"/>
      <c r="R785" s="385"/>
      <c r="S785" s="385"/>
      <c r="T785" s="385"/>
      <c r="U785" s="385"/>
      <c r="V785" s="385"/>
      <c r="W785" s="385"/>
      <c r="X785" s="385"/>
      <c r="Y785" s="385"/>
      <c r="Z785" s="385"/>
      <c r="AA785" s="385"/>
      <c r="AB785" s="385"/>
    </row>
    <row r="786" spans="1:28" ht="15.75" customHeight="1">
      <c r="A786" s="385"/>
      <c r="B786" s="385"/>
      <c r="C786" s="526"/>
      <c r="D786" s="385"/>
      <c r="E786" s="385"/>
      <c r="F786" s="385"/>
      <c r="G786" s="385"/>
      <c r="H786" s="30"/>
      <c r="I786" s="385"/>
      <c r="J786" s="385"/>
      <c r="K786" s="385"/>
      <c r="L786" s="385"/>
      <c r="M786" s="385"/>
      <c r="N786" s="385"/>
      <c r="O786" s="385"/>
      <c r="P786" s="385"/>
      <c r="Q786" s="385"/>
      <c r="R786" s="385"/>
      <c r="S786" s="385"/>
      <c r="T786" s="385"/>
      <c r="U786" s="385"/>
      <c r="V786" s="385"/>
      <c r="W786" s="385"/>
      <c r="X786" s="385"/>
      <c r="Y786" s="385"/>
      <c r="Z786" s="385"/>
      <c r="AA786" s="385"/>
      <c r="AB786" s="385"/>
    </row>
    <row r="787" spans="1:28" ht="15.75" customHeight="1">
      <c r="A787" s="385"/>
      <c r="B787" s="385"/>
      <c r="C787" s="526"/>
      <c r="D787" s="385"/>
      <c r="E787" s="385"/>
      <c r="F787" s="385"/>
      <c r="G787" s="385"/>
      <c r="H787" s="30"/>
      <c r="I787" s="385"/>
      <c r="J787" s="385"/>
      <c r="K787" s="385"/>
      <c r="L787" s="385"/>
      <c r="M787" s="385"/>
      <c r="N787" s="385"/>
      <c r="O787" s="385"/>
      <c r="P787" s="385"/>
      <c r="Q787" s="385"/>
      <c r="R787" s="385"/>
      <c r="S787" s="385"/>
      <c r="T787" s="385"/>
      <c r="U787" s="385"/>
      <c r="V787" s="385"/>
      <c r="W787" s="385"/>
      <c r="X787" s="385"/>
      <c r="Y787" s="385"/>
      <c r="Z787" s="385"/>
      <c r="AA787" s="385"/>
      <c r="AB787" s="385"/>
    </row>
    <row r="788" spans="1:28" ht="15.75" customHeight="1">
      <c r="A788" s="385"/>
      <c r="B788" s="385"/>
      <c r="C788" s="526"/>
      <c r="D788" s="385"/>
      <c r="E788" s="385"/>
      <c r="F788" s="385"/>
      <c r="G788" s="385"/>
      <c r="H788" s="30"/>
      <c r="I788" s="385"/>
      <c r="J788" s="385"/>
      <c r="K788" s="385"/>
      <c r="L788" s="385"/>
      <c r="M788" s="385"/>
      <c r="N788" s="385"/>
      <c r="O788" s="385"/>
      <c r="P788" s="385"/>
      <c r="Q788" s="385"/>
      <c r="R788" s="385"/>
      <c r="S788" s="385"/>
      <c r="T788" s="385"/>
      <c r="U788" s="385"/>
      <c r="V788" s="385"/>
      <c r="W788" s="385"/>
      <c r="X788" s="385"/>
      <c r="Y788" s="385"/>
      <c r="Z788" s="385"/>
      <c r="AA788" s="385"/>
      <c r="AB788" s="385"/>
    </row>
    <row r="789" spans="1:28" ht="15.75" customHeight="1">
      <c r="A789" s="385"/>
      <c r="B789" s="385"/>
      <c r="C789" s="526"/>
      <c r="D789" s="385"/>
      <c r="E789" s="385"/>
      <c r="F789" s="385"/>
      <c r="G789" s="385"/>
      <c r="H789" s="30"/>
      <c r="I789" s="385"/>
      <c r="J789" s="385"/>
      <c r="K789" s="385"/>
      <c r="L789" s="385"/>
      <c r="M789" s="385"/>
      <c r="N789" s="385"/>
      <c r="O789" s="385"/>
      <c r="P789" s="385"/>
      <c r="Q789" s="385"/>
      <c r="R789" s="385"/>
      <c r="S789" s="385"/>
      <c r="T789" s="385"/>
      <c r="U789" s="385"/>
      <c r="V789" s="385"/>
      <c r="W789" s="385"/>
      <c r="X789" s="385"/>
      <c r="Y789" s="385"/>
      <c r="Z789" s="385"/>
      <c r="AA789" s="385"/>
      <c r="AB789" s="385"/>
    </row>
    <row r="790" spans="1:28" ht="15.75" customHeight="1">
      <c r="A790" s="385"/>
      <c r="B790" s="385"/>
      <c r="C790" s="526"/>
      <c r="D790" s="385"/>
      <c r="E790" s="385"/>
      <c r="F790" s="385"/>
      <c r="G790" s="385"/>
      <c r="H790" s="30"/>
      <c r="I790" s="385"/>
      <c r="J790" s="385"/>
      <c r="K790" s="385"/>
      <c r="L790" s="385"/>
      <c r="M790" s="385"/>
      <c r="N790" s="385"/>
      <c r="O790" s="385"/>
      <c r="P790" s="385"/>
      <c r="Q790" s="385"/>
      <c r="R790" s="385"/>
      <c r="S790" s="385"/>
      <c r="T790" s="385"/>
      <c r="U790" s="385"/>
      <c r="V790" s="385"/>
      <c r="W790" s="385"/>
      <c r="X790" s="385"/>
      <c r="Y790" s="385"/>
      <c r="Z790" s="385"/>
      <c r="AA790" s="385"/>
      <c r="AB790" s="385"/>
    </row>
    <row r="791" spans="1:28" ht="15.75" customHeight="1">
      <c r="A791" s="385"/>
      <c r="B791" s="385"/>
      <c r="C791" s="526"/>
      <c r="D791" s="385"/>
      <c r="E791" s="385"/>
      <c r="F791" s="385"/>
      <c r="G791" s="385"/>
      <c r="H791" s="30"/>
      <c r="I791" s="385"/>
      <c r="J791" s="385"/>
      <c r="K791" s="385"/>
      <c r="L791" s="385"/>
      <c r="M791" s="385"/>
      <c r="N791" s="385"/>
      <c r="O791" s="385"/>
      <c r="P791" s="385"/>
      <c r="Q791" s="385"/>
      <c r="R791" s="385"/>
      <c r="S791" s="385"/>
      <c r="T791" s="385"/>
      <c r="U791" s="385"/>
      <c r="V791" s="385"/>
      <c r="W791" s="385"/>
      <c r="X791" s="385"/>
      <c r="Y791" s="385"/>
      <c r="Z791" s="385"/>
      <c r="AA791" s="385"/>
      <c r="AB791" s="385"/>
    </row>
    <row r="792" spans="1:28" ht="15.75" customHeight="1">
      <c r="A792" s="385"/>
      <c r="B792" s="385"/>
      <c r="C792" s="526"/>
      <c r="D792" s="385"/>
      <c r="E792" s="385"/>
      <c r="F792" s="385"/>
      <c r="G792" s="385"/>
      <c r="H792" s="30"/>
      <c r="I792" s="385"/>
      <c r="J792" s="385"/>
      <c r="K792" s="385"/>
      <c r="L792" s="385"/>
      <c r="M792" s="385"/>
      <c r="N792" s="385"/>
      <c r="O792" s="385"/>
      <c r="P792" s="385"/>
      <c r="Q792" s="385"/>
      <c r="R792" s="385"/>
      <c r="S792" s="385"/>
      <c r="T792" s="385"/>
      <c r="U792" s="385"/>
      <c r="V792" s="385"/>
      <c r="W792" s="385"/>
      <c r="X792" s="385"/>
      <c r="Y792" s="385"/>
      <c r="Z792" s="385"/>
      <c r="AA792" s="385"/>
      <c r="AB792" s="385"/>
    </row>
    <row r="793" spans="1:28" ht="15.75" customHeight="1">
      <c r="A793" s="385"/>
      <c r="B793" s="385"/>
      <c r="C793" s="526"/>
      <c r="D793" s="385"/>
      <c r="E793" s="385"/>
      <c r="F793" s="385"/>
      <c r="G793" s="385"/>
      <c r="H793" s="30"/>
      <c r="I793" s="385"/>
      <c r="J793" s="385"/>
      <c r="K793" s="385"/>
      <c r="L793" s="385"/>
      <c r="M793" s="385"/>
      <c r="N793" s="385"/>
      <c r="O793" s="385"/>
      <c r="P793" s="385"/>
      <c r="Q793" s="385"/>
      <c r="R793" s="385"/>
      <c r="S793" s="385"/>
      <c r="T793" s="385"/>
      <c r="U793" s="385"/>
      <c r="V793" s="385"/>
      <c r="W793" s="385"/>
      <c r="X793" s="385"/>
      <c r="Y793" s="385"/>
      <c r="Z793" s="385"/>
      <c r="AA793" s="385"/>
      <c r="AB793" s="385"/>
    </row>
    <row r="794" spans="1:28" ht="15.75" customHeight="1">
      <c r="A794" s="385"/>
      <c r="B794" s="385"/>
      <c r="C794" s="526"/>
      <c r="D794" s="385"/>
      <c r="E794" s="385"/>
      <c r="F794" s="385"/>
      <c r="G794" s="385"/>
      <c r="H794" s="30"/>
      <c r="I794" s="385"/>
      <c r="J794" s="385"/>
      <c r="K794" s="385"/>
      <c r="L794" s="385"/>
      <c r="M794" s="385"/>
      <c r="N794" s="385"/>
      <c r="O794" s="385"/>
      <c r="P794" s="385"/>
      <c r="Q794" s="385"/>
      <c r="R794" s="385"/>
      <c r="S794" s="385"/>
      <c r="T794" s="385"/>
      <c r="U794" s="385"/>
      <c r="V794" s="385"/>
      <c r="W794" s="385"/>
      <c r="X794" s="385"/>
      <c r="Y794" s="385"/>
      <c r="Z794" s="385"/>
      <c r="AA794" s="385"/>
      <c r="AB794" s="385"/>
    </row>
    <row r="795" spans="1:28" ht="15.75" customHeight="1">
      <c r="A795" s="385"/>
      <c r="B795" s="385"/>
      <c r="C795" s="526"/>
      <c r="D795" s="385"/>
      <c r="E795" s="385"/>
      <c r="F795" s="385"/>
      <c r="G795" s="385"/>
      <c r="H795" s="30"/>
      <c r="I795" s="385"/>
      <c r="J795" s="385"/>
      <c r="K795" s="385"/>
      <c r="L795" s="385"/>
      <c r="M795" s="385"/>
      <c r="N795" s="385"/>
      <c r="O795" s="385"/>
      <c r="P795" s="385"/>
      <c r="Q795" s="385"/>
      <c r="R795" s="385"/>
      <c r="S795" s="385"/>
      <c r="T795" s="385"/>
      <c r="U795" s="385"/>
      <c r="V795" s="385"/>
      <c r="W795" s="385"/>
      <c r="X795" s="385"/>
      <c r="Y795" s="385"/>
      <c r="Z795" s="385"/>
      <c r="AA795" s="385"/>
      <c r="AB795" s="385"/>
    </row>
    <row r="796" spans="1:28" ht="15.75" customHeight="1">
      <c r="A796" s="385"/>
      <c r="B796" s="385"/>
      <c r="C796" s="526"/>
      <c r="D796" s="385"/>
      <c r="E796" s="385"/>
      <c r="F796" s="385"/>
      <c r="G796" s="385"/>
      <c r="H796" s="30"/>
      <c r="I796" s="385"/>
      <c r="J796" s="385"/>
      <c r="K796" s="385"/>
      <c r="L796" s="385"/>
      <c r="M796" s="385"/>
      <c r="N796" s="385"/>
      <c r="O796" s="385"/>
      <c r="P796" s="385"/>
      <c r="Q796" s="385"/>
      <c r="R796" s="385"/>
      <c r="S796" s="385"/>
      <c r="T796" s="385"/>
      <c r="U796" s="385"/>
      <c r="V796" s="385"/>
      <c r="W796" s="385"/>
      <c r="X796" s="385"/>
      <c r="Y796" s="385"/>
      <c r="Z796" s="385"/>
      <c r="AA796" s="385"/>
      <c r="AB796" s="385"/>
    </row>
    <row r="797" spans="1:28" ht="15.75" customHeight="1">
      <c r="A797" s="385"/>
      <c r="B797" s="385"/>
      <c r="C797" s="526"/>
      <c r="D797" s="385"/>
      <c r="E797" s="385"/>
      <c r="F797" s="385"/>
      <c r="G797" s="385"/>
      <c r="H797" s="30"/>
      <c r="I797" s="385"/>
      <c r="J797" s="385"/>
      <c r="K797" s="385"/>
      <c r="L797" s="385"/>
      <c r="M797" s="385"/>
      <c r="N797" s="385"/>
      <c r="O797" s="385"/>
      <c r="P797" s="385"/>
      <c r="Q797" s="385"/>
      <c r="R797" s="385"/>
      <c r="S797" s="385"/>
      <c r="T797" s="385"/>
      <c r="U797" s="385"/>
      <c r="V797" s="385"/>
      <c r="W797" s="385"/>
      <c r="X797" s="385"/>
      <c r="Y797" s="385"/>
      <c r="Z797" s="385"/>
      <c r="AA797" s="385"/>
      <c r="AB797" s="385"/>
    </row>
    <row r="798" spans="1:28" ht="15.75" customHeight="1">
      <c r="A798" s="385"/>
      <c r="B798" s="385"/>
      <c r="C798" s="526"/>
      <c r="D798" s="385"/>
      <c r="E798" s="385"/>
      <c r="F798" s="385"/>
      <c r="G798" s="385"/>
      <c r="H798" s="30"/>
      <c r="I798" s="385"/>
      <c r="J798" s="385"/>
      <c r="K798" s="385"/>
      <c r="L798" s="385"/>
      <c r="M798" s="385"/>
      <c r="N798" s="385"/>
      <c r="O798" s="385"/>
      <c r="P798" s="385"/>
      <c r="Q798" s="385"/>
      <c r="R798" s="385"/>
      <c r="S798" s="385"/>
      <c r="T798" s="385"/>
      <c r="U798" s="385"/>
      <c r="V798" s="385"/>
      <c r="W798" s="385"/>
      <c r="X798" s="385"/>
      <c r="Y798" s="385"/>
      <c r="Z798" s="385"/>
      <c r="AA798" s="385"/>
      <c r="AB798" s="385"/>
    </row>
    <row r="799" spans="1:28" ht="15.75" customHeight="1">
      <c r="A799" s="385"/>
      <c r="B799" s="385"/>
      <c r="C799" s="526"/>
      <c r="D799" s="385"/>
      <c r="E799" s="385"/>
      <c r="F799" s="385"/>
      <c r="G799" s="385"/>
      <c r="H799" s="30"/>
      <c r="I799" s="385"/>
      <c r="J799" s="385"/>
      <c r="K799" s="385"/>
      <c r="L799" s="385"/>
      <c r="M799" s="385"/>
      <c r="N799" s="385"/>
      <c r="O799" s="385"/>
      <c r="P799" s="385"/>
      <c r="Q799" s="385"/>
      <c r="R799" s="385"/>
      <c r="S799" s="385"/>
      <c r="T799" s="385"/>
      <c r="U799" s="385"/>
      <c r="V799" s="385"/>
      <c r="W799" s="385"/>
      <c r="X799" s="385"/>
      <c r="Y799" s="385"/>
      <c r="Z799" s="385"/>
      <c r="AA799" s="385"/>
      <c r="AB799" s="385"/>
    </row>
    <row r="800" spans="1:28" ht="15.75" customHeight="1">
      <c r="A800" s="385"/>
      <c r="B800" s="385"/>
      <c r="C800" s="526"/>
      <c r="D800" s="385"/>
      <c r="E800" s="385"/>
      <c r="F800" s="385"/>
      <c r="G800" s="385"/>
      <c r="H800" s="30"/>
      <c r="I800" s="385"/>
      <c r="J800" s="385"/>
      <c r="K800" s="385"/>
      <c r="L800" s="385"/>
      <c r="M800" s="385"/>
      <c r="N800" s="385"/>
      <c r="O800" s="385"/>
      <c r="P800" s="385"/>
      <c r="Q800" s="385"/>
      <c r="R800" s="385"/>
      <c r="S800" s="385"/>
      <c r="T800" s="385"/>
      <c r="U800" s="385"/>
      <c r="V800" s="385"/>
      <c r="W800" s="385"/>
      <c r="X800" s="385"/>
      <c r="Y800" s="385"/>
      <c r="Z800" s="385"/>
      <c r="AA800" s="385"/>
      <c r="AB800" s="385"/>
    </row>
    <row r="801" spans="1:28" ht="15.75" customHeight="1">
      <c r="A801" s="385"/>
      <c r="B801" s="385"/>
      <c r="C801" s="526"/>
      <c r="D801" s="385"/>
      <c r="E801" s="385"/>
      <c r="F801" s="385"/>
      <c r="G801" s="385"/>
      <c r="H801" s="30"/>
      <c r="I801" s="385"/>
      <c r="J801" s="385"/>
      <c r="K801" s="385"/>
      <c r="L801" s="385"/>
      <c r="M801" s="385"/>
      <c r="N801" s="385"/>
      <c r="O801" s="385"/>
      <c r="P801" s="385"/>
      <c r="Q801" s="385"/>
      <c r="R801" s="385"/>
      <c r="S801" s="385"/>
      <c r="T801" s="385"/>
      <c r="U801" s="385"/>
      <c r="V801" s="385"/>
      <c r="W801" s="385"/>
      <c r="X801" s="385"/>
      <c r="Y801" s="385"/>
      <c r="Z801" s="385"/>
      <c r="AA801" s="385"/>
      <c r="AB801" s="385"/>
    </row>
    <row r="802" spans="1:28" ht="15.75" customHeight="1">
      <c r="A802" s="385"/>
      <c r="B802" s="385"/>
      <c r="C802" s="526"/>
      <c r="D802" s="385"/>
      <c r="E802" s="385"/>
      <c r="F802" s="385"/>
      <c r="G802" s="385"/>
      <c r="H802" s="30"/>
      <c r="I802" s="385"/>
      <c r="J802" s="385"/>
      <c r="K802" s="385"/>
      <c r="L802" s="385"/>
      <c r="M802" s="385"/>
      <c r="N802" s="385"/>
      <c r="O802" s="385"/>
      <c r="P802" s="385"/>
      <c r="Q802" s="385"/>
      <c r="R802" s="385"/>
      <c r="S802" s="385"/>
      <c r="T802" s="385"/>
      <c r="U802" s="385"/>
      <c r="V802" s="385"/>
      <c r="W802" s="385"/>
      <c r="X802" s="385"/>
      <c r="Y802" s="385"/>
      <c r="Z802" s="385"/>
      <c r="AA802" s="385"/>
      <c r="AB802" s="385"/>
    </row>
    <row r="803" spans="1:28" ht="15.75" customHeight="1">
      <c r="A803" s="385"/>
      <c r="B803" s="385"/>
      <c r="C803" s="526"/>
      <c r="D803" s="385"/>
      <c r="E803" s="385"/>
      <c r="F803" s="385"/>
      <c r="G803" s="385"/>
      <c r="H803" s="30"/>
      <c r="I803" s="385"/>
      <c r="J803" s="385"/>
      <c r="K803" s="385"/>
      <c r="L803" s="385"/>
      <c r="M803" s="385"/>
      <c r="N803" s="385"/>
      <c r="O803" s="385"/>
      <c r="P803" s="385"/>
      <c r="Q803" s="385"/>
      <c r="R803" s="385"/>
      <c r="S803" s="385"/>
      <c r="T803" s="385"/>
      <c r="U803" s="385"/>
      <c r="V803" s="385"/>
      <c r="W803" s="385"/>
      <c r="X803" s="385"/>
      <c r="Y803" s="385"/>
      <c r="Z803" s="385"/>
      <c r="AA803" s="385"/>
      <c r="AB803" s="385"/>
    </row>
    <row r="804" spans="1:28" ht="15.75" customHeight="1">
      <c r="A804" s="385"/>
      <c r="B804" s="385"/>
      <c r="C804" s="526"/>
      <c r="D804" s="385"/>
      <c r="E804" s="385"/>
      <c r="F804" s="385"/>
      <c r="G804" s="385"/>
      <c r="H804" s="30"/>
      <c r="I804" s="385"/>
      <c r="J804" s="385"/>
      <c r="K804" s="385"/>
      <c r="L804" s="385"/>
      <c r="M804" s="385"/>
      <c r="N804" s="385"/>
      <c r="O804" s="385"/>
      <c r="P804" s="385"/>
      <c r="Q804" s="385"/>
      <c r="R804" s="385"/>
      <c r="S804" s="385"/>
      <c r="T804" s="385"/>
      <c r="U804" s="385"/>
      <c r="V804" s="385"/>
      <c r="W804" s="385"/>
      <c r="X804" s="385"/>
      <c r="Y804" s="385"/>
      <c r="Z804" s="385"/>
      <c r="AA804" s="385"/>
      <c r="AB804" s="385"/>
    </row>
    <row r="805" spans="1:28" ht="15.75" customHeight="1">
      <c r="A805" s="385"/>
      <c r="B805" s="385"/>
      <c r="C805" s="526"/>
      <c r="D805" s="385"/>
      <c r="E805" s="385"/>
      <c r="F805" s="385"/>
      <c r="G805" s="385"/>
      <c r="H805" s="30"/>
      <c r="I805" s="385"/>
      <c r="J805" s="385"/>
      <c r="K805" s="385"/>
      <c r="L805" s="385"/>
      <c r="M805" s="385"/>
      <c r="N805" s="385"/>
      <c r="O805" s="385"/>
      <c r="P805" s="385"/>
      <c r="Q805" s="385"/>
      <c r="R805" s="385"/>
      <c r="S805" s="385"/>
      <c r="T805" s="385"/>
      <c r="U805" s="385"/>
      <c r="V805" s="385"/>
      <c r="W805" s="385"/>
      <c r="X805" s="385"/>
      <c r="Y805" s="385"/>
      <c r="Z805" s="385"/>
      <c r="AA805" s="385"/>
      <c r="AB805" s="385"/>
    </row>
    <row r="806" spans="1:28" ht="15.75" customHeight="1">
      <c r="A806" s="385"/>
      <c r="B806" s="385"/>
      <c r="C806" s="526"/>
      <c r="D806" s="385"/>
      <c r="E806" s="385"/>
      <c r="F806" s="385"/>
      <c r="G806" s="385"/>
      <c r="H806" s="30"/>
      <c r="I806" s="385"/>
      <c r="J806" s="385"/>
      <c r="K806" s="385"/>
      <c r="L806" s="385"/>
      <c r="M806" s="385"/>
      <c r="N806" s="385"/>
      <c r="O806" s="385"/>
      <c r="P806" s="385"/>
      <c r="Q806" s="385"/>
      <c r="R806" s="385"/>
      <c r="S806" s="385"/>
      <c r="T806" s="385"/>
      <c r="U806" s="385"/>
      <c r="V806" s="385"/>
      <c r="W806" s="385"/>
      <c r="X806" s="385"/>
      <c r="Y806" s="385"/>
      <c r="Z806" s="385"/>
      <c r="AA806" s="385"/>
      <c r="AB806" s="385"/>
    </row>
    <row r="807" spans="1:28" ht="15.75" customHeight="1">
      <c r="A807" s="385"/>
      <c r="B807" s="385"/>
      <c r="C807" s="526"/>
      <c r="D807" s="385"/>
      <c r="E807" s="385"/>
      <c r="F807" s="385"/>
      <c r="G807" s="385"/>
      <c r="H807" s="30"/>
      <c r="I807" s="385"/>
      <c r="J807" s="385"/>
      <c r="K807" s="385"/>
      <c r="L807" s="385"/>
      <c r="M807" s="385"/>
      <c r="N807" s="385"/>
      <c r="O807" s="385"/>
      <c r="P807" s="385"/>
      <c r="Q807" s="385"/>
      <c r="R807" s="385"/>
      <c r="S807" s="385"/>
      <c r="T807" s="385"/>
      <c r="U807" s="385"/>
      <c r="V807" s="385"/>
      <c r="W807" s="385"/>
      <c r="X807" s="385"/>
      <c r="Y807" s="385"/>
      <c r="Z807" s="385"/>
      <c r="AA807" s="385"/>
      <c r="AB807" s="385"/>
    </row>
    <row r="808" spans="1:28" ht="15.75" customHeight="1">
      <c r="A808" s="385"/>
      <c r="B808" s="385"/>
      <c r="C808" s="526"/>
      <c r="D808" s="385"/>
      <c r="E808" s="385"/>
      <c r="F808" s="385"/>
      <c r="G808" s="385"/>
      <c r="H808" s="30"/>
      <c r="I808" s="385"/>
      <c r="J808" s="385"/>
      <c r="K808" s="385"/>
      <c r="L808" s="385"/>
      <c r="M808" s="385"/>
      <c r="N808" s="385"/>
      <c r="O808" s="385"/>
      <c r="P808" s="385"/>
      <c r="Q808" s="385"/>
      <c r="R808" s="385"/>
      <c r="S808" s="385"/>
      <c r="T808" s="385"/>
      <c r="U808" s="385"/>
      <c r="V808" s="385"/>
      <c r="W808" s="385"/>
      <c r="X808" s="385"/>
      <c r="Y808" s="385"/>
      <c r="Z808" s="385"/>
      <c r="AA808" s="385"/>
      <c r="AB808" s="385"/>
    </row>
    <row r="809" spans="1:28" ht="15.75" customHeight="1">
      <c r="A809" s="385"/>
      <c r="B809" s="385"/>
      <c r="C809" s="526"/>
      <c r="D809" s="385"/>
      <c r="E809" s="385"/>
      <c r="F809" s="385"/>
      <c r="G809" s="385"/>
      <c r="H809" s="30"/>
      <c r="I809" s="385"/>
      <c r="J809" s="385"/>
      <c r="K809" s="385"/>
      <c r="L809" s="385"/>
      <c r="M809" s="385"/>
      <c r="N809" s="385"/>
      <c r="O809" s="385"/>
      <c r="P809" s="385"/>
      <c r="Q809" s="385"/>
      <c r="R809" s="385"/>
      <c r="S809" s="385"/>
      <c r="T809" s="385"/>
      <c r="U809" s="385"/>
      <c r="V809" s="385"/>
      <c r="W809" s="385"/>
      <c r="X809" s="385"/>
      <c r="Y809" s="385"/>
      <c r="Z809" s="385"/>
      <c r="AA809" s="385"/>
      <c r="AB809" s="385"/>
    </row>
    <row r="810" spans="1:28" ht="15.75" customHeight="1">
      <c r="A810" s="385"/>
      <c r="B810" s="385"/>
      <c r="C810" s="526"/>
      <c r="D810" s="385"/>
      <c r="E810" s="385"/>
      <c r="F810" s="385"/>
      <c r="G810" s="385"/>
      <c r="H810" s="30"/>
      <c r="I810" s="385"/>
      <c r="J810" s="385"/>
      <c r="K810" s="385"/>
      <c r="L810" s="385"/>
      <c r="M810" s="385"/>
      <c r="N810" s="385"/>
      <c r="O810" s="385"/>
      <c r="P810" s="385"/>
      <c r="Q810" s="385"/>
      <c r="R810" s="385"/>
      <c r="S810" s="385"/>
      <c r="T810" s="385"/>
      <c r="U810" s="385"/>
      <c r="V810" s="385"/>
      <c r="W810" s="385"/>
      <c r="X810" s="385"/>
      <c r="Y810" s="385"/>
      <c r="Z810" s="385"/>
      <c r="AA810" s="385"/>
      <c r="AB810" s="385"/>
    </row>
    <row r="811" spans="1:28" ht="15.75" customHeight="1">
      <c r="A811" s="385"/>
      <c r="B811" s="385"/>
      <c r="C811" s="526"/>
      <c r="D811" s="385"/>
      <c r="E811" s="385"/>
      <c r="F811" s="385"/>
      <c r="G811" s="385"/>
      <c r="H811" s="30"/>
      <c r="I811" s="385"/>
      <c r="J811" s="385"/>
      <c r="K811" s="385"/>
      <c r="L811" s="385"/>
      <c r="M811" s="385"/>
      <c r="N811" s="385"/>
      <c r="O811" s="385"/>
      <c r="P811" s="385"/>
      <c r="Q811" s="385"/>
      <c r="R811" s="385"/>
      <c r="S811" s="385"/>
      <c r="T811" s="385"/>
      <c r="U811" s="385"/>
      <c r="V811" s="385"/>
      <c r="W811" s="385"/>
      <c r="X811" s="385"/>
      <c r="Y811" s="385"/>
      <c r="Z811" s="385"/>
      <c r="AA811" s="385"/>
      <c r="AB811" s="385"/>
    </row>
    <row r="812" spans="1:28" ht="15.75" customHeight="1">
      <c r="A812" s="385"/>
      <c r="B812" s="385"/>
      <c r="C812" s="526"/>
      <c r="D812" s="385"/>
      <c r="E812" s="385"/>
      <c r="F812" s="385"/>
      <c r="G812" s="385"/>
      <c r="H812" s="30"/>
      <c r="I812" s="385"/>
      <c r="J812" s="385"/>
      <c r="K812" s="385"/>
      <c r="L812" s="385"/>
      <c r="M812" s="385"/>
      <c r="N812" s="385"/>
      <c r="O812" s="385"/>
      <c r="P812" s="385"/>
      <c r="Q812" s="385"/>
      <c r="R812" s="385"/>
      <c r="S812" s="385"/>
      <c r="T812" s="385"/>
      <c r="U812" s="385"/>
      <c r="V812" s="385"/>
      <c r="W812" s="385"/>
      <c r="X812" s="385"/>
      <c r="Y812" s="385"/>
      <c r="Z812" s="385"/>
      <c r="AA812" s="385"/>
      <c r="AB812" s="385"/>
    </row>
    <row r="813" spans="1:28" ht="15.75" customHeight="1">
      <c r="A813" s="385"/>
      <c r="B813" s="385"/>
      <c r="C813" s="526"/>
      <c r="D813" s="385"/>
      <c r="E813" s="385"/>
      <c r="F813" s="385"/>
      <c r="G813" s="385"/>
      <c r="H813" s="30"/>
      <c r="I813" s="385"/>
      <c r="J813" s="385"/>
      <c r="K813" s="385"/>
      <c r="L813" s="385"/>
      <c r="M813" s="385"/>
      <c r="N813" s="385"/>
      <c r="O813" s="385"/>
      <c r="P813" s="385"/>
      <c r="Q813" s="385"/>
      <c r="R813" s="385"/>
      <c r="S813" s="385"/>
      <c r="T813" s="385"/>
      <c r="U813" s="385"/>
      <c r="V813" s="385"/>
      <c r="W813" s="385"/>
      <c r="X813" s="385"/>
      <c r="Y813" s="385"/>
      <c r="Z813" s="385"/>
      <c r="AA813" s="385"/>
      <c r="AB813" s="385"/>
    </row>
    <row r="814" spans="1:28" ht="15.75" customHeight="1">
      <c r="A814" s="385"/>
      <c r="B814" s="385"/>
      <c r="C814" s="526"/>
      <c r="D814" s="385"/>
      <c r="E814" s="385"/>
      <c r="F814" s="385"/>
      <c r="G814" s="385"/>
      <c r="H814" s="30"/>
      <c r="I814" s="385"/>
      <c r="J814" s="385"/>
      <c r="K814" s="385"/>
      <c r="L814" s="385"/>
      <c r="M814" s="385"/>
      <c r="N814" s="385"/>
      <c r="O814" s="385"/>
      <c r="P814" s="385"/>
      <c r="Q814" s="385"/>
      <c r="R814" s="385"/>
      <c r="S814" s="385"/>
      <c r="T814" s="385"/>
      <c r="U814" s="385"/>
      <c r="V814" s="385"/>
      <c r="W814" s="385"/>
      <c r="X814" s="385"/>
      <c r="Y814" s="385"/>
      <c r="Z814" s="385"/>
      <c r="AA814" s="385"/>
      <c r="AB814" s="385"/>
    </row>
    <row r="815" spans="1:28" ht="15.75" customHeight="1">
      <c r="A815" s="385"/>
      <c r="B815" s="385"/>
      <c r="C815" s="526"/>
      <c r="D815" s="385"/>
      <c r="E815" s="385"/>
      <c r="F815" s="385"/>
      <c r="G815" s="385"/>
      <c r="H815" s="30"/>
      <c r="I815" s="385"/>
      <c r="J815" s="385"/>
      <c r="K815" s="385"/>
      <c r="L815" s="385"/>
      <c r="M815" s="385"/>
      <c r="N815" s="385"/>
      <c r="O815" s="385"/>
      <c r="P815" s="385"/>
      <c r="Q815" s="385"/>
      <c r="R815" s="385"/>
      <c r="S815" s="385"/>
      <c r="T815" s="385"/>
      <c r="U815" s="385"/>
      <c r="V815" s="385"/>
      <c r="W815" s="385"/>
      <c r="X815" s="385"/>
      <c r="Y815" s="385"/>
      <c r="Z815" s="385"/>
      <c r="AA815" s="385"/>
      <c r="AB815" s="385"/>
    </row>
    <row r="816" spans="1:28" ht="15.75" customHeight="1">
      <c r="A816" s="385"/>
      <c r="B816" s="385"/>
      <c r="C816" s="526"/>
      <c r="D816" s="385"/>
      <c r="E816" s="385"/>
      <c r="F816" s="385"/>
      <c r="G816" s="385"/>
      <c r="H816" s="30"/>
      <c r="I816" s="385"/>
      <c r="J816" s="385"/>
      <c r="K816" s="385"/>
      <c r="L816" s="385"/>
      <c r="M816" s="385"/>
      <c r="N816" s="385"/>
      <c r="O816" s="385"/>
      <c r="P816" s="385"/>
      <c r="Q816" s="385"/>
      <c r="R816" s="385"/>
      <c r="S816" s="385"/>
      <c r="T816" s="385"/>
      <c r="U816" s="385"/>
      <c r="V816" s="385"/>
      <c r="W816" s="385"/>
      <c r="X816" s="385"/>
      <c r="Y816" s="385"/>
      <c r="Z816" s="385"/>
      <c r="AA816" s="385"/>
      <c r="AB816" s="385"/>
    </row>
    <row r="817" spans="1:28" ht="15.75" customHeight="1">
      <c r="A817" s="385"/>
      <c r="B817" s="385"/>
      <c r="C817" s="526"/>
      <c r="D817" s="385"/>
      <c r="E817" s="385"/>
      <c r="F817" s="385"/>
      <c r="G817" s="385"/>
      <c r="H817" s="30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  <c r="AA817" s="385"/>
      <c r="AB817" s="385"/>
    </row>
    <row r="818" spans="1:28" ht="15.75" customHeight="1">
      <c r="A818" s="385"/>
      <c r="B818" s="385"/>
      <c r="C818" s="526"/>
      <c r="D818" s="385"/>
      <c r="E818" s="385"/>
      <c r="F818" s="385"/>
      <c r="G818" s="385"/>
      <c r="H818" s="30"/>
      <c r="I818" s="385"/>
      <c r="J818" s="385"/>
      <c r="K818" s="385"/>
      <c r="L818" s="385"/>
      <c r="M818" s="385"/>
      <c r="N818" s="385"/>
      <c r="O818" s="385"/>
      <c r="P818" s="385"/>
      <c r="Q818" s="385"/>
      <c r="R818" s="385"/>
      <c r="S818" s="385"/>
      <c r="T818" s="385"/>
      <c r="U818" s="385"/>
      <c r="V818" s="385"/>
      <c r="W818" s="385"/>
      <c r="X818" s="385"/>
      <c r="Y818" s="385"/>
      <c r="Z818" s="385"/>
      <c r="AA818" s="385"/>
      <c r="AB818" s="385"/>
    </row>
    <row r="819" spans="1:28" ht="15.75" customHeight="1">
      <c r="A819" s="385"/>
      <c r="B819" s="385"/>
      <c r="C819" s="526"/>
      <c r="D819" s="385"/>
      <c r="E819" s="385"/>
      <c r="F819" s="385"/>
      <c r="G819" s="385"/>
      <c r="H819" s="30"/>
      <c r="I819" s="385"/>
      <c r="J819" s="385"/>
      <c r="K819" s="385"/>
      <c r="L819" s="385"/>
      <c r="M819" s="385"/>
      <c r="N819" s="385"/>
      <c r="O819" s="385"/>
      <c r="P819" s="385"/>
      <c r="Q819" s="385"/>
      <c r="R819" s="385"/>
      <c r="S819" s="385"/>
      <c r="T819" s="385"/>
      <c r="U819" s="385"/>
      <c r="V819" s="385"/>
      <c r="W819" s="385"/>
      <c r="X819" s="385"/>
      <c r="Y819" s="385"/>
      <c r="Z819" s="385"/>
      <c r="AA819" s="385"/>
      <c r="AB819" s="385"/>
    </row>
    <row r="820" spans="1:28" ht="15.75" customHeight="1">
      <c r="A820" s="385"/>
      <c r="B820" s="385"/>
      <c r="C820" s="526"/>
      <c r="D820" s="385"/>
      <c r="E820" s="385"/>
      <c r="F820" s="385"/>
      <c r="G820" s="385"/>
      <c r="H820" s="30"/>
      <c r="I820" s="385"/>
      <c r="J820" s="385"/>
      <c r="K820" s="385"/>
      <c r="L820" s="385"/>
      <c r="M820" s="385"/>
      <c r="N820" s="385"/>
      <c r="O820" s="385"/>
      <c r="P820" s="385"/>
      <c r="Q820" s="385"/>
      <c r="R820" s="385"/>
      <c r="S820" s="385"/>
      <c r="T820" s="385"/>
      <c r="U820" s="385"/>
      <c r="V820" s="385"/>
      <c r="W820" s="385"/>
      <c r="X820" s="385"/>
      <c r="Y820" s="385"/>
      <c r="Z820" s="385"/>
      <c r="AA820" s="385"/>
      <c r="AB820" s="385"/>
    </row>
    <row r="821" spans="1:28" ht="15.75" customHeight="1">
      <c r="A821" s="385"/>
      <c r="B821" s="385"/>
      <c r="C821" s="526"/>
      <c r="D821" s="385"/>
      <c r="E821" s="385"/>
      <c r="F821" s="385"/>
      <c r="G821" s="385"/>
      <c r="H821" s="30"/>
      <c r="I821" s="385"/>
      <c r="J821" s="385"/>
      <c r="K821" s="385"/>
      <c r="L821" s="385"/>
      <c r="M821" s="385"/>
      <c r="N821" s="385"/>
      <c r="O821" s="385"/>
      <c r="P821" s="385"/>
      <c r="Q821" s="385"/>
      <c r="R821" s="385"/>
      <c r="S821" s="385"/>
      <c r="T821" s="385"/>
      <c r="U821" s="385"/>
      <c r="V821" s="385"/>
      <c r="W821" s="385"/>
      <c r="X821" s="385"/>
      <c r="Y821" s="385"/>
      <c r="Z821" s="385"/>
      <c r="AA821" s="385"/>
      <c r="AB821" s="385"/>
    </row>
    <row r="822" spans="1:28" ht="15.75" customHeight="1">
      <c r="A822" s="385"/>
      <c r="B822" s="385"/>
      <c r="C822" s="526"/>
      <c r="D822" s="385"/>
      <c r="E822" s="385"/>
      <c r="F822" s="385"/>
      <c r="G822" s="385"/>
      <c r="H822" s="30"/>
      <c r="I822" s="385"/>
      <c r="J822" s="385"/>
      <c r="K822" s="385"/>
      <c r="L822" s="385"/>
      <c r="M822" s="385"/>
      <c r="N822" s="385"/>
      <c r="O822" s="385"/>
      <c r="P822" s="385"/>
      <c r="Q822" s="385"/>
      <c r="R822" s="385"/>
      <c r="S822" s="385"/>
      <c r="T822" s="385"/>
      <c r="U822" s="385"/>
      <c r="V822" s="385"/>
      <c r="W822" s="385"/>
      <c r="X822" s="385"/>
      <c r="Y822" s="385"/>
      <c r="Z822" s="385"/>
      <c r="AA822" s="385"/>
      <c r="AB822" s="385"/>
    </row>
    <row r="823" spans="1:28" ht="15.75" customHeight="1">
      <c r="A823" s="385"/>
      <c r="B823" s="385"/>
      <c r="C823" s="526"/>
      <c r="D823" s="385"/>
      <c r="E823" s="385"/>
      <c r="F823" s="385"/>
      <c r="G823" s="385"/>
      <c r="H823" s="30"/>
      <c r="I823" s="385"/>
      <c r="J823" s="385"/>
      <c r="K823" s="385"/>
      <c r="L823" s="385"/>
      <c r="M823" s="385"/>
      <c r="N823" s="385"/>
      <c r="O823" s="385"/>
      <c r="P823" s="385"/>
      <c r="Q823" s="385"/>
      <c r="R823" s="385"/>
      <c r="S823" s="385"/>
      <c r="T823" s="385"/>
      <c r="U823" s="385"/>
      <c r="V823" s="385"/>
      <c r="W823" s="385"/>
      <c r="X823" s="385"/>
      <c r="Y823" s="385"/>
      <c r="Z823" s="385"/>
      <c r="AA823" s="385"/>
      <c r="AB823" s="385"/>
    </row>
    <row r="824" spans="1:28" ht="15.75" customHeight="1">
      <c r="A824" s="385"/>
      <c r="B824" s="385"/>
      <c r="C824" s="526"/>
      <c r="D824" s="385"/>
      <c r="E824" s="385"/>
      <c r="F824" s="385"/>
      <c r="G824" s="385"/>
      <c r="H824" s="30"/>
      <c r="I824" s="385"/>
      <c r="J824" s="385"/>
      <c r="K824" s="385"/>
      <c r="L824" s="385"/>
      <c r="M824" s="385"/>
      <c r="N824" s="385"/>
      <c r="O824" s="385"/>
      <c r="P824" s="385"/>
      <c r="Q824" s="385"/>
      <c r="R824" s="385"/>
      <c r="S824" s="385"/>
      <c r="T824" s="385"/>
      <c r="U824" s="385"/>
      <c r="V824" s="385"/>
      <c r="W824" s="385"/>
      <c r="X824" s="385"/>
      <c r="Y824" s="385"/>
      <c r="Z824" s="385"/>
      <c r="AA824" s="385"/>
      <c r="AB824" s="385"/>
    </row>
    <row r="825" spans="1:28" ht="15.75" customHeight="1">
      <c r="A825" s="385"/>
      <c r="B825" s="385"/>
      <c r="C825" s="526"/>
      <c r="D825" s="385"/>
      <c r="E825" s="385"/>
      <c r="F825" s="385"/>
      <c r="G825" s="385"/>
      <c r="H825" s="30"/>
      <c r="I825" s="385"/>
      <c r="J825" s="385"/>
      <c r="K825" s="385"/>
      <c r="L825" s="385"/>
      <c r="M825" s="385"/>
      <c r="N825" s="385"/>
      <c r="O825" s="385"/>
      <c r="P825" s="385"/>
      <c r="Q825" s="385"/>
      <c r="R825" s="385"/>
      <c r="S825" s="385"/>
      <c r="T825" s="385"/>
      <c r="U825" s="385"/>
      <c r="V825" s="385"/>
      <c r="W825" s="385"/>
      <c r="X825" s="385"/>
      <c r="Y825" s="385"/>
      <c r="Z825" s="385"/>
      <c r="AA825" s="385"/>
      <c r="AB825" s="385"/>
    </row>
    <row r="826" spans="1:28" ht="15.75" customHeight="1">
      <c r="A826" s="385"/>
      <c r="B826" s="385"/>
      <c r="C826" s="526"/>
      <c r="D826" s="385"/>
      <c r="E826" s="385"/>
      <c r="F826" s="385"/>
      <c r="G826" s="385"/>
      <c r="H826" s="30"/>
      <c r="I826" s="385"/>
      <c r="J826" s="385"/>
      <c r="K826" s="385"/>
      <c r="L826" s="385"/>
      <c r="M826" s="385"/>
      <c r="N826" s="385"/>
      <c r="O826" s="385"/>
      <c r="P826" s="385"/>
      <c r="Q826" s="385"/>
      <c r="R826" s="385"/>
      <c r="S826" s="385"/>
      <c r="T826" s="385"/>
      <c r="U826" s="385"/>
      <c r="V826" s="385"/>
      <c r="W826" s="385"/>
      <c r="X826" s="385"/>
      <c r="Y826" s="385"/>
      <c r="Z826" s="385"/>
      <c r="AA826" s="385"/>
      <c r="AB826" s="385"/>
    </row>
    <row r="827" spans="1:28" ht="15.75" customHeight="1">
      <c r="A827" s="385"/>
      <c r="B827" s="385"/>
      <c r="C827" s="526"/>
      <c r="D827" s="385"/>
      <c r="E827" s="385"/>
      <c r="F827" s="385"/>
      <c r="G827" s="385"/>
      <c r="H827" s="30"/>
      <c r="I827" s="385"/>
      <c r="J827" s="385"/>
      <c r="K827" s="385"/>
      <c r="L827" s="385"/>
      <c r="M827" s="385"/>
      <c r="N827" s="385"/>
      <c r="O827" s="385"/>
      <c r="P827" s="385"/>
      <c r="Q827" s="385"/>
      <c r="R827" s="385"/>
      <c r="S827" s="385"/>
      <c r="T827" s="385"/>
      <c r="U827" s="385"/>
      <c r="V827" s="385"/>
      <c r="W827" s="385"/>
      <c r="X827" s="385"/>
      <c r="Y827" s="385"/>
      <c r="Z827" s="385"/>
      <c r="AA827" s="385"/>
      <c r="AB827" s="385"/>
    </row>
    <row r="828" spans="1:28" ht="15.75" customHeight="1">
      <c r="A828" s="385"/>
      <c r="B828" s="385"/>
      <c r="C828" s="526"/>
      <c r="D828" s="385"/>
      <c r="E828" s="385"/>
      <c r="F828" s="385"/>
      <c r="G828" s="385"/>
      <c r="H828" s="30"/>
      <c r="I828" s="385"/>
      <c r="J828" s="385"/>
      <c r="K828" s="385"/>
      <c r="L828" s="385"/>
      <c r="M828" s="385"/>
      <c r="N828" s="385"/>
      <c r="O828" s="385"/>
      <c r="P828" s="385"/>
      <c r="Q828" s="385"/>
      <c r="R828" s="385"/>
      <c r="S828" s="385"/>
      <c r="T828" s="385"/>
      <c r="U828" s="385"/>
      <c r="V828" s="385"/>
      <c r="W828" s="385"/>
      <c r="X828" s="385"/>
      <c r="Y828" s="385"/>
      <c r="Z828" s="385"/>
      <c r="AA828" s="385"/>
      <c r="AB828" s="385"/>
    </row>
    <row r="829" spans="1:28" ht="15.75" customHeight="1">
      <c r="A829" s="385"/>
      <c r="B829" s="385"/>
      <c r="C829" s="526"/>
      <c r="D829" s="385"/>
      <c r="E829" s="385"/>
      <c r="F829" s="385"/>
      <c r="G829" s="385"/>
      <c r="H829" s="30"/>
      <c r="I829" s="385"/>
      <c r="J829" s="385"/>
      <c r="K829" s="385"/>
      <c r="L829" s="385"/>
      <c r="M829" s="385"/>
      <c r="N829" s="385"/>
      <c r="O829" s="385"/>
      <c r="P829" s="385"/>
      <c r="Q829" s="385"/>
      <c r="R829" s="385"/>
      <c r="S829" s="385"/>
      <c r="T829" s="385"/>
      <c r="U829" s="385"/>
      <c r="V829" s="385"/>
      <c r="W829" s="385"/>
      <c r="X829" s="385"/>
      <c r="Y829" s="385"/>
      <c r="Z829" s="385"/>
      <c r="AA829" s="385"/>
      <c r="AB829" s="385"/>
    </row>
    <row r="830" spans="1:28" ht="15.75" customHeight="1">
      <c r="A830" s="385"/>
      <c r="B830" s="385"/>
      <c r="C830" s="526"/>
      <c r="D830" s="385"/>
      <c r="E830" s="385"/>
      <c r="F830" s="385"/>
      <c r="G830" s="385"/>
      <c r="H830" s="30"/>
      <c r="I830" s="385"/>
      <c r="J830" s="385"/>
      <c r="K830" s="385"/>
      <c r="L830" s="385"/>
      <c r="M830" s="385"/>
      <c r="N830" s="385"/>
      <c r="O830" s="385"/>
      <c r="P830" s="385"/>
      <c r="Q830" s="385"/>
      <c r="R830" s="385"/>
      <c r="S830" s="385"/>
      <c r="T830" s="385"/>
      <c r="U830" s="385"/>
      <c r="V830" s="385"/>
      <c r="W830" s="385"/>
      <c r="X830" s="385"/>
      <c r="Y830" s="385"/>
      <c r="Z830" s="385"/>
      <c r="AA830" s="385"/>
      <c r="AB830" s="385"/>
    </row>
    <row r="831" spans="1:28" ht="15.75" customHeight="1">
      <c r="A831" s="385"/>
      <c r="B831" s="385"/>
      <c r="C831" s="526"/>
      <c r="D831" s="385"/>
      <c r="E831" s="385"/>
      <c r="F831" s="385"/>
      <c r="G831" s="385"/>
      <c r="H831" s="30"/>
      <c r="I831" s="385"/>
      <c r="J831" s="385"/>
      <c r="K831" s="385"/>
      <c r="L831" s="385"/>
      <c r="M831" s="385"/>
      <c r="N831" s="385"/>
      <c r="O831" s="385"/>
      <c r="P831" s="385"/>
      <c r="Q831" s="385"/>
      <c r="R831" s="385"/>
      <c r="S831" s="385"/>
      <c r="T831" s="385"/>
      <c r="U831" s="385"/>
      <c r="V831" s="385"/>
      <c r="W831" s="385"/>
      <c r="X831" s="385"/>
      <c r="Y831" s="385"/>
      <c r="Z831" s="385"/>
      <c r="AA831" s="385"/>
      <c r="AB831" s="385"/>
    </row>
    <row r="832" spans="1:28" ht="15.75" customHeight="1">
      <c r="A832" s="385"/>
      <c r="B832" s="385"/>
      <c r="C832" s="526"/>
      <c r="D832" s="385"/>
      <c r="E832" s="385"/>
      <c r="F832" s="385"/>
      <c r="G832" s="385"/>
      <c r="H832" s="30"/>
      <c r="I832" s="385"/>
      <c r="J832" s="385"/>
      <c r="K832" s="385"/>
      <c r="L832" s="385"/>
      <c r="M832" s="385"/>
      <c r="N832" s="385"/>
      <c r="O832" s="385"/>
      <c r="P832" s="385"/>
      <c r="Q832" s="385"/>
      <c r="R832" s="385"/>
      <c r="S832" s="385"/>
      <c r="T832" s="385"/>
      <c r="U832" s="385"/>
      <c r="V832" s="385"/>
      <c r="W832" s="385"/>
      <c r="X832" s="385"/>
      <c r="Y832" s="385"/>
      <c r="Z832" s="385"/>
      <c r="AA832" s="385"/>
      <c r="AB832" s="385"/>
    </row>
    <row r="833" spans="1:28" ht="15.75" customHeight="1">
      <c r="A833" s="385"/>
      <c r="B833" s="385"/>
      <c r="C833" s="526"/>
      <c r="D833" s="385"/>
      <c r="E833" s="385"/>
      <c r="F833" s="385"/>
      <c r="G833" s="385"/>
      <c r="H833" s="30"/>
      <c r="I833" s="385"/>
      <c r="J833" s="385"/>
      <c r="K833" s="385"/>
      <c r="L833" s="385"/>
      <c r="M833" s="385"/>
      <c r="N833" s="385"/>
      <c r="O833" s="385"/>
      <c r="P833" s="385"/>
      <c r="Q833" s="385"/>
      <c r="R833" s="385"/>
      <c r="S833" s="385"/>
      <c r="T833" s="385"/>
      <c r="U833" s="385"/>
      <c r="V833" s="385"/>
      <c r="W833" s="385"/>
      <c r="X833" s="385"/>
      <c r="Y833" s="385"/>
      <c r="Z833" s="385"/>
      <c r="AA833" s="385"/>
      <c r="AB833" s="385"/>
    </row>
    <row r="834" spans="1:28" ht="15.75" customHeight="1">
      <c r="A834" s="385"/>
      <c r="B834" s="385"/>
      <c r="C834" s="526"/>
      <c r="D834" s="385"/>
      <c r="E834" s="385"/>
      <c r="F834" s="385"/>
      <c r="G834" s="385"/>
      <c r="H834" s="30"/>
      <c r="I834" s="385"/>
      <c r="J834" s="385"/>
      <c r="K834" s="385"/>
      <c r="L834" s="385"/>
      <c r="M834" s="385"/>
      <c r="N834" s="385"/>
      <c r="O834" s="385"/>
      <c r="P834" s="385"/>
      <c r="Q834" s="385"/>
      <c r="R834" s="385"/>
      <c r="S834" s="385"/>
      <c r="T834" s="385"/>
      <c r="U834" s="385"/>
      <c r="V834" s="385"/>
      <c r="W834" s="385"/>
      <c r="X834" s="385"/>
      <c r="Y834" s="385"/>
      <c r="Z834" s="385"/>
      <c r="AA834" s="385"/>
      <c r="AB834" s="385"/>
    </row>
    <row r="835" spans="1:28" ht="15.75" customHeight="1">
      <c r="A835" s="385"/>
      <c r="B835" s="385"/>
      <c r="C835" s="526"/>
      <c r="D835" s="385"/>
      <c r="E835" s="385"/>
      <c r="F835" s="385"/>
      <c r="G835" s="385"/>
      <c r="H835" s="30"/>
      <c r="I835" s="385"/>
      <c r="J835" s="385"/>
      <c r="K835" s="385"/>
      <c r="L835" s="385"/>
      <c r="M835" s="385"/>
      <c r="N835" s="385"/>
      <c r="O835" s="385"/>
      <c r="P835" s="385"/>
      <c r="Q835" s="385"/>
      <c r="R835" s="385"/>
      <c r="S835" s="385"/>
      <c r="T835" s="385"/>
      <c r="U835" s="385"/>
      <c r="V835" s="385"/>
      <c r="W835" s="385"/>
      <c r="X835" s="385"/>
      <c r="Y835" s="385"/>
      <c r="Z835" s="385"/>
      <c r="AA835" s="385"/>
      <c r="AB835" s="385"/>
    </row>
    <row r="836" spans="1:28" ht="15.75" customHeight="1">
      <c r="A836" s="385"/>
      <c r="B836" s="385"/>
      <c r="C836" s="526"/>
      <c r="D836" s="385"/>
      <c r="E836" s="385"/>
      <c r="F836" s="385"/>
      <c r="G836" s="385"/>
      <c r="H836" s="30"/>
      <c r="I836" s="385"/>
      <c r="J836" s="385"/>
      <c r="K836" s="385"/>
      <c r="L836" s="385"/>
      <c r="M836" s="385"/>
      <c r="N836" s="385"/>
      <c r="O836" s="385"/>
      <c r="P836" s="385"/>
      <c r="Q836" s="385"/>
      <c r="R836" s="385"/>
      <c r="S836" s="385"/>
      <c r="T836" s="385"/>
      <c r="U836" s="385"/>
      <c r="V836" s="385"/>
      <c r="W836" s="385"/>
      <c r="X836" s="385"/>
      <c r="Y836" s="385"/>
      <c r="Z836" s="385"/>
      <c r="AA836" s="385"/>
      <c r="AB836" s="385"/>
    </row>
    <row r="837" spans="1:28" ht="15.75" customHeight="1">
      <c r="A837" s="385"/>
      <c r="B837" s="385"/>
      <c r="C837" s="526"/>
      <c r="D837" s="385"/>
      <c r="E837" s="385"/>
      <c r="F837" s="385"/>
      <c r="G837" s="385"/>
      <c r="H837" s="30"/>
      <c r="I837" s="385"/>
      <c r="J837" s="385"/>
      <c r="K837" s="385"/>
      <c r="L837" s="385"/>
      <c r="M837" s="385"/>
      <c r="N837" s="385"/>
      <c r="O837" s="385"/>
      <c r="P837" s="385"/>
      <c r="Q837" s="385"/>
      <c r="R837" s="385"/>
      <c r="S837" s="385"/>
      <c r="T837" s="385"/>
      <c r="U837" s="385"/>
      <c r="V837" s="385"/>
      <c r="W837" s="385"/>
      <c r="X837" s="385"/>
      <c r="Y837" s="385"/>
      <c r="Z837" s="385"/>
      <c r="AA837" s="385"/>
      <c r="AB837" s="385"/>
    </row>
    <row r="838" spans="1:28" ht="15.75" customHeight="1">
      <c r="A838" s="385"/>
      <c r="B838" s="385"/>
      <c r="C838" s="526"/>
      <c r="D838" s="385"/>
      <c r="E838" s="385"/>
      <c r="F838" s="385"/>
      <c r="G838" s="385"/>
      <c r="H838" s="30"/>
      <c r="I838" s="385"/>
      <c r="J838" s="385"/>
      <c r="K838" s="385"/>
      <c r="L838" s="385"/>
      <c r="M838" s="385"/>
      <c r="N838" s="385"/>
      <c r="O838" s="385"/>
      <c r="P838" s="385"/>
      <c r="Q838" s="385"/>
      <c r="R838" s="385"/>
      <c r="S838" s="385"/>
      <c r="T838" s="385"/>
      <c r="U838" s="385"/>
      <c r="V838" s="385"/>
      <c r="W838" s="385"/>
      <c r="X838" s="385"/>
      <c r="Y838" s="385"/>
      <c r="Z838" s="385"/>
      <c r="AA838" s="385"/>
      <c r="AB838" s="385"/>
    </row>
    <row r="839" spans="1:28" ht="15.75" customHeight="1">
      <c r="A839" s="385"/>
      <c r="B839" s="385"/>
      <c r="C839" s="526"/>
      <c r="D839" s="385"/>
      <c r="E839" s="385"/>
      <c r="F839" s="385"/>
      <c r="G839" s="385"/>
      <c r="H839" s="30"/>
      <c r="I839" s="385"/>
      <c r="J839" s="385"/>
      <c r="K839" s="385"/>
      <c r="L839" s="385"/>
      <c r="M839" s="385"/>
      <c r="N839" s="385"/>
      <c r="O839" s="385"/>
      <c r="P839" s="385"/>
      <c r="Q839" s="385"/>
      <c r="R839" s="385"/>
      <c r="S839" s="385"/>
      <c r="T839" s="385"/>
      <c r="U839" s="385"/>
      <c r="V839" s="385"/>
      <c r="W839" s="385"/>
      <c r="X839" s="385"/>
      <c r="Y839" s="385"/>
      <c r="Z839" s="385"/>
      <c r="AA839" s="385"/>
      <c r="AB839" s="385"/>
    </row>
    <row r="840" spans="1:28" ht="15.75" customHeight="1">
      <c r="A840" s="385"/>
      <c r="B840" s="385"/>
      <c r="C840" s="526"/>
      <c r="D840" s="385"/>
      <c r="E840" s="385"/>
      <c r="F840" s="385"/>
      <c r="G840" s="385"/>
      <c r="H840" s="30"/>
      <c r="I840" s="385"/>
      <c r="J840" s="385"/>
      <c r="K840" s="385"/>
      <c r="L840" s="385"/>
      <c r="M840" s="385"/>
      <c r="N840" s="385"/>
      <c r="O840" s="385"/>
      <c r="P840" s="385"/>
      <c r="Q840" s="385"/>
      <c r="R840" s="385"/>
      <c r="S840" s="385"/>
      <c r="T840" s="385"/>
      <c r="U840" s="385"/>
      <c r="V840" s="385"/>
      <c r="W840" s="385"/>
      <c r="X840" s="385"/>
      <c r="Y840" s="385"/>
      <c r="Z840" s="385"/>
      <c r="AA840" s="385"/>
      <c r="AB840" s="385"/>
    </row>
    <row r="841" spans="1:28" ht="15.75" customHeight="1">
      <c r="A841" s="385"/>
      <c r="B841" s="385"/>
      <c r="C841" s="526"/>
      <c r="D841" s="385"/>
      <c r="E841" s="385"/>
      <c r="F841" s="385"/>
      <c r="G841" s="385"/>
      <c r="H841" s="30"/>
      <c r="I841" s="385"/>
      <c r="J841" s="385"/>
      <c r="K841" s="385"/>
      <c r="L841" s="385"/>
      <c r="M841" s="385"/>
      <c r="N841" s="385"/>
      <c r="O841" s="385"/>
      <c r="P841" s="385"/>
      <c r="Q841" s="385"/>
      <c r="R841" s="385"/>
      <c r="S841" s="385"/>
      <c r="T841" s="385"/>
      <c r="U841" s="385"/>
      <c r="V841" s="385"/>
      <c r="W841" s="385"/>
      <c r="X841" s="385"/>
      <c r="Y841" s="385"/>
      <c r="Z841" s="385"/>
      <c r="AA841" s="385"/>
      <c r="AB841" s="385"/>
    </row>
    <row r="842" spans="1:28" ht="15.75" customHeight="1">
      <c r="A842" s="385"/>
      <c r="B842" s="385"/>
      <c r="C842" s="526"/>
      <c r="D842" s="385"/>
      <c r="E842" s="385"/>
      <c r="F842" s="385"/>
      <c r="G842" s="385"/>
      <c r="H842" s="30"/>
      <c r="I842" s="385"/>
      <c r="J842" s="385"/>
      <c r="K842" s="385"/>
      <c r="L842" s="385"/>
      <c r="M842" s="385"/>
      <c r="N842" s="385"/>
      <c r="O842" s="385"/>
      <c r="P842" s="385"/>
      <c r="Q842" s="385"/>
      <c r="R842" s="385"/>
      <c r="S842" s="385"/>
      <c r="T842" s="385"/>
      <c r="U842" s="385"/>
      <c r="V842" s="385"/>
      <c r="W842" s="385"/>
      <c r="X842" s="385"/>
      <c r="Y842" s="385"/>
      <c r="Z842" s="385"/>
      <c r="AA842" s="385"/>
      <c r="AB842" s="385"/>
    </row>
    <row r="843" spans="1:28" ht="15.75" customHeight="1">
      <c r="A843" s="385"/>
      <c r="B843" s="385"/>
      <c r="C843" s="526"/>
      <c r="D843" s="385"/>
      <c r="E843" s="385"/>
      <c r="F843" s="385"/>
      <c r="G843" s="385"/>
      <c r="H843" s="30"/>
      <c r="I843" s="385"/>
      <c r="J843" s="385"/>
      <c r="K843" s="385"/>
      <c r="L843" s="385"/>
      <c r="M843" s="385"/>
      <c r="N843" s="385"/>
      <c r="O843" s="385"/>
      <c r="P843" s="385"/>
      <c r="Q843" s="385"/>
      <c r="R843" s="385"/>
      <c r="S843" s="385"/>
      <c r="T843" s="385"/>
      <c r="U843" s="385"/>
      <c r="V843" s="385"/>
      <c r="W843" s="385"/>
      <c r="X843" s="385"/>
      <c r="Y843" s="385"/>
      <c r="Z843" s="385"/>
      <c r="AA843" s="385"/>
      <c r="AB843" s="385"/>
    </row>
    <row r="844" spans="1:28" ht="15.75" customHeight="1">
      <c r="A844" s="385"/>
      <c r="B844" s="385"/>
      <c r="C844" s="526"/>
      <c r="D844" s="385"/>
      <c r="E844" s="385"/>
      <c r="F844" s="385"/>
      <c r="G844" s="385"/>
      <c r="H844" s="30"/>
      <c r="I844" s="385"/>
      <c r="J844" s="385"/>
      <c r="K844" s="385"/>
      <c r="L844" s="385"/>
      <c r="M844" s="385"/>
      <c r="N844" s="385"/>
      <c r="O844" s="385"/>
      <c r="P844" s="385"/>
      <c r="Q844" s="385"/>
      <c r="R844" s="385"/>
      <c r="S844" s="385"/>
      <c r="T844" s="385"/>
      <c r="U844" s="385"/>
      <c r="V844" s="385"/>
      <c r="W844" s="385"/>
      <c r="X844" s="385"/>
      <c r="Y844" s="385"/>
      <c r="Z844" s="385"/>
      <c r="AA844" s="385"/>
      <c r="AB844" s="385"/>
    </row>
    <row r="845" spans="1:28" ht="15.75" customHeight="1">
      <c r="A845" s="385"/>
      <c r="B845" s="385"/>
      <c r="C845" s="526"/>
      <c r="D845" s="385"/>
      <c r="E845" s="385"/>
      <c r="F845" s="385"/>
      <c r="G845" s="385"/>
      <c r="H845" s="30"/>
      <c r="I845" s="385"/>
      <c r="J845" s="385"/>
      <c r="K845" s="385"/>
      <c r="L845" s="385"/>
      <c r="M845" s="385"/>
      <c r="N845" s="385"/>
      <c r="O845" s="385"/>
      <c r="P845" s="385"/>
      <c r="Q845" s="385"/>
      <c r="R845" s="385"/>
      <c r="S845" s="385"/>
      <c r="T845" s="385"/>
      <c r="U845" s="385"/>
      <c r="V845" s="385"/>
      <c r="W845" s="385"/>
      <c r="X845" s="385"/>
      <c r="Y845" s="385"/>
      <c r="Z845" s="385"/>
      <c r="AA845" s="385"/>
      <c r="AB845" s="385"/>
    </row>
    <row r="846" spans="1:28" ht="15.75" customHeight="1">
      <c r="A846" s="385"/>
      <c r="B846" s="385"/>
      <c r="C846" s="526"/>
      <c r="D846" s="385"/>
      <c r="E846" s="385"/>
      <c r="F846" s="385"/>
      <c r="G846" s="385"/>
      <c r="H846" s="30"/>
      <c r="I846" s="385"/>
      <c r="J846" s="385"/>
      <c r="K846" s="385"/>
      <c r="L846" s="385"/>
      <c r="M846" s="385"/>
      <c r="N846" s="385"/>
      <c r="O846" s="385"/>
      <c r="P846" s="385"/>
      <c r="Q846" s="385"/>
      <c r="R846" s="385"/>
      <c r="S846" s="385"/>
      <c r="T846" s="385"/>
      <c r="U846" s="385"/>
      <c r="V846" s="385"/>
      <c r="W846" s="385"/>
      <c r="X846" s="385"/>
      <c r="Y846" s="385"/>
      <c r="Z846" s="385"/>
      <c r="AA846" s="385"/>
      <c r="AB846" s="385"/>
    </row>
    <row r="847" spans="1:28" ht="15.75" customHeight="1">
      <c r="A847" s="385"/>
      <c r="B847" s="385"/>
      <c r="C847" s="526"/>
      <c r="D847" s="385"/>
      <c r="E847" s="385"/>
      <c r="F847" s="385"/>
      <c r="G847" s="385"/>
      <c r="H847" s="30"/>
      <c r="I847" s="385"/>
      <c r="J847" s="385"/>
      <c r="K847" s="385"/>
      <c r="L847" s="385"/>
      <c r="M847" s="385"/>
      <c r="N847" s="385"/>
      <c r="O847" s="385"/>
      <c r="P847" s="385"/>
      <c r="Q847" s="385"/>
      <c r="R847" s="385"/>
      <c r="S847" s="385"/>
      <c r="T847" s="385"/>
      <c r="U847" s="385"/>
      <c r="V847" s="385"/>
      <c r="W847" s="385"/>
      <c r="X847" s="385"/>
      <c r="Y847" s="385"/>
      <c r="Z847" s="385"/>
      <c r="AA847" s="385"/>
      <c r="AB847" s="385"/>
    </row>
    <row r="848" spans="1:28" ht="15.75" customHeight="1">
      <c r="A848" s="385"/>
      <c r="B848" s="385"/>
      <c r="C848" s="526"/>
      <c r="D848" s="385"/>
      <c r="E848" s="385"/>
      <c r="F848" s="385"/>
      <c r="G848" s="385"/>
      <c r="H848" s="30"/>
      <c r="I848" s="385"/>
      <c r="J848" s="385"/>
      <c r="K848" s="385"/>
      <c r="L848" s="385"/>
      <c r="M848" s="385"/>
      <c r="N848" s="385"/>
      <c r="O848" s="385"/>
      <c r="P848" s="385"/>
      <c r="Q848" s="385"/>
      <c r="R848" s="385"/>
      <c r="S848" s="385"/>
      <c r="T848" s="385"/>
      <c r="U848" s="385"/>
      <c r="V848" s="385"/>
      <c r="W848" s="385"/>
      <c r="X848" s="385"/>
      <c r="Y848" s="385"/>
      <c r="Z848" s="385"/>
      <c r="AA848" s="385"/>
      <c r="AB848" s="385"/>
    </row>
    <row r="849" spans="1:28" ht="15.75" customHeight="1">
      <c r="A849" s="385"/>
      <c r="B849" s="385"/>
      <c r="C849" s="526"/>
      <c r="D849" s="385"/>
      <c r="E849" s="385"/>
      <c r="F849" s="385"/>
      <c r="G849" s="385"/>
      <c r="H849" s="30"/>
      <c r="I849" s="385"/>
      <c r="J849" s="385"/>
      <c r="K849" s="385"/>
      <c r="L849" s="385"/>
      <c r="M849" s="385"/>
      <c r="N849" s="385"/>
      <c r="O849" s="385"/>
      <c r="P849" s="385"/>
      <c r="Q849" s="385"/>
      <c r="R849" s="385"/>
      <c r="S849" s="385"/>
      <c r="T849" s="385"/>
      <c r="U849" s="385"/>
      <c r="V849" s="385"/>
      <c r="W849" s="385"/>
      <c r="X849" s="385"/>
      <c r="Y849" s="385"/>
      <c r="Z849" s="385"/>
      <c r="AA849" s="385"/>
      <c r="AB849" s="385"/>
    </row>
    <row r="850" spans="1:28" ht="15.75" customHeight="1">
      <c r="A850" s="385"/>
      <c r="B850" s="385"/>
      <c r="C850" s="526"/>
      <c r="D850" s="385"/>
      <c r="E850" s="385"/>
      <c r="F850" s="385"/>
      <c r="G850" s="385"/>
      <c r="H850" s="30"/>
      <c r="I850" s="385"/>
      <c r="J850" s="385"/>
      <c r="K850" s="385"/>
      <c r="L850" s="385"/>
      <c r="M850" s="385"/>
      <c r="N850" s="385"/>
      <c r="O850" s="385"/>
      <c r="P850" s="385"/>
      <c r="Q850" s="385"/>
      <c r="R850" s="385"/>
      <c r="S850" s="385"/>
      <c r="T850" s="385"/>
      <c r="U850" s="385"/>
      <c r="V850" s="385"/>
      <c r="W850" s="385"/>
      <c r="X850" s="385"/>
      <c r="Y850" s="385"/>
      <c r="Z850" s="385"/>
      <c r="AA850" s="385"/>
      <c r="AB850" s="385"/>
    </row>
    <row r="851" spans="1:28" ht="15.75" customHeight="1">
      <c r="A851" s="385"/>
      <c r="B851" s="385"/>
      <c r="C851" s="526"/>
      <c r="D851" s="385"/>
      <c r="E851" s="385"/>
      <c r="F851" s="385"/>
      <c r="G851" s="385"/>
      <c r="H851" s="30"/>
      <c r="I851" s="385"/>
      <c r="J851" s="385"/>
      <c r="K851" s="385"/>
      <c r="L851" s="385"/>
      <c r="M851" s="385"/>
      <c r="N851" s="385"/>
      <c r="O851" s="385"/>
      <c r="P851" s="385"/>
      <c r="Q851" s="385"/>
      <c r="R851" s="385"/>
      <c r="S851" s="385"/>
      <c r="T851" s="385"/>
      <c r="U851" s="385"/>
      <c r="V851" s="385"/>
      <c r="W851" s="385"/>
      <c r="X851" s="385"/>
      <c r="Y851" s="385"/>
      <c r="Z851" s="385"/>
      <c r="AA851" s="385"/>
      <c r="AB851" s="385"/>
    </row>
    <row r="852" spans="1:28" ht="15.75" customHeight="1">
      <c r="A852" s="385"/>
      <c r="B852" s="385"/>
      <c r="C852" s="526"/>
      <c r="D852" s="385"/>
      <c r="E852" s="385"/>
      <c r="F852" s="385"/>
      <c r="G852" s="385"/>
      <c r="H852" s="30"/>
      <c r="I852" s="385"/>
      <c r="J852" s="385"/>
      <c r="K852" s="385"/>
      <c r="L852" s="385"/>
      <c r="M852" s="385"/>
      <c r="N852" s="385"/>
      <c r="O852" s="385"/>
      <c r="P852" s="385"/>
      <c r="Q852" s="385"/>
      <c r="R852" s="385"/>
      <c r="S852" s="385"/>
      <c r="T852" s="385"/>
      <c r="U852" s="385"/>
      <c r="V852" s="385"/>
      <c r="W852" s="385"/>
      <c r="X852" s="385"/>
      <c r="Y852" s="385"/>
      <c r="Z852" s="385"/>
      <c r="AA852" s="385"/>
      <c r="AB852" s="385"/>
    </row>
    <row r="853" spans="1:28" ht="15.75" customHeight="1">
      <c r="A853" s="385"/>
      <c r="B853" s="385"/>
      <c r="C853" s="526"/>
      <c r="D853" s="385"/>
      <c r="E853" s="385"/>
      <c r="F853" s="385"/>
      <c r="G853" s="385"/>
      <c r="H853" s="30"/>
      <c r="I853" s="385"/>
      <c r="J853" s="385"/>
      <c r="K853" s="385"/>
      <c r="L853" s="385"/>
      <c r="M853" s="385"/>
      <c r="N853" s="385"/>
      <c r="O853" s="385"/>
      <c r="P853" s="385"/>
      <c r="Q853" s="385"/>
      <c r="R853" s="385"/>
      <c r="S853" s="385"/>
      <c r="T853" s="385"/>
      <c r="U853" s="385"/>
      <c r="V853" s="385"/>
      <c r="W853" s="385"/>
      <c r="X853" s="385"/>
      <c r="Y853" s="385"/>
      <c r="Z853" s="385"/>
      <c r="AA853" s="385"/>
      <c r="AB853" s="385"/>
    </row>
    <row r="854" spans="1:28" ht="15.75" customHeight="1">
      <c r="A854" s="385"/>
      <c r="B854" s="385"/>
      <c r="C854" s="526"/>
      <c r="D854" s="385"/>
      <c r="E854" s="385"/>
      <c r="F854" s="385"/>
      <c r="G854" s="385"/>
      <c r="H854" s="30"/>
      <c r="I854" s="385"/>
      <c r="J854" s="385"/>
      <c r="K854" s="385"/>
      <c r="L854" s="385"/>
      <c r="M854" s="385"/>
      <c r="N854" s="385"/>
      <c r="O854" s="385"/>
      <c r="P854" s="385"/>
      <c r="Q854" s="385"/>
      <c r="R854" s="385"/>
      <c r="S854" s="385"/>
      <c r="T854" s="385"/>
      <c r="U854" s="385"/>
      <c r="V854" s="385"/>
      <c r="W854" s="385"/>
      <c r="X854" s="385"/>
      <c r="Y854" s="385"/>
      <c r="Z854" s="385"/>
      <c r="AA854" s="385"/>
      <c r="AB854" s="385"/>
    </row>
    <row r="855" spans="1:28" ht="15.75" customHeight="1">
      <c r="A855" s="385"/>
      <c r="B855" s="385"/>
      <c r="C855" s="526"/>
      <c r="D855" s="385"/>
      <c r="E855" s="385"/>
      <c r="F855" s="385"/>
      <c r="G855" s="385"/>
      <c r="H855" s="30"/>
      <c r="I855" s="385"/>
      <c r="J855" s="385"/>
      <c r="K855" s="385"/>
      <c r="L855" s="385"/>
      <c r="M855" s="385"/>
      <c r="N855" s="385"/>
      <c r="O855" s="385"/>
      <c r="P855" s="385"/>
      <c r="Q855" s="385"/>
      <c r="R855" s="385"/>
      <c r="S855" s="385"/>
      <c r="T855" s="385"/>
      <c r="U855" s="385"/>
      <c r="V855" s="385"/>
      <c r="W855" s="385"/>
      <c r="X855" s="385"/>
      <c r="Y855" s="385"/>
      <c r="Z855" s="385"/>
      <c r="AA855" s="385"/>
      <c r="AB855" s="385"/>
    </row>
    <row r="856" spans="1:28" ht="15.75" customHeight="1">
      <c r="A856" s="385"/>
      <c r="B856" s="385"/>
      <c r="C856" s="526"/>
      <c r="D856" s="385"/>
      <c r="E856" s="385"/>
      <c r="F856" s="385"/>
      <c r="G856" s="385"/>
      <c r="H856" s="30"/>
      <c r="I856" s="385"/>
      <c r="J856" s="385"/>
      <c r="K856" s="385"/>
      <c r="L856" s="385"/>
      <c r="M856" s="385"/>
      <c r="N856" s="385"/>
      <c r="O856" s="385"/>
      <c r="P856" s="385"/>
      <c r="Q856" s="385"/>
      <c r="R856" s="385"/>
      <c r="S856" s="385"/>
      <c r="T856" s="385"/>
      <c r="U856" s="385"/>
      <c r="V856" s="385"/>
      <c r="W856" s="385"/>
      <c r="X856" s="385"/>
      <c r="Y856" s="385"/>
      <c r="Z856" s="385"/>
      <c r="AA856" s="385"/>
      <c r="AB856" s="385"/>
    </row>
    <row r="857" spans="1:28" ht="15.75" customHeight="1">
      <c r="A857" s="385"/>
      <c r="B857" s="385"/>
      <c r="C857" s="526"/>
      <c r="D857" s="385"/>
      <c r="E857" s="385"/>
      <c r="F857" s="385"/>
      <c r="G857" s="385"/>
      <c r="H857" s="30"/>
      <c r="I857" s="385"/>
      <c r="J857" s="385"/>
      <c r="K857" s="385"/>
      <c r="L857" s="385"/>
      <c r="M857" s="385"/>
      <c r="N857" s="385"/>
      <c r="O857" s="385"/>
      <c r="P857" s="385"/>
      <c r="Q857" s="385"/>
      <c r="R857" s="385"/>
      <c r="S857" s="385"/>
      <c r="T857" s="385"/>
      <c r="U857" s="385"/>
      <c r="V857" s="385"/>
      <c r="W857" s="385"/>
      <c r="X857" s="385"/>
      <c r="Y857" s="385"/>
      <c r="Z857" s="385"/>
      <c r="AA857" s="385"/>
      <c r="AB857" s="385"/>
    </row>
    <row r="858" spans="1:28" ht="15.75" customHeight="1">
      <c r="A858" s="385"/>
      <c r="B858" s="385"/>
      <c r="C858" s="526"/>
      <c r="D858" s="385"/>
      <c r="E858" s="385"/>
      <c r="F858" s="385"/>
      <c r="G858" s="385"/>
      <c r="H858" s="30"/>
      <c r="I858" s="385"/>
      <c r="J858" s="385"/>
      <c r="K858" s="385"/>
      <c r="L858" s="385"/>
      <c r="M858" s="385"/>
      <c r="N858" s="385"/>
      <c r="O858" s="385"/>
      <c r="P858" s="385"/>
      <c r="Q858" s="385"/>
      <c r="R858" s="385"/>
      <c r="S858" s="385"/>
      <c r="T858" s="385"/>
      <c r="U858" s="385"/>
      <c r="V858" s="385"/>
      <c r="W858" s="385"/>
      <c r="X858" s="385"/>
      <c r="Y858" s="385"/>
      <c r="Z858" s="385"/>
      <c r="AA858" s="385"/>
      <c r="AB858" s="385"/>
    </row>
    <row r="859" spans="1:28" ht="15.75" customHeight="1">
      <c r="A859" s="385"/>
      <c r="B859" s="385"/>
      <c r="C859" s="526"/>
      <c r="D859" s="385"/>
      <c r="E859" s="385"/>
      <c r="F859" s="385"/>
      <c r="G859" s="385"/>
      <c r="H859" s="30"/>
      <c r="I859" s="385"/>
      <c r="J859" s="385"/>
      <c r="K859" s="385"/>
      <c r="L859" s="385"/>
      <c r="M859" s="385"/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  <c r="Y859" s="385"/>
      <c r="Z859" s="385"/>
      <c r="AA859" s="385"/>
      <c r="AB859" s="385"/>
    </row>
    <row r="860" spans="1:28" ht="15.75" customHeight="1">
      <c r="A860" s="385"/>
      <c r="B860" s="385"/>
      <c r="C860" s="526"/>
      <c r="D860" s="385"/>
      <c r="E860" s="385"/>
      <c r="F860" s="385"/>
      <c r="G860" s="385"/>
      <c r="H860" s="30"/>
      <c r="I860" s="385"/>
      <c r="J860" s="385"/>
      <c r="K860" s="385"/>
      <c r="L860" s="385"/>
      <c r="M860" s="385"/>
      <c r="N860" s="385"/>
      <c r="O860" s="385"/>
      <c r="P860" s="385"/>
      <c r="Q860" s="385"/>
      <c r="R860" s="385"/>
      <c r="S860" s="385"/>
      <c r="T860" s="385"/>
      <c r="U860" s="385"/>
      <c r="V860" s="385"/>
      <c r="W860" s="385"/>
      <c r="X860" s="385"/>
      <c r="Y860" s="385"/>
      <c r="Z860" s="385"/>
      <c r="AA860" s="385"/>
      <c r="AB860" s="385"/>
    </row>
    <row r="861" spans="1:28" ht="15.75" customHeight="1">
      <c r="A861" s="385"/>
      <c r="B861" s="385"/>
      <c r="C861" s="526"/>
      <c r="D861" s="385"/>
      <c r="E861" s="385"/>
      <c r="F861" s="385"/>
      <c r="G861" s="385"/>
      <c r="H861" s="30"/>
      <c r="I861" s="385"/>
      <c r="J861" s="385"/>
      <c r="K861" s="385"/>
      <c r="L861" s="385"/>
      <c r="M861" s="385"/>
      <c r="N861" s="385"/>
      <c r="O861" s="385"/>
      <c r="P861" s="385"/>
      <c r="Q861" s="385"/>
      <c r="R861" s="385"/>
      <c r="S861" s="385"/>
      <c r="T861" s="385"/>
      <c r="U861" s="385"/>
      <c r="V861" s="385"/>
      <c r="W861" s="385"/>
      <c r="X861" s="385"/>
      <c r="Y861" s="385"/>
      <c r="Z861" s="385"/>
      <c r="AA861" s="385"/>
      <c r="AB861" s="385"/>
    </row>
    <row r="862" spans="1:28" ht="15.75" customHeight="1">
      <c r="A862" s="385"/>
      <c r="B862" s="385"/>
      <c r="C862" s="526"/>
      <c r="D862" s="385"/>
      <c r="E862" s="385"/>
      <c r="F862" s="385"/>
      <c r="G862" s="385"/>
      <c r="H862" s="30"/>
      <c r="I862" s="385"/>
      <c r="J862" s="385"/>
      <c r="K862" s="385"/>
      <c r="L862" s="385"/>
      <c r="M862" s="385"/>
      <c r="N862" s="385"/>
      <c r="O862" s="385"/>
      <c r="P862" s="385"/>
      <c r="Q862" s="385"/>
      <c r="R862" s="385"/>
      <c r="S862" s="385"/>
      <c r="T862" s="385"/>
      <c r="U862" s="385"/>
      <c r="V862" s="385"/>
      <c r="W862" s="385"/>
      <c r="X862" s="385"/>
      <c r="Y862" s="385"/>
      <c r="Z862" s="385"/>
      <c r="AA862" s="385"/>
      <c r="AB862" s="385"/>
    </row>
    <row r="863" spans="1:28" ht="15.75" customHeight="1">
      <c r="A863" s="385"/>
      <c r="B863" s="385"/>
      <c r="C863" s="526"/>
      <c r="D863" s="385"/>
      <c r="E863" s="385"/>
      <c r="F863" s="385"/>
      <c r="G863" s="385"/>
      <c r="H863" s="30"/>
      <c r="I863" s="385"/>
      <c r="J863" s="385"/>
      <c r="K863" s="385"/>
      <c r="L863" s="385"/>
      <c r="M863" s="385"/>
      <c r="N863" s="385"/>
      <c r="O863" s="385"/>
      <c r="P863" s="385"/>
      <c r="Q863" s="385"/>
      <c r="R863" s="385"/>
      <c r="S863" s="385"/>
      <c r="T863" s="385"/>
      <c r="U863" s="385"/>
      <c r="V863" s="385"/>
      <c r="W863" s="385"/>
      <c r="X863" s="385"/>
      <c r="Y863" s="385"/>
      <c r="Z863" s="385"/>
      <c r="AA863" s="385"/>
      <c r="AB863" s="385"/>
    </row>
    <row r="864" spans="1:28" ht="15.75" customHeight="1">
      <c r="A864" s="385"/>
      <c r="B864" s="385"/>
      <c r="C864" s="526"/>
      <c r="D864" s="385"/>
      <c r="E864" s="385"/>
      <c r="F864" s="385"/>
      <c r="G864" s="385"/>
      <c r="H864" s="30"/>
      <c r="I864" s="385"/>
      <c r="J864" s="385"/>
      <c r="K864" s="385"/>
      <c r="L864" s="385"/>
      <c r="M864" s="385"/>
      <c r="N864" s="385"/>
      <c r="O864" s="385"/>
      <c r="P864" s="385"/>
      <c r="Q864" s="385"/>
      <c r="R864" s="385"/>
      <c r="S864" s="385"/>
      <c r="T864" s="385"/>
      <c r="U864" s="385"/>
      <c r="V864" s="385"/>
      <c r="W864" s="385"/>
      <c r="X864" s="385"/>
      <c r="Y864" s="385"/>
      <c r="Z864" s="385"/>
      <c r="AA864" s="385"/>
      <c r="AB864" s="385"/>
    </row>
    <row r="865" spans="1:28" ht="15.75" customHeight="1">
      <c r="A865" s="385"/>
      <c r="B865" s="385"/>
      <c r="C865" s="526"/>
      <c r="D865" s="385"/>
      <c r="E865" s="385"/>
      <c r="F865" s="385"/>
      <c r="G865" s="385"/>
      <c r="H865" s="30"/>
      <c r="I865" s="385"/>
      <c r="J865" s="385"/>
      <c r="K865" s="385"/>
      <c r="L865" s="385"/>
      <c r="M865" s="385"/>
      <c r="N865" s="385"/>
      <c r="O865" s="385"/>
      <c r="P865" s="385"/>
      <c r="Q865" s="385"/>
      <c r="R865" s="385"/>
      <c r="S865" s="385"/>
      <c r="T865" s="385"/>
      <c r="U865" s="385"/>
      <c r="V865" s="385"/>
      <c r="W865" s="385"/>
      <c r="X865" s="385"/>
      <c r="Y865" s="385"/>
      <c r="Z865" s="385"/>
      <c r="AA865" s="385"/>
      <c r="AB865" s="385"/>
    </row>
    <row r="866" spans="1:28" ht="15.75" customHeight="1">
      <c r="A866" s="385"/>
      <c r="B866" s="385"/>
      <c r="C866" s="526"/>
      <c r="D866" s="385"/>
      <c r="E866" s="385"/>
      <c r="F866" s="385"/>
      <c r="G866" s="385"/>
      <c r="H866" s="30"/>
      <c r="I866" s="385"/>
      <c r="J866" s="385"/>
      <c r="K866" s="385"/>
      <c r="L866" s="385"/>
      <c r="M866" s="385"/>
      <c r="N866" s="385"/>
      <c r="O866" s="385"/>
      <c r="P866" s="385"/>
      <c r="Q866" s="385"/>
      <c r="R866" s="385"/>
      <c r="S866" s="385"/>
      <c r="T866" s="385"/>
      <c r="U866" s="385"/>
      <c r="V866" s="385"/>
      <c r="W866" s="385"/>
      <c r="X866" s="385"/>
      <c r="Y866" s="385"/>
      <c r="Z866" s="385"/>
      <c r="AA866" s="385"/>
      <c r="AB866" s="385"/>
    </row>
    <row r="867" spans="1:28" ht="15.75" customHeight="1">
      <c r="A867" s="385"/>
      <c r="B867" s="385"/>
      <c r="C867" s="526"/>
      <c r="D867" s="385"/>
      <c r="E867" s="385"/>
      <c r="F867" s="385"/>
      <c r="G867" s="385"/>
      <c r="H867" s="30"/>
      <c r="I867" s="385"/>
      <c r="J867" s="385"/>
      <c r="K867" s="385"/>
      <c r="L867" s="385"/>
      <c r="M867" s="385"/>
      <c r="N867" s="385"/>
      <c r="O867" s="385"/>
      <c r="P867" s="385"/>
      <c r="Q867" s="385"/>
      <c r="R867" s="385"/>
      <c r="S867" s="385"/>
      <c r="T867" s="385"/>
      <c r="U867" s="385"/>
      <c r="V867" s="385"/>
      <c r="W867" s="385"/>
      <c r="X867" s="385"/>
      <c r="Y867" s="385"/>
      <c r="Z867" s="385"/>
      <c r="AA867" s="385"/>
      <c r="AB867" s="385"/>
    </row>
    <row r="868" spans="1:28" ht="15.75" customHeight="1">
      <c r="A868" s="385"/>
      <c r="B868" s="385"/>
      <c r="C868" s="526"/>
      <c r="D868" s="385"/>
      <c r="E868" s="385"/>
      <c r="F868" s="385"/>
      <c r="G868" s="385"/>
      <c r="H868" s="30"/>
      <c r="I868" s="385"/>
      <c r="J868" s="385"/>
      <c r="K868" s="385"/>
      <c r="L868" s="385"/>
      <c r="M868" s="385"/>
      <c r="N868" s="385"/>
      <c r="O868" s="385"/>
      <c r="P868" s="385"/>
      <c r="Q868" s="385"/>
      <c r="R868" s="385"/>
      <c r="S868" s="385"/>
      <c r="T868" s="385"/>
      <c r="U868" s="385"/>
      <c r="V868" s="385"/>
      <c r="W868" s="385"/>
      <c r="X868" s="385"/>
      <c r="Y868" s="385"/>
      <c r="Z868" s="385"/>
      <c r="AA868" s="385"/>
      <c r="AB868" s="385"/>
    </row>
    <row r="869" spans="1:28" ht="15.75" customHeight="1">
      <c r="A869" s="385"/>
      <c r="B869" s="385"/>
      <c r="C869" s="526"/>
      <c r="D869" s="385"/>
      <c r="E869" s="385"/>
      <c r="F869" s="385"/>
      <c r="G869" s="385"/>
      <c r="H869" s="30"/>
      <c r="I869" s="385"/>
      <c r="J869" s="385"/>
      <c r="K869" s="385"/>
      <c r="L869" s="385"/>
      <c r="M869" s="385"/>
      <c r="N869" s="385"/>
      <c r="O869" s="385"/>
      <c r="P869" s="385"/>
      <c r="Q869" s="385"/>
      <c r="R869" s="385"/>
      <c r="S869" s="385"/>
      <c r="T869" s="385"/>
      <c r="U869" s="385"/>
      <c r="V869" s="385"/>
      <c r="W869" s="385"/>
      <c r="X869" s="385"/>
      <c r="Y869" s="385"/>
      <c r="Z869" s="385"/>
      <c r="AA869" s="385"/>
      <c r="AB869" s="385"/>
    </row>
    <row r="870" spans="1:28" ht="15.75" customHeight="1">
      <c r="A870" s="385"/>
      <c r="B870" s="385"/>
      <c r="C870" s="526"/>
      <c r="D870" s="385"/>
      <c r="E870" s="385"/>
      <c r="F870" s="385"/>
      <c r="G870" s="385"/>
      <c r="H870" s="30"/>
      <c r="I870" s="385"/>
      <c r="J870" s="385"/>
      <c r="K870" s="385"/>
      <c r="L870" s="385"/>
      <c r="M870" s="385"/>
      <c r="N870" s="385"/>
      <c r="O870" s="385"/>
      <c r="P870" s="385"/>
      <c r="Q870" s="385"/>
      <c r="R870" s="385"/>
      <c r="S870" s="385"/>
      <c r="T870" s="385"/>
      <c r="U870" s="385"/>
      <c r="V870" s="385"/>
      <c r="W870" s="385"/>
      <c r="X870" s="385"/>
      <c r="Y870" s="385"/>
      <c r="Z870" s="385"/>
      <c r="AA870" s="385"/>
      <c r="AB870" s="385"/>
    </row>
    <row r="871" spans="1:28" ht="15.75" customHeight="1">
      <c r="A871" s="385"/>
      <c r="B871" s="385"/>
      <c r="C871" s="526"/>
      <c r="D871" s="385"/>
      <c r="E871" s="385"/>
      <c r="F871" s="385"/>
      <c r="G871" s="385"/>
      <c r="H871" s="30"/>
      <c r="I871" s="385"/>
      <c r="J871" s="385"/>
      <c r="K871" s="385"/>
      <c r="L871" s="385"/>
      <c r="M871" s="385"/>
      <c r="N871" s="385"/>
      <c r="O871" s="385"/>
      <c r="P871" s="385"/>
      <c r="Q871" s="385"/>
      <c r="R871" s="385"/>
      <c r="S871" s="385"/>
      <c r="T871" s="385"/>
      <c r="U871" s="385"/>
      <c r="V871" s="385"/>
      <c r="W871" s="385"/>
      <c r="X871" s="385"/>
      <c r="Y871" s="385"/>
      <c r="Z871" s="385"/>
      <c r="AA871" s="385"/>
      <c r="AB871" s="385"/>
    </row>
    <row r="872" spans="1:28" ht="15.75" customHeight="1">
      <c r="A872" s="385"/>
      <c r="B872" s="385"/>
      <c r="C872" s="526"/>
      <c r="D872" s="385"/>
      <c r="E872" s="385"/>
      <c r="F872" s="385"/>
      <c r="G872" s="385"/>
      <c r="H872" s="30"/>
      <c r="I872" s="385"/>
      <c r="J872" s="385"/>
      <c r="K872" s="385"/>
      <c r="L872" s="385"/>
      <c r="M872" s="385"/>
      <c r="N872" s="385"/>
      <c r="O872" s="385"/>
      <c r="P872" s="385"/>
      <c r="Q872" s="385"/>
      <c r="R872" s="385"/>
      <c r="S872" s="385"/>
      <c r="T872" s="385"/>
      <c r="U872" s="385"/>
      <c r="V872" s="385"/>
      <c r="W872" s="385"/>
      <c r="X872" s="385"/>
      <c r="Y872" s="385"/>
      <c r="Z872" s="385"/>
      <c r="AA872" s="385"/>
      <c r="AB872" s="385"/>
    </row>
    <row r="873" spans="1:28" ht="15.75" customHeight="1">
      <c r="A873" s="385"/>
      <c r="B873" s="385"/>
      <c r="C873" s="526"/>
      <c r="D873" s="385"/>
      <c r="E873" s="385"/>
      <c r="F873" s="385"/>
      <c r="G873" s="385"/>
      <c r="H873" s="30"/>
      <c r="I873" s="385"/>
      <c r="J873" s="385"/>
      <c r="K873" s="385"/>
      <c r="L873" s="385"/>
      <c r="M873" s="385"/>
      <c r="N873" s="385"/>
      <c r="O873" s="385"/>
      <c r="P873" s="385"/>
      <c r="Q873" s="385"/>
      <c r="R873" s="385"/>
      <c r="S873" s="385"/>
      <c r="T873" s="385"/>
      <c r="U873" s="385"/>
      <c r="V873" s="385"/>
      <c r="W873" s="385"/>
      <c r="X873" s="385"/>
      <c r="Y873" s="385"/>
      <c r="Z873" s="385"/>
      <c r="AA873" s="385"/>
      <c r="AB873" s="385"/>
    </row>
    <row r="874" spans="1:28" ht="15.75" customHeight="1">
      <c r="A874" s="385"/>
      <c r="B874" s="385"/>
      <c r="C874" s="526"/>
      <c r="D874" s="385"/>
      <c r="E874" s="385"/>
      <c r="F874" s="385"/>
      <c r="G874" s="385"/>
      <c r="H874" s="30"/>
      <c r="I874" s="385"/>
      <c r="J874" s="385"/>
      <c r="K874" s="385"/>
      <c r="L874" s="385"/>
      <c r="M874" s="385"/>
      <c r="N874" s="385"/>
      <c r="O874" s="385"/>
      <c r="P874" s="385"/>
      <c r="Q874" s="385"/>
      <c r="R874" s="385"/>
      <c r="S874" s="385"/>
      <c r="T874" s="385"/>
      <c r="U874" s="385"/>
      <c r="V874" s="385"/>
      <c r="W874" s="385"/>
      <c r="X874" s="385"/>
      <c r="Y874" s="385"/>
      <c r="Z874" s="385"/>
      <c r="AA874" s="385"/>
      <c r="AB874" s="385"/>
    </row>
    <row r="875" spans="1:28" ht="15.75" customHeight="1">
      <c r="A875" s="385"/>
      <c r="B875" s="385"/>
      <c r="C875" s="526"/>
      <c r="D875" s="385"/>
      <c r="E875" s="385"/>
      <c r="F875" s="385"/>
      <c r="G875" s="385"/>
      <c r="H875" s="30"/>
      <c r="I875" s="385"/>
      <c r="J875" s="385"/>
      <c r="K875" s="385"/>
      <c r="L875" s="385"/>
      <c r="M875" s="385"/>
      <c r="N875" s="385"/>
      <c r="O875" s="385"/>
      <c r="P875" s="385"/>
      <c r="Q875" s="385"/>
      <c r="R875" s="385"/>
      <c r="S875" s="385"/>
      <c r="T875" s="385"/>
      <c r="U875" s="385"/>
      <c r="V875" s="385"/>
      <c r="W875" s="385"/>
      <c r="X875" s="385"/>
      <c r="Y875" s="385"/>
      <c r="Z875" s="385"/>
      <c r="AA875" s="385"/>
      <c r="AB875" s="385"/>
    </row>
    <row r="876" spans="1:28" ht="15.75" customHeight="1">
      <c r="A876" s="385"/>
      <c r="B876" s="385"/>
      <c r="C876" s="526"/>
      <c r="D876" s="385"/>
      <c r="E876" s="385"/>
      <c r="F876" s="385"/>
      <c r="G876" s="385"/>
      <c r="H876" s="30"/>
      <c r="I876" s="385"/>
      <c r="J876" s="385"/>
      <c r="K876" s="385"/>
      <c r="L876" s="385"/>
      <c r="M876" s="385"/>
      <c r="N876" s="385"/>
      <c r="O876" s="385"/>
      <c r="P876" s="385"/>
      <c r="Q876" s="385"/>
      <c r="R876" s="385"/>
      <c r="S876" s="385"/>
      <c r="T876" s="385"/>
      <c r="U876" s="385"/>
      <c r="V876" s="385"/>
      <c r="W876" s="385"/>
      <c r="X876" s="385"/>
      <c r="Y876" s="385"/>
      <c r="Z876" s="385"/>
      <c r="AA876" s="385"/>
      <c r="AB876" s="385"/>
    </row>
    <row r="877" spans="1:28" ht="15.75" customHeight="1">
      <c r="A877" s="385"/>
      <c r="B877" s="385"/>
      <c r="C877" s="526"/>
      <c r="D877" s="385"/>
      <c r="E877" s="385"/>
      <c r="F877" s="385"/>
      <c r="G877" s="385"/>
      <c r="H877" s="30"/>
      <c r="I877" s="385"/>
      <c r="J877" s="385"/>
      <c r="K877" s="385"/>
      <c r="L877" s="385"/>
      <c r="M877" s="385"/>
      <c r="N877" s="385"/>
      <c r="O877" s="385"/>
      <c r="P877" s="385"/>
      <c r="Q877" s="385"/>
      <c r="R877" s="385"/>
      <c r="S877" s="385"/>
      <c r="T877" s="385"/>
      <c r="U877" s="385"/>
      <c r="V877" s="385"/>
      <c r="W877" s="385"/>
      <c r="X877" s="385"/>
      <c r="Y877" s="385"/>
      <c r="Z877" s="385"/>
      <c r="AA877" s="385"/>
      <c r="AB877" s="385"/>
    </row>
    <row r="878" spans="1:28" ht="15.75" customHeight="1">
      <c r="A878" s="385"/>
      <c r="B878" s="385"/>
      <c r="C878" s="526"/>
      <c r="D878" s="385"/>
      <c r="E878" s="385"/>
      <c r="F878" s="385"/>
      <c r="G878" s="385"/>
      <c r="H878" s="30"/>
      <c r="I878" s="385"/>
      <c r="J878" s="385"/>
      <c r="K878" s="385"/>
      <c r="L878" s="385"/>
      <c r="M878" s="385"/>
      <c r="N878" s="385"/>
      <c r="O878" s="385"/>
      <c r="P878" s="385"/>
      <c r="Q878" s="385"/>
      <c r="R878" s="385"/>
      <c r="S878" s="385"/>
      <c r="T878" s="385"/>
      <c r="U878" s="385"/>
      <c r="V878" s="385"/>
      <c r="W878" s="385"/>
      <c r="X878" s="385"/>
      <c r="Y878" s="385"/>
      <c r="Z878" s="385"/>
      <c r="AA878" s="385"/>
      <c r="AB878" s="385"/>
    </row>
    <row r="879" spans="1:28" ht="15.75" customHeight="1">
      <c r="A879" s="385"/>
      <c r="B879" s="385"/>
      <c r="C879" s="526"/>
      <c r="D879" s="385"/>
      <c r="E879" s="385"/>
      <c r="F879" s="385"/>
      <c r="G879" s="385"/>
      <c r="H879" s="30"/>
      <c r="I879" s="385"/>
      <c r="J879" s="385"/>
      <c r="K879" s="385"/>
      <c r="L879" s="385"/>
      <c r="M879" s="385"/>
      <c r="N879" s="385"/>
      <c r="O879" s="385"/>
      <c r="P879" s="385"/>
      <c r="Q879" s="385"/>
      <c r="R879" s="385"/>
      <c r="S879" s="385"/>
      <c r="T879" s="385"/>
      <c r="U879" s="385"/>
      <c r="V879" s="385"/>
      <c r="W879" s="385"/>
      <c r="X879" s="385"/>
      <c r="Y879" s="385"/>
      <c r="Z879" s="385"/>
      <c r="AA879" s="385"/>
      <c r="AB879" s="385"/>
    </row>
    <row r="880" spans="1:28" ht="15.75" customHeight="1">
      <c r="A880" s="385"/>
      <c r="B880" s="385"/>
      <c r="C880" s="526"/>
      <c r="D880" s="385"/>
      <c r="E880" s="385"/>
      <c r="F880" s="385"/>
      <c r="G880" s="385"/>
      <c r="H880" s="30"/>
      <c r="I880" s="385"/>
      <c r="J880" s="385"/>
      <c r="K880" s="385"/>
      <c r="L880" s="385"/>
      <c r="M880" s="385"/>
      <c r="N880" s="385"/>
      <c r="O880" s="385"/>
      <c r="P880" s="385"/>
      <c r="Q880" s="385"/>
      <c r="R880" s="385"/>
      <c r="S880" s="385"/>
      <c r="T880" s="385"/>
      <c r="U880" s="385"/>
      <c r="V880" s="385"/>
      <c r="W880" s="385"/>
      <c r="X880" s="385"/>
      <c r="Y880" s="385"/>
      <c r="Z880" s="385"/>
      <c r="AA880" s="385"/>
      <c r="AB880" s="385"/>
    </row>
    <row r="881" spans="1:28" ht="15.75" customHeight="1">
      <c r="A881" s="385"/>
      <c r="B881" s="385"/>
      <c r="C881" s="526"/>
      <c r="D881" s="385"/>
      <c r="E881" s="385"/>
      <c r="F881" s="385"/>
      <c r="G881" s="385"/>
      <c r="H881" s="30"/>
      <c r="I881" s="385"/>
      <c r="J881" s="385"/>
      <c r="K881" s="385"/>
      <c r="L881" s="385"/>
      <c r="M881" s="385"/>
      <c r="N881" s="385"/>
      <c r="O881" s="385"/>
      <c r="P881" s="385"/>
      <c r="Q881" s="385"/>
      <c r="R881" s="385"/>
      <c r="S881" s="385"/>
      <c r="T881" s="385"/>
      <c r="U881" s="385"/>
      <c r="V881" s="385"/>
      <c r="W881" s="385"/>
      <c r="X881" s="385"/>
      <c r="Y881" s="385"/>
      <c r="Z881" s="385"/>
      <c r="AA881" s="385"/>
      <c r="AB881" s="385"/>
    </row>
    <row r="882" spans="1:28" ht="15.75" customHeight="1">
      <c r="A882" s="385"/>
      <c r="B882" s="385"/>
      <c r="C882" s="526"/>
      <c r="D882" s="385"/>
      <c r="E882" s="385"/>
      <c r="F882" s="385"/>
      <c r="G882" s="385"/>
      <c r="H882" s="30"/>
      <c r="I882" s="385"/>
      <c r="J882" s="385"/>
      <c r="K882" s="385"/>
      <c r="L882" s="385"/>
      <c r="M882" s="385"/>
      <c r="N882" s="385"/>
      <c r="O882" s="385"/>
      <c r="P882" s="385"/>
      <c r="Q882" s="385"/>
      <c r="R882" s="385"/>
      <c r="S882" s="385"/>
      <c r="T882" s="385"/>
      <c r="U882" s="385"/>
      <c r="V882" s="385"/>
      <c r="W882" s="385"/>
      <c r="X882" s="385"/>
      <c r="Y882" s="385"/>
      <c r="Z882" s="385"/>
      <c r="AA882" s="385"/>
      <c r="AB882" s="385"/>
    </row>
    <row r="883" spans="1:28" ht="15.75" customHeight="1">
      <c r="A883" s="385"/>
      <c r="B883" s="385"/>
      <c r="C883" s="526"/>
      <c r="D883" s="385"/>
      <c r="E883" s="385"/>
      <c r="F883" s="385"/>
      <c r="G883" s="385"/>
      <c r="H883" s="30"/>
      <c r="I883" s="385"/>
      <c r="J883" s="385"/>
      <c r="K883" s="385"/>
      <c r="L883" s="385"/>
      <c r="M883" s="385"/>
      <c r="N883" s="385"/>
      <c r="O883" s="385"/>
      <c r="P883" s="385"/>
      <c r="Q883" s="385"/>
      <c r="R883" s="385"/>
      <c r="S883" s="385"/>
      <c r="T883" s="385"/>
      <c r="U883" s="385"/>
      <c r="V883" s="385"/>
      <c r="W883" s="385"/>
      <c r="X883" s="385"/>
      <c r="Y883" s="385"/>
      <c r="Z883" s="385"/>
      <c r="AA883" s="385"/>
      <c r="AB883" s="385"/>
    </row>
    <row r="884" spans="1:28" ht="15.75" customHeight="1">
      <c r="A884" s="385"/>
      <c r="B884" s="385"/>
      <c r="C884" s="526"/>
      <c r="D884" s="385"/>
      <c r="E884" s="385"/>
      <c r="F884" s="385"/>
      <c r="G884" s="385"/>
      <c r="H884" s="30"/>
      <c r="I884" s="385"/>
      <c r="J884" s="385"/>
      <c r="K884" s="385"/>
      <c r="L884" s="385"/>
      <c r="M884" s="385"/>
      <c r="N884" s="385"/>
      <c r="O884" s="385"/>
      <c r="P884" s="385"/>
      <c r="Q884" s="385"/>
      <c r="R884" s="385"/>
      <c r="S884" s="385"/>
      <c r="T884" s="385"/>
      <c r="U884" s="385"/>
      <c r="V884" s="385"/>
      <c r="W884" s="385"/>
      <c r="X884" s="385"/>
      <c r="Y884" s="385"/>
      <c r="Z884" s="385"/>
      <c r="AA884" s="385"/>
      <c r="AB884" s="385"/>
    </row>
    <row r="885" spans="1:28" ht="15.75" customHeight="1">
      <c r="A885" s="385"/>
      <c r="B885" s="385"/>
      <c r="C885" s="526"/>
      <c r="D885" s="385"/>
      <c r="E885" s="385"/>
      <c r="F885" s="385"/>
      <c r="G885" s="385"/>
      <c r="H885" s="30"/>
      <c r="I885" s="385"/>
      <c r="J885" s="385"/>
      <c r="K885" s="385"/>
      <c r="L885" s="385"/>
      <c r="M885" s="385"/>
      <c r="N885" s="385"/>
      <c r="O885" s="385"/>
      <c r="P885" s="385"/>
      <c r="Q885" s="385"/>
      <c r="R885" s="385"/>
      <c r="S885" s="385"/>
      <c r="T885" s="385"/>
      <c r="U885" s="385"/>
      <c r="V885" s="385"/>
      <c r="W885" s="385"/>
      <c r="X885" s="385"/>
      <c r="Y885" s="385"/>
      <c r="Z885" s="385"/>
      <c r="AA885" s="385"/>
      <c r="AB885" s="385"/>
    </row>
    <row r="886" spans="1:28" ht="15.75" customHeight="1">
      <c r="A886" s="385"/>
      <c r="B886" s="385"/>
      <c r="C886" s="526"/>
      <c r="D886" s="385"/>
      <c r="E886" s="385"/>
      <c r="F886" s="385"/>
      <c r="G886" s="385"/>
      <c r="H886" s="30"/>
      <c r="I886" s="385"/>
      <c r="J886" s="385"/>
      <c r="K886" s="385"/>
      <c r="L886" s="385"/>
      <c r="M886" s="385"/>
      <c r="N886" s="385"/>
      <c r="O886" s="385"/>
      <c r="P886" s="385"/>
      <c r="Q886" s="385"/>
      <c r="R886" s="385"/>
      <c r="S886" s="385"/>
      <c r="T886" s="385"/>
      <c r="U886" s="385"/>
      <c r="V886" s="385"/>
      <c r="W886" s="385"/>
      <c r="X886" s="385"/>
      <c r="Y886" s="385"/>
      <c r="Z886" s="385"/>
      <c r="AA886" s="385"/>
      <c r="AB886" s="385"/>
    </row>
    <row r="887" spans="1:28" ht="15.75" customHeight="1">
      <c r="A887" s="385"/>
      <c r="B887" s="385"/>
      <c r="C887" s="526"/>
      <c r="D887" s="385"/>
      <c r="E887" s="385"/>
      <c r="F887" s="385"/>
      <c r="G887" s="385"/>
      <c r="H887" s="30"/>
      <c r="I887" s="385"/>
      <c r="J887" s="385"/>
      <c r="K887" s="385"/>
      <c r="L887" s="385"/>
      <c r="M887" s="385"/>
      <c r="N887" s="385"/>
      <c r="O887" s="385"/>
      <c r="P887" s="385"/>
      <c r="Q887" s="385"/>
      <c r="R887" s="385"/>
      <c r="S887" s="385"/>
      <c r="T887" s="385"/>
      <c r="U887" s="385"/>
      <c r="V887" s="385"/>
      <c r="W887" s="385"/>
      <c r="X887" s="385"/>
      <c r="Y887" s="385"/>
      <c r="Z887" s="385"/>
      <c r="AA887" s="385"/>
      <c r="AB887" s="385"/>
    </row>
    <row r="888" spans="1:28" ht="15.75" customHeight="1">
      <c r="A888" s="385"/>
      <c r="B888" s="385"/>
      <c r="C888" s="526"/>
      <c r="D888" s="385"/>
      <c r="E888" s="385"/>
      <c r="F888" s="385"/>
      <c r="G888" s="385"/>
      <c r="H888" s="30"/>
      <c r="I888" s="385"/>
      <c r="J888" s="385"/>
      <c r="K888" s="385"/>
      <c r="L888" s="385"/>
      <c r="M888" s="385"/>
      <c r="N888" s="385"/>
      <c r="O888" s="385"/>
      <c r="P888" s="385"/>
      <c r="Q888" s="385"/>
      <c r="R888" s="385"/>
      <c r="S888" s="385"/>
      <c r="T888" s="385"/>
      <c r="U888" s="385"/>
      <c r="V888" s="385"/>
      <c r="W888" s="385"/>
      <c r="X888" s="385"/>
      <c r="Y888" s="385"/>
      <c r="Z888" s="385"/>
      <c r="AA888" s="385"/>
      <c r="AB888" s="385"/>
    </row>
    <row r="889" spans="1:28" ht="15.75" customHeight="1">
      <c r="A889" s="385"/>
      <c r="B889" s="385"/>
      <c r="C889" s="526"/>
      <c r="D889" s="385"/>
      <c r="E889" s="385"/>
      <c r="F889" s="385"/>
      <c r="G889" s="385"/>
      <c r="H889" s="30"/>
      <c r="I889" s="385"/>
      <c r="J889" s="385"/>
      <c r="K889" s="385"/>
      <c r="L889" s="385"/>
      <c r="M889" s="385"/>
      <c r="N889" s="385"/>
      <c r="O889" s="385"/>
      <c r="P889" s="385"/>
      <c r="Q889" s="385"/>
      <c r="R889" s="385"/>
      <c r="S889" s="385"/>
      <c r="T889" s="385"/>
      <c r="U889" s="385"/>
      <c r="V889" s="385"/>
      <c r="W889" s="385"/>
      <c r="X889" s="385"/>
      <c r="Y889" s="385"/>
      <c r="Z889" s="385"/>
      <c r="AA889" s="385"/>
      <c r="AB889" s="385"/>
    </row>
    <row r="890" spans="1:28" ht="15.75" customHeight="1">
      <c r="A890" s="385"/>
      <c r="B890" s="385"/>
      <c r="C890" s="526"/>
      <c r="D890" s="385"/>
      <c r="E890" s="385"/>
      <c r="F890" s="385"/>
      <c r="G890" s="385"/>
      <c r="H890" s="30"/>
      <c r="I890" s="385"/>
      <c r="J890" s="385"/>
      <c r="K890" s="385"/>
      <c r="L890" s="385"/>
      <c r="M890" s="385"/>
      <c r="N890" s="385"/>
      <c r="O890" s="385"/>
      <c r="P890" s="385"/>
      <c r="Q890" s="385"/>
      <c r="R890" s="385"/>
      <c r="S890" s="385"/>
      <c r="T890" s="385"/>
      <c r="U890" s="385"/>
      <c r="V890" s="385"/>
      <c r="W890" s="385"/>
      <c r="X890" s="385"/>
      <c r="Y890" s="385"/>
      <c r="Z890" s="385"/>
      <c r="AA890" s="385"/>
      <c r="AB890" s="385"/>
    </row>
    <row r="891" spans="1:28" ht="15.75" customHeight="1">
      <c r="A891" s="385"/>
      <c r="B891" s="385"/>
      <c r="C891" s="526"/>
      <c r="D891" s="385"/>
      <c r="E891" s="385"/>
      <c r="F891" s="385"/>
      <c r="G891" s="385"/>
      <c r="H891" s="30"/>
      <c r="I891" s="385"/>
      <c r="J891" s="385"/>
      <c r="K891" s="385"/>
      <c r="L891" s="385"/>
      <c r="M891" s="385"/>
      <c r="N891" s="385"/>
      <c r="O891" s="385"/>
      <c r="P891" s="385"/>
      <c r="Q891" s="385"/>
      <c r="R891" s="385"/>
      <c r="S891" s="385"/>
      <c r="T891" s="385"/>
      <c r="U891" s="385"/>
      <c r="V891" s="385"/>
      <c r="W891" s="385"/>
      <c r="X891" s="385"/>
      <c r="Y891" s="385"/>
      <c r="Z891" s="385"/>
      <c r="AA891" s="385"/>
      <c r="AB891" s="385"/>
    </row>
    <row r="892" spans="1:28" ht="15.75" customHeight="1">
      <c r="A892" s="385"/>
      <c r="B892" s="385"/>
      <c r="C892" s="526"/>
      <c r="D892" s="385"/>
      <c r="E892" s="385"/>
      <c r="F892" s="385"/>
      <c r="G892" s="385"/>
      <c r="H892" s="30"/>
      <c r="I892" s="385"/>
      <c r="J892" s="385"/>
      <c r="K892" s="385"/>
      <c r="L892" s="385"/>
      <c r="M892" s="385"/>
      <c r="N892" s="385"/>
      <c r="O892" s="385"/>
      <c r="P892" s="385"/>
      <c r="Q892" s="385"/>
      <c r="R892" s="385"/>
      <c r="S892" s="385"/>
      <c r="T892" s="385"/>
      <c r="U892" s="385"/>
      <c r="V892" s="385"/>
      <c r="W892" s="385"/>
      <c r="X892" s="385"/>
      <c r="Y892" s="385"/>
      <c r="Z892" s="385"/>
      <c r="AA892" s="385"/>
      <c r="AB892" s="385"/>
    </row>
    <row r="893" spans="1:28" ht="15.75" customHeight="1">
      <c r="A893" s="385"/>
      <c r="B893" s="385"/>
      <c r="C893" s="526"/>
      <c r="D893" s="385"/>
      <c r="E893" s="385"/>
      <c r="F893" s="385"/>
      <c r="G893" s="385"/>
      <c r="H893" s="30"/>
      <c r="I893" s="385"/>
      <c r="J893" s="385"/>
      <c r="K893" s="385"/>
      <c r="L893" s="385"/>
      <c r="M893" s="385"/>
      <c r="N893" s="385"/>
      <c r="O893" s="385"/>
      <c r="P893" s="385"/>
      <c r="Q893" s="385"/>
      <c r="R893" s="385"/>
      <c r="S893" s="385"/>
      <c r="T893" s="385"/>
      <c r="U893" s="385"/>
      <c r="V893" s="385"/>
      <c r="W893" s="385"/>
      <c r="X893" s="385"/>
      <c r="Y893" s="385"/>
      <c r="Z893" s="385"/>
      <c r="AA893" s="385"/>
      <c r="AB893" s="385"/>
    </row>
    <row r="894" spans="1:28" ht="15.75" customHeight="1">
      <c r="A894" s="385"/>
      <c r="B894" s="385"/>
      <c r="C894" s="526"/>
      <c r="D894" s="385"/>
      <c r="E894" s="385"/>
      <c r="F894" s="385"/>
      <c r="G894" s="385"/>
      <c r="H894" s="30"/>
      <c r="I894" s="385"/>
      <c r="J894" s="385"/>
      <c r="K894" s="385"/>
      <c r="L894" s="385"/>
      <c r="M894" s="385"/>
      <c r="N894" s="385"/>
      <c r="O894" s="385"/>
      <c r="P894" s="385"/>
      <c r="Q894" s="385"/>
      <c r="R894" s="385"/>
      <c r="S894" s="385"/>
      <c r="T894" s="385"/>
      <c r="U894" s="385"/>
      <c r="V894" s="385"/>
      <c r="W894" s="385"/>
      <c r="X894" s="385"/>
      <c r="Y894" s="385"/>
      <c r="Z894" s="385"/>
      <c r="AA894" s="385"/>
      <c r="AB894" s="385"/>
    </row>
    <row r="895" spans="1:28" ht="15.75" customHeight="1">
      <c r="A895" s="385"/>
      <c r="B895" s="385"/>
      <c r="C895" s="526"/>
      <c r="D895" s="385"/>
      <c r="E895" s="385"/>
      <c r="F895" s="385"/>
      <c r="G895" s="385"/>
      <c r="H895" s="30"/>
      <c r="I895" s="385"/>
      <c r="J895" s="385"/>
      <c r="K895" s="385"/>
      <c r="L895" s="385"/>
      <c r="M895" s="385"/>
      <c r="N895" s="385"/>
      <c r="O895" s="385"/>
      <c r="P895" s="385"/>
      <c r="Q895" s="385"/>
      <c r="R895" s="385"/>
      <c r="S895" s="385"/>
      <c r="T895" s="385"/>
      <c r="U895" s="385"/>
      <c r="V895" s="385"/>
      <c r="W895" s="385"/>
      <c r="X895" s="385"/>
      <c r="Y895" s="385"/>
      <c r="Z895" s="385"/>
      <c r="AA895" s="385"/>
      <c r="AB895" s="385"/>
    </row>
    <row r="896" spans="1:28" ht="15.75" customHeight="1">
      <c r="A896" s="385"/>
      <c r="B896" s="385"/>
      <c r="C896" s="526"/>
      <c r="D896" s="385"/>
      <c r="E896" s="385"/>
      <c r="F896" s="385"/>
      <c r="G896" s="385"/>
      <c r="H896" s="30"/>
      <c r="I896" s="385"/>
      <c r="J896" s="385"/>
      <c r="K896" s="385"/>
      <c r="L896" s="385"/>
      <c r="M896" s="385"/>
      <c r="N896" s="385"/>
      <c r="O896" s="385"/>
      <c r="P896" s="385"/>
      <c r="Q896" s="385"/>
      <c r="R896" s="385"/>
      <c r="S896" s="385"/>
      <c r="T896" s="385"/>
      <c r="U896" s="385"/>
      <c r="V896" s="385"/>
      <c r="W896" s="385"/>
      <c r="X896" s="385"/>
      <c r="Y896" s="385"/>
      <c r="Z896" s="385"/>
      <c r="AA896" s="385"/>
      <c r="AB896" s="385"/>
    </row>
    <row r="897" spans="1:28" ht="15.75" customHeight="1">
      <c r="A897" s="385"/>
      <c r="B897" s="385"/>
      <c r="C897" s="526"/>
      <c r="D897" s="385"/>
      <c r="E897" s="385"/>
      <c r="F897" s="385"/>
      <c r="G897" s="385"/>
      <c r="H897" s="30"/>
      <c r="I897" s="385"/>
      <c r="J897" s="385"/>
      <c r="K897" s="385"/>
      <c r="L897" s="385"/>
      <c r="M897" s="385"/>
      <c r="N897" s="385"/>
      <c r="O897" s="385"/>
      <c r="P897" s="385"/>
      <c r="Q897" s="385"/>
      <c r="R897" s="385"/>
      <c r="S897" s="385"/>
      <c r="T897" s="385"/>
      <c r="U897" s="385"/>
      <c r="V897" s="385"/>
      <c r="W897" s="385"/>
      <c r="X897" s="385"/>
      <c r="Y897" s="385"/>
      <c r="Z897" s="385"/>
      <c r="AA897" s="385"/>
      <c r="AB897" s="385"/>
    </row>
    <row r="898" spans="1:28" ht="15.75" customHeight="1">
      <c r="A898" s="385"/>
      <c r="B898" s="385"/>
      <c r="C898" s="526"/>
      <c r="D898" s="385"/>
      <c r="E898" s="385"/>
      <c r="F898" s="385"/>
      <c r="G898" s="385"/>
      <c r="H898" s="30"/>
      <c r="I898" s="385"/>
      <c r="J898" s="385"/>
      <c r="K898" s="385"/>
      <c r="L898" s="385"/>
      <c r="M898" s="385"/>
      <c r="N898" s="385"/>
      <c r="O898" s="385"/>
      <c r="P898" s="385"/>
      <c r="Q898" s="385"/>
      <c r="R898" s="385"/>
      <c r="S898" s="385"/>
      <c r="T898" s="385"/>
      <c r="U898" s="385"/>
      <c r="V898" s="385"/>
      <c r="W898" s="385"/>
      <c r="X898" s="385"/>
      <c r="Y898" s="385"/>
      <c r="Z898" s="385"/>
      <c r="AA898" s="385"/>
      <c r="AB898" s="385"/>
    </row>
    <row r="899" spans="1:28" ht="15.75" customHeight="1">
      <c r="A899" s="385"/>
      <c r="B899" s="385"/>
      <c r="C899" s="526"/>
      <c r="D899" s="385"/>
      <c r="E899" s="385"/>
      <c r="F899" s="385"/>
      <c r="G899" s="385"/>
      <c r="H899" s="30"/>
      <c r="I899" s="385"/>
      <c r="J899" s="385"/>
      <c r="K899" s="385"/>
      <c r="L899" s="385"/>
      <c r="M899" s="385"/>
      <c r="N899" s="385"/>
      <c r="O899" s="385"/>
      <c r="P899" s="385"/>
      <c r="Q899" s="385"/>
      <c r="R899" s="385"/>
      <c r="S899" s="385"/>
      <c r="T899" s="385"/>
      <c r="U899" s="385"/>
      <c r="V899" s="385"/>
      <c r="W899" s="385"/>
      <c r="X899" s="385"/>
      <c r="Y899" s="385"/>
      <c r="Z899" s="385"/>
      <c r="AA899" s="385"/>
      <c r="AB899" s="385"/>
    </row>
    <row r="900" spans="1:28" ht="15.75" customHeight="1">
      <c r="A900" s="385"/>
      <c r="B900" s="385"/>
      <c r="C900" s="526"/>
      <c r="D900" s="385"/>
      <c r="E900" s="385"/>
      <c r="F900" s="385"/>
      <c r="G900" s="385"/>
      <c r="H900" s="30"/>
      <c r="I900" s="385"/>
      <c r="J900" s="385"/>
      <c r="K900" s="385"/>
      <c r="L900" s="385"/>
      <c r="M900" s="385"/>
      <c r="N900" s="385"/>
      <c r="O900" s="385"/>
      <c r="P900" s="385"/>
      <c r="Q900" s="385"/>
      <c r="R900" s="385"/>
      <c r="S900" s="385"/>
      <c r="T900" s="385"/>
      <c r="U900" s="385"/>
      <c r="V900" s="385"/>
      <c r="W900" s="385"/>
      <c r="X900" s="385"/>
      <c r="Y900" s="385"/>
      <c r="Z900" s="385"/>
      <c r="AA900" s="385"/>
      <c r="AB900" s="385"/>
    </row>
    <row r="901" spans="1:28" ht="15.75" customHeight="1">
      <c r="A901" s="385"/>
      <c r="B901" s="385"/>
      <c r="C901" s="526"/>
      <c r="D901" s="385"/>
      <c r="E901" s="385"/>
      <c r="F901" s="385"/>
      <c r="G901" s="385"/>
      <c r="H901" s="30"/>
      <c r="I901" s="385"/>
      <c r="J901" s="385"/>
      <c r="K901" s="385"/>
      <c r="L901" s="385"/>
      <c r="M901" s="385"/>
      <c r="N901" s="385"/>
      <c r="O901" s="385"/>
      <c r="P901" s="385"/>
      <c r="Q901" s="385"/>
      <c r="R901" s="385"/>
      <c r="S901" s="385"/>
      <c r="T901" s="385"/>
      <c r="U901" s="385"/>
      <c r="V901" s="385"/>
      <c r="W901" s="385"/>
      <c r="X901" s="385"/>
      <c r="Y901" s="385"/>
      <c r="Z901" s="385"/>
      <c r="AA901" s="385"/>
      <c r="AB901" s="385"/>
    </row>
    <row r="902" spans="1:28" ht="15.75" customHeight="1">
      <c r="A902" s="385"/>
      <c r="B902" s="385"/>
      <c r="C902" s="526"/>
      <c r="D902" s="385"/>
      <c r="E902" s="385"/>
      <c r="F902" s="385"/>
      <c r="G902" s="385"/>
      <c r="H902" s="30"/>
      <c r="I902" s="385"/>
      <c r="J902" s="385"/>
      <c r="K902" s="385"/>
      <c r="L902" s="385"/>
      <c r="M902" s="385"/>
      <c r="N902" s="385"/>
      <c r="O902" s="385"/>
      <c r="P902" s="385"/>
      <c r="Q902" s="385"/>
      <c r="R902" s="385"/>
      <c r="S902" s="385"/>
      <c r="T902" s="385"/>
      <c r="U902" s="385"/>
      <c r="V902" s="385"/>
      <c r="W902" s="385"/>
      <c r="X902" s="385"/>
      <c r="Y902" s="385"/>
      <c r="Z902" s="385"/>
      <c r="AA902" s="385"/>
      <c r="AB902" s="385"/>
    </row>
    <row r="903" spans="1:28" ht="15.75" customHeight="1">
      <c r="A903" s="385"/>
      <c r="B903" s="385"/>
      <c r="C903" s="526"/>
      <c r="D903" s="385"/>
      <c r="E903" s="385"/>
      <c r="F903" s="385"/>
      <c r="G903" s="385"/>
      <c r="H903" s="30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  <c r="X903" s="385"/>
      <c r="Y903" s="385"/>
      <c r="Z903" s="385"/>
      <c r="AA903" s="385"/>
      <c r="AB903" s="385"/>
    </row>
    <row r="904" spans="1:28" ht="15.75" customHeight="1">
      <c r="A904" s="385"/>
      <c r="B904" s="385"/>
      <c r="C904" s="526"/>
      <c r="D904" s="385"/>
      <c r="E904" s="385"/>
      <c r="F904" s="385"/>
      <c r="G904" s="385"/>
      <c r="H904" s="30"/>
      <c r="I904" s="385"/>
      <c r="J904" s="385"/>
      <c r="K904" s="385"/>
      <c r="L904" s="385"/>
      <c r="M904" s="385"/>
      <c r="N904" s="385"/>
      <c r="O904" s="385"/>
      <c r="P904" s="385"/>
      <c r="Q904" s="385"/>
      <c r="R904" s="385"/>
      <c r="S904" s="385"/>
      <c r="T904" s="385"/>
      <c r="U904" s="385"/>
      <c r="V904" s="385"/>
      <c r="W904" s="385"/>
      <c r="X904" s="385"/>
      <c r="Y904" s="385"/>
      <c r="Z904" s="385"/>
      <c r="AA904" s="385"/>
      <c r="AB904" s="385"/>
    </row>
    <row r="905" spans="1:28" ht="15.75" customHeight="1">
      <c r="A905" s="385"/>
      <c r="B905" s="385"/>
      <c r="C905" s="526"/>
      <c r="D905" s="385"/>
      <c r="E905" s="385"/>
      <c r="F905" s="385"/>
      <c r="G905" s="385"/>
      <c r="H905" s="30"/>
      <c r="I905" s="385"/>
      <c r="J905" s="385"/>
      <c r="K905" s="385"/>
      <c r="L905" s="385"/>
      <c r="M905" s="385"/>
      <c r="N905" s="385"/>
      <c r="O905" s="385"/>
      <c r="P905" s="385"/>
      <c r="Q905" s="385"/>
      <c r="R905" s="385"/>
      <c r="S905" s="385"/>
      <c r="T905" s="385"/>
      <c r="U905" s="385"/>
      <c r="V905" s="385"/>
      <c r="W905" s="385"/>
      <c r="X905" s="385"/>
      <c r="Y905" s="385"/>
      <c r="Z905" s="385"/>
      <c r="AA905" s="385"/>
      <c r="AB905" s="385"/>
    </row>
    <row r="906" spans="1:28" ht="15.75" customHeight="1">
      <c r="A906" s="385"/>
      <c r="B906" s="385"/>
      <c r="C906" s="526"/>
      <c r="D906" s="385"/>
      <c r="E906" s="385"/>
      <c r="F906" s="385"/>
      <c r="G906" s="385"/>
      <c r="H906" s="30"/>
      <c r="I906" s="385"/>
      <c r="J906" s="385"/>
      <c r="K906" s="385"/>
      <c r="L906" s="385"/>
      <c r="M906" s="385"/>
      <c r="N906" s="385"/>
      <c r="O906" s="385"/>
      <c r="P906" s="385"/>
      <c r="Q906" s="385"/>
      <c r="R906" s="385"/>
      <c r="S906" s="385"/>
      <c r="T906" s="385"/>
      <c r="U906" s="385"/>
      <c r="V906" s="385"/>
      <c r="W906" s="385"/>
      <c r="X906" s="385"/>
      <c r="Y906" s="385"/>
      <c r="Z906" s="385"/>
      <c r="AA906" s="385"/>
      <c r="AB906" s="385"/>
    </row>
    <row r="907" spans="1:28" ht="15.75" customHeight="1">
      <c r="A907" s="385"/>
      <c r="B907" s="385"/>
      <c r="C907" s="526"/>
      <c r="D907" s="385"/>
      <c r="E907" s="385"/>
      <c r="F907" s="385"/>
      <c r="G907" s="385"/>
      <c r="H907" s="30"/>
      <c r="I907" s="385"/>
      <c r="J907" s="385"/>
      <c r="K907" s="385"/>
      <c r="L907" s="385"/>
      <c r="M907" s="385"/>
      <c r="N907" s="385"/>
      <c r="O907" s="385"/>
      <c r="P907" s="385"/>
      <c r="Q907" s="385"/>
      <c r="R907" s="385"/>
      <c r="S907" s="385"/>
      <c r="T907" s="385"/>
      <c r="U907" s="385"/>
      <c r="V907" s="385"/>
      <c r="W907" s="385"/>
      <c r="X907" s="385"/>
      <c r="Y907" s="385"/>
      <c r="Z907" s="385"/>
      <c r="AA907" s="385"/>
      <c r="AB907" s="385"/>
    </row>
    <row r="908" spans="1:28" ht="15.75" customHeight="1">
      <c r="A908" s="385"/>
      <c r="B908" s="385"/>
      <c r="C908" s="526"/>
      <c r="D908" s="385"/>
      <c r="E908" s="385"/>
      <c r="F908" s="385"/>
      <c r="G908" s="385"/>
      <c r="H908" s="30"/>
      <c r="I908" s="385"/>
      <c r="J908" s="385"/>
      <c r="K908" s="385"/>
      <c r="L908" s="385"/>
      <c r="M908" s="385"/>
      <c r="N908" s="385"/>
      <c r="O908" s="385"/>
      <c r="P908" s="385"/>
      <c r="Q908" s="385"/>
      <c r="R908" s="385"/>
      <c r="S908" s="385"/>
      <c r="T908" s="385"/>
      <c r="U908" s="385"/>
      <c r="V908" s="385"/>
      <c r="W908" s="385"/>
      <c r="X908" s="385"/>
      <c r="Y908" s="385"/>
      <c r="Z908" s="385"/>
      <c r="AA908" s="385"/>
      <c r="AB908" s="385"/>
    </row>
    <row r="909" spans="1:28" ht="15.75" customHeight="1">
      <c r="A909" s="385"/>
      <c r="B909" s="385"/>
      <c r="C909" s="526"/>
      <c r="D909" s="385"/>
      <c r="E909" s="385"/>
      <c r="F909" s="385"/>
      <c r="G909" s="385"/>
      <c r="H909" s="30"/>
      <c r="I909" s="385"/>
      <c r="J909" s="385"/>
      <c r="K909" s="385"/>
      <c r="L909" s="385"/>
      <c r="M909" s="385"/>
      <c r="N909" s="385"/>
      <c r="O909" s="385"/>
      <c r="P909" s="385"/>
      <c r="Q909" s="385"/>
      <c r="R909" s="385"/>
      <c r="S909" s="385"/>
      <c r="T909" s="385"/>
      <c r="U909" s="385"/>
      <c r="V909" s="385"/>
      <c r="W909" s="385"/>
      <c r="X909" s="385"/>
      <c r="Y909" s="385"/>
      <c r="Z909" s="385"/>
      <c r="AA909" s="385"/>
      <c r="AB909" s="385"/>
    </row>
    <row r="910" spans="1:28" ht="15.75" customHeight="1">
      <c r="A910" s="385"/>
      <c r="B910" s="385"/>
      <c r="C910" s="526"/>
      <c r="D910" s="385"/>
      <c r="E910" s="385"/>
      <c r="F910" s="385"/>
      <c r="G910" s="385"/>
      <c r="H910" s="30"/>
      <c r="I910" s="385"/>
      <c r="J910" s="385"/>
      <c r="K910" s="385"/>
      <c r="L910" s="385"/>
      <c r="M910" s="385"/>
      <c r="N910" s="385"/>
      <c r="O910" s="385"/>
      <c r="P910" s="385"/>
      <c r="Q910" s="385"/>
      <c r="R910" s="385"/>
      <c r="S910" s="385"/>
      <c r="T910" s="385"/>
      <c r="U910" s="385"/>
      <c r="V910" s="385"/>
      <c r="W910" s="385"/>
      <c r="X910" s="385"/>
      <c r="Y910" s="385"/>
      <c r="Z910" s="385"/>
      <c r="AA910" s="385"/>
      <c r="AB910" s="385"/>
    </row>
    <row r="911" spans="1:28" ht="15.75" customHeight="1">
      <c r="A911" s="385"/>
      <c r="B911" s="385"/>
      <c r="C911" s="526"/>
      <c r="D911" s="385"/>
      <c r="E911" s="385"/>
      <c r="F911" s="385"/>
      <c r="G911" s="385"/>
      <c r="H911" s="30"/>
      <c r="I911" s="385"/>
      <c r="J911" s="385"/>
      <c r="K911" s="385"/>
      <c r="L911" s="385"/>
      <c r="M911" s="385"/>
      <c r="N911" s="385"/>
      <c r="O911" s="385"/>
      <c r="P911" s="385"/>
      <c r="Q911" s="385"/>
      <c r="R911" s="385"/>
      <c r="S911" s="385"/>
      <c r="T911" s="385"/>
      <c r="U911" s="385"/>
      <c r="V911" s="385"/>
      <c r="W911" s="385"/>
      <c r="X911" s="385"/>
      <c r="Y911" s="385"/>
      <c r="Z911" s="385"/>
      <c r="AA911" s="385"/>
      <c r="AB911" s="385"/>
    </row>
    <row r="912" spans="1:28" ht="15.75" customHeight="1">
      <c r="A912" s="385"/>
      <c r="B912" s="385"/>
      <c r="C912" s="526"/>
      <c r="D912" s="385"/>
      <c r="E912" s="385"/>
      <c r="F912" s="385"/>
      <c r="G912" s="385"/>
      <c r="H912" s="30"/>
      <c r="I912" s="385"/>
      <c r="J912" s="385"/>
      <c r="K912" s="385"/>
      <c r="L912" s="385"/>
      <c r="M912" s="385"/>
      <c r="N912" s="385"/>
      <c r="O912" s="385"/>
      <c r="P912" s="385"/>
      <c r="Q912" s="385"/>
      <c r="R912" s="385"/>
      <c r="S912" s="385"/>
      <c r="T912" s="385"/>
      <c r="U912" s="385"/>
      <c r="V912" s="385"/>
      <c r="W912" s="385"/>
      <c r="X912" s="385"/>
      <c r="Y912" s="385"/>
      <c r="Z912" s="385"/>
      <c r="AA912" s="385"/>
      <c r="AB912" s="385"/>
    </row>
    <row r="913" spans="1:28" ht="15.75" customHeight="1">
      <c r="A913" s="385"/>
      <c r="B913" s="385"/>
      <c r="C913" s="526"/>
      <c r="D913" s="385"/>
      <c r="E913" s="385"/>
      <c r="F913" s="385"/>
      <c r="G913" s="385"/>
      <c r="H913" s="30"/>
      <c r="I913" s="385"/>
      <c r="J913" s="385"/>
      <c r="K913" s="385"/>
      <c r="L913" s="385"/>
      <c r="M913" s="385"/>
      <c r="N913" s="385"/>
      <c r="O913" s="385"/>
      <c r="P913" s="385"/>
      <c r="Q913" s="385"/>
      <c r="R913" s="385"/>
      <c r="S913" s="385"/>
      <c r="T913" s="385"/>
      <c r="U913" s="385"/>
      <c r="V913" s="385"/>
      <c r="W913" s="385"/>
      <c r="X913" s="385"/>
      <c r="Y913" s="385"/>
      <c r="Z913" s="385"/>
      <c r="AA913" s="385"/>
      <c r="AB913" s="385"/>
    </row>
    <row r="914" spans="1:28" ht="15.75" customHeight="1">
      <c r="A914" s="385"/>
      <c r="B914" s="385"/>
      <c r="C914" s="526"/>
      <c r="D914" s="385"/>
      <c r="E914" s="385"/>
      <c r="F914" s="385"/>
      <c r="G914" s="385"/>
      <c r="H914" s="30"/>
      <c r="I914" s="385"/>
      <c r="J914" s="385"/>
      <c r="K914" s="385"/>
      <c r="L914" s="385"/>
      <c r="M914" s="385"/>
      <c r="N914" s="385"/>
      <c r="O914" s="385"/>
      <c r="P914" s="385"/>
      <c r="Q914" s="385"/>
      <c r="R914" s="385"/>
      <c r="S914" s="385"/>
      <c r="T914" s="385"/>
      <c r="U914" s="385"/>
      <c r="V914" s="385"/>
      <c r="W914" s="385"/>
      <c r="X914" s="385"/>
      <c r="Y914" s="385"/>
      <c r="Z914" s="385"/>
      <c r="AA914" s="385"/>
      <c r="AB914" s="385"/>
    </row>
    <row r="915" spans="1:28" ht="15.75" customHeight="1">
      <c r="A915" s="385"/>
      <c r="B915" s="385"/>
      <c r="C915" s="526"/>
      <c r="D915" s="385"/>
      <c r="E915" s="385"/>
      <c r="F915" s="385"/>
      <c r="G915" s="385"/>
      <c r="H915" s="30"/>
      <c r="I915" s="385"/>
      <c r="J915" s="385"/>
      <c r="K915" s="385"/>
      <c r="L915" s="385"/>
      <c r="M915" s="385"/>
      <c r="N915" s="385"/>
      <c r="O915" s="385"/>
      <c r="P915" s="385"/>
      <c r="Q915" s="385"/>
      <c r="R915" s="385"/>
      <c r="S915" s="385"/>
      <c r="T915" s="385"/>
      <c r="U915" s="385"/>
      <c r="V915" s="385"/>
      <c r="W915" s="385"/>
      <c r="X915" s="385"/>
      <c r="Y915" s="385"/>
      <c r="Z915" s="385"/>
      <c r="AA915" s="385"/>
      <c r="AB915" s="385"/>
    </row>
    <row r="916" spans="1:28" ht="15.75" customHeight="1">
      <c r="A916" s="385"/>
      <c r="B916" s="385"/>
      <c r="C916" s="526"/>
      <c r="D916" s="385"/>
      <c r="E916" s="385"/>
      <c r="F916" s="385"/>
      <c r="G916" s="385"/>
      <c r="H916" s="30"/>
      <c r="I916" s="385"/>
      <c r="J916" s="385"/>
      <c r="K916" s="385"/>
      <c r="L916" s="385"/>
      <c r="M916" s="385"/>
      <c r="N916" s="385"/>
      <c r="O916" s="385"/>
      <c r="P916" s="385"/>
      <c r="Q916" s="385"/>
      <c r="R916" s="385"/>
      <c r="S916" s="385"/>
      <c r="T916" s="385"/>
      <c r="U916" s="385"/>
      <c r="V916" s="385"/>
      <c r="W916" s="385"/>
      <c r="X916" s="385"/>
      <c r="Y916" s="385"/>
      <c r="Z916" s="385"/>
      <c r="AA916" s="385"/>
      <c r="AB916" s="385"/>
    </row>
    <row r="917" spans="1:28" ht="15.75" customHeight="1">
      <c r="A917" s="385"/>
      <c r="B917" s="385"/>
      <c r="C917" s="526"/>
      <c r="D917" s="385"/>
      <c r="E917" s="385"/>
      <c r="F917" s="385"/>
      <c r="G917" s="385"/>
      <c r="H917" s="30"/>
      <c r="I917" s="385"/>
      <c r="J917" s="385"/>
      <c r="K917" s="385"/>
      <c r="L917" s="385"/>
      <c r="M917" s="385"/>
      <c r="N917" s="385"/>
      <c r="O917" s="385"/>
      <c r="P917" s="385"/>
      <c r="Q917" s="385"/>
      <c r="R917" s="385"/>
      <c r="S917" s="385"/>
      <c r="T917" s="385"/>
      <c r="U917" s="385"/>
      <c r="V917" s="385"/>
      <c r="W917" s="385"/>
      <c r="X917" s="385"/>
      <c r="Y917" s="385"/>
      <c r="Z917" s="385"/>
      <c r="AA917" s="385"/>
      <c r="AB917" s="385"/>
    </row>
    <row r="918" spans="1:28" ht="15.75" customHeight="1">
      <c r="A918" s="385"/>
      <c r="B918" s="385"/>
      <c r="C918" s="526"/>
      <c r="D918" s="385"/>
      <c r="E918" s="385"/>
      <c r="F918" s="385"/>
      <c r="G918" s="385"/>
      <c r="H918" s="30"/>
      <c r="I918" s="385"/>
      <c r="J918" s="385"/>
      <c r="K918" s="385"/>
      <c r="L918" s="385"/>
      <c r="M918" s="385"/>
      <c r="N918" s="385"/>
      <c r="O918" s="385"/>
      <c r="P918" s="385"/>
      <c r="Q918" s="385"/>
      <c r="R918" s="385"/>
      <c r="S918" s="385"/>
      <c r="T918" s="385"/>
      <c r="U918" s="385"/>
      <c r="V918" s="385"/>
      <c r="W918" s="385"/>
      <c r="X918" s="385"/>
      <c r="Y918" s="385"/>
      <c r="Z918" s="385"/>
      <c r="AA918" s="385"/>
      <c r="AB918" s="385"/>
    </row>
    <row r="919" spans="1:28" ht="15.75" customHeight="1">
      <c r="A919" s="385"/>
      <c r="B919" s="385"/>
      <c r="C919" s="526"/>
      <c r="D919" s="385"/>
      <c r="E919" s="385"/>
      <c r="F919" s="385"/>
      <c r="G919" s="385"/>
      <c r="H919" s="30"/>
      <c r="I919" s="385"/>
      <c r="J919" s="385"/>
      <c r="K919" s="385"/>
      <c r="L919" s="385"/>
      <c r="M919" s="385"/>
      <c r="N919" s="385"/>
      <c r="O919" s="385"/>
      <c r="P919" s="385"/>
      <c r="Q919" s="385"/>
      <c r="R919" s="385"/>
      <c r="S919" s="385"/>
      <c r="T919" s="385"/>
      <c r="U919" s="385"/>
      <c r="V919" s="385"/>
      <c r="W919" s="385"/>
      <c r="X919" s="385"/>
      <c r="Y919" s="385"/>
      <c r="Z919" s="385"/>
      <c r="AA919" s="385"/>
      <c r="AB919" s="385"/>
    </row>
    <row r="920" spans="1:28" ht="15.75" customHeight="1">
      <c r="A920" s="385"/>
      <c r="B920" s="385"/>
      <c r="C920" s="526"/>
      <c r="D920" s="385"/>
      <c r="E920" s="385"/>
      <c r="F920" s="385"/>
      <c r="G920" s="385"/>
      <c r="H920" s="30"/>
      <c r="I920" s="385"/>
      <c r="J920" s="385"/>
      <c r="K920" s="385"/>
      <c r="L920" s="385"/>
      <c r="M920" s="385"/>
      <c r="N920" s="385"/>
      <c r="O920" s="385"/>
      <c r="P920" s="385"/>
      <c r="Q920" s="385"/>
      <c r="R920" s="385"/>
      <c r="S920" s="385"/>
      <c r="T920" s="385"/>
      <c r="U920" s="385"/>
      <c r="V920" s="385"/>
      <c r="W920" s="385"/>
      <c r="X920" s="385"/>
      <c r="Y920" s="385"/>
      <c r="Z920" s="385"/>
      <c r="AA920" s="385"/>
      <c r="AB920" s="385"/>
    </row>
    <row r="921" spans="1:28" ht="15.75" customHeight="1">
      <c r="A921" s="385"/>
      <c r="B921" s="385"/>
      <c r="C921" s="526"/>
      <c r="D921" s="385"/>
      <c r="E921" s="385"/>
      <c r="F921" s="385"/>
      <c r="G921" s="385"/>
      <c r="H921" s="30"/>
      <c r="I921" s="385"/>
      <c r="J921" s="385"/>
      <c r="K921" s="385"/>
      <c r="L921" s="385"/>
      <c r="M921" s="385"/>
      <c r="N921" s="385"/>
      <c r="O921" s="385"/>
      <c r="P921" s="385"/>
      <c r="Q921" s="385"/>
      <c r="R921" s="385"/>
      <c r="S921" s="385"/>
      <c r="T921" s="385"/>
      <c r="U921" s="385"/>
      <c r="V921" s="385"/>
      <c r="W921" s="385"/>
      <c r="X921" s="385"/>
      <c r="Y921" s="385"/>
      <c r="Z921" s="385"/>
      <c r="AA921" s="385"/>
      <c r="AB921" s="385"/>
    </row>
    <row r="922" spans="1:28" ht="15.75" customHeight="1">
      <c r="A922" s="385"/>
      <c r="B922" s="385"/>
      <c r="C922" s="526"/>
      <c r="D922" s="385"/>
      <c r="E922" s="385"/>
      <c r="F922" s="385"/>
      <c r="G922" s="385"/>
      <c r="H922" s="30"/>
      <c r="I922" s="385"/>
      <c r="J922" s="385"/>
      <c r="K922" s="385"/>
      <c r="L922" s="385"/>
      <c r="M922" s="385"/>
      <c r="N922" s="385"/>
      <c r="O922" s="385"/>
      <c r="P922" s="385"/>
      <c r="Q922" s="385"/>
      <c r="R922" s="385"/>
      <c r="S922" s="385"/>
      <c r="T922" s="385"/>
      <c r="U922" s="385"/>
      <c r="V922" s="385"/>
      <c r="W922" s="385"/>
      <c r="X922" s="385"/>
      <c r="Y922" s="385"/>
      <c r="Z922" s="385"/>
      <c r="AA922" s="385"/>
      <c r="AB922" s="385"/>
    </row>
    <row r="923" spans="1:28" ht="15.75" customHeight="1">
      <c r="A923" s="385"/>
      <c r="B923" s="385"/>
      <c r="C923" s="526"/>
      <c r="D923" s="385"/>
      <c r="E923" s="385"/>
      <c r="F923" s="385"/>
      <c r="G923" s="385"/>
      <c r="H923" s="30"/>
      <c r="I923" s="385"/>
      <c r="J923" s="385"/>
      <c r="K923" s="385"/>
      <c r="L923" s="385"/>
      <c r="M923" s="385"/>
      <c r="N923" s="385"/>
      <c r="O923" s="385"/>
      <c r="P923" s="385"/>
      <c r="Q923" s="385"/>
      <c r="R923" s="385"/>
      <c r="S923" s="385"/>
      <c r="T923" s="385"/>
      <c r="U923" s="385"/>
      <c r="V923" s="385"/>
      <c r="W923" s="385"/>
      <c r="X923" s="385"/>
      <c r="Y923" s="385"/>
      <c r="Z923" s="385"/>
      <c r="AA923" s="385"/>
      <c r="AB923" s="385"/>
    </row>
    <row r="924" spans="1:28" ht="15.75" customHeight="1">
      <c r="A924" s="385"/>
      <c r="B924" s="385"/>
      <c r="C924" s="526"/>
      <c r="D924" s="385"/>
      <c r="E924" s="385"/>
      <c r="F924" s="385"/>
      <c r="G924" s="385"/>
      <c r="H924" s="30"/>
      <c r="I924" s="385"/>
      <c r="J924" s="385"/>
      <c r="K924" s="385"/>
      <c r="L924" s="385"/>
      <c r="M924" s="385"/>
      <c r="N924" s="385"/>
      <c r="O924" s="385"/>
      <c r="P924" s="385"/>
      <c r="Q924" s="385"/>
      <c r="R924" s="385"/>
      <c r="S924" s="385"/>
      <c r="T924" s="385"/>
      <c r="U924" s="385"/>
      <c r="V924" s="385"/>
      <c r="W924" s="385"/>
      <c r="X924" s="385"/>
      <c r="Y924" s="385"/>
      <c r="Z924" s="385"/>
      <c r="AA924" s="385"/>
      <c r="AB924" s="385"/>
    </row>
    <row r="925" spans="1:28" ht="15.75" customHeight="1">
      <c r="A925" s="385"/>
      <c r="B925" s="385"/>
      <c r="C925" s="526"/>
      <c r="D925" s="385"/>
      <c r="E925" s="385"/>
      <c r="F925" s="385"/>
      <c r="G925" s="385"/>
      <c r="H925" s="30"/>
      <c r="I925" s="385"/>
      <c r="J925" s="385"/>
      <c r="K925" s="385"/>
      <c r="L925" s="385"/>
      <c r="M925" s="385"/>
      <c r="N925" s="385"/>
      <c r="O925" s="385"/>
      <c r="P925" s="385"/>
      <c r="Q925" s="385"/>
      <c r="R925" s="385"/>
      <c r="S925" s="385"/>
      <c r="T925" s="385"/>
      <c r="U925" s="385"/>
      <c r="V925" s="385"/>
      <c r="W925" s="385"/>
      <c r="X925" s="385"/>
      <c r="Y925" s="385"/>
      <c r="Z925" s="385"/>
      <c r="AA925" s="385"/>
      <c r="AB925" s="385"/>
    </row>
    <row r="926" spans="1:28" ht="15.75" customHeight="1">
      <c r="A926" s="385"/>
      <c r="B926" s="385"/>
      <c r="C926" s="526"/>
      <c r="D926" s="385"/>
      <c r="E926" s="385"/>
      <c r="F926" s="385"/>
      <c r="G926" s="385"/>
      <c r="H926" s="30"/>
      <c r="I926" s="385"/>
      <c r="J926" s="385"/>
      <c r="K926" s="385"/>
      <c r="L926" s="385"/>
      <c r="M926" s="385"/>
      <c r="N926" s="385"/>
      <c r="O926" s="385"/>
      <c r="P926" s="385"/>
      <c r="Q926" s="385"/>
      <c r="R926" s="385"/>
      <c r="S926" s="385"/>
      <c r="T926" s="385"/>
      <c r="U926" s="385"/>
      <c r="V926" s="385"/>
      <c r="W926" s="385"/>
      <c r="X926" s="385"/>
      <c r="Y926" s="385"/>
      <c r="Z926" s="385"/>
      <c r="AA926" s="385"/>
      <c r="AB926" s="385"/>
    </row>
    <row r="927" spans="1:28" ht="15.75" customHeight="1">
      <c r="A927" s="385"/>
      <c r="B927" s="385"/>
      <c r="C927" s="526"/>
      <c r="D927" s="385"/>
      <c r="E927" s="385"/>
      <c r="F927" s="385"/>
      <c r="G927" s="385"/>
      <c r="H927" s="30"/>
      <c r="I927" s="385"/>
      <c r="J927" s="385"/>
      <c r="K927" s="385"/>
      <c r="L927" s="385"/>
      <c r="M927" s="385"/>
      <c r="N927" s="385"/>
      <c r="O927" s="385"/>
      <c r="P927" s="385"/>
      <c r="Q927" s="385"/>
      <c r="R927" s="385"/>
      <c r="S927" s="385"/>
      <c r="T927" s="385"/>
      <c r="U927" s="385"/>
      <c r="V927" s="385"/>
      <c r="W927" s="385"/>
      <c r="X927" s="385"/>
      <c r="Y927" s="385"/>
      <c r="Z927" s="385"/>
      <c r="AA927" s="385"/>
      <c r="AB927" s="385"/>
    </row>
    <row r="928" spans="1:28" ht="15.75" customHeight="1">
      <c r="A928" s="385"/>
      <c r="B928" s="385"/>
      <c r="C928" s="526"/>
      <c r="D928" s="385"/>
      <c r="E928" s="385"/>
      <c r="F928" s="385"/>
      <c r="G928" s="385"/>
      <c r="H928" s="30"/>
      <c r="I928" s="385"/>
      <c r="J928" s="385"/>
      <c r="K928" s="385"/>
      <c r="L928" s="385"/>
      <c r="M928" s="385"/>
      <c r="N928" s="385"/>
      <c r="O928" s="385"/>
      <c r="P928" s="385"/>
      <c r="Q928" s="385"/>
      <c r="R928" s="385"/>
      <c r="S928" s="385"/>
      <c r="T928" s="385"/>
      <c r="U928" s="385"/>
      <c r="V928" s="385"/>
      <c r="W928" s="385"/>
      <c r="X928" s="385"/>
      <c r="Y928" s="385"/>
      <c r="Z928" s="385"/>
      <c r="AA928" s="385"/>
      <c r="AB928" s="385"/>
    </row>
    <row r="929" spans="1:28" ht="15.75" customHeight="1">
      <c r="A929" s="385"/>
      <c r="B929" s="385"/>
      <c r="C929" s="526"/>
      <c r="D929" s="385"/>
      <c r="E929" s="385"/>
      <c r="F929" s="385"/>
      <c r="G929" s="385"/>
      <c r="H929" s="30"/>
      <c r="I929" s="385"/>
      <c r="J929" s="385"/>
      <c r="K929" s="385"/>
      <c r="L929" s="385"/>
      <c r="M929" s="385"/>
      <c r="N929" s="385"/>
      <c r="O929" s="385"/>
      <c r="P929" s="385"/>
      <c r="Q929" s="385"/>
      <c r="R929" s="385"/>
      <c r="S929" s="385"/>
      <c r="T929" s="385"/>
      <c r="U929" s="385"/>
      <c r="V929" s="385"/>
      <c r="W929" s="385"/>
      <c r="X929" s="385"/>
      <c r="Y929" s="385"/>
      <c r="Z929" s="385"/>
      <c r="AA929" s="385"/>
      <c r="AB929" s="385"/>
    </row>
    <row r="930" spans="1:28" ht="15.75" customHeight="1">
      <c r="A930" s="385"/>
      <c r="B930" s="385"/>
      <c r="C930" s="526"/>
      <c r="D930" s="385"/>
      <c r="E930" s="385"/>
      <c r="F930" s="385"/>
      <c r="G930" s="385"/>
      <c r="H930" s="30"/>
      <c r="I930" s="385"/>
      <c r="J930" s="385"/>
      <c r="K930" s="385"/>
      <c r="L930" s="385"/>
      <c r="M930" s="385"/>
      <c r="N930" s="385"/>
      <c r="O930" s="385"/>
      <c r="P930" s="385"/>
      <c r="Q930" s="385"/>
      <c r="R930" s="385"/>
      <c r="S930" s="385"/>
      <c r="T930" s="385"/>
      <c r="U930" s="385"/>
      <c r="V930" s="385"/>
      <c r="W930" s="385"/>
      <c r="X930" s="385"/>
      <c r="Y930" s="385"/>
      <c r="Z930" s="385"/>
      <c r="AA930" s="385"/>
      <c r="AB930" s="385"/>
    </row>
    <row r="931" spans="1:28" ht="15.75" customHeight="1">
      <c r="A931" s="385"/>
      <c r="B931" s="385"/>
      <c r="C931" s="526"/>
      <c r="D931" s="385"/>
      <c r="E931" s="385"/>
      <c r="F931" s="385"/>
      <c r="G931" s="385"/>
      <c r="H931" s="30"/>
      <c r="I931" s="385"/>
      <c r="J931" s="385"/>
      <c r="K931" s="385"/>
      <c r="L931" s="385"/>
      <c r="M931" s="385"/>
      <c r="N931" s="385"/>
      <c r="O931" s="385"/>
      <c r="P931" s="385"/>
      <c r="Q931" s="385"/>
      <c r="R931" s="385"/>
      <c r="S931" s="385"/>
      <c r="T931" s="385"/>
      <c r="U931" s="385"/>
      <c r="V931" s="385"/>
      <c r="W931" s="385"/>
      <c r="X931" s="385"/>
      <c r="Y931" s="385"/>
      <c r="Z931" s="385"/>
      <c r="AA931" s="385"/>
      <c r="AB931" s="385"/>
    </row>
    <row r="932" spans="1:28" ht="15.75" customHeight="1">
      <c r="A932" s="385"/>
      <c r="B932" s="385"/>
      <c r="C932" s="526"/>
      <c r="D932" s="385"/>
      <c r="E932" s="385"/>
      <c r="F932" s="385"/>
      <c r="G932" s="385"/>
      <c r="H932" s="30"/>
      <c r="I932" s="385"/>
      <c r="J932" s="385"/>
      <c r="K932" s="385"/>
      <c r="L932" s="385"/>
      <c r="M932" s="385"/>
      <c r="N932" s="385"/>
      <c r="O932" s="385"/>
      <c r="P932" s="385"/>
      <c r="Q932" s="385"/>
      <c r="R932" s="385"/>
      <c r="S932" s="385"/>
      <c r="T932" s="385"/>
      <c r="U932" s="385"/>
      <c r="V932" s="385"/>
      <c r="W932" s="385"/>
      <c r="X932" s="385"/>
      <c r="Y932" s="385"/>
      <c r="Z932" s="385"/>
      <c r="AA932" s="385"/>
      <c r="AB932" s="385"/>
    </row>
    <row r="933" spans="1:28" ht="15.75" customHeight="1">
      <c r="A933" s="385"/>
      <c r="B933" s="385"/>
      <c r="C933" s="526"/>
      <c r="D933" s="385"/>
      <c r="E933" s="385"/>
      <c r="F933" s="385"/>
      <c r="G933" s="385"/>
      <c r="H933" s="30"/>
      <c r="I933" s="385"/>
      <c r="J933" s="385"/>
      <c r="K933" s="385"/>
      <c r="L933" s="385"/>
      <c r="M933" s="385"/>
      <c r="N933" s="385"/>
      <c r="O933" s="385"/>
      <c r="P933" s="385"/>
      <c r="Q933" s="385"/>
      <c r="R933" s="385"/>
      <c r="S933" s="385"/>
      <c r="T933" s="385"/>
      <c r="U933" s="385"/>
      <c r="V933" s="385"/>
      <c r="W933" s="385"/>
      <c r="X933" s="385"/>
      <c r="Y933" s="385"/>
      <c r="Z933" s="385"/>
      <c r="AA933" s="385"/>
      <c r="AB933" s="385"/>
    </row>
    <row r="934" spans="1:28" ht="15.75" customHeight="1">
      <c r="A934" s="385"/>
      <c r="B934" s="385"/>
      <c r="C934" s="526"/>
      <c r="D934" s="385"/>
      <c r="E934" s="385"/>
      <c r="F934" s="385"/>
      <c r="G934" s="385"/>
      <c r="H934" s="30"/>
      <c r="I934" s="385"/>
      <c r="J934" s="385"/>
      <c r="K934" s="385"/>
      <c r="L934" s="385"/>
      <c r="M934" s="385"/>
      <c r="N934" s="385"/>
      <c r="O934" s="385"/>
      <c r="P934" s="385"/>
      <c r="Q934" s="385"/>
      <c r="R934" s="385"/>
      <c r="S934" s="385"/>
      <c r="T934" s="385"/>
      <c r="U934" s="385"/>
      <c r="V934" s="385"/>
      <c r="W934" s="385"/>
      <c r="X934" s="385"/>
      <c r="Y934" s="385"/>
      <c r="Z934" s="385"/>
      <c r="AA934" s="385"/>
      <c r="AB934" s="385"/>
    </row>
    <row r="935" spans="1:28" ht="15.75" customHeight="1">
      <c r="A935" s="385"/>
      <c r="B935" s="385"/>
      <c r="C935" s="526"/>
      <c r="D935" s="385"/>
      <c r="E935" s="385"/>
      <c r="F935" s="385"/>
      <c r="G935" s="385"/>
      <c r="H935" s="30"/>
      <c r="I935" s="385"/>
      <c r="J935" s="385"/>
      <c r="K935" s="385"/>
      <c r="L935" s="385"/>
      <c r="M935" s="385"/>
      <c r="N935" s="385"/>
      <c r="O935" s="385"/>
      <c r="P935" s="385"/>
      <c r="Q935" s="385"/>
      <c r="R935" s="385"/>
      <c r="S935" s="385"/>
      <c r="T935" s="385"/>
      <c r="U935" s="385"/>
      <c r="V935" s="385"/>
      <c r="W935" s="385"/>
      <c r="X935" s="385"/>
      <c r="Y935" s="385"/>
      <c r="Z935" s="385"/>
      <c r="AA935" s="385"/>
      <c r="AB935" s="385"/>
    </row>
    <row r="936" spans="1:28" ht="15.75" customHeight="1">
      <c r="A936" s="385"/>
      <c r="B936" s="385"/>
      <c r="C936" s="526"/>
      <c r="D936" s="385"/>
      <c r="E936" s="385"/>
      <c r="F936" s="385"/>
      <c r="G936" s="385"/>
      <c r="H936" s="30"/>
      <c r="I936" s="385"/>
      <c r="J936" s="385"/>
      <c r="K936" s="385"/>
      <c r="L936" s="385"/>
      <c r="M936" s="385"/>
      <c r="N936" s="385"/>
      <c r="O936" s="385"/>
      <c r="P936" s="385"/>
      <c r="Q936" s="385"/>
      <c r="R936" s="385"/>
      <c r="S936" s="385"/>
      <c r="T936" s="385"/>
      <c r="U936" s="385"/>
      <c r="V936" s="385"/>
      <c r="W936" s="385"/>
      <c r="X936" s="385"/>
      <c r="Y936" s="385"/>
      <c r="Z936" s="385"/>
      <c r="AA936" s="385"/>
      <c r="AB936" s="385"/>
    </row>
    <row r="937" spans="1:28" ht="15.75" customHeight="1">
      <c r="A937" s="385"/>
      <c r="B937" s="385"/>
      <c r="C937" s="526"/>
      <c r="D937" s="385"/>
      <c r="E937" s="385"/>
      <c r="F937" s="385"/>
      <c r="G937" s="385"/>
      <c r="H937" s="30"/>
      <c r="I937" s="385"/>
      <c r="J937" s="385"/>
      <c r="K937" s="385"/>
      <c r="L937" s="385"/>
      <c r="M937" s="385"/>
      <c r="N937" s="385"/>
      <c r="O937" s="385"/>
      <c r="P937" s="385"/>
      <c r="Q937" s="385"/>
      <c r="R937" s="385"/>
      <c r="S937" s="385"/>
      <c r="T937" s="385"/>
      <c r="U937" s="385"/>
      <c r="V937" s="385"/>
      <c r="W937" s="385"/>
      <c r="X937" s="385"/>
      <c r="Y937" s="385"/>
      <c r="Z937" s="385"/>
      <c r="AA937" s="385"/>
      <c r="AB937" s="385"/>
    </row>
    <row r="938" spans="1:28" ht="15.75" customHeight="1">
      <c r="A938" s="385"/>
      <c r="B938" s="385"/>
      <c r="C938" s="526"/>
      <c r="D938" s="385"/>
      <c r="E938" s="385"/>
      <c r="F938" s="385"/>
      <c r="G938" s="385"/>
      <c r="H938" s="30"/>
      <c r="I938" s="385"/>
      <c r="J938" s="385"/>
      <c r="K938" s="385"/>
      <c r="L938" s="385"/>
      <c r="M938" s="385"/>
      <c r="N938" s="385"/>
      <c r="O938" s="385"/>
      <c r="P938" s="385"/>
      <c r="Q938" s="385"/>
      <c r="R938" s="385"/>
      <c r="S938" s="385"/>
      <c r="T938" s="385"/>
      <c r="U938" s="385"/>
      <c r="V938" s="385"/>
      <c r="W938" s="385"/>
      <c r="X938" s="385"/>
      <c r="Y938" s="385"/>
      <c r="Z938" s="385"/>
      <c r="AA938" s="385"/>
      <c r="AB938" s="385"/>
    </row>
    <row r="939" spans="1:28" ht="15.75" customHeight="1">
      <c r="A939" s="385"/>
      <c r="B939" s="385"/>
      <c r="C939" s="526"/>
      <c r="D939" s="385"/>
      <c r="E939" s="385"/>
      <c r="F939" s="385"/>
      <c r="G939" s="385"/>
      <c r="H939" s="30"/>
      <c r="I939" s="385"/>
      <c r="J939" s="385"/>
      <c r="K939" s="385"/>
      <c r="L939" s="385"/>
      <c r="M939" s="385"/>
      <c r="N939" s="385"/>
      <c r="O939" s="385"/>
      <c r="P939" s="385"/>
      <c r="Q939" s="385"/>
      <c r="R939" s="385"/>
      <c r="S939" s="385"/>
      <c r="T939" s="385"/>
      <c r="U939" s="385"/>
      <c r="V939" s="385"/>
      <c r="W939" s="385"/>
      <c r="X939" s="385"/>
      <c r="Y939" s="385"/>
      <c r="Z939" s="385"/>
      <c r="AA939" s="385"/>
      <c r="AB939" s="385"/>
    </row>
    <row r="940" spans="1:28" ht="15.75" customHeight="1">
      <c r="A940" s="385"/>
      <c r="B940" s="385"/>
      <c r="C940" s="526"/>
      <c r="D940" s="385"/>
      <c r="E940" s="385"/>
      <c r="F940" s="385"/>
      <c r="G940" s="385"/>
      <c r="H940" s="30"/>
      <c r="I940" s="385"/>
      <c r="J940" s="385"/>
      <c r="K940" s="385"/>
      <c r="L940" s="385"/>
      <c r="M940" s="385"/>
      <c r="N940" s="385"/>
      <c r="O940" s="385"/>
      <c r="P940" s="385"/>
      <c r="Q940" s="385"/>
      <c r="R940" s="385"/>
      <c r="S940" s="385"/>
      <c r="T940" s="385"/>
      <c r="U940" s="385"/>
      <c r="V940" s="385"/>
      <c r="W940" s="385"/>
      <c r="X940" s="385"/>
      <c r="Y940" s="385"/>
      <c r="Z940" s="385"/>
      <c r="AA940" s="385"/>
      <c r="AB940" s="385"/>
    </row>
    <row r="941" spans="1:28" ht="15.75" customHeight="1">
      <c r="A941" s="385"/>
      <c r="B941" s="385"/>
      <c r="C941" s="526"/>
      <c r="D941" s="385"/>
      <c r="E941" s="385"/>
      <c r="F941" s="385"/>
      <c r="G941" s="385"/>
      <c r="H941" s="30"/>
      <c r="I941" s="385"/>
      <c r="J941" s="385"/>
      <c r="K941" s="385"/>
      <c r="L941" s="385"/>
      <c r="M941" s="385"/>
      <c r="N941" s="385"/>
      <c r="O941" s="385"/>
      <c r="P941" s="385"/>
      <c r="Q941" s="385"/>
      <c r="R941" s="385"/>
      <c r="S941" s="385"/>
      <c r="T941" s="385"/>
      <c r="U941" s="385"/>
      <c r="V941" s="385"/>
      <c r="W941" s="385"/>
      <c r="X941" s="385"/>
      <c r="Y941" s="385"/>
      <c r="Z941" s="385"/>
      <c r="AA941" s="385"/>
      <c r="AB941" s="385"/>
    </row>
    <row r="942" spans="1:28" ht="15.75" customHeight="1">
      <c r="A942" s="385"/>
      <c r="B942" s="385"/>
      <c r="C942" s="526"/>
      <c r="D942" s="385"/>
      <c r="E942" s="385"/>
      <c r="F942" s="385"/>
      <c r="G942" s="385"/>
      <c r="H942" s="30"/>
      <c r="I942" s="385"/>
      <c r="J942" s="385"/>
      <c r="K942" s="385"/>
      <c r="L942" s="385"/>
      <c r="M942" s="385"/>
      <c r="N942" s="385"/>
      <c r="O942" s="385"/>
      <c r="P942" s="385"/>
      <c r="Q942" s="385"/>
      <c r="R942" s="385"/>
      <c r="S942" s="385"/>
      <c r="T942" s="385"/>
      <c r="U942" s="385"/>
      <c r="V942" s="385"/>
      <c r="W942" s="385"/>
      <c r="X942" s="385"/>
      <c r="Y942" s="385"/>
      <c r="Z942" s="385"/>
      <c r="AA942" s="385"/>
      <c r="AB942" s="385"/>
    </row>
    <row r="943" spans="1:28" ht="15.75" customHeight="1">
      <c r="A943" s="385"/>
      <c r="B943" s="385"/>
      <c r="C943" s="526"/>
      <c r="D943" s="385"/>
      <c r="E943" s="385"/>
      <c r="F943" s="385"/>
      <c r="G943" s="385"/>
      <c r="H943" s="30"/>
      <c r="I943" s="385"/>
      <c r="J943" s="385"/>
      <c r="K943" s="385"/>
      <c r="L943" s="385"/>
      <c r="M943" s="385"/>
      <c r="N943" s="385"/>
      <c r="O943" s="385"/>
      <c r="P943" s="385"/>
      <c r="Q943" s="385"/>
      <c r="R943" s="385"/>
      <c r="S943" s="385"/>
      <c r="T943" s="385"/>
      <c r="U943" s="385"/>
      <c r="V943" s="385"/>
      <c r="W943" s="385"/>
      <c r="X943" s="385"/>
      <c r="Y943" s="385"/>
      <c r="Z943" s="385"/>
      <c r="AA943" s="385"/>
      <c r="AB943" s="385"/>
    </row>
    <row r="944" spans="1:28" ht="15.75" customHeight="1">
      <c r="A944" s="385"/>
      <c r="B944" s="385"/>
      <c r="C944" s="526"/>
      <c r="D944" s="385"/>
      <c r="E944" s="385"/>
      <c r="F944" s="385"/>
      <c r="G944" s="385"/>
      <c r="H944" s="30"/>
      <c r="I944" s="385"/>
      <c r="J944" s="385"/>
      <c r="K944" s="385"/>
      <c r="L944" s="385"/>
      <c r="M944" s="385"/>
      <c r="N944" s="385"/>
      <c r="O944" s="385"/>
      <c r="P944" s="385"/>
      <c r="Q944" s="385"/>
      <c r="R944" s="385"/>
      <c r="S944" s="385"/>
      <c r="T944" s="385"/>
      <c r="U944" s="385"/>
      <c r="V944" s="385"/>
      <c r="W944" s="385"/>
      <c r="X944" s="385"/>
      <c r="Y944" s="385"/>
      <c r="Z944" s="385"/>
      <c r="AA944" s="385"/>
      <c r="AB944" s="385"/>
    </row>
    <row r="945" spans="1:28" ht="15.75" customHeight="1">
      <c r="A945" s="385"/>
      <c r="B945" s="385"/>
      <c r="C945" s="526"/>
      <c r="D945" s="385"/>
      <c r="E945" s="385"/>
      <c r="F945" s="385"/>
      <c r="G945" s="385"/>
      <c r="H945" s="30"/>
      <c r="I945" s="385"/>
      <c r="J945" s="385"/>
      <c r="K945" s="385"/>
      <c r="L945" s="385"/>
      <c r="M945" s="385"/>
      <c r="N945" s="385"/>
      <c r="O945" s="385"/>
      <c r="P945" s="385"/>
      <c r="Q945" s="385"/>
      <c r="R945" s="385"/>
      <c r="S945" s="385"/>
      <c r="T945" s="385"/>
      <c r="U945" s="385"/>
      <c r="V945" s="385"/>
      <c r="W945" s="385"/>
      <c r="X945" s="385"/>
      <c r="Y945" s="385"/>
      <c r="Z945" s="385"/>
      <c r="AA945" s="385"/>
      <c r="AB945" s="385"/>
    </row>
    <row r="946" spans="1:28" ht="15.75" customHeight="1">
      <c r="A946" s="385"/>
      <c r="B946" s="385"/>
      <c r="C946" s="526"/>
      <c r="D946" s="385"/>
      <c r="E946" s="385"/>
      <c r="F946" s="385"/>
      <c r="G946" s="385"/>
      <c r="H946" s="30"/>
      <c r="I946" s="385"/>
      <c r="J946" s="385"/>
      <c r="K946" s="385"/>
      <c r="L946" s="385"/>
      <c r="M946" s="385"/>
      <c r="N946" s="385"/>
      <c r="O946" s="385"/>
      <c r="P946" s="385"/>
      <c r="Q946" s="385"/>
      <c r="R946" s="385"/>
      <c r="S946" s="385"/>
      <c r="T946" s="385"/>
      <c r="U946" s="385"/>
      <c r="V946" s="385"/>
      <c r="W946" s="385"/>
      <c r="X946" s="385"/>
      <c r="Y946" s="385"/>
      <c r="Z946" s="385"/>
      <c r="AA946" s="385"/>
      <c r="AB946" s="385"/>
    </row>
    <row r="947" spans="1:28" ht="15.75" customHeight="1">
      <c r="A947" s="385"/>
      <c r="B947" s="385"/>
      <c r="C947" s="526"/>
      <c r="D947" s="385"/>
      <c r="E947" s="385"/>
      <c r="F947" s="385"/>
      <c r="G947" s="385"/>
      <c r="H947" s="30"/>
      <c r="I947" s="385"/>
      <c r="J947" s="385"/>
      <c r="K947" s="385"/>
      <c r="L947" s="385"/>
      <c r="M947" s="385"/>
      <c r="N947" s="385"/>
      <c r="O947" s="385"/>
      <c r="P947" s="385"/>
      <c r="Q947" s="385"/>
      <c r="R947" s="385"/>
      <c r="S947" s="385"/>
      <c r="T947" s="385"/>
      <c r="U947" s="385"/>
      <c r="V947" s="385"/>
      <c r="W947" s="385"/>
      <c r="X947" s="385"/>
      <c r="Y947" s="385"/>
      <c r="Z947" s="385"/>
      <c r="AA947" s="385"/>
      <c r="AB947" s="385"/>
    </row>
    <row r="948" spans="1:28" ht="15.75" customHeight="1">
      <c r="A948" s="385"/>
      <c r="B948" s="385"/>
      <c r="C948" s="526"/>
      <c r="D948" s="385"/>
      <c r="E948" s="385"/>
      <c r="F948" s="385"/>
      <c r="G948" s="385"/>
      <c r="H948" s="30"/>
      <c r="I948" s="385"/>
      <c r="J948" s="385"/>
      <c r="K948" s="385"/>
      <c r="L948" s="385"/>
      <c r="M948" s="385"/>
      <c r="N948" s="385"/>
      <c r="O948" s="385"/>
      <c r="P948" s="385"/>
      <c r="Q948" s="385"/>
      <c r="R948" s="385"/>
      <c r="S948" s="385"/>
      <c r="T948" s="385"/>
      <c r="U948" s="385"/>
      <c r="V948" s="385"/>
      <c r="W948" s="385"/>
      <c r="X948" s="385"/>
      <c r="Y948" s="385"/>
      <c r="Z948" s="385"/>
      <c r="AA948" s="385"/>
      <c r="AB948" s="385"/>
    </row>
    <row r="949" spans="1:28" ht="15.75" customHeight="1">
      <c r="A949" s="385"/>
      <c r="B949" s="385"/>
      <c r="C949" s="526"/>
      <c r="D949" s="385"/>
      <c r="E949" s="385"/>
      <c r="F949" s="385"/>
      <c r="G949" s="385"/>
      <c r="H949" s="30"/>
      <c r="I949" s="385"/>
      <c r="J949" s="385"/>
      <c r="K949" s="385"/>
      <c r="L949" s="385"/>
      <c r="M949" s="385"/>
      <c r="N949" s="385"/>
      <c r="O949" s="385"/>
      <c r="P949" s="385"/>
      <c r="Q949" s="385"/>
      <c r="R949" s="385"/>
      <c r="S949" s="385"/>
      <c r="T949" s="385"/>
      <c r="U949" s="385"/>
      <c r="V949" s="385"/>
      <c r="W949" s="385"/>
      <c r="X949" s="385"/>
      <c r="Y949" s="385"/>
      <c r="Z949" s="385"/>
      <c r="AA949" s="385"/>
      <c r="AB949" s="385"/>
    </row>
    <row r="950" spans="1:28" ht="15.75" customHeight="1">
      <c r="A950" s="385"/>
      <c r="B950" s="385"/>
      <c r="C950" s="526"/>
      <c r="D950" s="385"/>
      <c r="E950" s="385"/>
      <c r="F950" s="385"/>
      <c r="G950" s="385"/>
      <c r="H950" s="30"/>
      <c r="I950" s="385"/>
      <c r="J950" s="385"/>
      <c r="K950" s="385"/>
      <c r="L950" s="385"/>
      <c r="M950" s="385"/>
      <c r="N950" s="385"/>
      <c r="O950" s="385"/>
      <c r="P950" s="385"/>
      <c r="Q950" s="385"/>
      <c r="R950" s="385"/>
      <c r="S950" s="385"/>
      <c r="T950" s="385"/>
      <c r="U950" s="385"/>
      <c r="V950" s="385"/>
      <c r="W950" s="385"/>
      <c r="X950" s="385"/>
      <c r="Y950" s="385"/>
      <c r="Z950" s="385"/>
      <c r="AA950" s="385"/>
      <c r="AB950" s="385"/>
    </row>
    <row r="951" spans="1:28" ht="15.75" customHeight="1">
      <c r="A951" s="385"/>
      <c r="B951" s="385"/>
      <c r="C951" s="526"/>
      <c r="D951" s="385"/>
      <c r="E951" s="385"/>
      <c r="F951" s="385"/>
      <c r="G951" s="385"/>
      <c r="H951" s="30"/>
      <c r="I951" s="385"/>
      <c r="J951" s="385"/>
      <c r="K951" s="385"/>
      <c r="L951" s="385"/>
      <c r="M951" s="385"/>
      <c r="N951" s="385"/>
      <c r="O951" s="385"/>
      <c r="P951" s="385"/>
      <c r="Q951" s="385"/>
      <c r="R951" s="385"/>
      <c r="S951" s="385"/>
      <c r="T951" s="385"/>
      <c r="U951" s="385"/>
      <c r="V951" s="385"/>
      <c r="W951" s="385"/>
      <c r="X951" s="385"/>
      <c r="Y951" s="385"/>
      <c r="Z951" s="385"/>
      <c r="AA951" s="385"/>
      <c r="AB951" s="385"/>
    </row>
    <row r="952" spans="1:28" ht="15.75" customHeight="1">
      <c r="A952" s="385"/>
      <c r="B952" s="385"/>
      <c r="C952" s="526"/>
      <c r="D952" s="385"/>
      <c r="E952" s="385"/>
      <c r="F952" s="385"/>
      <c r="G952" s="385"/>
      <c r="H952" s="30"/>
      <c r="I952" s="385"/>
      <c r="J952" s="385"/>
      <c r="K952" s="385"/>
      <c r="L952" s="385"/>
      <c r="M952" s="385"/>
      <c r="N952" s="385"/>
      <c r="O952" s="385"/>
      <c r="P952" s="385"/>
      <c r="Q952" s="385"/>
      <c r="R952" s="385"/>
      <c r="S952" s="385"/>
      <c r="T952" s="385"/>
      <c r="U952" s="385"/>
      <c r="V952" s="385"/>
      <c r="W952" s="385"/>
      <c r="X952" s="385"/>
      <c r="Y952" s="385"/>
      <c r="Z952" s="385"/>
      <c r="AA952" s="385"/>
      <c r="AB952" s="385"/>
    </row>
    <row r="953" spans="1:28" ht="15.75" customHeight="1">
      <c r="A953" s="385"/>
      <c r="B953" s="385"/>
      <c r="C953" s="526"/>
      <c r="D953" s="385"/>
      <c r="E953" s="385"/>
      <c r="F953" s="385"/>
      <c r="G953" s="385"/>
      <c r="H953" s="30"/>
      <c r="I953" s="385"/>
      <c r="J953" s="385"/>
      <c r="K953" s="385"/>
      <c r="L953" s="385"/>
      <c r="M953" s="385"/>
      <c r="N953" s="385"/>
      <c r="O953" s="385"/>
      <c r="P953" s="385"/>
      <c r="Q953" s="385"/>
      <c r="R953" s="385"/>
      <c r="S953" s="385"/>
      <c r="T953" s="385"/>
      <c r="U953" s="385"/>
      <c r="V953" s="385"/>
      <c r="W953" s="385"/>
      <c r="X953" s="385"/>
      <c r="Y953" s="385"/>
      <c r="Z953" s="385"/>
      <c r="AA953" s="385"/>
      <c r="AB953" s="385"/>
    </row>
    <row r="954" spans="1:28" ht="15.75" customHeight="1">
      <c r="A954" s="385"/>
      <c r="B954" s="385"/>
      <c r="C954" s="526"/>
      <c r="D954" s="385"/>
      <c r="E954" s="385"/>
      <c r="F954" s="385"/>
      <c r="G954" s="385"/>
      <c r="H954" s="30"/>
      <c r="I954" s="385"/>
      <c r="J954" s="385"/>
      <c r="K954" s="385"/>
      <c r="L954" s="385"/>
      <c r="M954" s="385"/>
      <c r="N954" s="385"/>
      <c r="O954" s="385"/>
      <c r="P954" s="385"/>
      <c r="Q954" s="385"/>
      <c r="R954" s="385"/>
      <c r="S954" s="385"/>
      <c r="T954" s="385"/>
      <c r="U954" s="385"/>
      <c r="V954" s="385"/>
      <c r="W954" s="385"/>
      <c r="X954" s="385"/>
      <c r="Y954" s="385"/>
      <c r="Z954" s="385"/>
      <c r="AA954" s="385"/>
      <c r="AB954" s="385"/>
    </row>
    <row r="955" spans="1:28" ht="15.75" customHeight="1">
      <c r="A955" s="385"/>
      <c r="B955" s="385"/>
      <c r="C955" s="526"/>
      <c r="D955" s="385"/>
      <c r="E955" s="385"/>
      <c r="F955" s="385"/>
      <c r="G955" s="385"/>
      <c r="H955" s="30"/>
      <c r="I955" s="385"/>
      <c r="J955" s="385"/>
      <c r="K955" s="385"/>
      <c r="L955" s="385"/>
      <c r="M955" s="385"/>
      <c r="N955" s="385"/>
      <c r="O955" s="385"/>
      <c r="P955" s="385"/>
      <c r="Q955" s="385"/>
      <c r="R955" s="385"/>
      <c r="S955" s="385"/>
      <c r="T955" s="385"/>
      <c r="U955" s="385"/>
      <c r="V955" s="385"/>
      <c r="W955" s="385"/>
      <c r="X955" s="385"/>
      <c r="Y955" s="385"/>
      <c r="Z955" s="385"/>
      <c r="AA955" s="385"/>
      <c r="AB955" s="385"/>
    </row>
    <row r="956" spans="1:28" ht="15.75" customHeight="1">
      <c r="A956" s="385"/>
      <c r="B956" s="385"/>
      <c r="C956" s="526"/>
      <c r="D956" s="385"/>
      <c r="E956" s="385"/>
      <c r="F956" s="385"/>
      <c r="G956" s="385"/>
      <c r="H956" s="30"/>
      <c r="I956" s="385"/>
      <c r="J956" s="385"/>
      <c r="K956" s="385"/>
      <c r="L956" s="385"/>
      <c r="M956" s="385"/>
      <c r="N956" s="385"/>
      <c r="O956" s="385"/>
      <c r="P956" s="385"/>
      <c r="Q956" s="385"/>
      <c r="R956" s="385"/>
      <c r="S956" s="385"/>
      <c r="T956" s="385"/>
      <c r="U956" s="385"/>
      <c r="V956" s="385"/>
      <c r="W956" s="385"/>
      <c r="X956" s="385"/>
      <c r="Y956" s="385"/>
      <c r="Z956" s="385"/>
      <c r="AA956" s="385"/>
      <c r="AB956" s="385"/>
    </row>
    <row r="957" spans="1:28" ht="15.75" customHeight="1">
      <c r="A957" s="385"/>
      <c r="B957" s="385"/>
      <c r="C957" s="526"/>
      <c r="D957" s="385"/>
      <c r="E957" s="385"/>
      <c r="F957" s="385"/>
      <c r="G957" s="385"/>
      <c r="H957" s="30"/>
      <c r="I957" s="385"/>
      <c r="J957" s="385"/>
      <c r="K957" s="385"/>
      <c r="L957" s="385"/>
      <c r="M957" s="385"/>
      <c r="N957" s="385"/>
      <c r="O957" s="385"/>
      <c r="P957" s="385"/>
      <c r="Q957" s="385"/>
      <c r="R957" s="385"/>
      <c r="S957" s="385"/>
      <c r="T957" s="385"/>
      <c r="U957" s="385"/>
      <c r="V957" s="385"/>
      <c r="W957" s="385"/>
      <c r="X957" s="385"/>
      <c r="Y957" s="385"/>
      <c r="Z957" s="385"/>
      <c r="AA957" s="385"/>
      <c r="AB957" s="385"/>
    </row>
    <row r="958" spans="1:28" ht="15.75" customHeight="1">
      <c r="A958" s="385"/>
      <c r="B958" s="385"/>
      <c r="C958" s="526"/>
      <c r="D958" s="385"/>
      <c r="E958" s="385"/>
      <c r="F958" s="385"/>
      <c r="G958" s="385"/>
      <c r="H958" s="30"/>
      <c r="I958" s="385"/>
      <c r="J958" s="385"/>
      <c r="K958" s="385"/>
      <c r="L958" s="385"/>
      <c r="M958" s="385"/>
      <c r="N958" s="385"/>
      <c r="O958" s="385"/>
      <c r="P958" s="385"/>
      <c r="Q958" s="385"/>
      <c r="R958" s="385"/>
      <c r="S958" s="385"/>
      <c r="T958" s="385"/>
      <c r="U958" s="385"/>
      <c r="V958" s="385"/>
      <c r="W958" s="385"/>
      <c r="X958" s="385"/>
      <c r="Y958" s="385"/>
      <c r="Z958" s="385"/>
      <c r="AA958" s="385"/>
      <c r="AB958" s="385"/>
    </row>
    <row r="959" spans="1:28" ht="15.75" customHeight="1">
      <c r="A959" s="385"/>
      <c r="B959" s="385"/>
      <c r="C959" s="526"/>
      <c r="D959" s="385"/>
      <c r="E959" s="385"/>
      <c r="F959" s="385"/>
      <c r="G959" s="385"/>
      <c r="H959" s="30"/>
      <c r="I959" s="385"/>
      <c r="J959" s="385"/>
      <c r="K959" s="385"/>
      <c r="L959" s="385"/>
      <c r="M959" s="385"/>
      <c r="N959" s="385"/>
      <c r="O959" s="385"/>
      <c r="P959" s="385"/>
      <c r="Q959" s="385"/>
      <c r="R959" s="385"/>
      <c r="S959" s="385"/>
      <c r="T959" s="385"/>
      <c r="U959" s="385"/>
      <c r="V959" s="385"/>
      <c r="W959" s="385"/>
      <c r="X959" s="385"/>
      <c r="Y959" s="385"/>
      <c r="Z959" s="385"/>
      <c r="AA959" s="385"/>
      <c r="AB959" s="385"/>
    </row>
    <row r="960" spans="1:28" ht="15.75" customHeight="1">
      <c r="A960" s="385"/>
      <c r="B960" s="385"/>
      <c r="C960" s="526"/>
      <c r="D960" s="385"/>
      <c r="E960" s="385"/>
      <c r="F960" s="385"/>
      <c r="G960" s="385"/>
      <c r="H960" s="30"/>
      <c r="I960" s="385"/>
      <c r="J960" s="385"/>
      <c r="K960" s="385"/>
      <c r="L960" s="385"/>
      <c r="M960" s="385"/>
      <c r="N960" s="385"/>
      <c r="O960" s="385"/>
      <c r="P960" s="385"/>
      <c r="Q960" s="385"/>
      <c r="R960" s="385"/>
      <c r="S960" s="385"/>
      <c r="T960" s="385"/>
      <c r="U960" s="385"/>
      <c r="V960" s="385"/>
      <c r="W960" s="385"/>
      <c r="X960" s="385"/>
      <c r="Y960" s="385"/>
      <c r="Z960" s="385"/>
      <c r="AA960" s="385"/>
      <c r="AB960" s="385"/>
    </row>
    <row r="961" spans="1:28" ht="15.75" customHeight="1">
      <c r="A961" s="385"/>
      <c r="B961" s="385"/>
      <c r="C961" s="526"/>
      <c r="D961" s="385"/>
      <c r="E961" s="385"/>
      <c r="F961" s="385"/>
      <c r="G961" s="385"/>
      <c r="H961" s="30"/>
      <c r="I961" s="385"/>
      <c r="J961" s="385"/>
      <c r="K961" s="385"/>
      <c r="L961" s="385"/>
      <c r="M961" s="385"/>
      <c r="N961" s="385"/>
      <c r="O961" s="385"/>
      <c r="P961" s="385"/>
      <c r="Q961" s="385"/>
      <c r="R961" s="385"/>
      <c r="S961" s="385"/>
      <c r="T961" s="385"/>
      <c r="U961" s="385"/>
      <c r="V961" s="385"/>
      <c r="W961" s="385"/>
      <c r="X961" s="385"/>
      <c r="Y961" s="385"/>
      <c r="Z961" s="385"/>
      <c r="AA961" s="385"/>
      <c r="AB961" s="385"/>
    </row>
    <row r="962" spans="1:28" ht="15.75" customHeight="1">
      <c r="A962" s="385"/>
      <c r="B962" s="385"/>
      <c r="C962" s="526"/>
      <c r="D962" s="385"/>
      <c r="E962" s="385"/>
      <c r="F962" s="385"/>
      <c r="G962" s="385"/>
      <c r="H962" s="30"/>
      <c r="I962" s="385"/>
      <c r="J962" s="385"/>
      <c r="K962" s="385"/>
      <c r="L962" s="385"/>
      <c r="M962" s="385"/>
      <c r="N962" s="385"/>
      <c r="O962" s="385"/>
      <c r="P962" s="385"/>
      <c r="Q962" s="385"/>
      <c r="R962" s="385"/>
      <c r="S962" s="385"/>
      <c r="T962" s="385"/>
      <c r="U962" s="385"/>
      <c r="V962" s="385"/>
      <c r="W962" s="385"/>
      <c r="X962" s="385"/>
      <c r="Y962" s="385"/>
      <c r="Z962" s="385"/>
      <c r="AA962" s="385"/>
      <c r="AB962" s="385"/>
    </row>
    <row r="963" spans="1:28" ht="15.75" customHeight="1">
      <c r="A963" s="385"/>
      <c r="B963" s="385"/>
      <c r="C963" s="526"/>
      <c r="D963" s="385"/>
      <c r="E963" s="385"/>
      <c r="F963" s="385"/>
      <c r="G963" s="385"/>
      <c r="H963" s="30"/>
      <c r="I963" s="385"/>
      <c r="J963" s="385"/>
      <c r="K963" s="385"/>
      <c r="L963" s="385"/>
      <c r="M963" s="385"/>
      <c r="N963" s="385"/>
      <c r="O963" s="385"/>
      <c r="P963" s="385"/>
      <c r="Q963" s="385"/>
      <c r="R963" s="385"/>
      <c r="S963" s="385"/>
      <c r="T963" s="385"/>
      <c r="U963" s="385"/>
      <c r="V963" s="385"/>
      <c r="W963" s="385"/>
      <c r="X963" s="385"/>
      <c r="Y963" s="385"/>
      <c r="Z963" s="385"/>
      <c r="AA963" s="385"/>
      <c r="AB963" s="385"/>
    </row>
    <row r="964" spans="1:28" ht="15.75" customHeight="1">
      <c r="A964" s="385"/>
      <c r="B964" s="385"/>
      <c r="C964" s="526"/>
      <c r="D964" s="385"/>
      <c r="E964" s="385"/>
      <c r="F964" s="385"/>
      <c r="G964" s="385"/>
      <c r="H964" s="30"/>
      <c r="I964" s="385"/>
      <c r="J964" s="385"/>
      <c r="K964" s="385"/>
      <c r="L964" s="385"/>
      <c r="M964" s="385"/>
      <c r="N964" s="385"/>
      <c r="O964" s="385"/>
      <c r="P964" s="385"/>
      <c r="Q964" s="385"/>
      <c r="R964" s="385"/>
      <c r="S964" s="385"/>
      <c r="T964" s="385"/>
      <c r="U964" s="385"/>
      <c r="V964" s="385"/>
      <c r="W964" s="385"/>
      <c r="X964" s="385"/>
      <c r="Y964" s="385"/>
      <c r="Z964" s="385"/>
      <c r="AA964" s="385"/>
      <c r="AB964" s="385"/>
    </row>
    <row r="965" spans="1:28" ht="15.75" customHeight="1">
      <c r="A965" s="385"/>
      <c r="B965" s="385"/>
      <c r="C965" s="526"/>
      <c r="D965" s="385"/>
      <c r="E965" s="385"/>
      <c r="F965" s="385"/>
      <c r="G965" s="385"/>
      <c r="H965" s="30"/>
      <c r="I965" s="385"/>
      <c r="J965" s="385"/>
      <c r="K965" s="385"/>
      <c r="L965" s="385"/>
      <c r="M965" s="385"/>
      <c r="N965" s="385"/>
      <c r="O965" s="385"/>
      <c r="P965" s="385"/>
      <c r="Q965" s="385"/>
      <c r="R965" s="385"/>
      <c r="S965" s="385"/>
      <c r="T965" s="385"/>
      <c r="U965" s="385"/>
      <c r="V965" s="385"/>
      <c r="W965" s="385"/>
      <c r="X965" s="385"/>
      <c r="Y965" s="385"/>
      <c r="Z965" s="385"/>
      <c r="AA965" s="385"/>
      <c r="AB965" s="385"/>
    </row>
    <row r="966" spans="1:28" ht="15.75" customHeight="1">
      <c r="A966" s="385"/>
      <c r="B966" s="385"/>
      <c r="C966" s="526"/>
      <c r="D966" s="385"/>
      <c r="E966" s="385"/>
      <c r="F966" s="385"/>
      <c r="G966" s="385"/>
      <c r="H966" s="30"/>
      <c r="I966" s="385"/>
      <c r="J966" s="385"/>
      <c r="K966" s="385"/>
      <c r="L966" s="385"/>
      <c r="M966" s="385"/>
      <c r="N966" s="385"/>
      <c r="O966" s="385"/>
      <c r="P966" s="385"/>
      <c r="Q966" s="385"/>
      <c r="R966" s="385"/>
      <c r="S966" s="385"/>
      <c r="T966" s="385"/>
      <c r="U966" s="385"/>
      <c r="V966" s="385"/>
      <c r="W966" s="385"/>
      <c r="X966" s="385"/>
      <c r="Y966" s="385"/>
      <c r="Z966" s="385"/>
      <c r="AA966" s="385"/>
      <c r="AB966" s="385"/>
    </row>
    <row r="967" spans="1:28" ht="15.75" customHeight="1">
      <c r="A967" s="385"/>
      <c r="B967" s="385"/>
      <c r="C967" s="526"/>
      <c r="D967" s="385"/>
      <c r="E967" s="385"/>
      <c r="F967" s="385"/>
      <c r="G967" s="385"/>
      <c r="H967" s="30"/>
      <c r="I967" s="385"/>
      <c r="J967" s="385"/>
      <c r="K967" s="385"/>
      <c r="L967" s="385"/>
      <c r="M967" s="385"/>
      <c r="N967" s="385"/>
      <c r="O967" s="385"/>
      <c r="P967" s="385"/>
      <c r="Q967" s="385"/>
      <c r="R967" s="385"/>
      <c r="S967" s="385"/>
      <c r="T967" s="385"/>
      <c r="U967" s="385"/>
      <c r="V967" s="385"/>
      <c r="W967" s="385"/>
      <c r="X967" s="385"/>
      <c r="Y967" s="385"/>
      <c r="Z967" s="385"/>
      <c r="AA967" s="385"/>
      <c r="AB967" s="385"/>
    </row>
    <row r="968" spans="1:28" ht="15.75" customHeight="1">
      <c r="A968" s="385"/>
      <c r="B968" s="385"/>
      <c r="C968" s="526"/>
      <c r="D968" s="385"/>
      <c r="E968" s="385"/>
      <c r="F968" s="385"/>
      <c r="G968" s="385"/>
      <c r="H968" s="30"/>
      <c r="I968" s="385"/>
      <c r="J968" s="385"/>
      <c r="K968" s="385"/>
      <c r="L968" s="385"/>
      <c r="M968" s="385"/>
      <c r="N968" s="385"/>
      <c r="O968" s="385"/>
      <c r="P968" s="385"/>
      <c r="Q968" s="385"/>
      <c r="R968" s="385"/>
      <c r="S968" s="385"/>
      <c r="T968" s="385"/>
      <c r="U968" s="385"/>
      <c r="V968" s="385"/>
      <c r="W968" s="385"/>
      <c r="X968" s="385"/>
      <c r="Y968" s="385"/>
      <c r="Z968" s="385"/>
      <c r="AA968" s="385"/>
      <c r="AB968" s="385"/>
    </row>
    <row r="969" spans="1:28" ht="15.75" customHeight="1">
      <c r="A969" s="385"/>
      <c r="B969" s="385"/>
      <c r="C969" s="526"/>
      <c r="D969" s="385"/>
      <c r="E969" s="385"/>
      <c r="F969" s="385"/>
      <c r="G969" s="385"/>
      <c r="H969" s="30"/>
      <c r="I969" s="385"/>
      <c r="J969" s="385"/>
      <c r="K969" s="385"/>
      <c r="L969" s="385"/>
      <c r="M969" s="385"/>
      <c r="N969" s="385"/>
      <c r="O969" s="385"/>
      <c r="P969" s="385"/>
      <c r="Q969" s="385"/>
      <c r="R969" s="385"/>
      <c r="S969" s="385"/>
      <c r="T969" s="385"/>
      <c r="U969" s="385"/>
      <c r="V969" s="385"/>
      <c r="W969" s="385"/>
      <c r="X969" s="385"/>
      <c r="Y969" s="385"/>
      <c r="Z969" s="385"/>
      <c r="AA969" s="385"/>
      <c r="AB969" s="385"/>
    </row>
    <row r="970" spans="1:28" ht="15.75" customHeight="1">
      <c r="A970" s="385"/>
      <c r="B970" s="385"/>
      <c r="C970" s="526"/>
      <c r="D970" s="385"/>
      <c r="E970" s="385"/>
      <c r="F970" s="385"/>
      <c r="G970" s="385"/>
      <c r="H970" s="30"/>
      <c r="I970" s="385"/>
      <c r="J970" s="385"/>
      <c r="K970" s="385"/>
      <c r="L970" s="385"/>
      <c r="M970" s="385"/>
      <c r="N970" s="385"/>
      <c r="O970" s="385"/>
      <c r="P970" s="385"/>
      <c r="Q970" s="385"/>
      <c r="R970" s="385"/>
      <c r="S970" s="385"/>
      <c r="T970" s="385"/>
      <c r="U970" s="385"/>
      <c r="V970" s="385"/>
      <c r="W970" s="385"/>
      <c r="X970" s="385"/>
      <c r="Y970" s="385"/>
      <c r="Z970" s="385"/>
      <c r="AA970" s="385"/>
      <c r="AB970" s="385"/>
    </row>
    <row r="971" spans="1:28" ht="15.75" customHeight="1">
      <c r="A971" s="385"/>
      <c r="B971" s="385"/>
      <c r="C971" s="526"/>
      <c r="D971" s="385"/>
      <c r="E971" s="385"/>
      <c r="F971" s="385"/>
      <c r="G971" s="385"/>
      <c r="H971" s="30"/>
      <c r="I971" s="385"/>
      <c r="J971" s="385"/>
      <c r="K971" s="385"/>
      <c r="L971" s="385"/>
      <c r="M971" s="385"/>
      <c r="N971" s="385"/>
      <c r="O971" s="385"/>
      <c r="P971" s="385"/>
      <c r="Q971" s="385"/>
      <c r="R971" s="385"/>
      <c r="S971" s="385"/>
      <c r="T971" s="385"/>
      <c r="U971" s="385"/>
      <c r="V971" s="385"/>
      <c r="W971" s="385"/>
      <c r="X971" s="385"/>
      <c r="Y971" s="385"/>
      <c r="Z971" s="385"/>
      <c r="AA971" s="385"/>
      <c r="AB971" s="385"/>
    </row>
    <row r="972" spans="1:28" ht="15.75" customHeight="1">
      <c r="A972" s="385"/>
      <c r="B972" s="385"/>
      <c r="C972" s="526"/>
      <c r="D972" s="385"/>
      <c r="E972" s="385"/>
      <c r="F972" s="385"/>
      <c r="G972" s="385"/>
      <c r="H972" s="30"/>
      <c r="I972" s="385"/>
      <c r="J972" s="385"/>
      <c r="K972" s="385"/>
      <c r="L972" s="385"/>
      <c r="M972" s="385"/>
      <c r="N972" s="385"/>
      <c r="O972" s="385"/>
      <c r="P972" s="385"/>
      <c r="Q972" s="385"/>
      <c r="R972" s="385"/>
      <c r="S972" s="385"/>
      <c r="T972" s="385"/>
      <c r="U972" s="385"/>
      <c r="V972" s="385"/>
      <c r="W972" s="385"/>
      <c r="X972" s="385"/>
      <c r="Y972" s="385"/>
      <c r="Z972" s="385"/>
      <c r="AA972" s="385"/>
      <c r="AB972" s="385"/>
    </row>
    <row r="973" spans="1:28" ht="15.75" customHeight="1">
      <c r="A973" s="385"/>
      <c r="B973" s="385"/>
      <c r="C973" s="526"/>
      <c r="D973" s="385"/>
      <c r="E973" s="385"/>
      <c r="F973" s="385"/>
      <c r="G973" s="385"/>
      <c r="H973" s="30"/>
      <c r="I973" s="385"/>
      <c r="J973" s="385"/>
      <c r="K973" s="385"/>
      <c r="L973" s="385"/>
      <c r="M973" s="385"/>
      <c r="N973" s="385"/>
      <c r="O973" s="385"/>
      <c r="P973" s="385"/>
      <c r="Q973" s="385"/>
      <c r="R973" s="385"/>
      <c r="S973" s="385"/>
      <c r="T973" s="385"/>
      <c r="U973" s="385"/>
      <c r="V973" s="385"/>
      <c r="W973" s="385"/>
      <c r="X973" s="385"/>
      <c r="Y973" s="385"/>
      <c r="Z973" s="385"/>
      <c r="AA973" s="385"/>
      <c r="AB973" s="385"/>
    </row>
    <row r="974" spans="1:28" ht="15.75" customHeight="1">
      <c r="A974" s="385"/>
      <c r="B974" s="385"/>
      <c r="C974" s="526"/>
      <c r="D974" s="385"/>
      <c r="E974" s="385"/>
      <c r="F974" s="385"/>
      <c r="G974" s="385"/>
      <c r="H974" s="30"/>
      <c r="I974" s="385"/>
      <c r="J974" s="385"/>
      <c r="K974" s="385"/>
      <c r="L974" s="385"/>
      <c r="M974" s="385"/>
      <c r="N974" s="385"/>
      <c r="O974" s="385"/>
      <c r="P974" s="385"/>
      <c r="Q974" s="385"/>
      <c r="R974" s="385"/>
      <c r="S974" s="385"/>
      <c r="T974" s="385"/>
      <c r="U974" s="385"/>
      <c r="V974" s="385"/>
      <c r="W974" s="385"/>
      <c r="X974" s="385"/>
      <c r="Y974" s="385"/>
      <c r="Z974" s="385"/>
      <c r="AA974" s="385"/>
      <c r="AB974" s="385"/>
    </row>
    <row r="975" spans="1:28" ht="15.75" customHeight="1">
      <c r="A975" s="385"/>
      <c r="B975" s="385"/>
      <c r="C975" s="526"/>
      <c r="D975" s="385"/>
      <c r="E975" s="385"/>
      <c r="F975" s="385"/>
      <c r="G975" s="385"/>
      <c r="H975" s="30"/>
      <c r="I975" s="385"/>
      <c r="J975" s="385"/>
      <c r="K975" s="385"/>
      <c r="L975" s="385"/>
      <c r="M975" s="385"/>
      <c r="N975" s="385"/>
      <c r="O975" s="385"/>
      <c r="P975" s="385"/>
      <c r="Q975" s="385"/>
      <c r="R975" s="385"/>
      <c r="S975" s="385"/>
      <c r="T975" s="385"/>
      <c r="U975" s="385"/>
      <c r="V975" s="385"/>
      <c r="W975" s="385"/>
      <c r="X975" s="385"/>
      <c r="Y975" s="385"/>
      <c r="Z975" s="385"/>
      <c r="AA975" s="385"/>
      <c r="AB975" s="385"/>
    </row>
    <row r="976" spans="1:28" ht="15.75" customHeight="1">
      <c r="A976" s="385"/>
      <c r="B976" s="385"/>
      <c r="C976" s="526"/>
      <c r="D976" s="385"/>
      <c r="E976" s="385"/>
      <c r="F976" s="385"/>
      <c r="G976" s="385"/>
      <c r="H976" s="30"/>
      <c r="I976" s="385"/>
      <c r="J976" s="385"/>
      <c r="K976" s="385"/>
      <c r="L976" s="385"/>
      <c r="M976" s="385"/>
      <c r="N976" s="385"/>
      <c r="O976" s="385"/>
      <c r="P976" s="385"/>
      <c r="Q976" s="385"/>
      <c r="R976" s="385"/>
      <c r="S976" s="385"/>
      <c r="T976" s="385"/>
      <c r="U976" s="385"/>
      <c r="V976" s="385"/>
      <c r="W976" s="385"/>
      <c r="X976" s="385"/>
      <c r="Y976" s="385"/>
      <c r="Z976" s="385"/>
      <c r="AA976" s="385"/>
      <c r="AB976" s="385"/>
    </row>
    <row r="977" spans="1:28" ht="15.75" customHeight="1">
      <c r="A977" s="385"/>
      <c r="B977" s="385"/>
      <c r="C977" s="526"/>
      <c r="D977" s="385"/>
      <c r="E977" s="385"/>
      <c r="F977" s="385"/>
      <c r="G977" s="385"/>
      <c r="H977" s="30"/>
      <c r="I977" s="385"/>
      <c r="J977" s="385"/>
      <c r="K977" s="385"/>
      <c r="L977" s="385"/>
      <c r="M977" s="385"/>
      <c r="N977" s="385"/>
      <c r="O977" s="385"/>
      <c r="P977" s="385"/>
      <c r="Q977" s="385"/>
      <c r="R977" s="385"/>
      <c r="S977" s="385"/>
      <c r="T977" s="385"/>
      <c r="U977" s="385"/>
      <c r="V977" s="385"/>
      <c r="W977" s="385"/>
      <c r="X977" s="385"/>
      <c r="Y977" s="385"/>
      <c r="Z977" s="385"/>
      <c r="AA977" s="385"/>
      <c r="AB977" s="385"/>
    </row>
    <row r="978" spans="1:28" ht="15.75" customHeight="1">
      <c r="A978" s="385"/>
      <c r="B978" s="385"/>
      <c r="C978" s="526"/>
      <c r="D978" s="385"/>
      <c r="E978" s="385"/>
      <c r="F978" s="385"/>
      <c r="G978" s="385"/>
      <c r="H978" s="30"/>
      <c r="I978" s="385"/>
      <c r="J978" s="385"/>
      <c r="K978" s="385"/>
      <c r="L978" s="385"/>
      <c r="M978" s="385"/>
      <c r="N978" s="385"/>
      <c r="O978" s="385"/>
      <c r="P978" s="385"/>
      <c r="Q978" s="385"/>
      <c r="R978" s="385"/>
      <c r="S978" s="385"/>
      <c r="T978" s="385"/>
      <c r="U978" s="385"/>
      <c r="V978" s="385"/>
      <c r="W978" s="385"/>
      <c r="X978" s="385"/>
      <c r="Y978" s="385"/>
      <c r="Z978" s="385"/>
      <c r="AA978" s="385"/>
      <c r="AB978" s="385"/>
    </row>
    <row r="979" spans="1:28" ht="15.75" customHeight="1">
      <c r="A979" s="385"/>
      <c r="B979" s="385"/>
      <c r="C979" s="526"/>
      <c r="D979" s="385"/>
      <c r="E979" s="385"/>
      <c r="F979" s="385"/>
      <c r="G979" s="385"/>
      <c r="H979" s="30"/>
      <c r="I979" s="385"/>
      <c r="J979" s="385"/>
      <c r="K979" s="385"/>
      <c r="L979" s="385"/>
      <c r="M979" s="385"/>
      <c r="N979" s="385"/>
      <c r="O979" s="385"/>
      <c r="P979" s="385"/>
      <c r="Q979" s="385"/>
      <c r="R979" s="385"/>
      <c r="S979" s="385"/>
      <c r="T979" s="385"/>
      <c r="U979" s="385"/>
      <c r="V979" s="385"/>
      <c r="W979" s="385"/>
      <c r="X979" s="385"/>
      <c r="Y979" s="385"/>
      <c r="Z979" s="385"/>
      <c r="AA979" s="385"/>
      <c r="AB979" s="385"/>
    </row>
    <row r="980" spans="1:28" ht="15.75" customHeight="1">
      <c r="A980" s="385"/>
      <c r="B980" s="385"/>
      <c r="C980" s="526"/>
      <c r="D980" s="385"/>
      <c r="E980" s="385"/>
      <c r="F980" s="385"/>
      <c r="G980" s="385"/>
      <c r="H980" s="30"/>
      <c r="I980" s="385"/>
      <c r="J980" s="385"/>
      <c r="K980" s="385"/>
      <c r="L980" s="385"/>
      <c r="M980" s="385"/>
      <c r="N980" s="385"/>
      <c r="O980" s="385"/>
      <c r="P980" s="385"/>
      <c r="Q980" s="385"/>
      <c r="R980" s="385"/>
      <c r="S980" s="385"/>
      <c r="T980" s="385"/>
      <c r="U980" s="385"/>
      <c r="V980" s="385"/>
      <c r="W980" s="385"/>
      <c r="X980" s="385"/>
      <c r="Y980" s="385"/>
      <c r="Z980" s="385"/>
      <c r="AA980" s="385"/>
      <c r="AB980" s="385"/>
    </row>
    <row r="981" spans="1:28" ht="15.75" customHeight="1">
      <c r="A981" s="385"/>
      <c r="B981" s="385"/>
      <c r="C981" s="526"/>
      <c r="D981" s="385"/>
      <c r="E981" s="385"/>
      <c r="F981" s="385"/>
      <c r="G981" s="385"/>
      <c r="H981" s="30"/>
      <c r="I981" s="385"/>
      <c r="J981" s="385"/>
      <c r="K981" s="385"/>
      <c r="L981" s="385"/>
      <c r="M981" s="385"/>
      <c r="N981" s="385"/>
      <c r="O981" s="385"/>
      <c r="P981" s="385"/>
      <c r="Q981" s="385"/>
      <c r="R981" s="385"/>
      <c r="S981" s="385"/>
      <c r="T981" s="385"/>
      <c r="U981" s="385"/>
      <c r="V981" s="385"/>
      <c r="W981" s="385"/>
      <c r="X981" s="385"/>
      <c r="Y981" s="385"/>
      <c r="Z981" s="385"/>
      <c r="AA981" s="385"/>
      <c r="AB981" s="385"/>
    </row>
    <row r="982" spans="1:28" ht="15.75" customHeight="1">
      <c r="A982" s="385"/>
      <c r="B982" s="385"/>
      <c r="C982" s="526"/>
      <c r="D982" s="385"/>
      <c r="E982" s="385"/>
      <c r="F982" s="385"/>
      <c r="G982" s="385"/>
      <c r="H982" s="30"/>
      <c r="I982" s="385"/>
      <c r="J982" s="385"/>
      <c r="K982" s="385"/>
      <c r="L982" s="385"/>
      <c r="M982" s="385"/>
      <c r="N982" s="385"/>
      <c r="O982" s="385"/>
      <c r="P982" s="385"/>
      <c r="Q982" s="385"/>
      <c r="R982" s="385"/>
      <c r="S982" s="385"/>
      <c r="T982" s="385"/>
      <c r="U982" s="385"/>
      <c r="V982" s="385"/>
      <c r="W982" s="385"/>
      <c r="X982" s="385"/>
      <c r="Y982" s="385"/>
      <c r="Z982" s="385"/>
      <c r="AA982" s="385"/>
      <c r="AB982" s="385"/>
    </row>
    <row r="983" spans="1:28" ht="15.75" customHeight="1">
      <c r="A983" s="385"/>
      <c r="B983" s="385"/>
      <c r="C983" s="526"/>
      <c r="D983" s="385"/>
      <c r="E983" s="385"/>
      <c r="F983" s="385"/>
      <c r="G983" s="385"/>
      <c r="H983" s="30"/>
      <c r="I983" s="385"/>
      <c r="J983" s="385"/>
      <c r="K983" s="385"/>
      <c r="L983" s="385"/>
      <c r="M983" s="385"/>
      <c r="N983" s="385"/>
      <c r="O983" s="385"/>
      <c r="P983" s="385"/>
      <c r="Q983" s="385"/>
      <c r="R983" s="385"/>
      <c r="S983" s="385"/>
      <c r="T983" s="385"/>
      <c r="U983" s="385"/>
      <c r="V983" s="385"/>
      <c r="W983" s="385"/>
      <c r="X983" s="385"/>
      <c r="Y983" s="385"/>
      <c r="Z983" s="385"/>
      <c r="AA983" s="385"/>
      <c r="AB983" s="385"/>
    </row>
    <row r="984" spans="1:28" ht="15.75" customHeight="1">
      <c r="A984" s="385"/>
      <c r="B984" s="385"/>
      <c r="C984" s="526"/>
      <c r="D984" s="385"/>
      <c r="E984" s="385"/>
      <c r="F984" s="385"/>
      <c r="G984" s="385"/>
      <c r="H984" s="30"/>
      <c r="I984" s="385"/>
      <c r="J984" s="385"/>
      <c r="K984" s="385"/>
      <c r="L984" s="385"/>
      <c r="M984" s="385"/>
      <c r="N984" s="385"/>
      <c r="O984" s="385"/>
      <c r="P984" s="385"/>
      <c r="Q984" s="385"/>
      <c r="R984" s="385"/>
      <c r="S984" s="385"/>
      <c r="T984" s="385"/>
      <c r="U984" s="385"/>
      <c r="V984" s="385"/>
      <c r="W984" s="385"/>
      <c r="X984" s="385"/>
      <c r="Y984" s="385"/>
      <c r="Z984" s="385"/>
      <c r="AA984" s="385"/>
      <c r="AB984" s="385"/>
    </row>
    <row r="985" spans="1:28" ht="15.75" customHeight="1">
      <c r="A985" s="385"/>
      <c r="B985" s="385"/>
      <c r="C985" s="526"/>
      <c r="D985" s="385"/>
      <c r="E985" s="385"/>
      <c r="F985" s="385"/>
      <c r="G985" s="385"/>
      <c r="H985" s="30"/>
      <c r="I985" s="385"/>
      <c r="J985" s="385"/>
      <c r="K985" s="385"/>
      <c r="L985" s="385"/>
      <c r="M985" s="385"/>
      <c r="N985" s="385"/>
      <c r="O985" s="385"/>
      <c r="P985" s="385"/>
      <c r="Q985" s="385"/>
      <c r="R985" s="385"/>
      <c r="S985" s="385"/>
      <c r="T985" s="385"/>
      <c r="U985" s="385"/>
      <c r="V985" s="385"/>
      <c r="W985" s="385"/>
      <c r="X985" s="385"/>
      <c r="Y985" s="385"/>
      <c r="Z985" s="385"/>
      <c r="AA985" s="385"/>
      <c r="AB985" s="385"/>
    </row>
    <row r="986" spans="1:28" ht="15.75" customHeight="1">
      <c r="A986" s="385"/>
      <c r="B986" s="385"/>
      <c r="C986" s="526"/>
      <c r="D986" s="385"/>
      <c r="E986" s="385"/>
      <c r="F986" s="385"/>
      <c r="G986" s="385"/>
      <c r="H986" s="30"/>
      <c r="I986" s="385"/>
      <c r="J986" s="385"/>
      <c r="K986" s="385"/>
      <c r="L986" s="385"/>
      <c r="M986" s="385"/>
      <c r="N986" s="385"/>
      <c r="O986" s="385"/>
      <c r="P986" s="385"/>
      <c r="Q986" s="385"/>
      <c r="R986" s="385"/>
      <c r="S986" s="385"/>
      <c r="T986" s="385"/>
      <c r="U986" s="385"/>
      <c r="V986" s="385"/>
      <c r="W986" s="385"/>
      <c r="X986" s="385"/>
      <c r="Y986" s="385"/>
      <c r="Z986" s="385"/>
      <c r="AA986" s="385"/>
      <c r="AB986" s="385"/>
    </row>
    <row r="987" spans="1:28" ht="15.75" customHeight="1">
      <c r="A987" s="385"/>
      <c r="B987" s="385"/>
      <c r="C987" s="526"/>
      <c r="D987" s="385"/>
      <c r="E987" s="385"/>
      <c r="F987" s="385"/>
      <c r="G987" s="385"/>
      <c r="H987" s="30"/>
      <c r="I987" s="385"/>
      <c r="J987" s="385"/>
      <c r="K987" s="385"/>
      <c r="L987" s="385"/>
      <c r="M987" s="385"/>
      <c r="N987" s="385"/>
      <c r="O987" s="385"/>
      <c r="P987" s="385"/>
      <c r="Q987" s="385"/>
      <c r="R987" s="385"/>
      <c r="S987" s="385"/>
      <c r="T987" s="385"/>
      <c r="U987" s="385"/>
      <c r="V987" s="385"/>
      <c r="W987" s="385"/>
      <c r="X987" s="385"/>
      <c r="Y987" s="385"/>
      <c r="Z987" s="385"/>
      <c r="AA987" s="385"/>
      <c r="AB987" s="385"/>
    </row>
    <row r="988" spans="1:28" ht="15.75" customHeight="1">
      <c r="A988" s="385"/>
      <c r="B988" s="385"/>
      <c r="C988" s="526"/>
      <c r="D988" s="385"/>
      <c r="E988" s="385"/>
      <c r="F988" s="385"/>
      <c r="G988" s="385"/>
      <c r="H988" s="30"/>
      <c r="I988" s="385"/>
      <c r="J988" s="385"/>
      <c r="K988" s="385"/>
      <c r="L988" s="385"/>
      <c r="M988" s="385"/>
      <c r="N988" s="385"/>
      <c r="O988" s="385"/>
      <c r="P988" s="385"/>
      <c r="Q988" s="385"/>
      <c r="R988" s="385"/>
      <c r="S988" s="385"/>
      <c r="T988" s="385"/>
      <c r="U988" s="385"/>
      <c r="V988" s="385"/>
      <c r="W988" s="385"/>
      <c r="X988" s="385"/>
      <c r="Y988" s="385"/>
      <c r="Z988" s="385"/>
      <c r="AA988" s="385"/>
      <c r="AB988" s="385"/>
    </row>
    <row r="989" spans="1:28" ht="15.75" customHeight="1">
      <c r="A989" s="385"/>
      <c r="B989" s="385"/>
      <c r="C989" s="526"/>
      <c r="D989" s="385"/>
      <c r="E989" s="385"/>
      <c r="F989" s="385"/>
      <c r="G989" s="385"/>
      <c r="H989" s="30"/>
      <c r="I989" s="385"/>
      <c r="J989" s="385"/>
      <c r="K989" s="385"/>
      <c r="L989" s="385"/>
      <c r="M989" s="385"/>
      <c r="N989" s="385"/>
      <c r="O989" s="385"/>
      <c r="P989" s="385"/>
      <c r="Q989" s="385"/>
      <c r="R989" s="385"/>
      <c r="S989" s="385"/>
      <c r="T989" s="385"/>
      <c r="U989" s="385"/>
      <c r="V989" s="385"/>
      <c r="W989" s="385"/>
      <c r="X989" s="385"/>
      <c r="Y989" s="385"/>
      <c r="Z989" s="385"/>
      <c r="AA989" s="385"/>
      <c r="AB989" s="385"/>
    </row>
    <row r="990" spans="1:28" ht="15.75" customHeight="1">
      <c r="A990" s="385"/>
      <c r="B990" s="385"/>
      <c r="C990" s="526"/>
      <c r="D990" s="385"/>
      <c r="E990" s="385"/>
      <c r="F990" s="385"/>
      <c r="G990" s="385"/>
      <c r="H990" s="30"/>
      <c r="I990" s="385"/>
      <c r="J990" s="385"/>
      <c r="K990" s="385"/>
      <c r="L990" s="385"/>
      <c r="M990" s="385"/>
      <c r="N990" s="385"/>
      <c r="O990" s="385"/>
      <c r="P990" s="385"/>
      <c r="Q990" s="385"/>
      <c r="R990" s="385"/>
      <c r="S990" s="385"/>
      <c r="T990" s="385"/>
      <c r="U990" s="385"/>
      <c r="V990" s="385"/>
      <c r="W990" s="385"/>
      <c r="X990" s="385"/>
      <c r="Y990" s="385"/>
      <c r="Z990" s="385"/>
      <c r="AA990" s="385"/>
      <c r="AB990" s="385"/>
    </row>
    <row r="991" spans="1:28" ht="15.75" customHeight="1">
      <c r="A991" s="385"/>
      <c r="B991" s="385"/>
      <c r="C991" s="526"/>
      <c r="D991" s="385"/>
      <c r="E991" s="385"/>
      <c r="F991" s="385"/>
      <c r="G991" s="385"/>
      <c r="H991" s="30"/>
      <c r="I991" s="385"/>
      <c r="J991" s="385"/>
      <c r="K991" s="385"/>
      <c r="L991" s="385"/>
      <c r="M991" s="385"/>
      <c r="N991" s="385"/>
      <c r="O991" s="385"/>
      <c r="P991" s="385"/>
      <c r="Q991" s="385"/>
      <c r="R991" s="385"/>
      <c r="S991" s="385"/>
      <c r="T991" s="385"/>
      <c r="U991" s="385"/>
      <c r="V991" s="385"/>
      <c r="W991" s="385"/>
      <c r="X991" s="385"/>
      <c r="Y991" s="385"/>
      <c r="Z991" s="385"/>
      <c r="AA991" s="385"/>
      <c r="AB991" s="385"/>
    </row>
    <row r="992" spans="1:28" ht="15.75" customHeight="1">
      <c r="A992" s="385"/>
      <c r="B992" s="385"/>
      <c r="C992" s="526"/>
      <c r="D992" s="385"/>
      <c r="E992" s="385"/>
      <c r="F992" s="385"/>
      <c r="G992" s="385"/>
      <c r="H992" s="30"/>
      <c r="I992" s="385"/>
      <c r="J992" s="385"/>
      <c r="K992" s="385"/>
      <c r="L992" s="385"/>
      <c r="M992" s="385"/>
      <c r="N992" s="385"/>
      <c r="O992" s="385"/>
      <c r="P992" s="385"/>
      <c r="Q992" s="385"/>
      <c r="R992" s="385"/>
      <c r="S992" s="385"/>
      <c r="T992" s="385"/>
      <c r="U992" s="385"/>
      <c r="V992" s="385"/>
      <c r="W992" s="385"/>
      <c r="X992" s="385"/>
      <c r="Y992" s="385"/>
      <c r="Z992" s="385"/>
      <c r="AA992" s="385"/>
      <c r="AB992" s="385"/>
    </row>
    <row r="993" spans="1:28" ht="15.75" customHeight="1">
      <c r="A993" s="385"/>
      <c r="B993" s="385"/>
      <c r="C993" s="526"/>
      <c r="D993" s="385"/>
      <c r="E993" s="385"/>
      <c r="F993" s="385"/>
      <c r="G993" s="385"/>
      <c r="H993" s="30"/>
      <c r="I993" s="385"/>
      <c r="J993" s="385"/>
      <c r="K993" s="385"/>
      <c r="L993" s="385"/>
      <c r="M993" s="385"/>
      <c r="N993" s="385"/>
      <c r="O993" s="385"/>
      <c r="P993" s="385"/>
      <c r="Q993" s="385"/>
      <c r="R993" s="385"/>
      <c r="S993" s="385"/>
      <c r="T993" s="385"/>
      <c r="U993" s="385"/>
      <c r="V993" s="385"/>
      <c r="W993" s="385"/>
      <c r="X993" s="385"/>
      <c r="Y993" s="385"/>
      <c r="Z993" s="385"/>
      <c r="AA993" s="385"/>
      <c r="AB993" s="385"/>
    </row>
    <row r="994" spans="1:28" ht="15.75" customHeight="1">
      <c r="A994" s="385"/>
      <c r="B994" s="385"/>
      <c r="C994" s="526"/>
      <c r="D994" s="385"/>
      <c r="E994" s="385"/>
      <c r="F994" s="385"/>
      <c r="G994" s="385"/>
      <c r="H994" s="30"/>
      <c r="I994" s="385"/>
      <c r="J994" s="385"/>
      <c r="K994" s="385"/>
      <c r="L994" s="385"/>
      <c r="M994" s="385"/>
      <c r="N994" s="385"/>
      <c r="O994" s="385"/>
      <c r="P994" s="385"/>
      <c r="Q994" s="385"/>
      <c r="R994" s="385"/>
      <c r="S994" s="385"/>
      <c r="T994" s="385"/>
      <c r="U994" s="385"/>
      <c r="V994" s="385"/>
      <c r="W994" s="385"/>
      <c r="X994" s="385"/>
      <c r="Y994" s="385"/>
      <c r="Z994" s="385"/>
      <c r="AA994" s="385"/>
      <c r="AB994" s="385"/>
    </row>
    <row r="995" spans="1:28" ht="15.75" customHeight="1">
      <c r="A995" s="385"/>
      <c r="B995" s="385"/>
      <c r="C995" s="526"/>
      <c r="D995" s="385"/>
      <c r="E995" s="385"/>
      <c r="F995" s="385"/>
      <c r="G995" s="385"/>
      <c r="H995" s="30"/>
      <c r="I995" s="385"/>
      <c r="J995" s="385"/>
      <c r="K995" s="385"/>
      <c r="L995" s="385"/>
      <c r="M995" s="385"/>
      <c r="N995" s="385"/>
      <c r="O995" s="385"/>
      <c r="P995" s="385"/>
      <c r="Q995" s="385"/>
      <c r="R995" s="385"/>
      <c r="S995" s="385"/>
      <c r="T995" s="385"/>
      <c r="U995" s="385"/>
      <c r="V995" s="385"/>
      <c r="W995" s="385"/>
      <c r="X995" s="385"/>
      <c r="Y995" s="385"/>
      <c r="Z995" s="385"/>
      <c r="AA995" s="385"/>
      <c r="AB995" s="385"/>
    </row>
    <row r="996" spans="1:28" ht="15.75" customHeight="1">
      <c r="A996" s="385"/>
      <c r="B996" s="385"/>
      <c r="C996" s="526"/>
      <c r="D996" s="385"/>
      <c r="E996" s="385"/>
      <c r="F996" s="385"/>
      <c r="G996" s="385"/>
      <c r="H996" s="30"/>
      <c r="I996" s="385"/>
      <c r="J996" s="385"/>
      <c r="K996" s="385"/>
      <c r="L996" s="385"/>
      <c r="M996" s="385"/>
      <c r="N996" s="385"/>
      <c r="O996" s="385"/>
      <c r="P996" s="385"/>
      <c r="Q996" s="385"/>
      <c r="R996" s="385"/>
      <c r="S996" s="385"/>
      <c r="T996" s="385"/>
      <c r="U996" s="385"/>
      <c r="V996" s="385"/>
      <c r="W996" s="385"/>
      <c r="X996" s="385"/>
      <c r="Y996" s="385"/>
      <c r="Z996" s="385"/>
      <c r="AA996" s="385"/>
      <c r="AB996" s="385"/>
    </row>
    <row r="997" spans="1:28" ht="15.75" customHeight="1">
      <c r="A997" s="385"/>
      <c r="B997" s="385"/>
      <c r="C997" s="526"/>
      <c r="D997" s="385"/>
      <c r="E997" s="385"/>
      <c r="F997" s="385"/>
      <c r="G997" s="385"/>
      <c r="H997" s="30"/>
      <c r="I997" s="385"/>
      <c r="J997" s="385"/>
      <c r="K997" s="385"/>
      <c r="L997" s="385"/>
      <c r="M997" s="385"/>
      <c r="N997" s="385"/>
      <c r="O997" s="385"/>
      <c r="P997" s="385"/>
      <c r="Q997" s="385"/>
      <c r="R997" s="385"/>
      <c r="S997" s="385"/>
      <c r="T997" s="385"/>
      <c r="U997" s="385"/>
      <c r="V997" s="385"/>
      <c r="W997" s="385"/>
      <c r="X997" s="385"/>
      <c r="Y997" s="385"/>
      <c r="Z997" s="385"/>
      <c r="AA997" s="385"/>
      <c r="AB997" s="385"/>
    </row>
    <row r="998" spans="1:28" ht="15.75" customHeight="1">
      <c r="A998" s="385"/>
      <c r="B998" s="385"/>
      <c r="C998" s="526"/>
      <c r="D998" s="385"/>
      <c r="E998" s="385"/>
      <c r="F998" s="385"/>
      <c r="G998" s="385"/>
      <c r="H998" s="30"/>
      <c r="I998" s="385"/>
      <c r="J998" s="385"/>
      <c r="K998" s="385"/>
      <c r="L998" s="385"/>
      <c r="M998" s="385"/>
      <c r="N998" s="385"/>
      <c r="O998" s="385"/>
      <c r="P998" s="385"/>
      <c r="Q998" s="385"/>
      <c r="R998" s="385"/>
      <c r="S998" s="385"/>
      <c r="T998" s="385"/>
      <c r="U998" s="385"/>
      <c r="V998" s="385"/>
      <c r="W998" s="385"/>
      <c r="X998" s="385"/>
      <c r="Y998" s="385"/>
      <c r="Z998" s="385"/>
      <c r="AA998" s="385"/>
      <c r="AB998" s="385"/>
    </row>
    <row r="999" spans="1:28" ht="15.75" customHeight="1">
      <c r="A999" s="385"/>
      <c r="B999" s="385"/>
      <c r="C999" s="526"/>
      <c r="D999" s="385"/>
      <c r="E999" s="385"/>
      <c r="F999" s="385"/>
      <c r="G999" s="385"/>
      <c r="H999" s="30"/>
      <c r="I999" s="385"/>
      <c r="J999" s="385"/>
      <c r="K999" s="385"/>
      <c r="L999" s="385"/>
      <c r="M999" s="385"/>
      <c r="N999" s="385"/>
      <c r="O999" s="385"/>
      <c r="P999" s="385"/>
      <c r="Q999" s="385"/>
      <c r="R999" s="385"/>
      <c r="S999" s="385"/>
      <c r="T999" s="385"/>
      <c r="U999" s="385"/>
      <c r="V999" s="385"/>
      <c r="W999" s="385"/>
      <c r="X999" s="385"/>
      <c r="Y999" s="385"/>
      <c r="Z999" s="385"/>
      <c r="AA999" s="385"/>
      <c r="AB999" s="385"/>
    </row>
    <row r="1000" spans="1:28" ht="15.75" customHeight="1">
      <c r="A1000" s="385"/>
      <c r="B1000" s="385"/>
      <c r="C1000" s="526"/>
      <c r="D1000" s="385"/>
      <c r="E1000" s="385"/>
      <c r="F1000" s="385"/>
      <c r="G1000" s="385"/>
      <c r="H1000" s="30"/>
      <c r="I1000" s="385"/>
      <c r="J1000" s="385"/>
      <c r="K1000" s="385"/>
      <c r="L1000" s="385"/>
      <c r="M1000" s="385"/>
      <c r="N1000" s="385"/>
      <c r="O1000" s="385"/>
      <c r="P1000" s="385"/>
      <c r="Q1000" s="385"/>
      <c r="R1000" s="385"/>
      <c r="S1000" s="385"/>
      <c r="T1000" s="385"/>
      <c r="U1000" s="385"/>
      <c r="V1000" s="385"/>
      <c r="W1000" s="385"/>
      <c r="X1000" s="385"/>
      <c r="Y1000" s="385"/>
      <c r="Z1000" s="385"/>
      <c r="AA1000" s="385"/>
      <c r="AB1000" s="385"/>
    </row>
    <row r="1001" spans="1:28" ht="15.75" customHeight="1">
      <c r="A1001" s="385"/>
      <c r="B1001" s="385"/>
      <c r="C1001" s="526"/>
      <c r="D1001" s="385"/>
      <c r="E1001" s="385"/>
      <c r="F1001" s="385"/>
      <c r="G1001" s="385"/>
      <c r="H1001" s="30"/>
      <c r="I1001" s="385"/>
      <c r="J1001" s="385"/>
      <c r="K1001" s="385"/>
      <c r="L1001" s="385"/>
      <c r="M1001" s="385"/>
      <c r="N1001" s="385"/>
      <c r="O1001" s="385"/>
      <c r="P1001" s="385"/>
      <c r="Q1001" s="385"/>
      <c r="R1001" s="385"/>
      <c r="S1001" s="385"/>
      <c r="T1001" s="385"/>
      <c r="U1001" s="385"/>
      <c r="V1001" s="385"/>
      <c r="W1001" s="385"/>
      <c r="X1001" s="385"/>
      <c r="Y1001" s="385"/>
      <c r="Z1001" s="385"/>
      <c r="AA1001" s="385"/>
      <c r="AB1001" s="385"/>
    </row>
    <row r="1002" spans="1:28" ht="15.75" customHeight="1">
      <c r="A1002" s="385"/>
      <c r="B1002" s="385"/>
      <c r="C1002" s="526"/>
      <c r="D1002" s="385"/>
      <c r="E1002" s="385"/>
      <c r="F1002" s="385"/>
      <c r="G1002" s="385"/>
      <c r="H1002" s="30"/>
      <c r="I1002" s="385"/>
      <c r="J1002" s="385"/>
      <c r="K1002" s="385"/>
      <c r="L1002" s="385"/>
      <c r="M1002" s="385"/>
      <c r="N1002" s="385"/>
      <c r="O1002" s="385"/>
      <c r="P1002" s="385"/>
      <c r="Q1002" s="385"/>
      <c r="R1002" s="385"/>
      <c r="S1002" s="385"/>
      <c r="T1002" s="385"/>
      <c r="U1002" s="385"/>
      <c r="V1002" s="385"/>
      <c r="W1002" s="385"/>
      <c r="X1002" s="385"/>
      <c r="Y1002" s="385"/>
      <c r="Z1002" s="385"/>
      <c r="AA1002" s="385"/>
      <c r="AB1002" s="385"/>
    </row>
    <row r="1003" spans="1:28" ht="15.75" customHeight="1">
      <c r="A1003" s="385"/>
      <c r="B1003" s="385"/>
      <c r="C1003" s="526"/>
      <c r="D1003" s="385"/>
      <c r="E1003" s="385"/>
      <c r="F1003" s="385"/>
      <c r="G1003" s="385"/>
      <c r="H1003" s="30"/>
      <c r="I1003" s="385"/>
      <c r="J1003" s="385"/>
      <c r="K1003" s="385"/>
      <c r="L1003" s="385"/>
      <c r="M1003" s="385"/>
      <c r="N1003" s="385"/>
      <c r="O1003" s="385"/>
      <c r="P1003" s="385"/>
      <c r="Q1003" s="385"/>
      <c r="R1003" s="385"/>
      <c r="S1003" s="385"/>
      <c r="T1003" s="385"/>
      <c r="U1003" s="385"/>
      <c r="V1003" s="385"/>
      <c r="W1003" s="385"/>
      <c r="X1003" s="385"/>
      <c r="Y1003" s="385"/>
      <c r="Z1003" s="385"/>
      <c r="AA1003" s="385"/>
      <c r="AB1003" s="385"/>
    </row>
    <row r="1004" spans="1:28" ht="15.75" customHeight="1">
      <c r="A1004" s="385"/>
      <c r="B1004" s="385"/>
      <c r="C1004" s="526"/>
      <c r="D1004" s="385"/>
      <c r="E1004" s="385"/>
      <c r="F1004" s="385"/>
      <c r="G1004" s="385"/>
      <c r="H1004" s="30"/>
      <c r="I1004" s="385"/>
      <c r="J1004" s="385"/>
      <c r="K1004" s="385"/>
      <c r="L1004" s="385"/>
      <c r="M1004" s="385"/>
      <c r="N1004" s="385"/>
      <c r="O1004" s="385"/>
      <c r="P1004" s="385"/>
      <c r="Q1004" s="385"/>
      <c r="R1004" s="385"/>
      <c r="S1004" s="385"/>
      <c r="T1004" s="385"/>
      <c r="U1004" s="385"/>
      <c r="V1004" s="385"/>
      <c r="W1004" s="385"/>
      <c r="X1004" s="385"/>
      <c r="Y1004" s="385"/>
      <c r="Z1004" s="385"/>
      <c r="AA1004" s="385"/>
      <c r="AB1004" s="385"/>
    </row>
    <row r="1005" spans="1:28" ht="15.75" customHeight="1">
      <c r="A1005" s="385"/>
      <c r="B1005" s="385"/>
      <c r="C1005" s="526"/>
      <c r="D1005" s="385"/>
      <c r="E1005" s="385"/>
      <c r="F1005" s="385"/>
      <c r="G1005" s="385"/>
      <c r="H1005" s="30"/>
      <c r="I1005" s="385"/>
      <c r="J1005" s="385"/>
      <c r="K1005" s="385"/>
      <c r="L1005" s="385"/>
      <c r="M1005" s="385"/>
      <c r="N1005" s="385"/>
      <c r="O1005" s="385"/>
      <c r="P1005" s="385"/>
      <c r="Q1005" s="385"/>
      <c r="R1005" s="385"/>
      <c r="S1005" s="385"/>
      <c r="T1005" s="385"/>
      <c r="U1005" s="385"/>
      <c r="V1005" s="385"/>
      <c r="W1005" s="385"/>
      <c r="X1005" s="385"/>
      <c r="Y1005" s="385"/>
      <c r="Z1005" s="385"/>
      <c r="AA1005" s="385"/>
      <c r="AB1005" s="385"/>
    </row>
    <row r="1006" spans="1:28" ht="15.75" customHeight="1">
      <c r="A1006" s="385"/>
      <c r="B1006" s="385"/>
      <c r="C1006" s="526"/>
      <c r="D1006" s="385"/>
      <c r="E1006" s="385"/>
      <c r="F1006" s="385"/>
      <c r="G1006" s="385"/>
      <c r="H1006" s="30"/>
      <c r="I1006" s="385"/>
      <c r="J1006" s="385"/>
      <c r="K1006" s="385"/>
      <c r="L1006" s="385"/>
      <c r="M1006" s="385"/>
      <c r="N1006" s="385"/>
      <c r="O1006" s="385"/>
      <c r="P1006" s="385"/>
      <c r="Q1006" s="385"/>
      <c r="R1006" s="385"/>
      <c r="S1006" s="385"/>
      <c r="T1006" s="385"/>
      <c r="U1006" s="385"/>
      <c r="V1006" s="385"/>
      <c r="W1006" s="385"/>
      <c r="X1006" s="385"/>
      <c r="Y1006" s="385"/>
      <c r="Z1006" s="385"/>
      <c r="AA1006" s="385"/>
      <c r="AB1006" s="385"/>
    </row>
    <row r="1007" spans="1:28" ht="15.75" customHeight="1">
      <c r="A1007" s="385"/>
      <c r="B1007" s="385"/>
      <c r="C1007" s="526"/>
      <c r="D1007" s="385"/>
      <c r="E1007" s="385"/>
      <c r="F1007" s="385"/>
      <c r="G1007" s="385"/>
      <c r="H1007" s="30"/>
      <c r="I1007" s="385"/>
      <c r="J1007" s="385"/>
      <c r="K1007" s="385"/>
      <c r="L1007" s="385"/>
      <c r="M1007" s="385"/>
      <c r="N1007" s="385"/>
      <c r="O1007" s="385"/>
      <c r="P1007" s="385"/>
      <c r="Q1007" s="385"/>
      <c r="R1007" s="385"/>
      <c r="S1007" s="385"/>
      <c r="T1007" s="385"/>
      <c r="U1007" s="385"/>
      <c r="V1007" s="385"/>
      <c r="W1007" s="385"/>
      <c r="X1007" s="385"/>
      <c r="Y1007" s="385"/>
      <c r="Z1007" s="385"/>
      <c r="AA1007" s="385"/>
      <c r="AB1007" s="385"/>
    </row>
    <row r="1008" spans="1:28" ht="15.75" customHeight="1">
      <c r="A1008" s="385"/>
      <c r="B1008" s="385"/>
      <c r="C1008" s="526"/>
      <c r="D1008" s="385"/>
      <c r="E1008" s="385"/>
      <c r="F1008" s="385"/>
      <c r="G1008" s="385"/>
      <c r="H1008" s="30"/>
      <c r="I1008" s="385"/>
      <c r="J1008" s="385"/>
      <c r="K1008" s="385"/>
      <c r="L1008" s="385"/>
      <c r="M1008" s="385"/>
      <c r="N1008" s="385"/>
      <c r="O1008" s="385"/>
      <c r="P1008" s="385"/>
      <c r="Q1008" s="385"/>
      <c r="R1008" s="385"/>
      <c r="S1008" s="385"/>
      <c r="T1008" s="385"/>
      <c r="U1008" s="385"/>
      <c r="V1008" s="385"/>
      <c r="W1008" s="385"/>
      <c r="X1008" s="385"/>
      <c r="Y1008" s="385"/>
      <c r="Z1008" s="385"/>
      <c r="AA1008" s="385"/>
      <c r="AB1008" s="385"/>
    </row>
    <row r="1009" spans="1:28" ht="15.75" customHeight="1">
      <c r="A1009" s="385"/>
      <c r="B1009" s="385"/>
      <c r="C1009" s="526"/>
      <c r="D1009" s="385"/>
      <c r="E1009" s="385"/>
      <c r="F1009" s="385"/>
      <c r="G1009" s="385"/>
      <c r="H1009" s="30"/>
      <c r="I1009" s="385"/>
      <c r="J1009" s="385"/>
      <c r="K1009" s="385"/>
      <c r="L1009" s="385"/>
      <c r="M1009" s="385"/>
      <c r="N1009" s="385"/>
      <c r="O1009" s="385"/>
      <c r="P1009" s="385"/>
      <c r="Q1009" s="385"/>
      <c r="R1009" s="385"/>
      <c r="S1009" s="385"/>
      <c r="T1009" s="385"/>
      <c r="U1009" s="385"/>
      <c r="V1009" s="385"/>
      <c r="W1009" s="385"/>
      <c r="X1009" s="385"/>
      <c r="Y1009" s="385"/>
      <c r="Z1009" s="385"/>
      <c r="AA1009" s="385"/>
      <c r="AB1009" s="385"/>
    </row>
    <row r="1010" spans="1:28" ht="15.75" customHeight="1">
      <c r="A1010" s="385"/>
      <c r="B1010" s="385"/>
      <c r="C1010" s="526"/>
      <c r="D1010" s="385"/>
      <c r="E1010" s="385"/>
      <c r="F1010" s="385"/>
      <c r="G1010" s="385"/>
      <c r="H1010" s="30"/>
      <c r="I1010" s="385"/>
      <c r="J1010" s="385"/>
      <c r="K1010" s="385"/>
      <c r="L1010" s="385"/>
      <c r="M1010" s="385"/>
      <c r="N1010" s="385"/>
      <c r="O1010" s="385"/>
      <c r="P1010" s="385"/>
      <c r="Q1010" s="385"/>
      <c r="R1010" s="385"/>
      <c r="S1010" s="385"/>
      <c r="T1010" s="385"/>
      <c r="U1010" s="385"/>
      <c r="V1010" s="385"/>
      <c r="W1010" s="385"/>
      <c r="X1010" s="385"/>
      <c r="Y1010" s="385"/>
      <c r="Z1010" s="385"/>
      <c r="AA1010" s="385"/>
      <c r="AB1010" s="385"/>
    </row>
    <row r="1011" spans="1:28" ht="15.75" customHeight="1">
      <c r="A1011" s="385"/>
      <c r="B1011" s="385"/>
      <c r="C1011" s="526"/>
      <c r="D1011" s="385"/>
      <c r="E1011" s="385"/>
      <c r="F1011" s="385"/>
      <c r="G1011" s="385"/>
      <c r="H1011" s="30"/>
      <c r="I1011" s="385"/>
      <c r="J1011" s="385"/>
      <c r="K1011" s="385"/>
      <c r="L1011" s="385"/>
      <c r="M1011" s="385"/>
      <c r="N1011" s="385"/>
      <c r="O1011" s="385"/>
      <c r="P1011" s="385"/>
      <c r="Q1011" s="385"/>
      <c r="R1011" s="385"/>
      <c r="S1011" s="385"/>
      <c r="T1011" s="385"/>
      <c r="U1011" s="385"/>
      <c r="V1011" s="385"/>
      <c r="W1011" s="385"/>
      <c r="X1011" s="385"/>
      <c r="Y1011" s="385"/>
      <c r="Z1011" s="385"/>
      <c r="AA1011" s="385"/>
      <c r="AB1011" s="385"/>
    </row>
    <row r="1012" spans="1:28" ht="15.75" customHeight="1">
      <c r="A1012" s="385"/>
      <c r="B1012" s="385"/>
      <c r="C1012" s="526"/>
      <c r="D1012" s="385"/>
      <c r="E1012" s="385"/>
      <c r="F1012" s="385"/>
      <c r="G1012" s="385"/>
      <c r="H1012" s="30"/>
      <c r="I1012" s="385"/>
      <c r="J1012" s="385"/>
      <c r="K1012" s="385"/>
      <c r="L1012" s="385"/>
      <c r="M1012" s="385"/>
      <c r="N1012" s="385"/>
      <c r="O1012" s="385"/>
      <c r="P1012" s="385"/>
      <c r="Q1012" s="385"/>
      <c r="R1012" s="385"/>
      <c r="S1012" s="385"/>
      <c r="T1012" s="385"/>
      <c r="U1012" s="385"/>
      <c r="V1012" s="385"/>
      <c r="W1012" s="385"/>
      <c r="X1012" s="385"/>
      <c r="Y1012" s="385"/>
      <c r="Z1012" s="385"/>
      <c r="AA1012" s="385"/>
      <c r="AB1012" s="385"/>
    </row>
    <row r="1013" spans="1:28" ht="15.75" customHeight="1">
      <c r="A1013" s="385"/>
      <c r="B1013" s="385"/>
      <c r="C1013" s="526"/>
      <c r="D1013" s="385"/>
      <c r="E1013" s="385"/>
      <c r="F1013" s="385"/>
      <c r="G1013" s="385"/>
      <c r="H1013" s="30"/>
      <c r="I1013" s="385"/>
      <c r="J1013" s="385"/>
      <c r="K1013" s="385"/>
      <c r="L1013" s="385"/>
      <c r="M1013" s="385"/>
      <c r="N1013" s="385"/>
      <c r="O1013" s="385"/>
      <c r="P1013" s="385"/>
      <c r="Q1013" s="385"/>
      <c r="R1013" s="385"/>
      <c r="S1013" s="385"/>
      <c r="T1013" s="385"/>
      <c r="U1013" s="385"/>
      <c r="V1013" s="385"/>
      <c r="W1013" s="385"/>
      <c r="X1013" s="385"/>
      <c r="Y1013" s="385"/>
      <c r="Z1013" s="385"/>
      <c r="AA1013" s="385"/>
      <c r="AB1013" s="385"/>
    </row>
    <row r="1014" spans="1:28" ht="15.75" customHeight="1">
      <c r="A1014" s="385"/>
      <c r="B1014" s="385"/>
      <c r="C1014" s="526"/>
      <c r="D1014" s="385"/>
      <c r="E1014" s="385"/>
      <c r="F1014" s="385"/>
      <c r="G1014" s="385"/>
      <c r="H1014" s="30"/>
      <c r="I1014" s="385"/>
      <c r="J1014" s="385"/>
      <c r="K1014" s="385"/>
      <c r="L1014" s="385"/>
      <c r="M1014" s="385"/>
      <c r="N1014" s="385"/>
      <c r="O1014" s="385"/>
      <c r="P1014" s="385"/>
      <c r="Q1014" s="385"/>
      <c r="R1014" s="385"/>
      <c r="S1014" s="385"/>
      <c r="T1014" s="385"/>
      <c r="U1014" s="385"/>
      <c r="V1014" s="385"/>
      <c r="W1014" s="385"/>
      <c r="X1014" s="385"/>
      <c r="Y1014" s="385"/>
      <c r="Z1014" s="385"/>
      <c r="AA1014" s="385"/>
      <c r="AB1014" s="385"/>
    </row>
    <row r="1015" spans="1:28" ht="15.75" customHeight="1">
      <c r="A1015" s="385"/>
      <c r="B1015" s="385"/>
      <c r="C1015" s="526"/>
      <c r="D1015" s="385"/>
      <c r="E1015" s="385"/>
      <c r="F1015" s="385"/>
      <c r="G1015" s="385"/>
      <c r="H1015" s="30"/>
      <c r="I1015" s="385"/>
      <c r="J1015" s="385"/>
      <c r="K1015" s="385"/>
      <c r="L1015" s="385"/>
      <c r="M1015" s="385"/>
      <c r="N1015" s="385"/>
      <c r="O1015" s="385"/>
      <c r="P1015" s="385"/>
      <c r="Q1015" s="385"/>
      <c r="R1015" s="385"/>
      <c r="S1015" s="385"/>
      <c r="T1015" s="385"/>
      <c r="U1015" s="385"/>
      <c r="V1015" s="385"/>
      <c r="W1015" s="385"/>
      <c r="X1015" s="385"/>
      <c r="Y1015" s="385"/>
      <c r="Z1015" s="385"/>
      <c r="AA1015" s="385"/>
      <c r="AB1015" s="385"/>
    </row>
    <row r="1016" spans="1:28" ht="15.75" customHeight="1">
      <c r="A1016" s="385"/>
      <c r="B1016" s="385"/>
      <c r="C1016" s="526"/>
      <c r="D1016" s="385"/>
      <c r="E1016" s="385"/>
      <c r="F1016" s="385"/>
      <c r="G1016" s="385"/>
      <c r="H1016" s="30"/>
      <c r="I1016" s="385"/>
      <c r="J1016" s="385"/>
      <c r="K1016" s="385"/>
      <c r="L1016" s="385"/>
      <c r="M1016" s="385"/>
      <c r="N1016" s="385"/>
      <c r="O1016" s="385"/>
      <c r="P1016" s="385"/>
      <c r="Q1016" s="385"/>
      <c r="R1016" s="385"/>
      <c r="S1016" s="385"/>
      <c r="T1016" s="385"/>
      <c r="U1016" s="385"/>
      <c r="V1016" s="385"/>
      <c r="W1016" s="385"/>
      <c r="X1016" s="385"/>
      <c r="Y1016" s="385"/>
      <c r="Z1016" s="385"/>
      <c r="AA1016" s="385"/>
      <c r="AB1016" s="385"/>
    </row>
    <row r="1017" spans="1:28" ht="15.75" customHeight="1">
      <c r="A1017" s="385"/>
      <c r="B1017" s="385"/>
      <c r="C1017" s="526"/>
      <c r="D1017" s="385"/>
      <c r="E1017" s="385"/>
      <c r="F1017" s="385"/>
      <c r="G1017" s="385"/>
      <c r="H1017" s="30"/>
      <c r="I1017" s="385"/>
      <c r="J1017" s="385"/>
      <c r="K1017" s="385"/>
      <c r="L1017" s="385"/>
      <c r="M1017" s="385"/>
      <c r="N1017" s="385"/>
      <c r="O1017" s="385"/>
      <c r="P1017" s="385"/>
      <c r="Q1017" s="385"/>
      <c r="R1017" s="385"/>
      <c r="S1017" s="385"/>
      <c r="T1017" s="385"/>
      <c r="U1017" s="385"/>
      <c r="V1017" s="385"/>
      <c r="W1017" s="385"/>
      <c r="X1017" s="385"/>
      <c r="Y1017" s="385"/>
      <c r="Z1017" s="385"/>
      <c r="AA1017" s="385"/>
      <c r="AB1017" s="385"/>
    </row>
    <row r="1018" spans="1:28" ht="15.75" customHeight="1">
      <c r="A1018" s="385"/>
      <c r="B1018" s="385"/>
      <c r="C1018" s="526"/>
      <c r="D1018" s="385"/>
      <c r="E1018" s="385"/>
      <c r="F1018" s="385"/>
      <c r="G1018" s="385"/>
      <c r="H1018" s="30"/>
      <c r="I1018" s="385"/>
      <c r="J1018" s="385"/>
      <c r="K1018" s="385"/>
      <c r="L1018" s="385"/>
      <c r="M1018" s="385"/>
      <c r="N1018" s="385"/>
      <c r="O1018" s="385"/>
      <c r="P1018" s="385"/>
      <c r="Q1018" s="385"/>
      <c r="R1018" s="385"/>
      <c r="S1018" s="385"/>
      <c r="T1018" s="385"/>
      <c r="U1018" s="385"/>
      <c r="V1018" s="385"/>
      <c r="W1018" s="385"/>
      <c r="X1018" s="385"/>
      <c r="Y1018" s="385"/>
      <c r="Z1018" s="385"/>
      <c r="AA1018" s="385"/>
      <c r="AB1018" s="385"/>
    </row>
    <row r="1019" spans="1:28" ht="15.75" customHeight="1">
      <c r="A1019" s="385"/>
      <c r="B1019" s="385"/>
      <c r="C1019" s="526"/>
      <c r="D1019" s="385"/>
      <c r="E1019" s="385"/>
      <c r="F1019" s="385"/>
      <c r="G1019" s="385"/>
      <c r="H1019" s="30"/>
      <c r="I1019" s="385"/>
      <c r="J1019" s="385"/>
      <c r="K1019" s="385"/>
      <c r="L1019" s="385"/>
      <c r="M1019" s="385"/>
      <c r="N1019" s="385"/>
      <c r="O1019" s="385"/>
      <c r="P1019" s="385"/>
      <c r="Q1019" s="385"/>
      <c r="R1019" s="385"/>
      <c r="S1019" s="385"/>
      <c r="T1019" s="385"/>
      <c r="U1019" s="385"/>
      <c r="V1019" s="385"/>
      <c r="W1019" s="385"/>
      <c r="X1019" s="385"/>
      <c r="Y1019" s="385"/>
      <c r="Z1019" s="385"/>
      <c r="AA1019" s="385"/>
      <c r="AB1019" s="385"/>
    </row>
    <row r="1020" spans="1:28" ht="15.75" customHeight="1">
      <c r="A1020" s="385"/>
      <c r="B1020" s="385"/>
      <c r="C1020" s="526"/>
      <c r="D1020" s="385"/>
      <c r="E1020" s="385"/>
      <c r="F1020" s="385"/>
      <c r="G1020" s="385"/>
      <c r="H1020" s="30"/>
      <c r="I1020" s="385"/>
      <c r="J1020" s="385"/>
      <c r="K1020" s="385"/>
      <c r="L1020" s="385"/>
      <c r="M1020" s="385"/>
      <c r="N1020" s="385"/>
      <c r="O1020" s="385"/>
      <c r="P1020" s="385"/>
      <c r="Q1020" s="385"/>
      <c r="R1020" s="385"/>
      <c r="S1020" s="385"/>
      <c r="T1020" s="385"/>
      <c r="U1020" s="385"/>
      <c r="V1020" s="385"/>
      <c r="W1020" s="385"/>
      <c r="X1020" s="385"/>
      <c r="Y1020" s="385"/>
      <c r="Z1020" s="385"/>
      <c r="AA1020" s="385"/>
      <c r="AB1020" s="385"/>
    </row>
    <row r="1021" spans="1:28" ht="15.75" customHeight="1">
      <c r="A1021" s="385"/>
      <c r="B1021" s="385"/>
      <c r="C1021" s="526"/>
      <c r="D1021" s="385"/>
      <c r="E1021" s="385"/>
      <c r="F1021" s="385"/>
      <c r="G1021" s="385"/>
      <c r="H1021" s="30"/>
      <c r="I1021" s="385"/>
      <c r="J1021" s="385"/>
      <c r="K1021" s="385"/>
      <c r="L1021" s="385"/>
      <c r="M1021" s="385"/>
      <c r="N1021" s="385"/>
      <c r="O1021" s="385"/>
      <c r="P1021" s="385"/>
      <c r="Q1021" s="385"/>
      <c r="R1021" s="385"/>
      <c r="S1021" s="385"/>
      <c r="T1021" s="385"/>
      <c r="U1021" s="385"/>
      <c r="V1021" s="385"/>
      <c r="W1021" s="385"/>
      <c r="X1021" s="385"/>
      <c r="Y1021" s="385"/>
      <c r="Z1021" s="385"/>
      <c r="AA1021" s="385"/>
      <c r="AB1021" s="385"/>
    </row>
    <row r="1022" spans="1:28" ht="15.75" customHeight="1">
      <c r="A1022" s="385"/>
      <c r="B1022" s="385"/>
      <c r="C1022" s="526"/>
      <c r="D1022" s="385"/>
      <c r="E1022" s="385"/>
      <c r="F1022" s="385"/>
      <c r="G1022" s="385"/>
      <c r="H1022" s="30"/>
      <c r="I1022" s="385"/>
      <c r="J1022" s="385"/>
      <c r="K1022" s="385"/>
      <c r="L1022" s="385"/>
      <c r="M1022" s="385"/>
      <c r="N1022" s="385"/>
      <c r="O1022" s="385"/>
      <c r="P1022" s="385"/>
      <c r="Q1022" s="385"/>
      <c r="R1022" s="385"/>
      <c r="S1022" s="385"/>
      <c r="T1022" s="385"/>
      <c r="U1022" s="385"/>
      <c r="V1022" s="385"/>
      <c r="W1022" s="385"/>
      <c r="X1022" s="385"/>
      <c r="Y1022" s="385"/>
      <c r="Z1022" s="385"/>
      <c r="AA1022" s="385"/>
      <c r="AB1022" s="385"/>
    </row>
    <row r="1023" spans="1:28" ht="15.75" customHeight="1">
      <c r="A1023" s="385"/>
      <c r="B1023" s="385"/>
      <c r="C1023" s="526"/>
      <c r="D1023" s="385"/>
      <c r="E1023" s="385"/>
      <c r="F1023" s="385"/>
      <c r="G1023" s="385"/>
      <c r="H1023" s="30"/>
      <c r="I1023" s="385"/>
      <c r="J1023" s="385"/>
      <c r="K1023" s="385"/>
      <c r="L1023" s="385"/>
      <c r="M1023" s="385"/>
      <c r="N1023" s="385"/>
      <c r="O1023" s="385"/>
      <c r="P1023" s="385"/>
      <c r="Q1023" s="385"/>
      <c r="R1023" s="385"/>
      <c r="S1023" s="385"/>
      <c r="T1023" s="385"/>
      <c r="U1023" s="385"/>
      <c r="V1023" s="385"/>
      <c r="W1023" s="385"/>
      <c r="X1023" s="385"/>
      <c r="Y1023" s="385"/>
      <c r="Z1023" s="385"/>
      <c r="AA1023" s="385"/>
      <c r="AB1023" s="385"/>
    </row>
    <row r="1024" spans="1:28" ht="15.75" customHeight="1">
      <c r="A1024" s="385"/>
      <c r="B1024" s="385"/>
      <c r="C1024" s="526"/>
      <c r="D1024" s="385"/>
      <c r="E1024" s="385"/>
      <c r="F1024" s="385"/>
      <c r="G1024" s="385"/>
      <c r="H1024" s="30"/>
      <c r="I1024" s="385"/>
      <c r="J1024" s="385"/>
      <c r="K1024" s="385"/>
      <c r="L1024" s="385"/>
      <c r="M1024" s="385"/>
      <c r="N1024" s="385"/>
      <c r="O1024" s="385"/>
      <c r="P1024" s="385"/>
      <c r="Q1024" s="385"/>
      <c r="R1024" s="385"/>
      <c r="S1024" s="385"/>
      <c r="T1024" s="385"/>
      <c r="U1024" s="385"/>
      <c r="V1024" s="385"/>
      <c r="W1024" s="385"/>
      <c r="X1024" s="385"/>
      <c r="Y1024" s="385"/>
      <c r="Z1024" s="385"/>
      <c r="AA1024" s="385"/>
      <c r="AB1024" s="385"/>
    </row>
    <row r="1025" spans="1:28" ht="15.75" customHeight="1">
      <c r="A1025" s="385"/>
      <c r="B1025" s="385"/>
      <c r="C1025" s="526"/>
      <c r="D1025" s="385"/>
      <c r="E1025" s="385"/>
      <c r="F1025" s="385"/>
      <c r="G1025" s="385"/>
      <c r="H1025" s="30"/>
      <c r="I1025" s="385"/>
      <c r="J1025" s="385"/>
      <c r="K1025" s="385"/>
      <c r="L1025" s="385"/>
      <c r="M1025" s="385"/>
      <c r="N1025" s="385"/>
      <c r="O1025" s="385"/>
      <c r="P1025" s="385"/>
      <c r="Q1025" s="385"/>
      <c r="R1025" s="385"/>
      <c r="S1025" s="385"/>
      <c r="T1025" s="385"/>
      <c r="U1025" s="385"/>
      <c r="V1025" s="385"/>
      <c r="W1025" s="385"/>
      <c r="X1025" s="385"/>
      <c r="Y1025" s="385"/>
      <c r="Z1025" s="385"/>
      <c r="AA1025" s="385"/>
      <c r="AB1025" s="385"/>
    </row>
    <row r="1026" spans="1:28" ht="15.75" customHeight="1">
      <c r="A1026" s="385"/>
      <c r="B1026" s="385"/>
      <c r="C1026" s="526"/>
      <c r="D1026" s="385"/>
      <c r="E1026" s="385"/>
      <c r="F1026" s="385"/>
      <c r="G1026" s="385"/>
      <c r="H1026" s="30"/>
      <c r="I1026" s="385"/>
      <c r="J1026" s="385"/>
      <c r="K1026" s="385"/>
      <c r="L1026" s="385"/>
      <c r="M1026" s="385"/>
      <c r="N1026" s="385"/>
      <c r="O1026" s="385"/>
      <c r="P1026" s="385"/>
      <c r="Q1026" s="385"/>
      <c r="R1026" s="385"/>
      <c r="S1026" s="385"/>
      <c r="T1026" s="385"/>
      <c r="U1026" s="385"/>
      <c r="V1026" s="385"/>
      <c r="W1026" s="385"/>
      <c r="X1026" s="385"/>
      <c r="Y1026" s="385"/>
      <c r="Z1026" s="385"/>
      <c r="AA1026" s="385"/>
      <c r="AB1026" s="385"/>
    </row>
    <row r="1027" spans="1:28" ht="15.75" customHeight="1">
      <c r="A1027" s="385"/>
      <c r="B1027" s="385"/>
      <c r="C1027" s="526"/>
      <c r="D1027" s="385"/>
      <c r="E1027" s="385"/>
      <c r="F1027" s="385"/>
      <c r="G1027" s="385"/>
      <c r="H1027" s="30"/>
      <c r="I1027" s="385"/>
      <c r="J1027" s="385"/>
      <c r="K1027" s="385"/>
      <c r="L1027" s="385"/>
      <c r="M1027" s="385"/>
      <c r="N1027" s="385"/>
      <c r="O1027" s="385"/>
      <c r="P1027" s="385"/>
      <c r="Q1027" s="385"/>
      <c r="R1027" s="385"/>
      <c r="S1027" s="385"/>
      <c r="T1027" s="385"/>
      <c r="U1027" s="385"/>
      <c r="V1027" s="385"/>
      <c r="W1027" s="385"/>
      <c r="X1027" s="385"/>
      <c r="Y1027" s="385"/>
      <c r="Z1027" s="385"/>
      <c r="AA1027" s="385"/>
      <c r="AB1027" s="385"/>
    </row>
    <row r="1028" spans="1:28" ht="15.75" customHeight="1">
      <c r="A1028" s="385"/>
      <c r="B1028" s="385"/>
      <c r="C1028" s="526"/>
      <c r="D1028" s="385"/>
      <c r="E1028" s="385"/>
      <c r="F1028" s="385"/>
      <c r="G1028" s="385"/>
      <c r="H1028" s="30"/>
      <c r="I1028" s="385"/>
      <c r="J1028" s="385"/>
      <c r="K1028" s="385"/>
      <c r="L1028" s="385"/>
      <c r="M1028" s="385"/>
      <c r="N1028" s="385"/>
      <c r="O1028" s="385"/>
      <c r="P1028" s="385"/>
      <c r="Q1028" s="385"/>
      <c r="R1028" s="385"/>
      <c r="S1028" s="385"/>
      <c r="T1028" s="385"/>
      <c r="U1028" s="385"/>
      <c r="V1028" s="385"/>
      <c r="W1028" s="385"/>
      <c r="X1028" s="385"/>
      <c r="Y1028" s="385"/>
      <c r="Z1028" s="385"/>
      <c r="AA1028" s="385"/>
      <c r="AB1028" s="385"/>
    </row>
    <row r="1029" spans="1:28" ht="15.75" customHeight="1">
      <c r="A1029" s="385"/>
      <c r="B1029" s="385"/>
      <c r="C1029" s="526"/>
      <c r="D1029" s="385"/>
      <c r="E1029" s="385"/>
      <c r="F1029" s="385"/>
      <c r="G1029" s="385"/>
      <c r="H1029" s="30"/>
      <c r="I1029" s="385"/>
      <c r="J1029" s="385"/>
      <c r="K1029" s="385"/>
      <c r="L1029" s="385"/>
      <c r="M1029" s="385"/>
      <c r="N1029" s="385"/>
      <c r="O1029" s="385"/>
      <c r="P1029" s="385"/>
      <c r="Q1029" s="385"/>
      <c r="R1029" s="385"/>
      <c r="S1029" s="385"/>
      <c r="T1029" s="385"/>
      <c r="U1029" s="385"/>
      <c r="V1029" s="385"/>
      <c r="W1029" s="385"/>
      <c r="X1029" s="385"/>
      <c r="Y1029" s="385"/>
      <c r="Z1029" s="385"/>
      <c r="AA1029" s="385"/>
      <c r="AB1029" s="385"/>
    </row>
    <row r="1030" spans="1:28" ht="15.75" customHeight="1">
      <c r="A1030" s="385"/>
      <c r="B1030" s="385"/>
      <c r="C1030" s="526"/>
      <c r="D1030" s="385"/>
      <c r="E1030" s="385"/>
      <c r="F1030" s="385"/>
      <c r="G1030" s="385"/>
      <c r="H1030" s="30"/>
      <c r="I1030" s="385"/>
      <c r="J1030" s="385"/>
      <c r="K1030" s="385"/>
      <c r="L1030" s="385"/>
      <c r="M1030" s="385"/>
      <c r="N1030" s="385"/>
      <c r="O1030" s="385"/>
      <c r="P1030" s="385"/>
      <c r="Q1030" s="385"/>
      <c r="R1030" s="385"/>
      <c r="S1030" s="385"/>
      <c r="T1030" s="385"/>
      <c r="U1030" s="385"/>
      <c r="V1030" s="385"/>
      <c r="W1030" s="385"/>
      <c r="X1030" s="385"/>
      <c r="Y1030" s="385"/>
      <c r="Z1030" s="385"/>
      <c r="AA1030" s="385"/>
      <c r="AB1030" s="385"/>
    </row>
    <row r="1031" spans="1:28" ht="15.75" customHeight="1">
      <c r="A1031" s="385"/>
      <c r="B1031" s="385"/>
      <c r="C1031" s="526"/>
      <c r="D1031" s="385"/>
      <c r="E1031" s="385"/>
      <c r="F1031" s="385"/>
      <c r="G1031" s="385"/>
      <c r="H1031" s="30"/>
      <c r="I1031" s="385"/>
      <c r="J1031" s="385"/>
      <c r="K1031" s="385"/>
      <c r="L1031" s="385"/>
      <c r="M1031" s="385"/>
      <c r="N1031" s="385"/>
      <c r="O1031" s="385"/>
      <c r="P1031" s="385"/>
      <c r="Q1031" s="385"/>
      <c r="R1031" s="385"/>
      <c r="S1031" s="385"/>
      <c r="T1031" s="385"/>
      <c r="U1031" s="385"/>
      <c r="V1031" s="385"/>
      <c r="W1031" s="385"/>
      <c r="X1031" s="385"/>
      <c r="Y1031" s="385"/>
      <c r="Z1031" s="385"/>
      <c r="AA1031" s="385"/>
      <c r="AB1031" s="385"/>
    </row>
    <row r="1032" spans="1:28" ht="15.75" customHeight="1">
      <c r="A1032" s="385"/>
      <c r="B1032" s="385"/>
      <c r="C1032" s="526"/>
      <c r="D1032" s="385"/>
      <c r="E1032" s="385"/>
      <c r="F1032" s="385"/>
      <c r="G1032" s="385"/>
      <c r="H1032" s="30"/>
      <c r="I1032" s="385"/>
      <c r="J1032" s="385"/>
      <c r="K1032" s="385"/>
      <c r="L1032" s="385"/>
      <c r="M1032" s="385"/>
      <c r="N1032" s="385"/>
      <c r="O1032" s="385"/>
      <c r="P1032" s="385"/>
      <c r="Q1032" s="385"/>
      <c r="R1032" s="385"/>
      <c r="S1032" s="385"/>
      <c r="T1032" s="385"/>
      <c r="U1032" s="385"/>
      <c r="V1032" s="385"/>
      <c r="W1032" s="385"/>
      <c r="X1032" s="385"/>
      <c r="Y1032" s="385"/>
      <c r="Z1032" s="385"/>
      <c r="AA1032" s="385"/>
      <c r="AB1032" s="385"/>
    </row>
    <row r="1033" spans="1:28" ht="15.75" customHeight="1">
      <c r="A1033" s="385"/>
      <c r="B1033" s="385"/>
      <c r="C1033" s="526"/>
      <c r="D1033" s="385"/>
      <c r="E1033" s="385"/>
      <c r="F1033" s="385"/>
      <c r="G1033" s="385"/>
      <c r="H1033" s="30"/>
      <c r="I1033" s="385"/>
      <c r="J1033" s="385"/>
      <c r="K1033" s="385"/>
      <c r="L1033" s="385"/>
      <c r="M1033" s="385"/>
      <c r="N1033" s="385"/>
      <c r="O1033" s="385"/>
      <c r="P1033" s="385"/>
      <c r="Q1033" s="385"/>
      <c r="R1033" s="385"/>
      <c r="S1033" s="385"/>
      <c r="T1033" s="385"/>
      <c r="U1033" s="385"/>
      <c r="V1033" s="385"/>
      <c r="W1033" s="385"/>
      <c r="X1033" s="385"/>
      <c r="Y1033" s="385"/>
      <c r="Z1033" s="385"/>
      <c r="AA1033" s="385"/>
      <c r="AB1033" s="385"/>
    </row>
    <row r="1034" spans="1:28" ht="15.75" customHeight="1">
      <c r="A1034" s="385"/>
      <c r="B1034" s="385"/>
      <c r="C1034" s="526"/>
      <c r="D1034" s="385"/>
      <c r="E1034" s="385"/>
      <c r="F1034" s="385"/>
      <c r="G1034" s="385"/>
      <c r="H1034" s="30"/>
      <c r="I1034" s="385"/>
      <c r="J1034" s="385"/>
      <c r="K1034" s="385"/>
      <c r="L1034" s="385"/>
      <c r="M1034" s="385"/>
      <c r="N1034" s="385"/>
      <c r="O1034" s="385"/>
      <c r="P1034" s="385"/>
      <c r="Q1034" s="385"/>
      <c r="R1034" s="385"/>
      <c r="S1034" s="385"/>
      <c r="T1034" s="385"/>
      <c r="U1034" s="385"/>
      <c r="V1034" s="385"/>
      <c r="W1034" s="385"/>
      <c r="X1034" s="385"/>
      <c r="Y1034" s="385"/>
      <c r="Z1034" s="385"/>
      <c r="AA1034" s="385"/>
      <c r="AB1034" s="385"/>
    </row>
    <row r="1035" spans="1:28" ht="15.75" customHeight="1">
      <c r="A1035" s="385"/>
      <c r="B1035" s="385"/>
      <c r="C1035" s="526"/>
      <c r="D1035" s="385"/>
      <c r="E1035" s="385"/>
      <c r="F1035" s="385"/>
      <c r="G1035" s="385"/>
      <c r="H1035" s="30"/>
      <c r="I1035" s="385"/>
      <c r="J1035" s="385"/>
      <c r="K1035" s="385"/>
      <c r="L1035" s="385"/>
      <c r="M1035" s="385"/>
      <c r="N1035" s="385"/>
      <c r="O1035" s="385"/>
      <c r="P1035" s="385"/>
      <c r="Q1035" s="385"/>
      <c r="R1035" s="385"/>
      <c r="S1035" s="385"/>
      <c r="T1035" s="385"/>
      <c r="U1035" s="385"/>
      <c r="V1035" s="385"/>
      <c r="W1035" s="385"/>
      <c r="X1035" s="385"/>
      <c r="Y1035" s="385"/>
      <c r="Z1035" s="385"/>
      <c r="AA1035" s="385"/>
      <c r="AB1035" s="385"/>
    </row>
    <row r="1036" spans="1:28" ht="15.75" customHeight="1">
      <c r="A1036" s="385"/>
      <c r="B1036" s="385"/>
      <c r="C1036" s="526"/>
      <c r="D1036" s="385"/>
      <c r="E1036" s="385"/>
      <c r="F1036" s="385"/>
      <c r="G1036" s="385"/>
      <c r="H1036" s="30"/>
      <c r="I1036" s="385"/>
      <c r="J1036" s="385"/>
      <c r="K1036" s="385"/>
      <c r="L1036" s="385"/>
      <c r="M1036" s="385"/>
      <c r="N1036" s="385"/>
      <c r="O1036" s="385"/>
      <c r="P1036" s="385"/>
      <c r="Q1036" s="385"/>
      <c r="R1036" s="385"/>
      <c r="S1036" s="385"/>
      <c r="T1036" s="385"/>
      <c r="U1036" s="385"/>
      <c r="V1036" s="385"/>
      <c r="W1036" s="385"/>
      <c r="X1036" s="385"/>
      <c r="Y1036" s="385"/>
      <c r="Z1036" s="385"/>
      <c r="AA1036" s="385"/>
      <c r="AB1036" s="385"/>
    </row>
    <row r="1037" spans="1:28" ht="15.75" customHeight="1">
      <c r="A1037" s="385"/>
      <c r="B1037" s="385"/>
      <c r="C1037" s="526"/>
      <c r="D1037" s="385"/>
      <c r="E1037" s="385"/>
      <c r="F1037" s="385"/>
      <c r="G1037" s="385"/>
      <c r="H1037" s="30"/>
      <c r="I1037" s="385"/>
      <c r="J1037" s="385"/>
      <c r="K1037" s="385"/>
      <c r="L1037" s="385"/>
      <c r="M1037" s="385"/>
      <c r="N1037" s="385"/>
      <c r="O1037" s="385"/>
      <c r="P1037" s="385"/>
      <c r="Q1037" s="385"/>
      <c r="R1037" s="385"/>
      <c r="S1037" s="385"/>
      <c r="T1037" s="385"/>
      <c r="U1037" s="385"/>
      <c r="V1037" s="385"/>
      <c r="W1037" s="385"/>
      <c r="X1037" s="385"/>
      <c r="Y1037" s="385"/>
      <c r="Z1037" s="385"/>
      <c r="AA1037" s="385"/>
      <c r="AB1037" s="385"/>
    </row>
    <row r="1038" spans="1:28" ht="15.75" customHeight="1">
      <c r="A1038" s="385"/>
      <c r="B1038" s="385"/>
      <c r="C1038" s="526"/>
      <c r="D1038" s="385"/>
      <c r="E1038" s="385"/>
      <c r="F1038" s="385"/>
      <c r="G1038" s="385"/>
      <c r="H1038" s="30"/>
      <c r="I1038" s="385"/>
      <c r="J1038" s="385"/>
      <c r="K1038" s="385"/>
      <c r="L1038" s="385"/>
      <c r="M1038" s="385"/>
      <c r="N1038" s="385"/>
      <c r="O1038" s="385"/>
      <c r="P1038" s="385"/>
      <c r="Q1038" s="385"/>
      <c r="R1038" s="385"/>
      <c r="S1038" s="385"/>
      <c r="T1038" s="385"/>
      <c r="U1038" s="385"/>
      <c r="V1038" s="385"/>
      <c r="W1038" s="385"/>
      <c r="X1038" s="385"/>
      <c r="Y1038" s="385"/>
      <c r="Z1038" s="385"/>
      <c r="AA1038" s="385"/>
      <c r="AB1038" s="385"/>
    </row>
    <row r="1039" spans="1:28" ht="15.75" customHeight="1">
      <c r="A1039" s="385"/>
      <c r="B1039" s="385"/>
      <c r="C1039" s="526"/>
      <c r="D1039" s="385"/>
      <c r="E1039" s="385"/>
      <c r="F1039" s="385"/>
      <c r="G1039" s="385"/>
      <c r="H1039" s="30"/>
      <c r="I1039" s="385"/>
      <c r="J1039" s="385"/>
      <c r="K1039" s="385"/>
      <c r="L1039" s="385"/>
      <c r="M1039" s="385"/>
      <c r="N1039" s="385"/>
      <c r="O1039" s="385"/>
      <c r="P1039" s="385"/>
      <c r="Q1039" s="385"/>
      <c r="R1039" s="385"/>
      <c r="S1039" s="385"/>
      <c r="T1039" s="385"/>
      <c r="U1039" s="385"/>
      <c r="V1039" s="385"/>
      <c r="W1039" s="385"/>
      <c r="X1039" s="385"/>
      <c r="Y1039" s="385"/>
      <c r="Z1039" s="385"/>
      <c r="AA1039" s="385"/>
      <c r="AB1039" s="385"/>
    </row>
    <row r="1040" spans="1:28" ht="15.75" customHeight="1">
      <c r="A1040" s="385"/>
      <c r="B1040" s="385"/>
      <c r="C1040" s="526"/>
      <c r="D1040" s="385"/>
      <c r="E1040" s="385"/>
      <c r="F1040" s="385"/>
      <c r="G1040" s="385"/>
      <c r="H1040" s="30"/>
      <c r="I1040" s="385"/>
      <c r="J1040" s="385"/>
      <c r="K1040" s="385"/>
      <c r="L1040" s="385"/>
      <c r="M1040" s="385"/>
      <c r="N1040" s="385"/>
      <c r="O1040" s="385"/>
      <c r="P1040" s="385"/>
      <c r="Q1040" s="385"/>
      <c r="R1040" s="385"/>
      <c r="S1040" s="385"/>
      <c r="T1040" s="385"/>
      <c r="U1040" s="385"/>
      <c r="V1040" s="385"/>
      <c r="W1040" s="385"/>
      <c r="X1040" s="385"/>
      <c r="Y1040" s="385"/>
      <c r="Z1040" s="385"/>
      <c r="AA1040" s="385"/>
      <c r="AB1040" s="385"/>
    </row>
    <row r="1041" spans="1:28" ht="15.75" customHeight="1">
      <c r="A1041" s="385"/>
      <c r="B1041" s="385"/>
      <c r="C1041" s="526"/>
      <c r="D1041" s="385"/>
      <c r="E1041" s="385"/>
      <c r="F1041" s="385"/>
      <c r="G1041" s="385"/>
      <c r="H1041" s="30"/>
      <c r="I1041" s="385"/>
      <c r="J1041" s="385"/>
      <c r="K1041" s="385"/>
      <c r="L1041" s="385"/>
      <c r="M1041" s="385"/>
      <c r="N1041" s="385"/>
      <c r="O1041" s="385"/>
      <c r="P1041" s="385"/>
      <c r="Q1041" s="385"/>
      <c r="R1041" s="385"/>
      <c r="S1041" s="385"/>
      <c r="T1041" s="385"/>
      <c r="U1041" s="385"/>
      <c r="V1041" s="385"/>
      <c r="W1041" s="385"/>
      <c r="X1041" s="385"/>
      <c r="Y1041" s="385"/>
      <c r="Z1041" s="385"/>
      <c r="AA1041" s="385"/>
      <c r="AB1041" s="385"/>
    </row>
    <row r="1042" spans="1:28" ht="15.75" customHeight="1">
      <c r="A1042" s="385"/>
      <c r="B1042" s="385"/>
      <c r="C1042" s="526"/>
      <c r="D1042" s="385"/>
      <c r="E1042" s="385"/>
      <c r="F1042" s="385"/>
      <c r="G1042" s="385"/>
      <c r="H1042" s="30"/>
      <c r="I1042" s="385"/>
      <c r="J1042" s="385"/>
      <c r="K1042" s="385"/>
      <c r="L1042" s="385"/>
      <c r="M1042" s="385"/>
      <c r="N1042" s="385"/>
      <c r="O1042" s="385"/>
      <c r="P1042" s="385"/>
      <c r="Q1042" s="385"/>
      <c r="R1042" s="385"/>
      <c r="S1042" s="385"/>
      <c r="T1042" s="385"/>
      <c r="U1042" s="385"/>
      <c r="V1042" s="385"/>
      <c r="W1042" s="385"/>
      <c r="X1042" s="385"/>
      <c r="Y1042" s="385"/>
      <c r="Z1042" s="385"/>
      <c r="AA1042" s="385"/>
      <c r="AB1042" s="385"/>
    </row>
    <row r="1043" spans="1:28" ht="15.75" customHeight="1">
      <c r="A1043" s="385"/>
      <c r="B1043" s="385"/>
      <c r="C1043" s="526"/>
      <c r="D1043" s="385"/>
      <c r="E1043" s="385"/>
      <c r="F1043" s="385"/>
      <c r="G1043" s="385"/>
      <c r="H1043" s="30"/>
      <c r="I1043" s="385"/>
      <c r="J1043" s="385"/>
      <c r="K1043" s="385"/>
      <c r="L1043" s="385"/>
      <c r="M1043" s="385"/>
      <c r="N1043" s="385"/>
      <c r="O1043" s="385"/>
      <c r="P1043" s="385"/>
      <c r="Q1043" s="385"/>
      <c r="R1043" s="385"/>
      <c r="S1043" s="385"/>
      <c r="T1043" s="385"/>
      <c r="U1043" s="385"/>
      <c r="V1043" s="385"/>
      <c r="W1043" s="385"/>
      <c r="X1043" s="385"/>
      <c r="Y1043" s="385"/>
      <c r="Z1043" s="385"/>
      <c r="AA1043" s="385"/>
      <c r="AB1043" s="385"/>
    </row>
    <row r="1044" spans="1:28" ht="15.75" customHeight="1">
      <c r="A1044" s="385"/>
      <c r="B1044" s="385"/>
      <c r="C1044" s="526"/>
      <c r="D1044" s="385"/>
      <c r="E1044" s="385"/>
      <c r="F1044" s="385"/>
      <c r="G1044" s="385"/>
      <c r="H1044" s="30"/>
      <c r="I1044" s="385"/>
      <c r="J1044" s="385"/>
      <c r="K1044" s="385"/>
      <c r="L1044" s="385"/>
      <c r="M1044" s="385"/>
      <c r="N1044" s="385"/>
      <c r="O1044" s="385"/>
      <c r="P1044" s="385"/>
      <c r="Q1044" s="385"/>
      <c r="R1044" s="385"/>
      <c r="S1044" s="385"/>
      <c r="T1044" s="385"/>
      <c r="U1044" s="385"/>
      <c r="V1044" s="385"/>
      <c r="W1044" s="385"/>
      <c r="X1044" s="385"/>
      <c r="Y1044" s="385"/>
      <c r="Z1044" s="385"/>
      <c r="AA1044" s="385"/>
      <c r="AB1044" s="385"/>
    </row>
    <row r="1045" spans="1:28" ht="15.75" customHeight="1">
      <c r="A1045" s="385"/>
      <c r="B1045" s="385"/>
      <c r="C1045" s="526"/>
      <c r="D1045" s="385"/>
      <c r="E1045" s="385"/>
      <c r="F1045" s="385"/>
      <c r="G1045" s="385"/>
      <c r="H1045" s="30"/>
      <c r="I1045" s="385"/>
      <c r="J1045" s="385"/>
      <c r="K1045" s="385"/>
      <c r="L1045" s="385"/>
      <c r="M1045" s="385"/>
      <c r="N1045" s="385"/>
      <c r="O1045" s="385"/>
      <c r="P1045" s="385"/>
      <c r="Q1045" s="385"/>
      <c r="R1045" s="385"/>
      <c r="S1045" s="385"/>
      <c r="T1045" s="385"/>
      <c r="U1045" s="385"/>
      <c r="V1045" s="385"/>
      <c r="W1045" s="385"/>
      <c r="X1045" s="385"/>
      <c r="Y1045" s="385"/>
      <c r="Z1045" s="385"/>
      <c r="AA1045" s="385"/>
      <c r="AB1045" s="385"/>
    </row>
    <row r="1046" spans="1:28" ht="15.75" customHeight="1">
      <c r="A1046" s="385"/>
      <c r="B1046" s="385"/>
      <c r="C1046" s="526"/>
      <c r="D1046" s="385"/>
      <c r="E1046" s="385"/>
      <c r="F1046" s="385"/>
      <c r="G1046" s="385"/>
      <c r="H1046" s="30"/>
      <c r="I1046" s="385"/>
      <c r="J1046" s="385"/>
      <c r="K1046" s="385"/>
      <c r="L1046" s="385"/>
      <c r="M1046" s="385"/>
      <c r="N1046" s="385"/>
      <c r="O1046" s="385"/>
      <c r="P1046" s="385"/>
      <c r="Q1046" s="385"/>
      <c r="R1046" s="385"/>
      <c r="S1046" s="385"/>
      <c r="T1046" s="385"/>
      <c r="U1046" s="385"/>
      <c r="V1046" s="385"/>
      <c r="W1046" s="385"/>
      <c r="X1046" s="385"/>
      <c r="Y1046" s="385"/>
      <c r="Z1046" s="385"/>
      <c r="AA1046" s="385"/>
      <c r="AB1046" s="385"/>
    </row>
  </sheetData>
  <autoFilter ref="A1:AB133" xr:uid="{00000000-0009-0000-0000-00000A000000}"/>
  <conditionalFormatting sqref="I2:I137">
    <cfRule type="containsText" dxfId="15" priority="1" operator="containsText" text="Chưa thực hiện">
      <formula>NOT(ISERROR(SEARCH(("Chưa thực hiện"),(I2))))</formula>
    </cfRule>
    <cfRule type="notContainsBlanks" dxfId="14" priority="2">
      <formula>LEN(TRIM(I2))&gt;0</formula>
    </cfRule>
  </conditionalFormatting>
  <hyperlinks>
    <hyperlink ref="E2" r:id="rId1" xr:uid="{00000000-0004-0000-0A00-000000000000}"/>
    <hyperlink ref="E3" r:id="rId2" xr:uid="{00000000-0004-0000-0A00-000001000000}"/>
    <hyperlink ref="E4" r:id="rId3" xr:uid="{00000000-0004-0000-0A00-000002000000}"/>
    <hyperlink ref="E5" r:id="rId4" xr:uid="{00000000-0004-0000-0A00-000003000000}"/>
    <hyperlink ref="E6" r:id="rId5" xr:uid="{00000000-0004-0000-0A00-000004000000}"/>
    <hyperlink ref="E7" r:id="rId6" xr:uid="{00000000-0004-0000-0A00-000005000000}"/>
    <hyperlink ref="E8" r:id="rId7" xr:uid="{00000000-0004-0000-0A00-000006000000}"/>
    <hyperlink ref="E9" r:id="rId8" xr:uid="{00000000-0004-0000-0A00-000007000000}"/>
    <hyperlink ref="E10" r:id="rId9" xr:uid="{00000000-0004-0000-0A00-000008000000}"/>
    <hyperlink ref="E11" r:id="rId10" xr:uid="{00000000-0004-0000-0A00-000009000000}"/>
    <hyperlink ref="E13" r:id="rId11" xr:uid="{00000000-0004-0000-0A00-00000A000000}"/>
    <hyperlink ref="E14" r:id="rId12" xr:uid="{00000000-0004-0000-0A00-00000B000000}"/>
    <hyperlink ref="E15" r:id="rId13" xr:uid="{00000000-0004-0000-0A00-00000C000000}"/>
    <hyperlink ref="E21" r:id="rId14" xr:uid="{00000000-0004-0000-0A00-00000D000000}"/>
    <hyperlink ref="E22" r:id="rId15" xr:uid="{00000000-0004-0000-0A00-00000E000000}"/>
    <hyperlink ref="E23" r:id="rId16" xr:uid="{00000000-0004-0000-0A00-00000F000000}"/>
    <hyperlink ref="E24" r:id="rId17" xr:uid="{00000000-0004-0000-0A00-000010000000}"/>
    <hyperlink ref="E25" r:id="rId18" xr:uid="{00000000-0004-0000-0A00-000011000000}"/>
    <hyperlink ref="E26" r:id="rId19" xr:uid="{00000000-0004-0000-0A00-000012000000}"/>
    <hyperlink ref="E27" r:id="rId20" xr:uid="{00000000-0004-0000-0A00-000013000000}"/>
    <hyperlink ref="E28" r:id="rId21" xr:uid="{00000000-0004-0000-0A00-000014000000}"/>
    <hyperlink ref="E29" r:id="rId22" xr:uid="{00000000-0004-0000-0A00-000015000000}"/>
    <hyperlink ref="E30" r:id="rId23" xr:uid="{00000000-0004-0000-0A00-000016000000}"/>
    <hyperlink ref="E32" r:id="rId24" xr:uid="{00000000-0004-0000-0A00-000017000000}"/>
    <hyperlink ref="E38" r:id="rId25" xr:uid="{00000000-0004-0000-0A00-000018000000}"/>
    <hyperlink ref="E40" r:id="rId26" xr:uid="{00000000-0004-0000-0A00-000019000000}"/>
    <hyperlink ref="E41" r:id="rId27" xr:uid="{00000000-0004-0000-0A00-00001A000000}"/>
    <hyperlink ref="E42" r:id="rId28" xr:uid="{00000000-0004-0000-0A00-00001B000000}"/>
    <hyperlink ref="E43" r:id="rId29" xr:uid="{00000000-0004-0000-0A00-00001C000000}"/>
    <hyperlink ref="E44" r:id="rId30" xr:uid="{00000000-0004-0000-0A00-00001D000000}"/>
    <hyperlink ref="E45" r:id="rId31" xr:uid="{00000000-0004-0000-0A00-00001E000000}"/>
    <hyperlink ref="E46" r:id="rId32" xr:uid="{00000000-0004-0000-0A00-00001F000000}"/>
    <hyperlink ref="E47" r:id="rId33" xr:uid="{00000000-0004-0000-0A00-000020000000}"/>
    <hyperlink ref="E48" r:id="rId34" xr:uid="{00000000-0004-0000-0A00-000021000000}"/>
    <hyperlink ref="E49" r:id="rId35" xr:uid="{00000000-0004-0000-0A00-000022000000}"/>
    <hyperlink ref="E50" r:id="rId36" xr:uid="{00000000-0004-0000-0A00-000023000000}"/>
    <hyperlink ref="E51" r:id="rId37" xr:uid="{00000000-0004-0000-0A00-000024000000}"/>
    <hyperlink ref="E52" r:id="rId38" xr:uid="{00000000-0004-0000-0A00-000025000000}"/>
    <hyperlink ref="E56" r:id="rId39" xr:uid="{00000000-0004-0000-0A00-000026000000}"/>
    <hyperlink ref="E57" r:id="rId40" xr:uid="{00000000-0004-0000-0A00-000027000000}"/>
    <hyperlink ref="E58" r:id="rId41" xr:uid="{00000000-0004-0000-0A00-000028000000}"/>
    <hyperlink ref="E59" r:id="rId42" xr:uid="{00000000-0004-0000-0A00-000029000000}"/>
    <hyperlink ref="E60" r:id="rId43" xr:uid="{00000000-0004-0000-0A00-00002A000000}"/>
    <hyperlink ref="E61" r:id="rId44" xr:uid="{00000000-0004-0000-0A00-00002B000000}"/>
    <hyperlink ref="E62" r:id="rId45" xr:uid="{00000000-0004-0000-0A00-00002C000000}"/>
    <hyperlink ref="E63" r:id="rId46" xr:uid="{00000000-0004-0000-0A00-00002D000000}"/>
    <hyperlink ref="E64" r:id="rId47" xr:uid="{00000000-0004-0000-0A00-00002E000000}"/>
    <hyperlink ref="E65" r:id="rId48" xr:uid="{00000000-0004-0000-0A00-00002F000000}"/>
    <hyperlink ref="E66" r:id="rId49" xr:uid="{00000000-0004-0000-0A00-000030000000}"/>
    <hyperlink ref="E67" r:id="rId50" xr:uid="{00000000-0004-0000-0A00-000031000000}"/>
    <hyperlink ref="E68" r:id="rId51" xr:uid="{00000000-0004-0000-0A00-000032000000}"/>
    <hyperlink ref="E70" r:id="rId52" xr:uid="{00000000-0004-0000-0A00-000033000000}"/>
    <hyperlink ref="E71" r:id="rId53" xr:uid="{00000000-0004-0000-0A00-000034000000}"/>
    <hyperlink ref="E72" r:id="rId54" xr:uid="{00000000-0004-0000-0A00-000035000000}"/>
    <hyperlink ref="E73" r:id="rId55" xr:uid="{00000000-0004-0000-0A00-000036000000}"/>
    <hyperlink ref="E76" r:id="rId56" xr:uid="{00000000-0004-0000-0A00-000037000000}"/>
    <hyperlink ref="E77" r:id="rId57" xr:uid="{00000000-0004-0000-0A00-000038000000}"/>
    <hyperlink ref="E78" r:id="rId58" xr:uid="{00000000-0004-0000-0A00-000039000000}"/>
    <hyperlink ref="E79" r:id="rId59" xr:uid="{00000000-0004-0000-0A00-00003A000000}"/>
    <hyperlink ref="E80" r:id="rId60" xr:uid="{00000000-0004-0000-0A00-00003B000000}"/>
    <hyperlink ref="E81" r:id="rId61" xr:uid="{00000000-0004-0000-0A00-00003C000000}"/>
    <hyperlink ref="E82" r:id="rId62" xr:uid="{00000000-0004-0000-0A00-00003D000000}"/>
    <hyperlink ref="E83" r:id="rId63" xr:uid="{00000000-0004-0000-0A00-00003E000000}"/>
    <hyperlink ref="E84" r:id="rId64" xr:uid="{00000000-0004-0000-0A00-00003F000000}"/>
    <hyperlink ref="E85" r:id="rId65" xr:uid="{00000000-0004-0000-0A00-000040000000}"/>
    <hyperlink ref="E86" r:id="rId66" xr:uid="{00000000-0004-0000-0A00-000041000000}"/>
    <hyperlink ref="E87" r:id="rId67" xr:uid="{00000000-0004-0000-0A00-000042000000}"/>
    <hyperlink ref="E88" r:id="rId68" xr:uid="{00000000-0004-0000-0A00-000043000000}"/>
    <hyperlink ref="E89" r:id="rId69" xr:uid="{00000000-0004-0000-0A00-000044000000}"/>
    <hyperlink ref="E95" r:id="rId70" xr:uid="{00000000-0004-0000-0A00-000045000000}"/>
    <hyperlink ref="E96" r:id="rId71" xr:uid="{00000000-0004-0000-0A00-000046000000}"/>
    <hyperlink ref="E97" r:id="rId72" xr:uid="{00000000-0004-0000-0A00-000047000000}"/>
    <hyperlink ref="E98" r:id="rId73" xr:uid="{00000000-0004-0000-0A00-000048000000}"/>
    <hyperlink ref="E99" r:id="rId74" xr:uid="{00000000-0004-0000-0A00-000049000000}"/>
    <hyperlink ref="E101" r:id="rId75" xr:uid="{00000000-0004-0000-0A00-00004A000000}"/>
    <hyperlink ref="E102" r:id="rId76" xr:uid="{00000000-0004-0000-0A00-00004B000000}"/>
    <hyperlink ref="E103" r:id="rId77" xr:uid="{00000000-0004-0000-0A00-00004C000000}"/>
    <hyperlink ref="E104" r:id="rId78" xr:uid="{00000000-0004-0000-0A00-00004D000000}"/>
    <hyperlink ref="E105" r:id="rId79" xr:uid="{00000000-0004-0000-0A00-00004E000000}"/>
    <hyperlink ref="E106" r:id="rId80" xr:uid="{00000000-0004-0000-0A00-00004F000000}"/>
    <hyperlink ref="E107" r:id="rId81" xr:uid="{00000000-0004-0000-0A00-000050000000}"/>
    <hyperlink ref="E111" r:id="rId82" xr:uid="{00000000-0004-0000-0A00-000051000000}"/>
    <hyperlink ref="E112" r:id="rId83" xr:uid="{00000000-0004-0000-0A00-000052000000}"/>
    <hyperlink ref="E113" r:id="rId84" xr:uid="{00000000-0004-0000-0A00-000053000000}"/>
    <hyperlink ref="E114" r:id="rId85" xr:uid="{00000000-0004-0000-0A00-000054000000}"/>
    <hyperlink ref="E115" r:id="rId86" xr:uid="{00000000-0004-0000-0A00-000055000000}"/>
    <hyperlink ref="E116" r:id="rId87" xr:uid="{00000000-0004-0000-0A00-000056000000}"/>
    <hyperlink ref="E117" r:id="rId88" xr:uid="{00000000-0004-0000-0A00-000057000000}"/>
    <hyperlink ref="E118" r:id="rId89" xr:uid="{00000000-0004-0000-0A00-000058000000}"/>
    <hyperlink ref="E119" r:id="rId90" xr:uid="{00000000-0004-0000-0A00-000059000000}"/>
    <hyperlink ref="E120" r:id="rId91" xr:uid="{00000000-0004-0000-0A00-00005A000000}"/>
    <hyperlink ref="E121" r:id="rId92" xr:uid="{00000000-0004-0000-0A00-00005B000000}"/>
    <hyperlink ref="E122" r:id="rId93" xr:uid="{00000000-0004-0000-0A00-00005C000000}"/>
    <hyperlink ref="E123" r:id="rId94" xr:uid="{00000000-0004-0000-0A00-00005D000000}"/>
    <hyperlink ref="E124" r:id="rId95" xr:uid="{00000000-0004-0000-0A00-00005E000000}"/>
    <hyperlink ref="E125" r:id="rId96" xr:uid="{00000000-0004-0000-0A00-00005F000000}"/>
    <hyperlink ref="E126" r:id="rId97" xr:uid="{00000000-0004-0000-0A00-000060000000}"/>
  </hyperlinks>
  <pageMargins left="0.7" right="0.7" top="0.75" bottom="0.75" header="0" footer="0"/>
  <pageSetup orientation="landscape"/>
  <drawing r:id="rId9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2202"/>
  <sheetViews>
    <sheetView workbookViewId="0">
      <selection sqref="A1:L4"/>
    </sheetView>
  </sheetViews>
  <sheetFormatPr defaultColWidth="12.7109375" defaultRowHeight="15" customHeight="1"/>
  <cols>
    <col min="1" max="1" width="6.140625" customWidth="1"/>
    <col min="3" max="3" width="21" customWidth="1"/>
    <col min="4" max="4" width="10.42578125" customWidth="1"/>
    <col min="5" max="5" width="18.140625" customWidth="1"/>
    <col min="15" max="15" width="15.140625" customWidth="1"/>
  </cols>
  <sheetData>
    <row r="1" spans="1:15" ht="12.75">
      <c r="A1" s="574" t="str">
        <f>'Tổ Bến Lức'!A1</f>
        <v xml:space="preserve">    TRUNG TÂM HẠ TẦNG
Kỳ báo cáo: tháng 07 năm 2026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67"/>
      <c r="M1" s="548" t="s">
        <v>822</v>
      </c>
      <c r="N1" s="549"/>
      <c r="O1" s="575" t="s">
        <v>271</v>
      </c>
    </row>
    <row r="2" spans="1:15" ht="12.75">
      <c r="A2" s="550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68"/>
      <c r="M2" s="550"/>
      <c r="N2" s="551"/>
      <c r="O2" s="576"/>
    </row>
    <row r="3" spans="1:15" ht="12.75">
      <c r="A3" s="550"/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68"/>
      <c r="M3" s="550"/>
      <c r="N3" s="551"/>
      <c r="O3" s="577">
        <f ca="1">IF(N6=0,0,O6/N6)</f>
        <v>0.44397163120567373</v>
      </c>
    </row>
    <row r="4" spans="1:15" ht="12.75">
      <c r="A4" s="552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69"/>
      <c r="M4" s="552"/>
      <c r="N4" s="553"/>
      <c r="O4" s="562"/>
    </row>
    <row r="5" spans="1:15" ht="15" customHeight="1">
      <c r="A5" s="578" t="s">
        <v>0</v>
      </c>
      <c r="B5" s="578" t="s">
        <v>1</v>
      </c>
      <c r="C5" s="579" t="s">
        <v>272</v>
      </c>
      <c r="D5" s="582" t="s">
        <v>273</v>
      </c>
      <c r="E5" s="579" t="s">
        <v>22</v>
      </c>
      <c r="F5" s="583" t="s">
        <v>274</v>
      </c>
      <c r="G5" s="584" t="s">
        <v>275</v>
      </c>
      <c r="H5" s="563" t="s">
        <v>276</v>
      </c>
      <c r="I5" s="564"/>
      <c r="J5" s="565" t="s">
        <v>277</v>
      </c>
      <c r="K5" s="564"/>
      <c r="L5" s="580" t="s">
        <v>278</v>
      </c>
      <c r="M5" s="528" t="s">
        <v>276</v>
      </c>
      <c r="N5" s="529" t="s">
        <v>277</v>
      </c>
      <c r="O5" s="528" t="s">
        <v>279</v>
      </c>
    </row>
    <row r="6" spans="1:15" ht="15" customHeight="1">
      <c r="A6" s="555"/>
      <c r="B6" s="555"/>
      <c r="C6" s="555"/>
      <c r="D6" s="555"/>
      <c r="E6" s="555"/>
      <c r="F6" s="559"/>
      <c r="G6" s="562"/>
      <c r="H6" s="279" t="s">
        <v>280</v>
      </c>
      <c r="I6" s="530" t="s">
        <v>281</v>
      </c>
      <c r="J6" s="281" t="s">
        <v>280</v>
      </c>
      <c r="K6" s="282" t="s">
        <v>281</v>
      </c>
      <c r="L6" s="581"/>
      <c r="M6" s="531">
        <f t="array" aca="1" ref="M6" ca="1">SUM(M7:INDEX(M7:M2202, MATCH(TRUE, B7:B2202="", 0)-1))</f>
        <v>716</v>
      </c>
      <c r="N6" s="532">
        <f t="array" aca="1" ref="N6" ca="1">SUM(N7:INDEX(N7:N2202, MATCH(TRUE, B7:B2202="", 0)-1))</f>
        <v>705</v>
      </c>
      <c r="O6" s="531">
        <f t="array" aca="1" ref="O6" ca="1">SUM(O7:INDEX(O7:O2202, MATCH(TRUE, B7:B2202="", 0)-1))</f>
        <v>313</v>
      </c>
    </row>
    <row r="7" spans="1:15" ht="12.75">
      <c r="A7" s="533">
        <f t="array" ref="A7:A2202" ca="1">IF(B7:B2202&lt;&gt;"", ROW(B7:B2202)-ROW(B7)+1, "")</f>
        <v>1</v>
      </c>
      <c r="B7" s="534" t="str">
        <f ca="1">IFERROR(__xludf.DUMMYFUNCTION("{
'Tổ Bến Lức'!B7:INDEX('Tổ Bến Lức'!B:B, MAX(FILTER(ROW('Tổ Bến Lức'!B7:B2202), 'Tổ Bến Lức'!B7:B2202&lt;&gt;"""")));
'Tổ Đức Hòa'!B7:INDEX('Tổ Đức Hòa'!B:B, MAX(FILTER(ROW('Tổ Đức Hòa'!B7:B2202), 'Tổ Đức Hòa'!B7:B2202&lt;&gt;"""")));
'Tổ Kiến Tường'!B7:INDEX('Tổ Ki"&amp;"ến Tường'!B:B, MAX(FILTER(ROW('Tổ Kiến Tường'!B7:B2202), 'Tổ Kiến Tường'!B7:B2202&lt;&gt;"""")));
'Tổ Gò Dầu'!B7:INDEX('Tổ Gò Dầu'!B:B, MAX(FILTER(ROW('Tổ Gò Dầu'!B7:B2202), 'Tổ Gò Dầu'!B7:B2202&lt;&gt;"""")));
'Tổ Tân An'!B7:INDEX('Tổ Tân An'!B:B, MAX(FILTER(ROW('Tổ"&amp;" Tân An'!B7:B2202), 'Tổ Tân An'!B7:B2202&lt;&gt;"""")));
'Tổ Tân Châu'!B7:INDEX('Tổ Tân Châu'!B:B, MAX(FILTER(ROW('Tổ Tân Châu'!B7:B2202), 'Tổ Tân Châu'!B7:B2202&lt;&gt;"""")));
'Tổ Tân Ninh'!B7:INDEX('Tổ Tân Ninh'!B:B, MAX(FILTER(ROW('Tổ Tân Ninh'!B7:B2202), 'Tổ Tân"&amp;" Ninh'!B7:B2202&lt;&gt;"""")))
}"),"Tổ Hạ tầng Bến Lức")</f>
        <v>Tổ Hạ tầng Bến Lức</v>
      </c>
      <c r="C7" s="534" t="str">
        <f ca="1">IFERROR(__xludf.DUMMYFUNCTION("{
FILTER('Tổ Bến Lức'!C7:C2202, 'Tổ Bến Lức'!B7:B2202&lt;&gt;"""");
FILTER('Tổ Đức Hòa'!C7:C2202, 'Tổ Đức Hòa'!B7:B2202&lt;&gt;"""");
FILTER('Tổ Kiến Tường'!C7:C2202, 'Tổ Kiến Tường'!B7:B2202&lt;&gt;"""");
FILTER('Tổ Gò Dầu'!C7:C2202, 'Tổ Gò Dầu'!B7:B2202&lt;&gt;"""");
FILTER('T"&amp;"ổ Tân An'!C7:C2202, 'Tổ Tân An'!B7:B2202&lt;&gt;"""");
FILTER('Tổ Tân Châu'!C7:C2202, 'Tổ Tân Châu'!B7:B2202&lt;&gt;"""");
FILTER('Tổ Tân Ninh'!C7:C2202, 'Tổ Tân Ninh'!B7:B2202&lt;&gt;"""")
}"),"Đinh Phú Trung")</f>
        <v>Đinh Phú Trung</v>
      </c>
      <c r="D7" s="534">
        <f ca="1">IFERROR(__xludf.DUMMYFUNCTION("{
FILTER('Tổ Bến Lức'!D7:D2202, 'Tổ Bến Lức'!B7:B2202&lt;&gt;"""");
FILTER('Tổ Đức Hòa'!D7:D2202, 'Tổ Đức Hòa'!B7:B2202&lt;&gt;"""");
FILTER('Tổ Kiến Tường'!D7:D2202, 'Tổ Kiến Tường'!B7:B2202&lt;&gt;"""");
FILTER('Tổ Gò Dầu'!D7:D2202, 'Tổ Gò Dầu'!B7:B2202&lt;&gt;"""");
FILTER('T"&amp;"ổ Tân An'!D7:D2202, 'Tổ Tân An'!B7:B2202&lt;&gt;"""");
FILTER('Tổ Tân Châu'!D7:D2202, 'Tổ Tân Châu'!B7:B2202&lt;&gt;"""");
FILTER('Tổ Tân Ninh'!D7:D2202, 'Tổ Tân Ninh'!B7:B2202&lt;&gt;"""")
}"),918606989)</f>
        <v>918606989</v>
      </c>
      <c r="E7" s="534" t="str">
        <f ca="1">IFERROR(__xludf.DUMMYFUNCTION("{
FILTER('Tổ Bến Lức'!E7:E2202, 'Tổ Bến Lức'!B7:B2202&lt;&gt;"""");
FILTER('Tổ Đức Hòa'!E7:E2202, 'Tổ Đức Hòa'!B7:B2202&lt;&gt;"""");
FILTER('Tổ Kiến Tường'!E7:E2202, 'Tổ Kiến Tường'!B7:B2202&lt;&gt;"""");
FILTER('Tổ Gò Dầu'!E7:E2202, 'Tổ Gò Dầu'!B7:B2202&lt;&gt;"""");
FILTER('T"&amp;"ổ Tân An'!E7:E2202, 'Tổ Tân An'!B7:B2202&lt;&gt;"""");
FILTER('Tổ Tân Châu'!E7:E2202, 'Tổ Tân Châu'!B7:B2202&lt;&gt;"""");
FILTER('Tổ Tân Ninh'!E7:E2202, 'Tổ Tân Ninh'!B7:B2202&lt;&gt;"""")
}"),"trungdp.lan@vnpt.vn")</f>
        <v>trungdp.lan@vnpt.vn</v>
      </c>
      <c r="F7" s="535" t="str">
        <f ca="1">IFERROR(__xludf.DUMMYFUNCTION("{
FILTER('Tổ Bến Lức'!F7:F2202, 'Tổ Bến Lức'!B7:B2202&lt;&gt;"""");
FILTER('Tổ Đức Hòa'!F7:F2202, 'Tổ Đức Hòa'!B7:B2202&lt;&gt;"""");
FILTER('Tổ Kiến Tường'!F7:F2202, 'Tổ Kiến Tường'!B7:B2202&lt;&gt;"""");
FILTER('Tổ Gò Dầu'!F7:F2202, 'Tổ Gò Dầu'!B7:B2202&lt;&gt;"""");
FILTER('T"&amp;"ổ Tân An'!F7:F2202, 'Tổ Tân An'!B7:B2202&lt;&gt;"""");
FILTER('Tổ Tân Châu'!F7:F2202, 'Tổ Tân Châu'!B7:B2202&lt;&gt;"""");
FILTER('Tổ Tân Ninh'!F7:F2202, 'Tổ Tân Ninh'!B7:B2202&lt;&gt;"""")
}"),"Lần 1")</f>
        <v>Lần 1</v>
      </c>
      <c r="G7" s="536">
        <f ca="1">IFERROR(__xludf.DUMMYFUNCTION("{
FILTER('Tổ Bến Lức'!G7:G2202, 'Tổ Bến Lức'!B7:B2202&lt;&gt;"""");
FILTER('Tổ Đức Hòa'!G7:G2202, 'Tổ Đức Hòa'!B7:B2202&lt;&gt;"""");
FILTER('Tổ Kiến Tường'!G7:G2202, 'Tổ Kiến Tường'!B7:B2202&lt;&gt;"""");
FILTER('Tổ Gò Dầu'!G7:G2202, 'Tổ Gò Dầu'!B7:B2202&lt;&gt;"""");
FILTER('T"&amp;"ổ Tân An'!G7:G2202, 'Tổ Tân An'!B7:B2202&lt;&gt;"""");
FILTER('Tổ Tân Châu'!G7:G2202, 'Tổ Tân Châu'!B7:B2202&lt;&gt;"""");
FILTER('Tổ Tân Ninh'!G7:G2202, 'Tổ Tân Ninh'!B7:B2202&lt;&gt;"""")
}"),46204)</f>
        <v>46204</v>
      </c>
      <c r="H7" s="537">
        <f ca="1">IFERROR(__xludf.DUMMYFUNCTION("{
FILTER('Tổ Bến Lức'!H7:H2202, 'Tổ Bến Lức'!B7:B2202&lt;&gt;"""");
FILTER('Tổ Đức Hòa'!H7:H2202, 'Tổ Đức Hòa'!B7:B2202&lt;&gt;"""");
FILTER('Tổ Kiến Tường'!H7:H2202, 'Tổ Kiến Tường'!B7:B2202&lt;&gt;"""");
FILTER('Tổ Gò Dầu'!H7:H2202, 'Tổ Gò Dầu'!B7:B2202&lt;&gt;"""");
FILTER('T"&amp;"ổ Tân An'!H7:H2202, 'Tổ Tân An'!B7:B2202&lt;&gt;"""");
FILTER('Tổ Tân Châu'!H7:H2202, 'Tổ Tân Châu'!B7:B2202&lt;&gt;"""");
FILTER('Tổ Tân Ninh'!H7:H2202, 'Tổ Tân Ninh'!B7:B2202&lt;&gt;"""")
}"),275)</f>
        <v>275</v>
      </c>
      <c r="I7" s="537" t="str">
        <f ca="1">IFERROR(__xludf.DUMMYFUNCTION("{
FILTER('Tổ Bến Lức'!I7:I2202, 'Tổ Bến Lức'!B7:B2202&lt;&gt;"""");
FILTER('Tổ Đức Hòa'!I7:I2202, 'Tổ Đức Hòa'!B7:B2202&lt;&gt;"""");
FILTER('Tổ Kiến Tường'!I7:I2202, 'Tổ Kiến Tường'!B7:B2202&lt;&gt;"""");
FILTER('Tổ Gò Dầu'!I7:I2202, 'Tổ Gò Dầu'!B7:B2202&lt;&gt;"""");
FILTER('T"&amp;"ổ Tân An'!I7:I2202, 'Tổ Tân An'!B7:B2202&lt;&gt;"""");
FILTER('Tổ Tân Châu'!I7:I2202, 'Tổ Tân Châu'!B7:B2202&lt;&gt;"""");
FILTER('Tổ Tân Ninh'!I7:I2202, 'Tổ Tân Ninh'!B7:B2202&lt;&gt;"""")
}"),"57.5")</f>
        <v>57.5</v>
      </c>
      <c r="J7" s="538">
        <f ca="1">IFERROR(__xludf.DUMMYFUNCTION("{
FILTER('Tổ Bến Lức'!J7:J2202, 'Tổ Bến Lức'!B7:B2202&lt;&gt;"""");
FILTER('Tổ Đức Hòa'!J7:J2202, 'Tổ Đức Hòa'!B7:B2202&lt;&gt;"""");
FILTER('Tổ Kiến Tường'!J7:J2202, 'Tổ Kiến Tường'!B7:B2202&lt;&gt;"""");
FILTER('Tổ Gò Dầu'!J7:J2202, 'Tổ Gò Dầu'!B7:B2202&lt;&gt;"""");
FILTER('T"&amp;"ổ Tân An'!J7:J2202, 'Tổ Tân An'!B7:B2202&lt;&gt;"""");
FILTER('Tổ Tân Châu'!J7:J2202, 'Tổ Tân Châu'!B7:B2202&lt;&gt;"""");
FILTER('Tổ Tân Ninh'!J7:J2202, 'Tổ Tân Ninh'!B7:B2202&lt;&gt;"""")
}"),617)</f>
        <v>617</v>
      </c>
      <c r="K7" s="538" t="str">
        <f ca="1">IFERROR(__xludf.DUMMYFUNCTION("{
FILTER('Tổ Bến Lức'!K7:K2202, 'Tổ Bến Lức'!B7:B2202&lt;&gt;"""");
FILTER('Tổ Đức Hòa'!K7:K2202, 'Tổ Đức Hòa'!B7:B2202&lt;&gt;"""");
FILTER('Tổ Kiến Tường'!K7:K2202, 'Tổ Kiến Tường'!B7:B2202&lt;&gt;"""");
FILTER('Tổ Gò Dầu'!K7:K2202, 'Tổ Gò Dầu'!B7:B2202&lt;&gt;"""");
FILTER('T"&amp;"ổ Tân An'!K7:K2202, 'Tổ Tân An'!B7:B2202&lt;&gt;"""");
FILTER('Tổ Tân Châu'!K7:K2202, 'Tổ Tân Châu'!B7:B2202&lt;&gt;"""");
FILTER('Tổ Tân Ninh'!K7:K2202, 'Tổ Tân Ninh'!B7:B2202&lt;&gt;"""")
}"),"58.1")</f>
        <v>58.1</v>
      </c>
      <c r="L7" s="534"/>
      <c r="M7" s="533">
        <f ca="1">IFERROR(__xludf.DUMMYFUNCTION("{
FILTER('Tổ Bến Lức'!M7:M2202, 'Tổ Bến Lức'!B7:B2202&lt;&gt;"""");
FILTER('Tổ Đức Hòa'!M7:M2202, 'Tổ Đức Hòa'!B7:B2202&lt;&gt;"""");
FILTER('Tổ Kiến Tường'!M7:M2202, 'Tổ Kiến Tường'!B7:B2202&lt;&gt;"""");
FILTER('Tổ Gò Dầu'!M7:M2202, 'Tổ Gò Dầu'!B7:B2202&lt;&gt;"""");
FILTER('T"&amp;"ổ Tân An'!M7:M2202, 'Tổ Tân An'!B7:B2202&lt;&gt;"""");
FILTER('Tổ Tân Châu'!M7:M2202, 'Tổ Tân Châu'!B7:B2202&lt;&gt;"""");
FILTER('Tổ Tân Ninh'!M7:M2202, 'Tổ Tân Ninh'!B7:B2202&lt;&gt;"""")
}"),1)</f>
        <v>1</v>
      </c>
      <c r="N7" s="533">
        <f ca="1">IFERROR(__xludf.DUMMYFUNCTION("{
FILTER('Tổ Bến Lức'!N7:N2202, 'Tổ Bến Lức'!B7:B2202&lt;&gt;"""");
FILTER('Tổ Đức Hòa'!N7:N2202, 'Tổ Đức Hòa'!B7:B2202&lt;&gt;"""");
FILTER('Tổ Kiến Tường'!N7:N2202, 'Tổ Kiến Tường'!B7:B2202&lt;&gt;"""");
FILTER('Tổ Gò Dầu'!N7:N2202, 'Tổ Gò Dầu'!B7:B2202&lt;&gt;"""");
FILTER('T"&amp;"ổ Tân An'!N7:N2202, 'Tổ Tân An'!B7:B2202&lt;&gt;"""");
FILTER('Tổ Tân Châu'!N7:N2202, 'Tổ Tân Châu'!B7:B2202&lt;&gt;"""");
FILTER('Tổ Tân Ninh'!N7:N2202, 'Tổ Tân Ninh'!B7:B2202&lt;&gt;"""")
}"),1)</f>
        <v>1</v>
      </c>
      <c r="O7" s="533">
        <f ca="1">IFERROR(__xludf.DUMMYFUNCTION("{
FILTER('Tổ Bến Lức'!O7:O2202, 'Tổ Bến Lức'!B7:B2202&lt;&gt;"""");
FILTER('Tổ Đức Hòa'!O7:O2202, 'Tổ Đức Hòa'!B7:B2202&lt;&gt;"""");
FILTER('Tổ Kiến Tường'!O7:O2202, 'Tổ Kiến Tường'!B7:B2202&lt;&gt;"""");
FILTER('Tổ Gò Dầu'!O7:O2202, 'Tổ Gò Dầu'!B7:B2202&lt;&gt;"""");
FILTER('T"&amp;"ổ Tân An'!O7:O2202, 'Tổ Tân An'!B7:B2202&lt;&gt;"""");
FILTER('Tổ Tân Châu'!O7:O2202, 'Tổ Tân Châu'!B7:B2202&lt;&gt;"""");
FILTER('Tổ Tân Ninh'!O7:O2202, 'Tổ Tân Ninh'!B7:B2202&lt;&gt;"""")
}"),1)</f>
        <v>1</v>
      </c>
    </row>
    <row r="8" spans="1:15" ht="12.75">
      <c r="A8" s="539">
        <f ca="1"/>
        <v>2</v>
      </c>
      <c r="B8" s="35" t="str">
        <f ca="1">IFERROR(__xludf.DUMMYFUNCTION("""COMPUTED_VALUE"""),"Tổ Hạ tầng Bến Lức")</f>
        <v>Tổ Hạ tầng Bến Lức</v>
      </c>
      <c r="C8" s="35" t="str">
        <f ca="1">IFERROR(__xludf.DUMMYFUNCTION("""COMPUTED_VALUE"""),"Đinh Phú Trung")</f>
        <v>Đinh Phú Trung</v>
      </c>
      <c r="D8" s="35">
        <f ca="1">IFERROR(__xludf.DUMMYFUNCTION("""COMPUTED_VALUE"""),918606989)</f>
        <v>918606989</v>
      </c>
      <c r="E8" s="35" t="str">
        <f ca="1">IFERROR(__xludf.DUMMYFUNCTION("""COMPUTED_VALUE"""),"trungdp.lan@vnpt.vn")</f>
        <v>trungdp.lan@vnpt.vn</v>
      </c>
      <c r="F8" s="540" t="str">
        <f ca="1">IFERROR(__xludf.DUMMYFUNCTION("""COMPUTED_VALUE"""),"Lần 2")</f>
        <v>Lần 2</v>
      </c>
      <c r="G8" s="278">
        <f ca="1">IFERROR(__xludf.DUMMYFUNCTION("""COMPUTED_VALUE"""),46204)</f>
        <v>46204</v>
      </c>
      <c r="H8" s="35">
        <f ca="1">IFERROR(__xludf.DUMMYFUNCTION("""COMPUTED_VALUE"""),284)</f>
        <v>284</v>
      </c>
      <c r="I8" s="35" t="str">
        <f ca="1">IFERROR(__xludf.DUMMYFUNCTION("""COMPUTED_VALUE"""),"48.6")</f>
        <v>48.6</v>
      </c>
      <c r="J8" s="541">
        <f ca="1">IFERROR(__xludf.DUMMYFUNCTION("""COMPUTED_VALUE"""),756)</f>
        <v>756</v>
      </c>
      <c r="K8" s="541" t="str">
        <f ca="1">IFERROR(__xludf.DUMMYFUNCTION("""COMPUTED_VALUE"""),"44.7")</f>
        <v>44.7</v>
      </c>
      <c r="M8" s="539">
        <f ca="1">IFERROR(__xludf.DUMMYFUNCTION("""COMPUTED_VALUE"""),1)</f>
        <v>1</v>
      </c>
      <c r="N8" s="539">
        <f ca="1">IFERROR(__xludf.DUMMYFUNCTION("""COMPUTED_VALUE"""),1)</f>
        <v>1</v>
      </c>
      <c r="O8" s="539">
        <f ca="1">IFERROR(__xludf.DUMMYFUNCTION("""COMPUTED_VALUE"""),1)</f>
        <v>1</v>
      </c>
    </row>
    <row r="9" spans="1:15" ht="12.75">
      <c r="A9" s="539">
        <f ca="1"/>
        <v>3</v>
      </c>
      <c r="B9" s="35" t="str">
        <f ca="1">IFERROR(__xludf.DUMMYFUNCTION("""COMPUTED_VALUE"""),"Tổ Hạ tầng Bến Lức")</f>
        <v>Tổ Hạ tầng Bến Lức</v>
      </c>
      <c r="C9" s="35" t="str">
        <f ca="1">IFERROR(__xludf.DUMMYFUNCTION("""COMPUTED_VALUE"""),"Đinh Phú Trung")</f>
        <v>Đinh Phú Trung</v>
      </c>
      <c r="D9" s="35">
        <f ca="1">IFERROR(__xludf.DUMMYFUNCTION("""COMPUTED_VALUE"""),918606989)</f>
        <v>918606989</v>
      </c>
      <c r="E9" s="35" t="str">
        <f ca="1">IFERROR(__xludf.DUMMYFUNCTION("""COMPUTED_VALUE"""),"trungdp.lan@vnpt.vn")</f>
        <v>trungdp.lan@vnpt.vn</v>
      </c>
      <c r="F9" s="540" t="str">
        <f ca="1">IFERROR(__xludf.DUMMYFUNCTION("""COMPUTED_VALUE"""),"Lần 3")</f>
        <v>Lần 3</v>
      </c>
      <c r="G9" s="278">
        <f ca="1">IFERROR(__xludf.DUMMYFUNCTION("""COMPUTED_VALUE"""),46205)</f>
        <v>46205</v>
      </c>
      <c r="H9" s="35">
        <f ca="1">IFERROR(__xludf.DUMMYFUNCTION("""COMPUTED_VALUE"""),107)</f>
        <v>107</v>
      </c>
      <c r="I9" s="35" t="str">
        <f ca="1">IFERROR(__xludf.DUMMYFUNCTION("""COMPUTED_VALUE"""),"31.4")</f>
        <v>31.4</v>
      </c>
      <c r="J9" s="541">
        <f ca="1">IFERROR(__xludf.DUMMYFUNCTION("""COMPUTED_VALUE"""),653)</f>
        <v>653</v>
      </c>
      <c r="K9" s="541" t="str">
        <f ca="1">IFERROR(__xludf.DUMMYFUNCTION("""COMPUTED_VALUE"""),"31.4")</f>
        <v>31.4</v>
      </c>
      <c r="M9" s="539">
        <f ca="1">IFERROR(__xludf.DUMMYFUNCTION("""COMPUTED_VALUE"""),1)</f>
        <v>1</v>
      </c>
      <c r="N9" s="539">
        <f ca="1">IFERROR(__xludf.DUMMYFUNCTION("""COMPUTED_VALUE"""),1)</f>
        <v>1</v>
      </c>
      <c r="O9" s="539">
        <f ca="1">IFERROR(__xludf.DUMMYFUNCTION("""COMPUTED_VALUE"""),1)</f>
        <v>1</v>
      </c>
    </row>
    <row r="10" spans="1:15" ht="12.75">
      <c r="A10" s="539">
        <f ca="1"/>
        <v>4</v>
      </c>
      <c r="B10" s="35" t="str">
        <f ca="1">IFERROR(__xludf.DUMMYFUNCTION("""COMPUTED_VALUE"""),"Tổ Hạ tầng Bến Lức")</f>
        <v>Tổ Hạ tầng Bến Lức</v>
      </c>
      <c r="C10" s="35" t="str">
        <f ca="1">IFERROR(__xludf.DUMMYFUNCTION("""COMPUTED_VALUE"""),"Đinh Phú Trung")</f>
        <v>Đinh Phú Trung</v>
      </c>
      <c r="D10" s="35">
        <f ca="1">IFERROR(__xludf.DUMMYFUNCTION("""COMPUTED_VALUE"""),918606989)</f>
        <v>918606989</v>
      </c>
      <c r="E10" s="35" t="str">
        <f ca="1">IFERROR(__xludf.DUMMYFUNCTION("""COMPUTED_VALUE"""),"trungdp.lan@vnpt.vn")</f>
        <v>trungdp.lan@vnpt.vn</v>
      </c>
      <c r="F10" s="540" t="str">
        <f ca="1">IFERROR(__xludf.DUMMYFUNCTION("""COMPUTED_VALUE"""),"Lần 4")</f>
        <v>Lần 4</v>
      </c>
      <c r="G10" s="278">
        <f ca="1">IFERROR(__xludf.DUMMYFUNCTION("""COMPUTED_VALUE"""),46205)</f>
        <v>46205</v>
      </c>
      <c r="H10" s="35">
        <f ca="1">IFERROR(__xludf.DUMMYFUNCTION("""COMPUTED_VALUE"""),112)</f>
        <v>112</v>
      </c>
      <c r="I10" s="35" t="str">
        <f ca="1">IFERROR(__xludf.DUMMYFUNCTION("""COMPUTED_VALUE"""),"31.2")</f>
        <v>31.2</v>
      </c>
      <c r="J10" s="541">
        <f ca="1">IFERROR(__xludf.DUMMYFUNCTION("""COMPUTED_VALUE"""),692)</f>
        <v>692</v>
      </c>
      <c r="K10" s="541" t="str">
        <f ca="1">IFERROR(__xludf.DUMMYFUNCTION("""COMPUTED_VALUE"""),"45.1")</f>
        <v>45.1</v>
      </c>
      <c r="M10" s="539">
        <f ca="1">IFERROR(__xludf.DUMMYFUNCTION("""COMPUTED_VALUE"""),1)</f>
        <v>1</v>
      </c>
      <c r="N10" s="539">
        <f ca="1">IFERROR(__xludf.DUMMYFUNCTION("""COMPUTED_VALUE"""),1)</f>
        <v>1</v>
      </c>
      <c r="O10" s="539">
        <f ca="1">IFERROR(__xludf.DUMMYFUNCTION("""COMPUTED_VALUE"""),1)</f>
        <v>1</v>
      </c>
    </row>
    <row r="11" spans="1:15" ht="12.75">
      <c r="A11" s="539">
        <f ca="1"/>
        <v>5</v>
      </c>
      <c r="B11" s="35" t="str">
        <f ca="1">IFERROR(__xludf.DUMMYFUNCTION("""COMPUTED_VALUE"""),"Tổ Hạ tầng Bến Lức")</f>
        <v>Tổ Hạ tầng Bến Lức</v>
      </c>
      <c r="C11" s="35" t="str">
        <f ca="1">IFERROR(__xludf.DUMMYFUNCTION("""COMPUTED_VALUE"""),"Đinh Phú Trung")</f>
        <v>Đinh Phú Trung</v>
      </c>
      <c r="D11" s="35">
        <f ca="1">IFERROR(__xludf.DUMMYFUNCTION("""COMPUTED_VALUE"""),918606989)</f>
        <v>918606989</v>
      </c>
      <c r="E11" s="35" t="str">
        <f ca="1">IFERROR(__xludf.DUMMYFUNCTION("""COMPUTED_VALUE"""),"trungdp.lan@vnpt.vn")</f>
        <v>trungdp.lan@vnpt.vn</v>
      </c>
      <c r="F11" s="540" t="str">
        <f ca="1">IFERROR(__xludf.DUMMYFUNCTION("""COMPUTED_VALUE"""),"Lần 5")</f>
        <v>Lần 5</v>
      </c>
      <c r="G11" s="278">
        <f ca="1">IFERROR(__xludf.DUMMYFUNCTION("""COMPUTED_VALUE"""),46205)</f>
        <v>46205</v>
      </c>
      <c r="H11" s="35">
        <f ca="1">IFERROR(__xludf.DUMMYFUNCTION("""COMPUTED_VALUE"""),109)</f>
        <v>109</v>
      </c>
      <c r="I11" s="35">
        <f ca="1">IFERROR(__xludf.DUMMYFUNCTION("""COMPUTED_VALUE"""),34)</f>
        <v>34</v>
      </c>
      <c r="J11" s="541">
        <f ca="1">IFERROR(__xludf.DUMMYFUNCTION("""COMPUTED_VALUE"""),748)</f>
        <v>748</v>
      </c>
      <c r="K11" s="35" t="str">
        <f ca="1">IFERROR(__xludf.DUMMYFUNCTION("""COMPUTED_VALUE"""),"42.7")</f>
        <v>42.7</v>
      </c>
      <c r="M11" s="539">
        <f ca="1">IFERROR(__xludf.DUMMYFUNCTION("""COMPUTED_VALUE"""),1)</f>
        <v>1</v>
      </c>
      <c r="N11" s="539">
        <f ca="1">IFERROR(__xludf.DUMMYFUNCTION("""COMPUTED_VALUE"""),1)</f>
        <v>1</v>
      </c>
      <c r="O11" s="539">
        <f ca="1">IFERROR(__xludf.DUMMYFUNCTION("""COMPUTED_VALUE"""),1)</f>
        <v>1</v>
      </c>
    </row>
    <row r="12" spans="1:15" ht="12.75">
      <c r="A12" s="539">
        <f ca="1"/>
        <v>6</v>
      </c>
      <c r="B12" s="35" t="str">
        <f ca="1">IFERROR(__xludf.DUMMYFUNCTION("""COMPUTED_VALUE"""),"Tổ Hạ tầng Bến Lức")</f>
        <v>Tổ Hạ tầng Bến Lức</v>
      </c>
      <c r="C12" s="35" t="str">
        <f ca="1">IFERROR(__xludf.DUMMYFUNCTION("""COMPUTED_VALUE"""),"Đinh Phú Trung")</f>
        <v>Đinh Phú Trung</v>
      </c>
      <c r="D12" s="35">
        <f ca="1">IFERROR(__xludf.DUMMYFUNCTION("""COMPUTED_VALUE"""),918606989)</f>
        <v>918606989</v>
      </c>
      <c r="E12" s="35" t="str">
        <f ca="1">IFERROR(__xludf.DUMMYFUNCTION("""COMPUTED_VALUE"""),"trungdp.lan@vnpt.vn")</f>
        <v>trungdp.lan@vnpt.vn</v>
      </c>
      <c r="F12" s="540" t="str">
        <f ca="1">IFERROR(__xludf.DUMMYFUNCTION("""COMPUTED_VALUE"""),"Lần 6")</f>
        <v>Lần 6</v>
      </c>
      <c r="G12" s="278">
        <f ca="1">IFERROR(__xludf.DUMMYFUNCTION("""COMPUTED_VALUE"""),46205)</f>
        <v>46205</v>
      </c>
      <c r="H12" s="35" t="str">
        <f ca="1">IFERROR(__xludf.DUMMYFUNCTION("""COMPUTED_VALUE"""),"76.4")</f>
        <v>76.4</v>
      </c>
      <c r="I12" s="35">
        <f ca="1">IFERROR(__xludf.DUMMYFUNCTION("""COMPUTED_VALUE"""),34)</f>
        <v>34</v>
      </c>
      <c r="J12" s="541">
        <f ca="1">IFERROR(__xludf.DUMMYFUNCTION("""COMPUTED_VALUE"""),748)</f>
        <v>748</v>
      </c>
      <c r="K12" s="35" t="str">
        <f ca="1">IFERROR(__xludf.DUMMYFUNCTION("""COMPUTED_VALUE"""),"45.4")</f>
        <v>45.4</v>
      </c>
      <c r="M12" s="539">
        <f ca="1">IFERROR(__xludf.DUMMYFUNCTION("""COMPUTED_VALUE"""),1)</f>
        <v>1</v>
      </c>
      <c r="N12" s="539">
        <f ca="1">IFERROR(__xludf.DUMMYFUNCTION("""COMPUTED_VALUE"""),1)</f>
        <v>1</v>
      </c>
      <c r="O12" s="539">
        <f ca="1">IFERROR(__xludf.DUMMYFUNCTION("""COMPUTED_VALUE"""),1)</f>
        <v>1</v>
      </c>
    </row>
    <row r="13" spans="1:15" ht="12.75">
      <c r="A13" s="539">
        <f ca="1"/>
        <v>7</v>
      </c>
      <c r="B13" s="35" t="str">
        <f ca="1">IFERROR(__xludf.DUMMYFUNCTION("""COMPUTED_VALUE"""),"Tổ Hạ tầng Bến Lức")</f>
        <v>Tổ Hạ tầng Bến Lức</v>
      </c>
      <c r="C13" s="35" t="str">
        <f ca="1">IFERROR(__xludf.DUMMYFUNCTION("""COMPUTED_VALUE"""),"Đinh Phú Trung")</f>
        <v>Đinh Phú Trung</v>
      </c>
      <c r="D13" s="35">
        <f ca="1">IFERROR(__xludf.DUMMYFUNCTION("""COMPUTED_VALUE"""),918606989)</f>
        <v>918606989</v>
      </c>
      <c r="E13" s="35" t="str">
        <f ca="1">IFERROR(__xludf.DUMMYFUNCTION("""COMPUTED_VALUE"""),"trungdp.lan@vnpt.vn")</f>
        <v>trungdp.lan@vnpt.vn</v>
      </c>
      <c r="F13" s="540" t="str">
        <f ca="1">IFERROR(__xludf.DUMMYFUNCTION("""COMPUTED_VALUE"""),"Lần 7")</f>
        <v>Lần 7</v>
      </c>
      <c r="G13" s="278">
        <f ca="1">IFERROR(__xludf.DUMMYFUNCTION("""COMPUTED_VALUE"""),46208)</f>
        <v>46208</v>
      </c>
      <c r="H13" s="35">
        <f ca="1">IFERROR(__xludf.DUMMYFUNCTION("""COMPUTED_VALUE"""),78)</f>
        <v>78</v>
      </c>
      <c r="I13" s="35">
        <f ca="1">IFERROR(__xludf.DUMMYFUNCTION("""COMPUTED_VALUE"""),14)</f>
        <v>14</v>
      </c>
      <c r="J13" s="541">
        <f ca="1">IFERROR(__xludf.DUMMYFUNCTION("""COMPUTED_VALUE"""),73)</f>
        <v>73</v>
      </c>
      <c r="K13" s="35">
        <f ca="1">IFERROR(__xludf.DUMMYFUNCTION("""COMPUTED_VALUE"""),11)</f>
        <v>11</v>
      </c>
      <c r="M13" s="539">
        <f ca="1">IFERROR(__xludf.DUMMYFUNCTION("""COMPUTED_VALUE"""),1)</f>
        <v>1</v>
      </c>
      <c r="N13" s="539">
        <f ca="1">IFERROR(__xludf.DUMMYFUNCTION("""COMPUTED_VALUE"""),1)</f>
        <v>1</v>
      </c>
      <c r="O13" s="539">
        <f ca="1">IFERROR(__xludf.DUMMYFUNCTION("""COMPUTED_VALUE"""),0)</f>
        <v>0</v>
      </c>
    </row>
    <row r="14" spans="1:15" ht="12.75">
      <c r="A14" s="539">
        <f ca="1"/>
        <v>8</v>
      </c>
      <c r="B14" s="35" t="str">
        <f ca="1">IFERROR(__xludf.DUMMYFUNCTION("""COMPUTED_VALUE"""),"Tổ Hạ tầng Bến Lức")</f>
        <v>Tổ Hạ tầng Bến Lức</v>
      </c>
      <c r="C14" s="35" t="str">
        <f ca="1">IFERROR(__xludf.DUMMYFUNCTION("""COMPUTED_VALUE"""),"Đinh Phú Trung")</f>
        <v>Đinh Phú Trung</v>
      </c>
      <c r="D14" s="35">
        <f ca="1">IFERROR(__xludf.DUMMYFUNCTION("""COMPUTED_VALUE"""),918606989)</f>
        <v>918606989</v>
      </c>
      <c r="E14" s="35" t="str">
        <f ca="1">IFERROR(__xludf.DUMMYFUNCTION("""COMPUTED_VALUE"""),"trungdp.lan@vnpt.vn")</f>
        <v>trungdp.lan@vnpt.vn</v>
      </c>
      <c r="F14" s="540" t="str">
        <f ca="1">IFERROR(__xludf.DUMMYFUNCTION("""COMPUTED_VALUE"""),"Lần 8")</f>
        <v>Lần 8</v>
      </c>
      <c r="G14" s="278">
        <f ca="1">IFERROR(__xludf.DUMMYFUNCTION("""COMPUTED_VALUE"""),46209)</f>
        <v>46209</v>
      </c>
      <c r="H14" s="35">
        <f ca="1">IFERROR(__xludf.DUMMYFUNCTION("""COMPUTED_VALUE"""),132)</f>
        <v>132</v>
      </c>
      <c r="I14" s="35">
        <f ca="1">IFERROR(__xludf.DUMMYFUNCTION("""COMPUTED_VALUE"""),21)</f>
        <v>21</v>
      </c>
      <c r="J14" s="541">
        <f ca="1">IFERROR(__xludf.DUMMYFUNCTION("""COMPUTED_VALUE"""),100)</f>
        <v>100</v>
      </c>
      <c r="K14" s="541">
        <f ca="1">IFERROR(__xludf.DUMMYFUNCTION("""COMPUTED_VALUE"""),14)</f>
        <v>14</v>
      </c>
      <c r="M14" s="539">
        <f ca="1">IFERROR(__xludf.DUMMYFUNCTION("""COMPUTED_VALUE"""),1)</f>
        <v>1</v>
      </c>
      <c r="N14" s="539">
        <f ca="1">IFERROR(__xludf.DUMMYFUNCTION("""COMPUTED_VALUE"""),1)</f>
        <v>1</v>
      </c>
      <c r="O14" s="539">
        <f ca="1">IFERROR(__xludf.DUMMYFUNCTION("""COMPUTED_VALUE"""),0)</f>
        <v>0</v>
      </c>
    </row>
    <row r="15" spans="1:15" ht="12.75">
      <c r="A15" s="539">
        <f ca="1"/>
        <v>9</v>
      </c>
      <c r="B15" s="35" t="str">
        <f ca="1">IFERROR(__xludf.DUMMYFUNCTION("""COMPUTED_VALUE"""),"Tổ Hạ tầng Bến Lức")</f>
        <v>Tổ Hạ tầng Bến Lức</v>
      </c>
      <c r="C15" s="35" t="str">
        <f ca="1">IFERROR(__xludf.DUMMYFUNCTION("""COMPUTED_VALUE"""),"Đinh Phú Trung")</f>
        <v>Đinh Phú Trung</v>
      </c>
      <c r="D15" s="35">
        <f ca="1">IFERROR(__xludf.DUMMYFUNCTION("""COMPUTED_VALUE"""),918606989)</f>
        <v>918606989</v>
      </c>
      <c r="E15" s="35" t="str">
        <f ca="1">IFERROR(__xludf.DUMMYFUNCTION("""COMPUTED_VALUE"""),"trungdp.lan@vnpt.vn")</f>
        <v>trungdp.lan@vnpt.vn</v>
      </c>
      <c r="F15" s="540" t="str">
        <f ca="1">IFERROR(__xludf.DUMMYFUNCTION("""COMPUTED_VALUE"""),"Lần 9")</f>
        <v>Lần 9</v>
      </c>
      <c r="G15" s="278">
        <f ca="1">IFERROR(__xludf.DUMMYFUNCTION("""COMPUTED_VALUE"""),46209)</f>
        <v>46209</v>
      </c>
      <c r="H15" s="35">
        <f ca="1">IFERROR(__xludf.DUMMYFUNCTION("""COMPUTED_VALUE"""),107)</f>
        <v>107</v>
      </c>
      <c r="I15" s="35">
        <f ca="1">IFERROR(__xludf.DUMMYFUNCTION("""COMPUTED_VALUE"""),15)</f>
        <v>15</v>
      </c>
      <c r="J15" s="541">
        <f ca="1">IFERROR(__xludf.DUMMYFUNCTION("""COMPUTED_VALUE"""),98)</f>
        <v>98</v>
      </c>
      <c r="K15" s="541">
        <f ca="1">IFERROR(__xludf.DUMMYFUNCTION("""COMPUTED_VALUE"""),21)</f>
        <v>21</v>
      </c>
      <c r="M15" s="539">
        <f ca="1">IFERROR(__xludf.DUMMYFUNCTION("""COMPUTED_VALUE"""),1)</f>
        <v>1</v>
      </c>
      <c r="N15" s="539">
        <f ca="1">IFERROR(__xludf.DUMMYFUNCTION("""COMPUTED_VALUE"""),1)</f>
        <v>1</v>
      </c>
      <c r="O15" s="539">
        <f ca="1">IFERROR(__xludf.DUMMYFUNCTION("""COMPUTED_VALUE"""),0)</f>
        <v>0</v>
      </c>
    </row>
    <row r="16" spans="1:15" ht="12.75">
      <c r="A16" s="539">
        <f ca="1"/>
        <v>10</v>
      </c>
      <c r="B16" s="35" t="str">
        <f ca="1">IFERROR(__xludf.DUMMYFUNCTION("""COMPUTED_VALUE"""),"Tổ Hạ tầng Bến Lức")</f>
        <v>Tổ Hạ tầng Bến Lức</v>
      </c>
      <c r="C16" s="35" t="str">
        <f ca="1">IFERROR(__xludf.DUMMYFUNCTION("""COMPUTED_VALUE"""),"Đinh Phú Trung")</f>
        <v>Đinh Phú Trung</v>
      </c>
      <c r="D16" s="35">
        <f ca="1">IFERROR(__xludf.DUMMYFUNCTION("""COMPUTED_VALUE"""),918606989)</f>
        <v>918606989</v>
      </c>
      <c r="E16" s="35" t="str">
        <f ca="1">IFERROR(__xludf.DUMMYFUNCTION("""COMPUTED_VALUE"""),"trungdp.lan@vnpt.vn")</f>
        <v>trungdp.lan@vnpt.vn</v>
      </c>
      <c r="F16" s="540" t="str">
        <f ca="1">IFERROR(__xludf.DUMMYFUNCTION("""COMPUTED_VALUE"""),"Lần 10")</f>
        <v>Lần 10</v>
      </c>
      <c r="G16" s="278">
        <f ca="1">IFERROR(__xludf.DUMMYFUNCTION("""COMPUTED_VALUE"""),46209)</f>
        <v>46209</v>
      </c>
      <c r="H16" s="35">
        <f ca="1">IFERROR(__xludf.DUMMYFUNCTION("""COMPUTED_VALUE"""),77)</f>
        <v>77</v>
      </c>
      <c r="I16" s="35">
        <f ca="1">IFERROR(__xludf.DUMMYFUNCTION("""COMPUTED_VALUE"""),46)</f>
        <v>46</v>
      </c>
      <c r="J16" s="541">
        <f ca="1">IFERROR(__xludf.DUMMYFUNCTION("""COMPUTED_VALUE"""),82)</f>
        <v>82</v>
      </c>
      <c r="K16" s="541">
        <f ca="1">IFERROR(__xludf.DUMMYFUNCTION("""COMPUTED_VALUE"""),13)</f>
        <v>13</v>
      </c>
      <c r="M16" s="539">
        <f ca="1">IFERROR(__xludf.DUMMYFUNCTION("""COMPUTED_VALUE"""),1)</f>
        <v>1</v>
      </c>
      <c r="N16" s="539">
        <f ca="1">IFERROR(__xludf.DUMMYFUNCTION("""COMPUTED_VALUE"""),1)</f>
        <v>1</v>
      </c>
      <c r="O16" s="539">
        <f ca="1">IFERROR(__xludf.DUMMYFUNCTION("""COMPUTED_VALUE"""),0)</f>
        <v>0</v>
      </c>
    </row>
    <row r="17" spans="1:15" ht="12.75">
      <c r="A17" s="539">
        <f ca="1"/>
        <v>11</v>
      </c>
      <c r="B17" s="35" t="str">
        <f ca="1">IFERROR(__xludf.DUMMYFUNCTION("""COMPUTED_VALUE"""),"Tổ Hạ tầng Bến Lức")</f>
        <v>Tổ Hạ tầng Bến Lức</v>
      </c>
      <c r="C17" s="35" t="str">
        <f ca="1">IFERROR(__xludf.DUMMYFUNCTION("""COMPUTED_VALUE"""),"Đinh Phú Trung")</f>
        <v>Đinh Phú Trung</v>
      </c>
      <c r="D17" s="35">
        <f ca="1">IFERROR(__xludf.DUMMYFUNCTION("""COMPUTED_VALUE"""),918606989)</f>
        <v>918606989</v>
      </c>
      <c r="E17" s="35" t="str">
        <f ca="1">IFERROR(__xludf.DUMMYFUNCTION("""COMPUTED_VALUE"""),"trungdp.lan@vnpt.vn")</f>
        <v>trungdp.lan@vnpt.vn</v>
      </c>
      <c r="F17" s="540" t="str">
        <f ca="1">IFERROR(__xludf.DUMMYFUNCTION("""COMPUTED_VALUE"""),"Lần 11")</f>
        <v>Lần 11</v>
      </c>
      <c r="G17" s="278">
        <f ca="1">IFERROR(__xludf.DUMMYFUNCTION("""COMPUTED_VALUE"""),46209)</f>
        <v>46209</v>
      </c>
      <c r="H17" s="35">
        <f ca="1">IFERROR(__xludf.DUMMYFUNCTION("""COMPUTED_VALUE"""),95)</f>
        <v>95</v>
      </c>
      <c r="I17" s="35">
        <f ca="1">IFERROR(__xludf.DUMMYFUNCTION("""COMPUTED_VALUE"""),53)</f>
        <v>53</v>
      </c>
      <c r="J17" s="541">
        <f ca="1">IFERROR(__xludf.DUMMYFUNCTION("""COMPUTED_VALUE"""),93)</f>
        <v>93</v>
      </c>
      <c r="K17" s="35">
        <f ca="1">IFERROR(__xludf.DUMMYFUNCTION("""COMPUTED_VALUE"""),47)</f>
        <v>47</v>
      </c>
      <c r="M17" s="539">
        <f ca="1">IFERROR(__xludf.DUMMYFUNCTION("""COMPUTED_VALUE"""),1)</f>
        <v>1</v>
      </c>
      <c r="N17" s="539">
        <f ca="1">IFERROR(__xludf.DUMMYFUNCTION("""COMPUTED_VALUE"""),1)</f>
        <v>1</v>
      </c>
      <c r="O17" s="539">
        <f ca="1">IFERROR(__xludf.DUMMYFUNCTION("""COMPUTED_VALUE"""),0)</f>
        <v>0</v>
      </c>
    </row>
    <row r="18" spans="1:15" ht="12.75">
      <c r="A18" s="539">
        <f ca="1"/>
        <v>12</v>
      </c>
      <c r="B18" s="35" t="str">
        <f ca="1">IFERROR(__xludf.DUMMYFUNCTION("""COMPUTED_VALUE"""),"Tổ Hạ tầng Bến Lức")</f>
        <v>Tổ Hạ tầng Bến Lức</v>
      </c>
      <c r="C18" s="35" t="str">
        <f ca="1">IFERROR(__xludf.DUMMYFUNCTION("""COMPUTED_VALUE"""),"Đinh Phú Trung")</f>
        <v>Đinh Phú Trung</v>
      </c>
      <c r="D18" s="35">
        <f ca="1">IFERROR(__xludf.DUMMYFUNCTION("""COMPUTED_VALUE"""),918606989)</f>
        <v>918606989</v>
      </c>
      <c r="E18" s="35" t="str">
        <f ca="1">IFERROR(__xludf.DUMMYFUNCTION("""COMPUTED_VALUE"""),"trungdp.lan@vnpt.vn")</f>
        <v>trungdp.lan@vnpt.vn</v>
      </c>
      <c r="F18" s="540" t="str">
        <f ca="1">IFERROR(__xludf.DUMMYFUNCTION("""COMPUTED_VALUE"""),"Lần 12")</f>
        <v>Lần 12</v>
      </c>
      <c r="G18" s="278"/>
      <c r="H18" s="35"/>
      <c r="I18" s="35"/>
      <c r="J18" s="35"/>
      <c r="K18" s="35"/>
      <c r="M18" s="539">
        <f ca="1">IFERROR(__xludf.DUMMYFUNCTION("""COMPUTED_VALUE"""),0)</f>
        <v>0</v>
      </c>
      <c r="N18" s="539">
        <f ca="1">IFERROR(__xludf.DUMMYFUNCTION("""COMPUTED_VALUE"""),0)</f>
        <v>0</v>
      </c>
      <c r="O18" s="539">
        <f ca="1">IFERROR(__xludf.DUMMYFUNCTION("""COMPUTED_VALUE"""),0)</f>
        <v>0</v>
      </c>
    </row>
    <row r="19" spans="1:15" ht="12.75">
      <c r="A19" s="539">
        <f ca="1"/>
        <v>13</v>
      </c>
      <c r="B19" s="35" t="str">
        <f ca="1">IFERROR(__xludf.DUMMYFUNCTION("""COMPUTED_VALUE"""),"Tổ Hạ tầng Bến Lức")</f>
        <v>Tổ Hạ tầng Bến Lức</v>
      </c>
      <c r="C19" s="35" t="str">
        <f ca="1">IFERROR(__xludf.DUMMYFUNCTION("""COMPUTED_VALUE"""),"Đinh Phú Trung")</f>
        <v>Đinh Phú Trung</v>
      </c>
      <c r="D19" s="35">
        <f ca="1">IFERROR(__xludf.DUMMYFUNCTION("""COMPUTED_VALUE"""),918606989)</f>
        <v>918606989</v>
      </c>
      <c r="E19" s="35" t="str">
        <f ca="1">IFERROR(__xludf.DUMMYFUNCTION("""COMPUTED_VALUE"""),"trungdp.lan@vnpt.vn")</f>
        <v>trungdp.lan@vnpt.vn</v>
      </c>
      <c r="F19" s="540" t="str">
        <f ca="1">IFERROR(__xludf.DUMMYFUNCTION("""COMPUTED_VALUE"""),"Lần 13")</f>
        <v>Lần 13</v>
      </c>
      <c r="G19" s="278"/>
      <c r="H19" s="35"/>
      <c r="I19" s="35"/>
      <c r="J19" s="541"/>
      <c r="K19" s="541"/>
      <c r="M19" s="539">
        <f ca="1">IFERROR(__xludf.DUMMYFUNCTION("""COMPUTED_VALUE"""),0)</f>
        <v>0</v>
      </c>
      <c r="N19" s="539">
        <f ca="1">IFERROR(__xludf.DUMMYFUNCTION("""COMPUTED_VALUE"""),0)</f>
        <v>0</v>
      </c>
      <c r="O19" s="539">
        <f ca="1">IFERROR(__xludf.DUMMYFUNCTION("""COMPUTED_VALUE"""),0)</f>
        <v>0</v>
      </c>
    </row>
    <row r="20" spans="1:15" ht="12.75">
      <c r="A20" s="539">
        <f ca="1"/>
        <v>14</v>
      </c>
      <c r="B20" s="35" t="str">
        <f ca="1">IFERROR(__xludf.DUMMYFUNCTION("""COMPUTED_VALUE"""),"Tổ Hạ tầng Bến Lức")</f>
        <v>Tổ Hạ tầng Bến Lức</v>
      </c>
      <c r="C20" s="35" t="str">
        <f ca="1">IFERROR(__xludf.DUMMYFUNCTION("""COMPUTED_VALUE"""),"Đinh Phú Trung")</f>
        <v>Đinh Phú Trung</v>
      </c>
      <c r="D20" s="35">
        <f ca="1">IFERROR(__xludf.DUMMYFUNCTION("""COMPUTED_VALUE"""),918606989)</f>
        <v>918606989</v>
      </c>
      <c r="E20" s="35" t="str">
        <f ca="1">IFERROR(__xludf.DUMMYFUNCTION("""COMPUTED_VALUE"""),"trungdp.lan@vnpt.vn")</f>
        <v>trungdp.lan@vnpt.vn</v>
      </c>
      <c r="F20" s="540" t="str">
        <f ca="1">IFERROR(__xludf.DUMMYFUNCTION("""COMPUTED_VALUE"""),"Lần 14")</f>
        <v>Lần 14</v>
      </c>
      <c r="G20" s="278"/>
      <c r="H20" s="35"/>
      <c r="I20" s="35"/>
      <c r="J20" s="541"/>
      <c r="K20" s="541"/>
      <c r="M20" s="539">
        <f ca="1">IFERROR(__xludf.DUMMYFUNCTION("""COMPUTED_VALUE"""),0)</f>
        <v>0</v>
      </c>
      <c r="N20" s="539">
        <f ca="1">IFERROR(__xludf.DUMMYFUNCTION("""COMPUTED_VALUE"""),0)</f>
        <v>0</v>
      </c>
      <c r="O20" s="539">
        <f ca="1">IFERROR(__xludf.DUMMYFUNCTION("""COMPUTED_VALUE"""),0)</f>
        <v>0</v>
      </c>
    </row>
    <row r="21" spans="1:15" ht="12.75">
      <c r="A21" s="539">
        <f ca="1"/>
        <v>15</v>
      </c>
      <c r="B21" s="35" t="str">
        <f ca="1">IFERROR(__xludf.DUMMYFUNCTION("""COMPUTED_VALUE"""),"Tổ Hạ tầng Bến Lức")</f>
        <v>Tổ Hạ tầng Bến Lức</v>
      </c>
      <c r="C21" s="35" t="str">
        <f ca="1">IFERROR(__xludf.DUMMYFUNCTION("""COMPUTED_VALUE"""),"Đinh Phú Trung")</f>
        <v>Đinh Phú Trung</v>
      </c>
      <c r="D21" s="35">
        <f ca="1">IFERROR(__xludf.DUMMYFUNCTION("""COMPUTED_VALUE"""),918606989)</f>
        <v>918606989</v>
      </c>
      <c r="E21" s="35" t="str">
        <f ca="1">IFERROR(__xludf.DUMMYFUNCTION("""COMPUTED_VALUE"""),"trungdp.lan@vnpt.vn")</f>
        <v>trungdp.lan@vnpt.vn</v>
      </c>
      <c r="F21" s="540" t="str">
        <f ca="1">IFERROR(__xludf.DUMMYFUNCTION("""COMPUTED_VALUE"""),"Lần 15")</f>
        <v>Lần 15</v>
      </c>
      <c r="G21" s="278"/>
      <c r="H21" s="35"/>
      <c r="I21" s="35"/>
      <c r="J21" s="541"/>
      <c r="K21" s="541"/>
      <c r="M21" s="539">
        <f ca="1">IFERROR(__xludf.DUMMYFUNCTION("""COMPUTED_VALUE"""),0)</f>
        <v>0</v>
      </c>
      <c r="N21" s="539">
        <f ca="1">IFERROR(__xludf.DUMMYFUNCTION("""COMPUTED_VALUE"""),0)</f>
        <v>0</v>
      </c>
      <c r="O21" s="539">
        <f ca="1">IFERROR(__xludf.DUMMYFUNCTION("""COMPUTED_VALUE"""),0)</f>
        <v>0</v>
      </c>
    </row>
    <row r="22" spans="1:15" ht="12.75">
      <c r="A22" s="539">
        <f ca="1"/>
        <v>16</v>
      </c>
      <c r="B22" s="35" t="str">
        <f ca="1">IFERROR(__xludf.DUMMYFUNCTION("""COMPUTED_VALUE"""),"Tổ Hạ tầng Bến Lức")</f>
        <v>Tổ Hạ tầng Bến Lức</v>
      </c>
      <c r="C22" s="35" t="str">
        <f ca="1">IFERROR(__xludf.DUMMYFUNCTION("""COMPUTED_VALUE"""),"Đinh Phú Trung")</f>
        <v>Đinh Phú Trung</v>
      </c>
      <c r="D22" s="35">
        <f ca="1">IFERROR(__xludf.DUMMYFUNCTION("""COMPUTED_VALUE"""),918606989)</f>
        <v>918606989</v>
      </c>
      <c r="E22" s="35" t="str">
        <f ca="1">IFERROR(__xludf.DUMMYFUNCTION("""COMPUTED_VALUE"""),"trungdp.lan@vnpt.vn")</f>
        <v>trungdp.lan@vnpt.vn</v>
      </c>
      <c r="F22" s="540" t="str">
        <f ca="1">IFERROR(__xludf.DUMMYFUNCTION("""COMPUTED_VALUE"""),"Lần 16")</f>
        <v>Lần 16</v>
      </c>
      <c r="G22" s="278"/>
      <c r="H22" s="35"/>
      <c r="I22" s="35"/>
      <c r="J22" s="541"/>
      <c r="K22" s="541"/>
      <c r="M22" s="539">
        <f ca="1">IFERROR(__xludf.DUMMYFUNCTION("""COMPUTED_VALUE"""),0)</f>
        <v>0</v>
      </c>
      <c r="N22" s="539">
        <f ca="1">IFERROR(__xludf.DUMMYFUNCTION("""COMPUTED_VALUE"""),0)</f>
        <v>0</v>
      </c>
      <c r="O22" s="539">
        <f ca="1">IFERROR(__xludf.DUMMYFUNCTION("""COMPUTED_VALUE"""),0)</f>
        <v>0</v>
      </c>
    </row>
    <row r="23" spans="1:15" ht="12.75">
      <c r="A23" s="539">
        <f ca="1"/>
        <v>17</v>
      </c>
      <c r="B23" s="35" t="str">
        <f ca="1">IFERROR(__xludf.DUMMYFUNCTION("""COMPUTED_VALUE"""),"Tổ Hạ tầng Bến Lức")</f>
        <v>Tổ Hạ tầng Bến Lức</v>
      </c>
      <c r="C23" s="35" t="str">
        <f ca="1">IFERROR(__xludf.DUMMYFUNCTION("""COMPUTED_VALUE"""),"Nguyễn Phước Lộc")</f>
        <v>Nguyễn Phước Lộc</v>
      </c>
      <c r="D23" s="35">
        <f ca="1">IFERROR(__xludf.DUMMYFUNCTION("""COMPUTED_VALUE"""),813232338)</f>
        <v>813232338</v>
      </c>
      <c r="E23" s="35" t="str">
        <f ca="1">IFERROR(__xludf.DUMMYFUNCTION("""COMPUTED_VALUE"""),"locnp.lan@vnpt.vn")</f>
        <v>locnp.lan@vnpt.vn</v>
      </c>
      <c r="F23" s="540" t="str">
        <f ca="1">IFERROR(__xludf.DUMMYFUNCTION("""COMPUTED_VALUE"""),"Lần 1")</f>
        <v>Lần 1</v>
      </c>
      <c r="G23" s="278">
        <f ca="1">IFERROR(__xludf.DUMMYFUNCTION("""COMPUTED_VALUE"""),46205)</f>
        <v>46205</v>
      </c>
      <c r="H23" s="35">
        <f ca="1">IFERROR(__xludf.DUMMYFUNCTION("""COMPUTED_VALUE"""),280)</f>
        <v>280</v>
      </c>
      <c r="I23" s="35" t="str">
        <f ca="1">IFERROR(__xludf.DUMMYFUNCTION("""COMPUTED_VALUE"""),"78.9")</f>
        <v>78.9</v>
      </c>
      <c r="J23" s="541">
        <f ca="1">IFERROR(__xludf.DUMMYFUNCTION("""COMPUTED_VALUE"""),768)</f>
        <v>768</v>
      </c>
      <c r="K23" s="541" t="str">
        <f ca="1">IFERROR(__xludf.DUMMYFUNCTION("""COMPUTED_VALUE"""),"93.0")</f>
        <v>93.0</v>
      </c>
      <c r="M23" s="539">
        <f ca="1">IFERROR(__xludf.DUMMYFUNCTION("""COMPUTED_VALUE"""),1)</f>
        <v>1</v>
      </c>
      <c r="N23" s="539">
        <f ca="1">IFERROR(__xludf.DUMMYFUNCTION("""COMPUTED_VALUE"""),1)</f>
        <v>1</v>
      </c>
      <c r="O23" s="539">
        <f ca="1">IFERROR(__xludf.DUMMYFUNCTION("""COMPUTED_VALUE"""),1)</f>
        <v>1</v>
      </c>
    </row>
    <row r="24" spans="1:15" ht="12.75">
      <c r="A24" s="539">
        <f ca="1"/>
        <v>18</v>
      </c>
      <c r="B24" s="35" t="str">
        <f ca="1">IFERROR(__xludf.DUMMYFUNCTION("""COMPUTED_VALUE"""),"Tổ Hạ tầng Bến Lức")</f>
        <v>Tổ Hạ tầng Bến Lức</v>
      </c>
      <c r="C24" s="35" t="str">
        <f ca="1">IFERROR(__xludf.DUMMYFUNCTION("""COMPUTED_VALUE"""),"Nguyễn Phước Lộc")</f>
        <v>Nguyễn Phước Lộc</v>
      </c>
      <c r="D24" s="35">
        <f ca="1">IFERROR(__xludf.DUMMYFUNCTION("""COMPUTED_VALUE"""),813232338)</f>
        <v>813232338</v>
      </c>
      <c r="E24" s="35" t="str">
        <f ca="1">IFERROR(__xludf.DUMMYFUNCTION("""COMPUTED_VALUE"""),"locnp.lan@vnpt.vn")</f>
        <v>locnp.lan@vnpt.vn</v>
      </c>
      <c r="F24" s="540" t="str">
        <f ca="1">IFERROR(__xludf.DUMMYFUNCTION("""COMPUTED_VALUE"""),"Lần 2")</f>
        <v>Lần 2</v>
      </c>
      <c r="G24" s="278">
        <f ca="1">IFERROR(__xludf.DUMMYFUNCTION("""COMPUTED_VALUE"""),46206)</f>
        <v>46206</v>
      </c>
      <c r="H24" s="35">
        <f ca="1">IFERROR(__xludf.DUMMYFUNCTION("""COMPUTED_VALUE"""),332)</f>
        <v>332</v>
      </c>
      <c r="I24" s="35" t="str">
        <f ca="1">IFERROR(__xludf.DUMMYFUNCTION("""COMPUTED_VALUE"""),"47.9")</f>
        <v>47.9</v>
      </c>
      <c r="J24" s="541">
        <f ca="1">IFERROR(__xludf.DUMMYFUNCTION("""COMPUTED_VALUE"""),657)</f>
        <v>657</v>
      </c>
      <c r="K24" s="541" t="str">
        <f ca="1">IFERROR(__xludf.DUMMYFUNCTION("""COMPUTED_VALUE"""),"25.0")</f>
        <v>25.0</v>
      </c>
      <c r="M24" s="539">
        <f ca="1">IFERROR(__xludf.DUMMYFUNCTION("""COMPUTED_VALUE"""),1)</f>
        <v>1</v>
      </c>
      <c r="N24" s="539">
        <f ca="1">IFERROR(__xludf.DUMMYFUNCTION("""COMPUTED_VALUE"""),1)</f>
        <v>1</v>
      </c>
      <c r="O24" s="539">
        <f ca="1">IFERROR(__xludf.DUMMYFUNCTION("""COMPUTED_VALUE"""),1)</f>
        <v>1</v>
      </c>
    </row>
    <row r="25" spans="1:15" ht="12.75">
      <c r="A25" s="539">
        <f ca="1"/>
        <v>19</v>
      </c>
      <c r="B25" s="35" t="str">
        <f ca="1">IFERROR(__xludf.DUMMYFUNCTION("""COMPUTED_VALUE"""),"Tổ Hạ tầng Bến Lức")</f>
        <v>Tổ Hạ tầng Bến Lức</v>
      </c>
      <c r="C25" s="35" t="str">
        <f ca="1">IFERROR(__xludf.DUMMYFUNCTION("""COMPUTED_VALUE"""),"Nguyễn Phước Lộc")</f>
        <v>Nguyễn Phước Lộc</v>
      </c>
      <c r="D25" s="35">
        <f ca="1">IFERROR(__xludf.DUMMYFUNCTION("""COMPUTED_VALUE"""),813232338)</f>
        <v>813232338</v>
      </c>
      <c r="E25" s="35" t="str">
        <f ca="1">IFERROR(__xludf.DUMMYFUNCTION("""COMPUTED_VALUE"""),"locnp.lan@vnpt.vn")</f>
        <v>locnp.lan@vnpt.vn</v>
      </c>
      <c r="F25" s="540" t="str">
        <f ca="1">IFERROR(__xludf.DUMMYFUNCTION("""COMPUTED_VALUE"""),"Lần 3")</f>
        <v>Lần 3</v>
      </c>
      <c r="G25" s="278">
        <f ca="1">IFERROR(__xludf.DUMMYFUNCTION("""COMPUTED_VALUE"""),46209)</f>
        <v>46209</v>
      </c>
      <c r="H25" s="35">
        <f ca="1">IFERROR(__xludf.DUMMYFUNCTION("""COMPUTED_VALUE"""),311)</f>
        <v>311</v>
      </c>
      <c r="I25" s="35" t="str">
        <f ca="1">IFERROR(__xludf.DUMMYFUNCTION("""COMPUTED_VALUE"""),"47.6")</f>
        <v>47.6</v>
      </c>
      <c r="J25" s="541">
        <f ca="1">IFERROR(__xludf.DUMMYFUNCTION("""COMPUTED_VALUE"""),747)</f>
        <v>747</v>
      </c>
      <c r="K25" s="541" t="str">
        <f ca="1">IFERROR(__xludf.DUMMYFUNCTION("""COMPUTED_VALUE"""),"34.5")</f>
        <v>34.5</v>
      </c>
      <c r="M25" s="539">
        <f ca="1">IFERROR(__xludf.DUMMYFUNCTION("""COMPUTED_VALUE"""),1)</f>
        <v>1</v>
      </c>
      <c r="N25" s="539">
        <f ca="1">IFERROR(__xludf.DUMMYFUNCTION("""COMPUTED_VALUE"""),1)</f>
        <v>1</v>
      </c>
      <c r="O25" s="539">
        <f ca="1">IFERROR(__xludf.DUMMYFUNCTION("""COMPUTED_VALUE"""),1)</f>
        <v>1</v>
      </c>
    </row>
    <row r="26" spans="1:15" ht="12.75">
      <c r="A26" s="539">
        <f ca="1"/>
        <v>20</v>
      </c>
      <c r="B26" s="35" t="str">
        <f ca="1">IFERROR(__xludf.DUMMYFUNCTION("""COMPUTED_VALUE"""),"Tổ Hạ tầng Bến Lức")</f>
        <v>Tổ Hạ tầng Bến Lức</v>
      </c>
      <c r="C26" s="35" t="str">
        <f ca="1">IFERROR(__xludf.DUMMYFUNCTION("""COMPUTED_VALUE"""),"Nguyễn Phước Lộc")</f>
        <v>Nguyễn Phước Lộc</v>
      </c>
      <c r="D26" s="35">
        <f ca="1">IFERROR(__xludf.DUMMYFUNCTION("""COMPUTED_VALUE"""),813232338)</f>
        <v>813232338</v>
      </c>
      <c r="E26" s="35" t="str">
        <f ca="1">IFERROR(__xludf.DUMMYFUNCTION("""COMPUTED_VALUE"""),"locnp.lan@vnpt.vn")</f>
        <v>locnp.lan@vnpt.vn</v>
      </c>
      <c r="F26" s="540" t="str">
        <f ca="1">IFERROR(__xludf.DUMMYFUNCTION("""COMPUTED_VALUE"""),"Lần 4")</f>
        <v>Lần 4</v>
      </c>
      <c r="G26" s="278">
        <f ca="1">IFERROR(__xludf.DUMMYFUNCTION("""COMPUTED_VALUE"""),46209)</f>
        <v>46209</v>
      </c>
      <c r="H26" s="35">
        <f ca="1">IFERROR(__xludf.DUMMYFUNCTION("""COMPUTED_VALUE"""),322)</f>
        <v>322</v>
      </c>
      <c r="I26" s="35" t="str">
        <f ca="1">IFERROR(__xludf.DUMMYFUNCTION("""COMPUTED_VALUE"""),"93.0")</f>
        <v>93.0</v>
      </c>
      <c r="J26" s="541">
        <f ca="1">IFERROR(__xludf.DUMMYFUNCTION("""COMPUTED_VALUE"""),1100)</f>
        <v>1100</v>
      </c>
      <c r="K26" s="541">
        <f ca="1">IFERROR(__xludf.DUMMYFUNCTION("""COMPUTED_VALUE"""),121)</f>
        <v>121</v>
      </c>
      <c r="M26" s="539">
        <f ca="1">IFERROR(__xludf.DUMMYFUNCTION("""COMPUTED_VALUE"""),1)</f>
        <v>1</v>
      </c>
      <c r="N26" s="539">
        <f ca="1">IFERROR(__xludf.DUMMYFUNCTION("""COMPUTED_VALUE"""),1)</f>
        <v>1</v>
      </c>
      <c r="O26" s="539">
        <f ca="1">IFERROR(__xludf.DUMMYFUNCTION("""COMPUTED_VALUE"""),1)</f>
        <v>1</v>
      </c>
    </row>
    <row r="27" spans="1:15" ht="12.75">
      <c r="A27" s="539">
        <f ca="1"/>
        <v>21</v>
      </c>
      <c r="B27" s="35" t="str">
        <f ca="1">IFERROR(__xludf.DUMMYFUNCTION("""COMPUTED_VALUE"""),"Tổ Hạ tầng Bến Lức")</f>
        <v>Tổ Hạ tầng Bến Lức</v>
      </c>
      <c r="C27" s="35" t="str">
        <f ca="1">IFERROR(__xludf.DUMMYFUNCTION("""COMPUTED_VALUE"""),"Nguyễn Phước Lộc")</f>
        <v>Nguyễn Phước Lộc</v>
      </c>
      <c r="D27" s="35">
        <f ca="1">IFERROR(__xludf.DUMMYFUNCTION("""COMPUTED_VALUE"""),813232338)</f>
        <v>813232338</v>
      </c>
      <c r="E27" s="35" t="str">
        <f ca="1">IFERROR(__xludf.DUMMYFUNCTION("""COMPUTED_VALUE"""),"locnp.lan@vnpt.vn")</f>
        <v>locnp.lan@vnpt.vn</v>
      </c>
      <c r="F27" s="540" t="str">
        <f ca="1">IFERROR(__xludf.DUMMYFUNCTION("""COMPUTED_VALUE"""),"Lần 5")</f>
        <v>Lần 5</v>
      </c>
      <c r="G27" s="278">
        <f ca="1">IFERROR(__xludf.DUMMYFUNCTION("""COMPUTED_VALUE"""),46210)</f>
        <v>46210</v>
      </c>
      <c r="H27" s="35">
        <f ca="1">IFERROR(__xludf.DUMMYFUNCTION("""COMPUTED_VALUE"""),309)</f>
        <v>309</v>
      </c>
      <c r="I27" s="35" t="str">
        <f ca="1">IFERROR(__xludf.DUMMYFUNCTION("""COMPUTED_VALUE"""),"83.6")</f>
        <v>83.6</v>
      </c>
      <c r="J27" s="541">
        <f ca="1">IFERROR(__xludf.DUMMYFUNCTION("""COMPUTED_VALUE"""),929)</f>
        <v>929</v>
      </c>
      <c r="K27" s="541">
        <f ca="1">IFERROR(__xludf.DUMMYFUNCTION("""COMPUTED_VALUE"""),143)</f>
        <v>143</v>
      </c>
      <c r="M27" s="539">
        <f ca="1">IFERROR(__xludf.DUMMYFUNCTION("""COMPUTED_VALUE"""),1)</f>
        <v>1</v>
      </c>
      <c r="N27" s="539">
        <f ca="1">IFERROR(__xludf.DUMMYFUNCTION("""COMPUTED_VALUE"""),1)</f>
        <v>1</v>
      </c>
      <c r="O27" s="539">
        <f ca="1">IFERROR(__xludf.DUMMYFUNCTION("""COMPUTED_VALUE"""),1)</f>
        <v>1</v>
      </c>
    </row>
    <row r="28" spans="1:15" ht="12.75">
      <c r="A28" s="539">
        <f ca="1"/>
        <v>22</v>
      </c>
      <c r="B28" s="35" t="str">
        <f ca="1">IFERROR(__xludf.DUMMYFUNCTION("""COMPUTED_VALUE"""),"Tổ Hạ tầng Bến Lức")</f>
        <v>Tổ Hạ tầng Bến Lức</v>
      </c>
      <c r="C28" s="35" t="str">
        <f ca="1">IFERROR(__xludf.DUMMYFUNCTION("""COMPUTED_VALUE"""),"Nguyễn Phước Lộc")</f>
        <v>Nguyễn Phước Lộc</v>
      </c>
      <c r="D28" s="35">
        <f ca="1">IFERROR(__xludf.DUMMYFUNCTION("""COMPUTED_VALUE"""),813232338)</f>
        <v>813232338</v>
      </c>
      <c r="E28" s="35" t="str">
        <f ca="1">IFERROR(__xludf.DUMMYFUNCTION("""COMPUTED_VALUE"""),"locnp.lan@vnpt.vn")</f>
        <v>locnp.lan@vnpt.vn</v>
      </c>
      <c r="F28" s="540" t="str">
        <f ca="1">IFERROR(__xludf.DUMMYFUNCTION("""COMPUTED_VALUE"""),"Lần 6")</f>
        <v>Lần 6</v>
      </c>
      <c r="G28" s="278">
        <f ca="1">IFERROR(__xludf.DUMMYFUNCTION("""COMPUTED_VALUE"""),46210)</f>
        <v>46210</v>
      </c>
      <c r="H28" s="35">
        <f ca="1">IFERROR(__xludf.DUMMYFUNCTION("""COMPUTED_VALUE"""),293)</f>
        <v>293</v>
      </c>
      <c r="I28" s="35" t="str">
        <f ca="1">IFERROR(__xludf.DUMMYFUNCTION("""COMPUTED_VALUE"""),"42.1")</f>
        <v>42.1</v>
      </c>
      <c r="J28" s="541">
        <f ca="1">IFERROR(__xludf.DUMMYFUNCTION("""COMPUTED_VALUE"""),763)</f>
        <v>763</v>
      </c>
      <c r="K28" s="541" t="str">
        <f ca="1">IFERROR(__xludf.DUMMYFUNCTION("""COMPUTED_VALUE"""),"57.9")</f>
        <v>57.9</v>
      </c>
      <c r="M28" s="539">
        <f ca="1">IFERROR(__xludf.DUMMYFUNCTION("""COMPUTED_VALUE"""),1)</f>
        <v>1</v>
      </c>
      <c r="N28" s="539">
        <f ca="1">IFERROR(__xludf.DUMMYFUNCTION("""COMPUTED_VALUE"""),1)</f>
        <v>1</v>
      </c>
      <c r="O28" s="539">
        <f ca="1">IFERROR(__xludf.DUMMYFUNCTION("""COMPUTED_VALUE"""),1)</f>
        <v>1</v>
      </c>
    </row>
    <row r="29" spans="1:15" ht="12.75">
      <c r="A29" s="539">
        <f ca="1"/>
        <v>23</v>
      </c>
      <c r="B29" s="35" t="str">
        <f ca="1">IFERROR(__xludf.DUMMYFUNCTION("""COMPUTED_VALUE"""),"Tổ Hạ tầng Bến Lức")</f>
        <v>Tổ Hạ tầng Bến Lức</v>
      </c>
      <c r="C29" s="35" t="str">
        <f ca="1">IFERROR(__xludf.DUMMYFUNCTION("""COMPUTED_VALUE"""),"Nguyễn Phước Lộc")</f>
        <v>Nguyễn Phước Lộc</v>
      </c>
      <c r="D29" s="35">
        <f ca="1">IFERROR(__xludf.DUMMYFUNCTION("""COMPUTED_VALUE"""),813232338)</f>
        <v>813232338</v>
      </c>
      <c r="E29" s="35" t="str">
        <f ca="1">IFERROR(__xludf.DUMMYFUNCTION("""COMPUTED_VALUE"""),"locnp.lan@vnpt.vn")</f>
        <v>locnp.lan@vnpt.vn</v>
      </c>
      <c r="F29" s="540" t="str">
        <f ca="1">IFERROR(__xludf.DUMMYFUNCTION("""COMPUTED_VALUE"""),"Lần 7")</f>
        <v>Lần 7</v>
      </c>
      <c r="G29" s="278">
        <f ca="1">IFERROR(__xludf.DUMMYFUNCTION("""COMPUTED_VALUE"""),46210)</f>
        <v>46210</v>
      </c>
      <c r="H29" s="35">
        <f ca="1">IFERROR(__xludf.DUMMYFUNCTION("""COMPUTED_VALUE"""),283)</f>
        <v>283</v>
      </c>
      <c r="I29" s="35" t="str">
        <f ca="1">IFERROR(__xludf.DUMMYFUNCTION("""COMPUTED_VALUE"""),"54.4")</f>
        <v>54.4</v>
      </c>
      <c r="J29" s="541">
        <f ca="1">IFERROR(__xludf.DUMMYFUNCTION("""COMPUTED_VALUE"""),799)</f>
        <v>799</v>
      </c>
      <c r="K29" s="541" t="str">
        <f ca="1">IFERROR(__xludf.DUMMYFUNCTION("""COMPUTED_VALUE"""),"52.3")</f>
        <v>52.3</v>
      </c>
      <c r="M29" s="539">
        <f ca="1">IFERROR(__xludf.DUMMYFUNCTION("""COMPUTED_VALUE"""),1)</f>
        <v>1</v>
      </c>
      <c r="N29" s="539">
        <f ca="1">IFERROR(__xludf.DUMMYFUNCTION("""COMPUTED_VALUE"""),1)</f>
        <v>1</v>
      </c>
      <c r="O29" s="539">
        <f ca="1">IFERROR(__xludf.DUMMYFUNCTION("""COMPUTED_VALUE"""),1)</f>
        <v>1</v>
      </c>
    </row>
    <row r="30" spans="1:15" ht="12.75">
      <c r="A30" s="539">
        <f ca="1"/>
        <v>24</v>
      </c>
      <c r="B30" s="35" t="str">
        <f ca="1">IFERROR(__xludf.DUMMYFUNCTION("""COMPUTED_VALUE"""),"Tổ Hạ tầng Bến Lức")</f>
        <v>Tổ Hạ tầng Bến Lức</v>
      </c>
      <c r="C30" s="35" t="str">
        <f ca="1">IFERROR(__xludf.DUMMYFUNCTION("""COMPUTED_VALUE"""),"Nguyễn Phước Lộc")</f>
        <v>Nguyễn Phước Lộc</v>
      </c>
      <c r="D30" s="35">
        <f ca="1">IFERROR(__xludf.DUMMYFUNCTION("""COMPUTED_VALUE"""),813232338)</f>
        <v>813232338</v>
      </c>
      <c r="E30" s="35" t="str">
        <f ca="1">IFERROR(__xludf.DUMMYFUNCTION("""COMPUTED_VALUE"""),"locnp.lan@vnpt.vn")</f>
        <v>locnp.lan@vnpt.vn</v>
      </c>
      <c r="F30" s="540" t="str">
        <f ca="1">IFERROR(__xludf.DUMMYFUNCTION("""COMPUTED_VALUE"""),"Lần 8")</f>
        <v>Lần 8</v>
      </c>
      <c r="G30" s="278">
        <f ca="1">IFERROR(__xludf.DUMMYFUNCTION("""COMPUTED_VALUE"""),46211)</f>
        <v>46211</v>
      </c>
      <c r="H30" s="35">
        <f ca="1">IFERROR(__xludf.DUMMYFUNCTION("""COMPUTED_VALUE"""),281)</f>
        <v>281</v>
      </c>
      <c r="I30" s="542">
        <f ca="1">IFERROR(__xludf.DUMMYFUNCTION("""COMPUTED_VALUE"""),46081)</f>
        <v>46081</v>
      </c>
      <c r="J30" s="541">
        <f ca="1">IFERROR(__xludf.DUMMYFUNCTION("""COMPUTED_VALUE"""),740)</f>
        <v>740</v>
      </c>
      <c r="K30" s="541" t="str">
        <f ca="1">IFERROR(__xludf.DUMMYFUNCTION("""COMPUTED_VALUE"""),"29.0")</f>
        <v>29.0</v>
      </c>
      <c r="M30" s="539">
        <f ca="1">IFERROR(__xludf.DUMMYFUNCTION("""COMPUTED_VALUE"""),1)</f>
        <v>1</v>
      </c>
      <c r="N30" s="539">
        <f ca="1">IFERROR(__xludf.DUMMYFUNCTION("""COMPUTED_VALUE"""),1)</f>
        <v>1</v>
      </c>
      <c r="O30" s="539">
        <f ca="1">IFERROR(__xludf.DUMMYFUNCTION("""COMPUTED_VALUE"""),1)</f>
        <v>1</v>
      </c>
    </row>
    <row r="31" spans="1:15" ht="12.75">
      <c r="A31" s="539">
        <f ca="1"/>
        <v>25</v>
      </c>
      <c r="B31" s="35" t="str">
        <f ca="1">IFERROR(__xludf.DUMMYFUNCTION("""COMPUTED_VALUE"""),"Tổ Hạ tầng Bến Lức")</f>
        <v>Tổ Hạ tầng Bến Lức</v>
      </c>
      <c r="C31" s="35" t="str">
        <f ca="1">IFERROR(__xludf.DUMMYFUNCTION("""COMPUTED_VALUE"""),"Nguyễn Phước Lộc")</f>
        <v>Nguyễn Phước Lộc</v>
      </c>
      <c r="D31" s="35">
        <f ca="1">IFERROR(__xludf.DUMMYFUNCTION("""COMPUTED_VALUE"""),813232338)</f>
        <v>813232338</v>
      </c>
      <c r="E31" s="35" t="str">
        <f ca="1">IFERROR(__xludf.DUMMYFUNCTION("""COMPUTED_VALUE"""),"locnp.lan@vnpt.vn")</f>
        <v>locnp.lan@vnpt.vn</v>
      </c>
      <c r="F31" s="540" t="str">
        <f ca="1">IFERROR(__xludf.DUMMYFUNCTION("""COMPUTED_VALUE"""),"Lần 9")</f>
        <v>Lần 9</v>
      </c>
      <c r="G31" s="278">
        <f ca="1">IFERROR(__xludf.DUMMYFUNCTION("""COMPUTED_VALUE"""),46213)</f>
        <v>46213</v>
      </c>
      <c r="H31" s="35">
        <f ca="1">IFERROR(__xludf.DUMMYFUNCTION("""COMPUTED_VALUE"""),351)</f>
        <v>351</v>
      </c>
      <c r="I31" s="35">
        <f ca="1">IFERROR(__xludf.DUMMYFUNCTION("""COMPUTED_VALUE"""),72.9)</f>
        <v>72.900000000000006</v>
      </c>
      <c r="J31" s="541">
        <f ca="1">IFERROR(__xludf.DUMMYFUNCTION("""COMPUTED_VALUE"""),659)</f>
        <v>659</v>
      </c>
      <c r="K31" s="541">
        <f ca="1">IFERROR(__xludf.DUMMYFUNCTION("""COMPUTED_VALUE"""),64.8)</f>
        <v>64.8</v>
      </c>
      <c r="M31" s="539">
        <f ca="1">IFERROR(__xludf.DUMMYFUNCTION("""COMPUTED_VALUE"""),1)</f>
        <v>1</v>
      </c>
      <c r="N31" s="539">
        <f ca="1">IFERROR(__xludf.DUMMYFUNCTION("""COMPUTED_VALUE"""),1)</f>
        <v>1</v>
      </c>
      <c r="O31" s="539">
        <f ca="1">IFERROR(__xludf.DUMMYFUNCTION("""COMPUTED_VALUE"""),1)</f>
        <v>1</v>
      </c>
    </row>
    <row r="32" spans="1:15" ht="12.75">
      <c r="A32" s="539">
        <f ca="1"/>
        <v>26</v>
      </c>
      <c r="B32" s="35" t="str">
        <f ca="1">IFERROR(__xludf.DUMMYFUNCTION("""COMPUTED_VALUE"""),"Tổ Hạ tầng Bến Lức")</f>
        <v>Tổ Hạ tầng Bến Lức</v>
      </c>
      <c r="C32" s="35" t="str">
        <f ca="1">IFERROR(__xludf.DUMMYFUNCTION("""COMPUTED_VALUE"""),"Nguyễn Phước Lộc")</f>
        <v>Nguyễn Phước Lộc</v>
      </c>
      <c r="D32" s="35">
        <f ca="1">IFERROR(__xludf.DUMMYFUNCTION("""COMPUTED_VALUE"""),813232338)</f>
        <v>813232338</v>
      </c>
      <c r="E32" s="35" t="str">
        <f ca="1">IFERROR(__xludf.DUMMYFUNCTION("""COMPUTED_VALUE"""),"locnp.lan@vnpt.vn")</f>
        <v>locnp.lan@vnpt.vn</v>
      </c>
      <c r="F32" s="540" t="str">
        <f ca="1">IFERROR(__xludf.DUMMYFUNCTION("""COMPUTED_VALUE"""),"Lần 10")</f>
        <v>Lần 10</v>
      </c>
      <c r="G32" s="278">
        <f ca="1">IFERROR(__xludf.DUMMYFUNCTION("""COMPUTED_VALUE"""),46213)</f>
        <v>46213</v>
      </c>
      <c r="H32" s="35">
        <f ca="1">IFERROR(__xludf.DUMMYFUNCTION("""COMPUTED_VALUE"""),260)</f>
        <v>260</v>
      </c>
      <c r="I32" s="35">
        <f ca="1">IFERROR(__xludf.DUMMYFUNCTION("""COMPUTED_VALUE"""),67.9)</f>
        <v>67.900000000000006</v>
      </c>
      <c r="J32" s="541">
        <f ca="1">IFERROR(__xludf.DUMMYFUNCTION("""COMPUTED_VALUE"""),669)</f>
        <v>669</v>
      </c>
      <c r="K32" s="541">
        <f ca="1">IFERROR(__xludf.DUMMYFUNCTION("""COMPUTED_VALUE"""),67.3)</f>
        <v>67.3</v>
      </c>
      <c r="M32" s="539">
        <f ca="1">IFERROR(__xludf.DUMMYFUNCTION("""COMPUTED_VALUE"""),1)</f>
        <v>1</v>
      </c>
      <c r="N32" s="539">
        <f ca="1">IFERROR(__xludf.DUMMYFUNCTION("""COMPUTED_VALUE"""),1)</f>
        <v>1</v>
      </c>
      <c r="O32" s="539">
        <f ca="1">IFERROR(__xludf.DUMMYFUNCTION("""COMPUTED_VALUE"""),1)</f>
        <v>1</v>
      </c>
    </row>
    <row r="33" spans="1:15" ht="12.75">
      <c r="A33" s="539">
        <f ca="1"/>
        <v>27</v>
      </c>
      <c r="B33" s="35" t="str">
        <f ca="1">IFERROR(__xludf.DUMMYFUNCTION("""COMPUTED_VALUE"""),"Tổ Hạ tầng Bến Lức")</f>
        <v>Tổ Hạ tầng Bến Lức</v>
      </c>
      <c r="C33" s="35" t="str">
        <f ca="1">IFERROR(__xludf.DUMMYFUNCTION("""COMPUTED_VALUE"""),"Nguyễn Phước Lộc")</f>
        <v>Nguyễn Phước Lộc</v>
      </c>
      <c r="D33" s="35">
        <f ca="1">IFERROR(__xludf.DUMMYFUNCTION("""COMPUTED_VALUE"""),813232338)</f>
        <v>813232338</v>
      </c>
      <c r="E33" s="35" t="str">
        <f ca="1">IFERROR(__xludf.DUMMYFUNCTION("""COMPUTED_VALUE"""),"locnp.lan@vnpt.vn")</f>
        <v>locnp.lan@vnpt.vn</v>
      </c>
      <c r="F33" s="540" t="str">
        <f ca="1">IFERROR(__xludf.DUMMYFUNCTION("""COMPUTED_VALUE"""),"Lần 11")</f>
        <v>Lần 11</v>
      </c>
      <c r="G33" s="278">
        <f ca="1">IFERROR(__xludf.DUMMYFUNCTION("""COMPUTED_VALUE"""),46213)</f>
        <v>46213</v>
      </c>
      <c r="H33" s="35">
        <f ca="1">IFERROR(__xludf.DUMMYFUNCTION("""COMPUTED_VALUE"""),268)</f>
        <v>268</v>
      </c>
      <c r="I33" s="35">
        <f ca="1">IFERROR(__xludf.DUMMYFUNCTION("""COMPUTED_VALUE"""),64.8)</f>
        <v>64.8</v>
      </c>
      <c r="J33" s="541">
        <f ca="1">IFERROR(__xludf.DUMMYFUNCTION("""COMPUTED_VALUE"""),623)</f>
        <v>623</v>
      </c>
      <c r="K33" s="541">
        <f ca="1">IFERROR(__xludf.DUMMYFUNCTION("""COMPUTED_VALUE"""),64.7)</f>
        <v>64.7</v>
      </c>
      <c r="M33" s="539">
        <f ca="1">IFERROR(__xludf.DUMMYFUNCTION("""COMPUTED_VALUE"""),1)</f>
        <v>1</v>
      </c>
      <c r="N33" s="539">
        <f ca="1">IFERROR(__xludf.DUMMYFUNCTION("""COMPUTED_VALUE"""),1)</f>
        <v>1</v>
      </c>
      <c r="O33" s="539">
        <f ca="1">IFERROR(__xludf.DUMMYFUNCTION("""COMPUTED_VALUE"""),1)</f>
        <v>1</v>
      </c>
    </row>
    <row r="34" spans="1:15" ht="12.75">
      <c r="A34" s="539">
        <f ca="1"/>
        <v>28</v>
      </c>
      <c r="B34" s="35" t="str">
        <f ca="1">IFERROR(__xludf.DUMMYFUNCTION("""COMPUTED_VALUE"""),"Tổ Hạ tầng Bến Lức")</f>
        <v>Tổ Hạ tầng Bến Lức</v>
      </c>
      <c r="C34" s="35" t="str">
        <f ca="1">IFERROR(__xludf.DUMMYFUNCTION("""COMPUTED_VALUE"""),"Nguyễn Phước Lộc")</f>
        <v>Nguyễn Phước Lộc</v>
      </c>
      <c r="D34" s="35">
        <f ca="1">IFERROR(__xludf.DUMMYFUNCTION("""COMPUTED_VALUE"""),813232338)</f>
        <v>813232338</v>
      </c>
      <c r="E34" s="35" t="str">
        <f ca="1">IFERROR(__xludf.DUMMYFUNCTION("""COMPUTED_VALUE"""),"locnp.lan@vnpt.vn")</f>
        <v>locnp.lan@vnpt.vn</v>
      </c>
      <c r="F34" s="540" t="str">
        <f ca="1">IFERROR(__xludf.DUMMYFUNCTION("""COMPUTED_VALUE"""),"Lần 12")</f>
        <v>Lần 12</v>
      </c>
      <c r="G34" s="278">
        <f ca="1">IFERROR(__xludf.DUMMYFUNCTION("""COMPUTED_VALUE"""),46213)</f>
        <v>46213</v>
      </c>
      <c r="H34" s="35">
        <f ca="1">IFERROR(__xludf.DUMMYFUNCTION("""COMPUTED_VALUE"""),329)</f>
        <v>329</v>
      </c>
      <c r="I34" s="35">
        <f ca="1">IFERROR(__xludf.DUMMYFUNCTION("""COMPUTED_VALUE"""),73)</f>
        <v>73</v>
      </c>
      <c r="J34" s="541">
        <f ca="1">IFERROR(__xludf.DUMMYFUNCTION("""COMPUTED_VALUE"""),594)</f>
        <v>594</v>
      </c>
      <c r="K34" s="541">
        <f ca="1">IFERROR(__xludf.DUMMYFUNCTION("""COMPUTED_VALUE"""),64.6)</f>
        <v>64.599999999999994</v>
      </c>
      <c r="M34" s="539">
        <f ca="1">IFERROR(__xludf.DUMMYFUNCTION("""COMPUTED_VALUE"""),1)</f>
        <v>1</v>
      </c>
      <c r="N34" s="539">
        <f ca="1">IFERROR(__xludf.DUMMYFUNCTION("""COMPUTED_VALUE"""),1)</f>
        <v>1</v>
      </c>
      <c r="O34" s="539">
        <f ca="1">IFERROR(__xludf.DUMMYFUNCTION("""COMPUTED_VALUE"""),1)</f>
        <v>1</v>
      </c>
    </row>
    <row r="35" spans="1:15" ht="12.75">
      <c r="A35" s="539">
        <f ca="1"/>
        <v>29</v>
      </c>
      <c r="B35" s="35" t="str">
        <f ca="1">IFERROR(__xludf.DUMMYFUNCTION("""COMPUTED_VALUE"""),"Tổ Hạ tầng Bến Lức")</f>
        <v>Tổ Hạ tầng Bến Lức</v>
      </c>
      <c r="C35" s="35" t="str">
        <f ca="1">IFERROR(__xludf.DUMMYFUNCTION("""COMPUTED_VALUE"""),"Nguyễn Phước Lộc")</f>
        <v>Nguyễn Phước Lộc</v>
      </c>
      <c r="D35" s="35">
        <f ca="1">IFERROR(__xludf.DUMMYFUNCTION("""COMPUTED_VALUE"""),813232338)</f>
        <v>813232338</v>
      </c>
      <c r="E35" s="35" t="str">
        <f ca="1">IFERROR(__xludf.DUMMYFUNCTION("""COMPUTED_VALUE"""),"locnp.lan@vnpt.vn")</f>
        <v>locnp.lan@vnpt.vn</v>
      </c>
      <c r="F35" s="540" t="str">
        <f ca="1">IFERROR(__xludf.DUMMYFUNCTION("""COMPUTED_VALUE"""),"Lần 13")</f>
        <v>Lần 13</v>
      </c>
      <c r="G35" s="278"/>
      <c r="H35" s="35"/>
      <c r="I35" s="35"/>
      <c r="J35" s="541"/>
      <c r="K35" s="541"/>
      <c r="M35" s="539">
        <f ca="1">IFERROR(__xludf.DUMMYFUNCTION("""COMPUTED_VALUE"""),0)</f>
        <v>0</v>
      </c>
      <c r="N35" s="539">
        <f ca="1">IFERROR(__xludf.DUMMYFUNCTION("""COMPUTED_VALUE"""),0)</f>
        <v>0</v>
      </c>
      <c r="O35" s="539">
        <f ca="1">IFERROR(__xludf.DUMMYFUNCTION("""COMPUTED_VALUE"""),0)</f>
        <v>0</v>
      </c>
    </row>
    <row r="36" spans="1:15" ht="12.75">
      <c r="A36" s="539">
        <f ca="1"/>
        <v>30</v>
      </c>
      <c r="B36" s="35" t="str">
        <f ca="1">IFERROR(__xludf.DUMMYFUNCTION("""COMPUTED_VALUE"""),"Tổ Hạ tầng Bến Lức")</f>
        <v>Tổ Hạ tầng Bến Lức</v>
      </c>
      <c r="C36" s="35" t="str">
        <f ca="1">IFERROR(__xludf.DUMMYFUNCTION("""COMPUTED_VALUE"""),"Nguyễn Phước Lộc")</f>
        <v>Nguyễn Phước Lộc</v>
      </c>
      <c r="D36" s="35">
        <f ca="1">IFERROR(__xludf.DUMMYFUNCTION("""COMPUTED_VALUE"""),813232338)</f>
        <v>813232338</v>
      </c>
      <c r="E36" s="35" t="str">
        <f ca="1">IFERROR(__xludf.DUMMYFUNCTION("""COMPUTED_VALUE"""),"locnp.lan@vnpt.vn")</f>
        <v>locnp.lan@vnpt.vn</v>
      </c>
      <c r="F36" s="540" t="str">
        <f ca="1">IFERROR(__xludf.DUMMYFUNCTION("""COMPUTED_VALUE"""),"Lần 14")</f>
        <v>Lần 14</v>
      </c>
      <c r="G36" s="278"/>
      <c r="H36" s="35"/>
      <c r="I36" s="35"/>
      <c r="J36" s="541"/>
      <c r="K36" s="541"/>
      <c r="M36" s="539">
        <f ca="1">IFERROR(__xludf.DUMMYFUNCTION("""COMPUTED_VALUE"""),0)</f>
        <v>0</v>
      </c>
      <c r="N36" s="539">
        <f ca="1">IFERROR(__xludf.DUMMYFUNCTION("""COMPUTED_VALUE"""),0)</f>
        <v>0</v>
      </c>
      <c r="O36" s="539">
        <f ca="1">IFERROR(__xludf.DUMMYFUNCTION("""COMPUTED_VALUE"""),0)</f>
        <v>0</v>
      </c>
    </row>
    <row r="37" spans="1:15" ht="12.75">
      <c r="A37" s="539">
        <f ca="1"/>
        <v>31</v>
      </c>
      <c r="B37" s="35" t="str">
        <f ca="1">IFERROR(__xludf.DUMMYFUNCTION("""COMPUTED_VALUE"""),"Tổ Hạ tầng Bến Lức")</f>
        <v>Tổ Hạ tầng Bến Lức</v>
      </c>
      <c r="C37" s="35" t="str">
        <f ca="1">IFERROR(__xludf.DUMMYFUNCTION("""COMPUTED_VALUE"""),"Nguyễn Phước Lộc")</f>
        <v>Nguyễn Phước Lộc</v>
      </c>
      <c r="D37" s="35">
        <f ca="1">IFERROR(__xludf.DUMMYFUNCTION("""COMPUTED_VALUE"""),813232338)</f>
        <v>813232338</v>
      </c>
      <c r="E37" s="35" t="str">
        <f ca="1">IFERROR(__xludf.DUMMYFUNCTION("""COMPUTED_VALUE"""),"locnp.lan@vnpt.vn")</f>
        <v>locnp.lan@vnpt.vn</v>
      </c>
      <c r="F37" s="540" t="str">
        <f ca="1">IFERROR(__xludf.DUMMYFUNCTION("""COMPUTED_VALUE"""),"Lần 15")</f>
        <v>Lần 15</v>
      </c>
      <c r="G37" s="278"/>
      <c r="H37" s="541"/>
      <c r="I37" s="541"/>
      <c r="J37" s="541"/>
      <c r="K37" s="541"/>
      <c r="M37" s="539">
        <f ca="1">IFERROR(__xludf.DUMMYFUNCTION("""COMPUTED_VALUE"""),0)</f>
        <v>0</v>
      </c>
      <c r="N37" s="539">
        <f ca="1">IFERROR(__xludf.DUMMYFUNCTION("""COMPUTED_VALUE"""),0)</f>
        <v>0</v>
      </c>
      <c r="O37" s="539">
        <f ca="1">IFERROR(__xludf.DUMMYFUNCTION("""COMPUTED_VALUE"""),0)</f>
        <v>0</v>
      </c>
    </row>
    <row r="38" spans="1:15" ht="12.75">
      <c r="A38" s="539">
        <f ca="1"/>
        <v>32</v>
      </c>
      <c r="B38" s="35" t="str">
        <f ca="1">IFERROR(__xludf.DUMMYFUNCTION("""COMPUTED_VALUE"""),"Tổ Hạ tầng Bến Lức")</f>
        <v>Tổ Hạ tầng Bến Lức</v>
      </c>
      <c r="C38" s="35" t="str">
        <f ca="1">IFERROR(__xludf.DUMMYFUNCTION("""COMPUTED_VALUE"""),"Nguyễn Phước Lộc")</f>
        <v>Nguyễn Phước Lộc</v>
      </c>
      <c r="D38" s="35">
        <f ca="1">IFERROR(__xludf.DUMMYFUNCTION("""COMPUTED_VALUE"""),813232338)</f>
        <v>813232338</v>
      </c>
      <c r="E38" s="35" t="str">
        <f ca="1">IFERROR(__xludf.DUMMYFUNCTION("""COMPUTED_VALUE"""),"locnp.lan@vnpt.vn")</f>
        <v>locnp.lan@vnpt.vn</v>
      </c>
      <c r="F38" s="540" t="str">
        <f ca="1">IFERROR(__xludf.DUMMYFUNCTION("""COMPUTED_VALUE"""),"Lần 16")</f>
        <v>Lần 16</v>
      </c>
      <c r="G38" s="278"/>
      <c r="H38" s="541"/>
      <c r="I38" s="541"/>
      <c r="J38" s="541"/>
      <c r="K38" s="541"/>
      <c r="M38" s="539">
        <f ca="1">IFERROR(__xludf.DUMMYFUNCTION("""COMPUTED_VALUE"""),0)</f>
        <v>0</v>
      </c>
      <c r="N38" s="539">
        <f ca="1">IFERROR(__xludf.DUMMYFUNCTION("""COMPUTED_VALUE"""),0)</f>
        <v>0</v>
      </c>
      <c r="O38" s="539">
        <f ca="1">IFERROR(__xludf.DUMMYFUNCTION("""COMPUTED_VALUE"""),0)</f>
        <v>0</v>
      </c>
    </row>
    <row r="39" spans="1:15" ht="12.75">
      <c r="A39" s="539">
        <f ca="1"/>
        <v>33</v>
      </c>
      <c r="B39" s="35" t="str">
        <f ca="1">IFERROR(__xludf.DUMMYFUNCTION("""COMPUTED_VALUE"""),"Tổ Hạ tầng Bến Lức")</f>
        <v>Tổ Hạ tầng Bến Lức</v>
      </c>
      <c r="C39" s="35" t="str">
        <f ca="1">IFERROR(__xludf.DUMMYFUNCTION("""COMPUTED_VALUE"""),"Nguyễn Khương Minh")</f>
        <v>Nguyễn Khương Minh</v>
      </c>
      <c r="D39" s="35">
        <f ca="1">IFERROR(__xludf.DUMMYFUNCTION("""COMPUTED_VALUE"""),913443091)</f>
        <v>913443091</v>
      </c>
      <c r="E39" s="35" t="str">
        <f ca="1">IFERROR(__xludf.DUMMYFUNCTION("""COMPUTED_VALUE"""),"minhnk.lan@vnpt.vn")</f>
        <v>minhnk.lan@vnpt.vn</v>
      </c>
      <c r="F39" s="540" t="str">
        <f ca="1">IFERROR(__xludf.DUMMYFUNCTION("""COMPUTED_VALUE"""),"Lần 1")</f>
        <v>Lần 1</v>
      </c>
      <c r="G39" s="278">
        <f ca="1">IFERROR(__xludf.DUMMYFUNCTION("""COMPUTED_VALUE"""),46204)</f>
        <v>46204</v>
      </c>
      <c r="H39" s="543" t="str">
        <f ca="1">IFERROR(__xludf.DUMMYFUNCTION("""COMPUTED_VALUE"""),"275")</f>
        <v>275</v>
      </c>
      <c r="I39" s="543" t="str">
        <f ca="1">IFERROR(__xludf.DUMMYFUNCTION("""COMPUTED_VALUE"""),"102")</f>
        <v>102</v>
      </c>
      <c r="J39" s="543" t="str">
        <f ca="1">IFERROR(__xludf.DUMMYFUNCTION("""COMPUTED_VALUE"""),"480")</f>
        <v>480</v>
      </c>
      <c r="K39" s="543" t="str">
        <f ca="1">IFERROR(__xludf.DUMMYFUNCTION("""COMPUTED_VALUE"""),"135")</f>
        <v>135</v>
      </c>
      <c r="M39" s="539">
        <f ca="1">IFERROR(__xludf.DUMMYFUNCTION("""COMPUTED_VALUE"""),1)</f>
        <v>1</v>
      </c>
      <c r="N39" s="539">
        <f ca="1">IFERROR(__xludf.DUMMYFUNCTION("""COMPUTED_VALUE"""),1)</f>
        <v>1</v>
      </c>
      <c r="O39" s="539">
        <f ca="1">IFERROR(__xludf.DUMMYFUNCTION("""COMPUTED_VALUE"""),1)</f>
        <v>1</v>
      </c>
    </row>
    <row r="40" spans="1:15" ht="12.75">
      <c r="A40" s="539">
        <f ca="1"/>
        <v>34</v>
      </c>
      <c r="B40" s="35" t="str">
        <f ca="1">IFERROR(__xludf.DUMMYFUNCTION("""COMPUTED_VALUE"""),"Tổ Hạ tầng Bến Lức")</f>
        <v>Tổ Hạ tầng Bến Lức</v>
      </c>
      <c r="C40" s="35" t="str">
        <f ca="1">IFERROR(__xludf.DUMMYFUNCTION("""COMPUTED_VALUE"""),"Nguyễn Khương Minh")</f>
        <v>Nguyễn Khương Minh</v>
      </c>
      <c r="D40" s="35">
        <f ca="1">IFERROR(__xludf.DUMMYFUNCTION("""COMPUTED_VALUE"""),913443091)</f>
        <v>913443091</v>
      </c>
      <c r="E40" s="35" t="str">
        <f ca="1">IFERROR(__xludf.DUMMYFUNCTION("""COMPUTED_VALUE"""),"minhnk.lan@vnpt.vn")</f>
        <v>minhnk.lan@vnpt.vn</v>
      </c>
      <c r="F40" s="540" t="str">
        <f ca="1">IFERROR(__xludf.DUMMYFUNCTION("""COMPUTED_VALUE"""),"Lần 2")</f>
        <v>Lần 2</v>
      </c>
      <c r="G40" s="278">
        <f ca="1">IFERROR(__xludf.DUMMYFUNCTION("""COMPUTED_VALUE"""),46204)</f>
        <v>46204</v>
      </c>
      <c r="H40" s="543" t="str">
        <f ca="1">IFERROR(__xludf.DUMMYFUNCTION("""COMPUTED_VALUE"""),"225")</f>
        <v>225</v>
      </c>
      <c r="I40" s="543" t="str">
        <f ca="1">IFERROR(__xludf.DUMMYFUNCTION("""COMPUTED_VALUE"""),"101")</f>
        <v>101</v>
      </c>
      <c r="J40" s="543" t="str">
        <f ca="1">IFERROR(__xludf.DUMMYFUNCTION("""COMPUTED_VALUE"""),"444")</f>
        <v>444</v>
      </c>
      <c r="K40" s="543" t="str">
        <f ca="1">IFERROR(__xludf.DUMMYFUNCTION("""COMPUTED_VALUE"""),"80")</f>
        <v>80</v>
      </c>
      <c r="M40" s="539">
        <f ca="1">IFERROR(__xludf.DUMMYFUNCTION("""COMPUTED_VALUE"""),1)</f>
        <v>1</v>
      </c>
      <c r="N40" s="539">
        <f ca="1">IFERROR(__xludf.DUMMYFUNCTION("""COMPUTED_VALUE"""),1)</f>
        <v>1</v>
      </c>
      <c r="O40" s="539">
        <f ca="1">IFERROR(__xludf.DUMMYFUNCTION("""COMPUTED_VALUE"""),1)</f>
        <v>1</v>
      </c>
    </row>
    <row r="41" spans="1:15" ht="12.75">
      <c r="A41" s="539">
        <f ca="1"/>
        <v>35</v>
      </c>
      <c r="B41" s="35" t="str">
        <f ca="1">IFERROR(__xludf.DUMMYFUNCTION("""COMPUTED_VALUE"""),"Tổ Hạ tầng Bến Lức")</f>
        <v>Tổ Hạ tầng Bến Lức</v>
      </c>
      <c r="C41" s="35" t="str">
        <f ca="1">IFERROR(__xludf.DUMMYFUNCTION("""COMPUTED_VALUE"""),"Nguyễn Khương Minh")</f>
        <v>Nguyễn Khương Minh</v>
      </c>
      <c r="D41" s="35">
        <f ca="1">IFERROR(__xludf.DUMMYFUNCTION("""COMPUTED_VALUE"""),913443091)</f>
        <v>913443091</v>
      </c>
      <c r="E41" s="35" t="str">
        <f ca="1">IFERROR(__xludf.DUMMYFUNCTION("""COMPUTED_VALUE"""),"minhnk.lan@vnpt.vn")</f>
        <v>minhnk.lan@vnpt.vn</v>
      </c>
      <c r="F41" s="540" t="str">
        <f ca="1">IFERROR(__xludf.DUMMYFUNCTION("""COMPUTED_VALUE"""),"Lần 3")</f>
        <v>Lần 3</v>
      </c>
      <c r="G41" s="278">
        <f ca="1">IFERROR(__xludf.DUMMYFUNCTION("""COMPUTED_VALUE"""),46205)</f>
        <v>46205</v>
      </c>
      <c r="H41" s="543" t="str">
        <f ca="1">IFERROR(__xludf.DUMMYFUNCTION("""COMPUTED_VALUE"""),"231")</f>
        <v>231</v>
      </c>
      <c r="I41" s="543" t="str">
        <f ca="1">IFERROR(__xludf.DUMMYFUNCTION("""COMPUTED_VALUE"""),"49")</f>
        <v>49</v>
      </c>
      <c r="J41" s="543" t="str">
        <f ca="1">IFERROR(__xludf.DUMMYFUNCTION("""COMPUTED_VALUE"""),"495")</f>
        <v>495</v>
      </c>
      <c r="K41" s="543" t="str">
        <f ca="1">IFERROR(__xludf.DUMMYFUNCTION("""COMPUTED_VALUE"""),"50")</f>
        <v>50</v>
      </c>
      <c r="M41" s="539">
        <f ca="1">IFERROR(__xludf.DUMMYFUNCTION("""COMPUTED_VALUE"""),1)</f>
        <v>1</v>
      </c>
      <c r="N41" s="539">
        <f ca="1">IFERROR(__xludf.DUMMYFUNCTION("""COMPUTED_VALUE"""),1)</f>
        <v>1</v>
      </c>
      <c r="O41" s="539">
        <f ca="1">IFERROR(__xludf.DUMMYFUNCTION("""COMPUTED_VALUE"""),1)</f>
        <v>1</v>
      </c>
    </row>
    <row r="42" spans="1:15" ht="12.75">
      <c r="A42" s="539">
        <f ca="1"/>
        <v>36</v>
      </c>
      <c r="B42" s="35" t="str">
        <f ca="1">IFERROR(__xludf.DUMMYFUNCTION("""COMPUTED_VALUE"""),"Tổ Hạ tầng Bến Lức")</f>
        <v>Tổ Hạ tầng Bến Lức</v>
      </c>
      <c r="C42" s="35" t="str">
        <f ca="1">IFERROR(__xludf.DUMMYFUNCTION("""COMPUTED_VALUE"""),"Nguyễn Khương Minh")</f>
        <v>Nguyễn Khương Minh</v>
      </c>
      <c r="D42" s="35">
        <f ca="1">IFERROR(__xludf.DUMMYFUNCTION("""COMPUTED_VALUE"""),913443091)</f>
        <v>913443091</v>
      </c>
      <c r="E42" s="35" t="str">
        <f ca="1">IFERROR(__xludf.DUMMYFUNCTION("""COMPUTED_VALUE"""),"minhnk.lan@vnpt.vn")</f>
        <v>minhnk.lan@vnpt.vn</v>
      </c>
      <c r="F42" s="540" t="str">
        <f ca="1">IFERROR(__xludf.DUMMYFUNCTION("""COMPUTED_VALUE"""),"Lần 4")</f>
        <v>Lần 4</v>
      </c>
      <c r="G42" s="278">
        <f ca="1">IFERROR(__xludf.DUMMYFUNCTION("""COMPUTED_VALUE"""),46205)</f>
        <v>46205</v>
      </c>
      <c r="H42" s="543" t="str">
        <f ca="1">IFERROR(__xludf.DUMMYFUNCTION("""COMPUTED_VALUE"""),"235")</f>
        <v>235</v>
      </c>
      <c r="I42" s="543" t="str">
        <f ca="1">IFERROR(__xludf.DUMMYFUNCTION("""COMPUTED_VALUE"""),"66")</f>
        <v>66</v>
      </c>
      <c r="J42" s="543" t="str">
        <f ca="1">IFERROR(__xludf.DUMMYFUNCTION("""COMPUTED_VALUE"""),"460")</f>
        <v>460</v>
      </c>
      <c r="K42" s="543" t="str">
        <f ca="1">IFERROR(__xludf.DUMMYFUNCTION("""COMPUTED_VALUE"""),"42")</f>
        <v>42</v>
      </c>
      <c r="M42" s="539">
        <f ca="1">IFERROR(__xludf.DUMMYFUNCTION("""COMPUTED_VALUE"""),1)</f>
        <v>1</v>
      </c>
      <c r="N42" s="539">
        <f ca="1">IFERROR(__xludf.DUMMYFUNCTION("""COMPUTED_VALUE"""),1)</f>
        <v>1</v>
      </c>
      <c r="O42" s="539">
        <f ca="1">IFERROR(__xludf.DUMMYFUNCTION("""COMPUTED_VALUE"""),1)</f>
        <v>1</v>
      </c>
    </row>
    <row r="43" spans="1:15" ht="12.75">
      <c r="A43" s="539">
        <f ca="1"/>
        <v>37</v>
      </c>
      <c r="B43" s="35" t="str">
        <f ca="1">IFERROR(__xludf.DUMMYFUNCTION("""COMPUTED_VALUE"""),"Tổ Hạ tầng Bến Lức")</f>
        <v>Tổ Hạ tầng Bến Lức</v>
      </c>
      <c r="C43" s="35" t="str">
        <f ca="1">IFERROR(__xludf.DUMMYFUNCTION("""COMPUTED_VALUE"""),"Nguyễn Khương Minh")</f>
        <v>Nguyễn Khương Minh</v>
      </c>
      <c r="D43" s="35">
        <f ca="1">IFERROR(__xludf.DUMMYFUNCTION("""COMPUTED_VALUE"""),913443091)</f>
        <v>913443091</v>
      </c>
      <c r="E43" s="35" t="str">
        <f ca="1">IFERROR(__xludf.DUMMYFUNCTION("""COMPUTED_VALUE"""),"minhnk.lan@vnpt.vn")</f>
        <v>minhnk.lan@vnpt.vn</v>
      </c>
      <c r="F43" s="540" t="str">
        <f ca="1">IFERROR(__xludf.DUMMYFUNCTION("""COMPUTED_VALUE"""),"Lần 5")</f>
        <v>Lần 5</v>
      </c>
      <c r="G43" s="278">
        <f ca="1">IFERROR(__xludf.DUMMYFUNCTION("""COMPUTED_VALUE"""),46205)</f>
        <v>46205</v>
      </c>
      <c r="H43" s="543" t="str">
        <f ca="1">IFERROR(__xludf.DUMMYFUNCTION("""COMPUTED_VALUE"""),"257")</f>
        <v>257</v>
      </c>
      <c r="I43" s="543" t="str">
        <f ca="1">IFERROR(__xludf.DUMMYFUNCTION("""COMPUTED_VALUE"""),"80")</f>
        <v>80</v>
      </c>
      <c r="J43" s="543" t="str">
        <f ca="1">IFERROR(__xludf.DUMMYFUNCTION("""COMPUTED_VALUE"""),"485")</f>
        <v>485</v>
      </c>
      <c r="K43" s="543" t="str">
        <f ca="1">IFERROR(__xludf.DUMMYFUNCTION("""COMPUTED_VALUE"""),"56")</f>
        <v>56</v>
      </c>
      <c r="M43" s="539">
        <f ca="1">IFERROR(__xludf.DUMMYFUNCTION("""COMPUTED_VALUE"""),1)</f>
        <v>1</v>
      </c>
      <c r="N43" s="539">
        <f ca="1">IFERROR(__xludf.DUMMYFUNCTION("""COMPUTED_VALUE"""),1)</f>
        <v>1</v>
      </c>
      <c r="O43" s="539">
        <f ca="1">IFERROR(__xludf.DUMMYFUNCTION("""COMPUTED_VALUE"""),1)</f>
        <v>1</v>
      </c>
    </row>
    <row r="44" spans="1:15" ht="12.75">
      <c r="A44" s="539">
        <f ca="1"/>
        <v>38</v>
      </c>
      <c r="B44" s="35" t="str">
        <f ca="1">IFERROR(__xludf.DUMMYFUNCTION("""COMPUTED_VALUE"""),"Tổ Hạ tầng Bến Lức")</f>
        <v>Tổ Hạ tầng Bến Lức</v>
      </c>
      <c r="C44" s="35" t="str">
        <f ca="1">IFERROR(__xludf.DUMMYFUNCTION("""COMPUTED_VALUE"""),"Nguyễn Khương Minh")</f>
        <v>Nguyễn Khương Minh</v>
      </c>
      <c r="D44" s="35">
        <f ca="1">IFERROR(__xludf.DUMMYFUNCTION("""COMPUTED_VALUE"""),913443091)</f>
        <v>913443091</v>
      </c>
      <c r="E44" s="35" t="str">
        <f ca="1">IFERROR(__xludf.DUMMYFUNCTION("""COMPUTED_VALUE"""),"minhnk.lan@vnpt.vn")</f>
        <v>minhnk.lan@vnpt.vn</v>
      </c>
      <c r="F44" s="540" t="str">
        <f ca="1">IFERROR(__xludf.DUMMYFUNCTION("""COMPUTED_VALUE"""),"Lần 6")</f>
        <v>Lần 6</v>
      </c>
      <c r="G44" s="278">
        <f ca="1">IFERROR(__xludf.DUMMYFUNCTION("""COMPUTED_VALUE"""),46206)</f>
        <v>46206</v>
      </c>
      <c r="H44" s="543" t="str">
        <f ca="1">IFERROR(__xludf.DUMMYFUNCTION("""COMPUTED_VALUE"""),"163")</f>
        <v>163</v>
      </c>
      <c r="I44" s="543" t="str">
        <f ca="1">IFERROR(__xludf.DUMMYFUNCTION("""COMPUTED_VALUE"""),"45")</f>
        <v>45</v>
      </c>
      <c r="J44" s="543" t="str">
        <f ca="1">IFERROR(__xludf.DUMMYFUNCTION("""COMPUTED_VALUE"""),"495")</f>
        <v>495</v>
      </c>
      <c r="K44" s="543" t="str">
        <f ca="1">IFERROR(__xludf.DUMMYFUNCTION("""COMPUTED_VALUE"""),"50")</f>
        <v>50</v>
      </c>
      <c r="M44" s="539">
        <f ca="1">IFERROR(__xludf.DUMMYFUNCTION("""COMPUTED_VALUE"""),1)</f>
        <v>1</v>
      </c>
      <c r="N44" s="539">
        <f ca="1">IFERROR(__xludf.DUMMYFUNCTION("""COMPUTED_VALUE"""),1)</f>
        <v>1</v>
      </c>
      <c r="O44" s="539">
        <f ca="1">IFERROR(__xludf.DUMMYFUNCTION("""COMPUTED_VALUE"""),1)</f>
        <v>1</v>
      </c>
    </row>
    <row r="45" spans="1:15" ht="12.75">
      <c r="A45" s="539">
        <f ca="1"/>
        <v>39</v>
      </c>
      <c r="B45" s="35" t="str">
        <f ca="1">IFERROR(__xludf.DUMMYFUNCTION("""COMPUTED_VALUE"""),"Tổ Hạ tầng Bến Lức")</f>
        <v>Tổ Hạ tầng Bến Lức</v>
      </c>
      <c r="C45" s="35" t="str">
        <f ca="1">IFERROR(__xludf.DUMMYFUNCTION("""COMPUTED_VALUE"""),"Nguyễn Khương Minh")</f>
        <v>Nguyễn Khương Minh</v>
      </c>
      <c r="D45" s="35">
        <f ca="1">IFERROR(__xludf.DUMMYFUNCTION("""COMPUTED_VALUE"""),913443091)</f>
        <v>913443091</v>
      </c>
      <c r="E45" s="35" t="str">
        <f ca="1">IFERROR(__xludf.DUMMYFUNCTION("""COMPUTED_VALUE"""),"minhnk.lan@vnpt.vn")</f>
        <v>minhnk.lan@vnpt.vn</v>
      </c>
      <c r="F45" s="540" t="str">
        <f ca="1">IFERROR(__xludf.DUMMYFUNCTION("""COMPUTED_VALUE"""),"Lần 7")</f>
        <v>Lần 7</v>
      </c>
      <c r="G45" s="278">
        <f ca="1">IFERROR(__xludf.DUMMYFUNCTION("""COMPUTED_VALUE"""),46206)</f>
        <v>46206</v>
      </c>
      <c r="H45" s="543" t="str">
        <f ca="1">IFERROR(__xludf.DUMMYFUNCTION("""COMPUTED_VALUE"""),"105")</f>
        <v>105</v>
      </c>
      <c r="I45" s="543" t="str">
        <f ca="1">IFERROR(__xludf.DUMMYFUNCTION("""COMPUTED_VALUE"""),"33")</f>
        <v>33</v>
      </c>
      <c r="J45" s="543" t="str">
        <f ca="1">IFERROR(__xludf.DUMMYFUNCTION("""COMPUTED_VALUE"""),"460")</f>
        <v>460</v>
      </c>
      <c r="K45" s="543" t="str">
        <f ca="1">IFERROR(__xludf.DUMMYFUNCTION("""COMPUTED_VALUE"""),"42")</f>
        <v>42</v>
      </c>
      <c r="M45" s="539">
        <f ca="1">IFERROR(__xludf.DUMMYFUNCTION("""COMPUTED_VALUE"""),1)</f>
        <v>1</v>
      </c>
      <c r="N45" s="539">
        <f ca="1">IFERROR(__xludf.DUMMYFUNCTION("""COMPUTED_VALUE"""),1)</f>
        <v>1</v>
      </c>
      <c r="O45" s="539">
        <f ca="1">IFERROR(__xludf.DUMMYFUNCTION("""COMPUTED_VALUE"""),1)</f>
        <v>1</v>
      </c>
    </row>
    <row r="46" spans="1:15" ht="12.75">
      <c r="A46" s="539">
        <f ca="1"/>
        <v>40</v>
      </c>
      <c r="B46" s="35" t="str">
        <f ca="1">IFERROR(__xludf.DUMMYFUNCTION("""COMPUTED_VALUE"""),"Tổ Hạ tầng Bến Lức")</f>
        <v>Tổ Hạ tầng Bến Lức</v>
      </c>
      <c r="C46" s="35" t="str">
        <f ca="1">IFERROR(__xludf.DUMMYFUNCTION("""COMPUTED_VALUE"""),"Nguyễn Khương Minh")</f>
        <v>Nguyễn Khương Minh</v>
      </c>
      <c r="D46" s="35">
        <f ca="1">IFERROR(__xludf.DUMMYFUNCTION("""COMPUTED_VALUE"""),913443091)</f>
        <v>913443091</v>
      </c>
      <c r="E46" s="35" t="str">
        <f ca="1">IFERROR(__xludf.DUMMYFUNCTION("""COMPUTED_VALUE"""),"minhnk.lan@vnpt.vn")</f>
        <v>minhnk.lan@vnpt.vn</v>
      </c>
      <c r="F46" s="540" t="str">
        <f ca="1">IFERROR(__xludf.DUMMYFUNCTION("""COMPUTED_VALUE"""),"Lần 8")</f>
        <v>Lần 8</v>
      </c>
      <c r="G46" s="278">
        <f ca="1">IFERROR(__xludf.DUMMYFUNCTION("""COMPUTED_VALUE"""),46214)</f>
        <v>46214</v>
      </c>
      <c r="H46" s="543" t="str">
        <f ca="1">IFERROR(__xludf.DUMMYFUNCTION("""COMPUTED_VALUE"""),"199")</f>
        <v>199</v>
      </c>
      <c r="I46" s="543" t="str">
        <f ca="1">IFERROR(__xludf.DUMMYFUNCTION("""COMPUTED_VALUE"""),"61")</f>
        <v>61</v>
      </c>
      <c r="J46" s="543" t="str">
        <f ca="1">IFERROR(__xludf.DUMMYFUNCTION("""COMPUTED_VALUE"""),"750")</f>
        <v>750</v>
      </c>
      <c r="K46" s="543" t="str">
        <f ca="1">IFERROR(__xludf.DUMMYFUNCTION("""COMPUTED_VALUE"""),"86")</f>
        <v>86</v>
      </c>
      <c r="M46" s="539">
        <f ca="1">IFERROR(__xludf.DUMMYFUNCTION("""COMPUTED_VALUE"""),1)</f>
        <v>1</v>
      </c>
      <c r="N46" s="539">
        <f ca="1">IFERROR(__xludf.DUMMYFUNCTION("""COMPUTED_VALUE"""),1)</f>
        <v>1</v>
      </c>
      <c r="O46" s="539">
        <f ca="1">IFERROR(__xludf.DUMMYFUNCTION("""COMPUTED_VALUE"""),1)</f>
        <v>1</v>
      </c>
    </row>
    <row r="47" spans="1:15" ht="12.75">
      <c r="A47" s="539">
        <f ca="1"/>
        <v>41</v>
      </c>
      <c r="B47" s="35" t="str">
        <f ca="1">IFERROR(__xludf.DUMMYFUNCTION("""COMPUTED_VALUE"""),"Tổ Hạ tầng Bến Lức")</f>
        <v>Tổ Hạ tầng Bến Lức</v>
      </c>
      <c r="C47" s="35" t="str">
        <f ca="1">IFERROR(__xludf.DUMMYFUNCTION("""COMPUTED_VALUE"""),"Nguyễn Khương Minh")</f>
        <v>Nguyễn Khương Minh</v>
      </c>
      <c r="D47" s="35">
        <f ca="1">IFERROR(__xludf.DUMMYFUNCTION("""COMPUTED_VALUE"""),913443091)</f>
        <v>913443091</v>
      </c>
      <c r="E47" s="35" t="str">
        <f ca="1">IFERROR(__xludf.DUMMYFUNCTION("""COMPUTED_VALUE"""),"minhnk.lan@vnpt.vn")</f>
        <v>minhnk.lan@vnpt.vn</v>
      </c>
      <c r="F47" s="540" t="str">
        <f ca="1">IFERROR(__xludf.DUMMYFUNCTION("""COMPUTED_VALUE"""),"Lần 9")</f>
        <v>Lần 9</v>
      </c>
      <c r="G47" s="278">
        <f ca="1">IFERROR(__xludf.DUMMYFUNCTION("""COMPUTED_VALUE"""),46214)</f>
        <v>46214</v>
      </c>
      <c r="H47" s="543" t="str">
        <f ca="1">IFERROR(__xludf.DUMMYFUNCTION("""COMPUTED_VALUE"""),"234")</f>
        <v>234</v>
      </c>
      <c r="I47" s="543" t="str">
        <f ca="1">IFERROR(__xludf.DUMMYFUNCTION("""COMPUTED_VALUE"""),"66")</f>
        <v>66</v>
      </c>
      <c r="J47" s="543" t="str">
        <f ca="1">IFERROR(__xludf.DUMMYFUNCTION("""COMPUTED_VALUE"""),"744")</f>
        <v>744</v>
      </c>
      <c r="K47" s="543" t="str">
        <f ca="1">IFERROR(__xludf.DUMMYFUNCTION("""COMPUTED_VALUE"""),"59")</f>
        <v>59</v>
      </c>
      <c r="M47" s="539">
        <f ca="1">IFERROR(__xludf.DUMMYFUNCTION("""COMPUTED_VALUE"""),1)</f>
        <v>1</v>
      </c>
      <c r="N47" s="539">
        <f ca="1">IFERROR(__xludf.DUMMYFUNCTION("""COMPUTED_VALUE"""),1)</f>
        <v>1</v>
      </c>
      <c r="O47" s="539">
        <f ca="1">IFERROR(__xludf.DUMMYFUNCTION("""COMPUTED_VALUE"""),1)</f>
        <v>1</v>
      </c>
    </row>
    <row r="48" spans="1:15" ht="12.75">
      <c r="A48" s="539">
        <f ca="1"/>
        <v>42</v>
      </c>
      <c r="B48" s="35" t="str">
        <f ca="1">IFERROR(__xludf.DUMMYFUNCTION("""COMPUTED_VALUE"""),"Tổ Hạ tầng Bến Lức")</f>
        <v>Tổ Hạ tầng Bến Lức</v>
      </c>
      <c r="C48" s="35" t="str">
        <f ca="1">IFERROR(__xludf.DUMMYFUNCTION("""COMPUTED_VALUE"""),"Nguyễn Khương Minh")</f>
        <v>Nguyễn Khương Minh</v>
      </c>
      <c r="D48" s="35">
        <f ca="1">IFERROR(__xludf.DUMMYFUNCTION("""COMPUTED_VALUE"""),913443091)</f>
        <v>913443091</v>
      </c>
      <c r="E48" s="35" t="str">
        <f ca="1">IFERROR(__xludf.DUMMYFUNCTION("""COMPUTED_VALUE"""),"minhnk.lan@vnpt.vn")</f>
        <v>minhnk.lan@vnpt.vn</v>
      </c>
      <c r="F48" s="540" t="str">
        <f ca="1">IFERROR(__xludf.DUMMYFUNCTION("""COMPUTED_VALUE"""),"Lần 10")</f>
        <v>Lần 10</v>
      </c>
      <c r="G48" s="278">
        <f ca="1">IFERROR(__xludf.DUMMYFUNCTION("""COMPUTED_VALUE"""),46214)</f>
        <v>46214</v>
      </c>
      <c r="H48" s="543" t="str">
        <f ca="1">IFERROR(__xludf.DUMMYFUNCTION("""COMPUTED_VALUE"""),"150")</f>
        <v>150</v>
      </c>
      <c r="I48" s="543" t="str">
        <f ca="1">IFERROR(__xludf.DUMMYFUNCTION("""COMPUTED_VALUE"""),"56")</f>
        <v>56</v>
      </c>
      <c r="J48" s="543" t="str">
        <f ca="1">IFERROR(__xludf.DUMMYFUNCTION("""COMPUTED_VALUE"""),"775")</f>
        <v>775</v>
      </c>
      <c r="K48" s="543" t="str">
        <f ca="1">IFERROR(__xludf.DUMMYFUNCTION("""COMPUTED_VALUE"""),"65")</f>
        <v>65</v>
      </c>
      <c r="M48" s="539">
        <f ca="1">IFERROR(__xludf.DUMMYFUNCTION("""COMPUTED_VALUE"""),1)</f>
        <v>1</v>
      </c>
      <c r="N48" s="539">
        <f ca="1">IFERROR(__xludf.DUMMYFUNCTION("""COMPUTED_VALUE"""),1)</f>
        <v>1</v>
      </c>
      <c r="O48" s="539">
        <f ca="1">IFERROR(__xludf.DUMMYFUNCTION("""COMPUTED_VALUE"""),1)</f>
        <v>1</v>
      </c>
    </row>
    <row r="49" spans="1:15" ht="12.75">
      <c r="A49" s="539">
        <f ca="1"/>
        <v>43</v>
      </c>
      <c r="B49" s="35" t="str">
        <f ca="1">IFERROR(__xludf.DUMMYFUNCTION("""COMPUTED_VALUE"""),"Tổ Hạ tầng Bến Lức")</f>
        <v>Tổ Hạ tầng Bến Lức</v>
      </c>
      <c r="C49" s="35" t="str">
        <f ca="1">IFERROR(__xludf.DUMMYFUNCTION("""COMPUTED_VALUE"""),"Nguyễn Khương Minh")</f>
        <v>Nguyễn Khương Minh</v>
      </c>
      <c r="D49" s="35">
        <f ca="1">IFERROR(__xludf.DUMMYFUNCTION("""COMPUTED_VALUE"""),913443091)</f>
        <v>913443091</v>
      </c>
      <c r="E49" s="35" t="str">
        <f ca="1">IFERROR(__xludf.DUMMYFUNCTION("""COMPUTED_VALUE"""),"minhnk.lan@vnpt.vn")</f>
        <v>minhnk.lan@vnpt.vn</v>
      </c>
      <c r="F49" s="540" t="str">
        <f ca="1">IFERROR(__xludf.DUMMYFUNCTION("""COMPUTED_VALUE"""),"Lần 11")</f>
        <v>Lần 11</v>
      </c>
      <c r="G49" s="278">
        <f ca="1">IFERROR(__xludf.DUMMYFUNCTION("""COMPUTED_VALUE"""),46214)</f>
        <v>46214</v>
      </c>
      <c r="H49" s="543" t="str">
        <f ca="1">IFERROR(__xludf.DUMMYFUNCTION("""COMPUTED_VALUE"""),"207")</f>
        <v>207</v>
      </c>
      <c r="I49" s="543" t="str">
        <f ca="1">IFERROR(__xludf.DUMMYFUNCTION("""COMPUTED_VALUE"""),"69")</f>
        <v>69</v>
      </c>
      <c r="J49" s="543" t="str">
        <f ca="1">IFERROR(__xludf.DUMMYFUNCTION("""COMPUTED_VALUE"""),"708")</f>
        <v>708</v>
      </c>
      <c r="K49" s="543" t="str">
        <f ca="1">IFERROR(__xludf.DUMMYFUNCTION("""COMPUTED_VALUE"""),"68")</f>
        <v>68</v>
      </c>
      <c r="M49" s="539">
        <f ca="1">IFERROR(__xludf.DUMMYFUNCTION("""COMPUTED_VALUE"""),1)</f>
        <v>1</v>
      </c>
      <c r="N49" s="539">
        <f ca="1">IFERROR(__xludf.DUMMYFUNCTION("""COMPUTED_VALUE"""),1)</f>
        <v>1</v>
      </c>
      <c r="O49" s="539">
        <f ca="1">IFERROR(__xludf.DUMMYFUNCTION("""COMPUTED_VALUE"""),1)</f>
        <v>1</v>
      </c>
    </row>
    <row r="50" spans="1:15" ht="12.75">
      <c r="A50" s="539">
        <f ca="1"/>
        <v>44</v>
      </c>
      <c r="B50" s="35" t="str">
        <f ca="1">IFERROR(__xludf.DUMMYFUNCTION("""COMPUTED_VALUE"""),"Tổ Hạ tầng Bến Lức")</f>
        <v>Tổ Hạ tầng Bến Lức</v>
      </c>
      <c r="C50" s="35" t="str">
        <f ca="1">IFERROR(__xludf.DUMMYFUNCTION("""COMPUTED_VALUE"""),"Nguyễn Khương Minh")</f>
        <v>Nguyễn Khương Minh</v>
      </c>
      <c r="D50" s="35">
        <f ca="1">IFERROR(__xludf.DUMMYFUNCTION("""COMPUTED_VALUE"""),913443091)</f>
        <v>913443091</v>
      </c>
      <c r="E50" s="35" t="str">
        <f ca="1">IFERROR(__xludf.DUMMYFUNCTION("""COMPUTED_VALUE"""),"minhnk.lan@vnpt.vn")</f>
        <v>minhnk.lan@vnpt.vn</v>
      </c>
      <c r="F50" s="540" t="str">
        <f ca="1">IFERROR(__xludf.DUMMYFUNCTION("""COMPUTED_VALUE"""),"Lần 12")</f>
        <v>Lần 12</v>
      </c>
      <c r="G50" s="278"/>
      <c r="H50" s="541"/>
      <c r="I50" s="541"/>
      <c r="J50" s="541"/>
      <c r="K50" s="541"/>
      <c r="M50" s="539">
        <f ca="1">IFERROR(__xludf.DUMMYFUNCTION("""COMPUTED_VALUE"""),0)</f>
        <v>0</v>
      </c>
      <c r="N50" s="539">
        <f ca="1">IFERROR(__xludf.DUMMYFUNCTION("""COMPUTED_VALUE"""),0)</f>
        <v>0</v>
      </c>
      <c r="O50" s="539">
        <f ca="1">IFERROR(__xludf.DUMMYFUNCTION("""COMPUTED_VALUE"""),0)</f>
        <v>0</v>
      </c>
    </row>
    <row r="51" spans="1:15" ht="12.75">
      <c r="A51" s="539">
        <f ca="1"/>
        <v>45</v>
      </c>
      <c r="B51" s="35" t="str">
        <f ca="1">IFERROR(__xludf.DUMMYFUNCTION("""COMPUTED_VALUE"""),"Tổ Hạ tầng Bến Lức")</f>
        <v>Tổ Hạ tầng Bến Lức</v>
      </c>
      <c r="C51" s="35" t="str">
        <f ca="1">IFERROR(__xludf.DUMMYFUNCTION("""COMPUTED_VALUE"""),"Nguyễn Khương Minh")</f>
        <v>Nguyễn Khương Minh</v>
      </c>
      <c r="D51" s="35">
        <f ca="1">IFERROR(__xludf.DUMMYFUNCTION("""COMPUTED_VALUE"""),913443091)</f>
        <v>913443091</v>
      </c>
      <c r="E51" s="35" t="str">
        <f ca="1">IFERROR(__xludf.DUMMYFUNCTION("""COMPUTED_VALUE"""),"minhnk.lan@vnpt.vn")</f>
        <v>minhnk.lan@vnpt.vn</v>
      </c>
      <c r="F51" s="540" t="str">
        <f ca="1">IFERROR(__xludf.DUMMYFUNCTION("""COMPUTED_VALUE"""),"Lần 13")</f>
        <v>Lần 13</v>
      </c>
      <c r="G51" s="278"/>
      <c r="H51" s="541"/>
      <c r="I51" s="541"/>
      <c r="J51" s="541"/>
      <c r="K51" s="541"/>
      <c r="M51" s="539">
        <f ca="1">IFERROR(__xludf.DUMMYFUNCTION("""COMPUTED_VALUE"""),0)</f>
        <v>0</v>
      </c>
      <c r="N51" s="539">
        <f ca="1">IFERROR(__xludf.DUMMYFUNCTION("""COMPUTED_VALUE"""),0)</f>
        <v>0</v>
      </c>
      <c r="O51" s="539">
        <f ca="1">IFERROR(__xludf.DUMMYFUNCTION("""COMPUTED_VALUE"""),0)</f>
        <v>0</v>
      </c>
    </row>
    <row r="52" spans="1:15" ht="12.75">
      <c r="A52" s="539">
        <f ca="1"/>
        <v>46</v>
      </c>
      <c r="B52" s="35" t="str">
        <f ca="1">IFERROR(__xludf.DUMMYFUNCTION("""COMPUTED_VALUE"""),"Tổ Hạ tầng Bến Lức")</f>
        <v>Tổ Hạ tầng Bến Lức</v>
      </c>
      <c r="C52" s="35" t="str">
        <f ca="1">IFERROR(__xludf.DUMMYFUNCTION("""COMPUTED_VALUE"""),"Nguyễn Khương Minh")</f>
        <v>Nguyễn Khương Minh</v>
      </c>
      <c r="D52" s="35">
        <f ca="1">IFERROR(__xludf.DUMMYFUNCTION("""COMPUTED_VALUE"""),913443091)</f>
        <v>913443091</v>
      </c>
      <c r="E52" s="35" t="str">
        <f ca="1">IFERROR(__xludf.DUMMYFUNCTION("""COMPUTED_VALUE"""),"minhnk.lan@vnpt.vn")</f>
        <v>minhnk.lan@vnpt.vn</v>
      </c>
      <c r="F52" s="540" t="str">
        <f ca="1">IFERROR(__xludf.DUMMYFUNCTION("""COMPUTED_VALUE"""),"Lần 14")</f>
        <v>Lần 14</v>
      </c>
      <c r="G52" s="278"/>
      <c r="H52" s="541"/>
      <c r="I52" s="541"/>
      <c r="J52" s="541"/>
      <c r="K52" s="541"/>
      <c r="M52" s="539">
        <f ca="1">IFERROR(__xludf.DUMMYFUNCTION("""COMPUTED_VALUE"""),0)</f>
        <v>0</v>
      </c>
      <c r="N52" s="539">
        <f ca="1">IFERROR(__xludf.DUMMYFUNCTION("""COMPUTED_VALUE"""),0)</f>
        <v>0</v>
      </c>
      <c r="O52" s="539">
        <f ca="1">IFERROR(__xludf.DUMMYFUNCTION("""COMPUTED_VALUE"""),0)</f>
        <v>0</v>
      </c>
    </row>
    <row r="53" spans="1:15" ht="12.75">
      <c r="A53" s="539">
        <f ca="1"/>
        <v>47</v>
      </c>
      <c r="B53" s="35" t="str">
        <f ca="1">IFERROR(__xludf.DUMMYFUNCTION("""COMPUTED_VALUE"""),"Tổ Hạ tầng Bến Lức")</f>
        <v>Tổ Hạ tầng Bến Lức</v>
      </c>
      <c r="C53" s="35" t="str">
        <f ca="1">IFERROR(__xludf.DUMMYFUNCTION("""COMPUTED_VALUE"""),"Nguyễn Khương Minh")</f>
        <v>Nguyễn Khương Minh</v>
      </c>
      <c r="D53" s="35">
        <f ca="1">IFERROR(__xludf.DUMMYFUNCTION("""COMPUTED_VALUE"""),913443091)</f>
        <v>913443091</v>
      </c>
      <c r="E53" s="35" t="str">
        <f ca="1">IFERROR(__xludf.DUMMYFUNCTION("""COMPUTED_VALUE"""),"minhnk.lan@vnpt.vn")</f>
        <v>minhnk.lan@vnpt.vn</v>
      </c>
      <c r="F53" s="540" t="str">
        <f ca="1">IFERROR(__xludf.DUMMYFUNCTION("""COMPUTED_VALUE"""),"Lần 15")</f>
        <v>Lần 15</v>
      </c>
      <c r="G53" s="278"/>
      <c r="H53" s="541"/>
      <c r="I53" s="541"/>
      <c r="J53" s="541"/>
      <c r="K53" s="541"/>
      <c r="M53" s="539">
        <f ca="1">IFERROR(__xludf.DUMMYFUNCTION("""COMPUTED_VALUE"""),0)</f>
        <v>0</v>
      </c>
      <c r="N53" s="539">
        <f ca="1">IFERROR(__xludf.DUMMYFUNCTION("""COMPUTED_VALUE"""),0)</f>
        <v>0</v>
      </c>
      <c r="O53" s="539">
        <f ca="1">IFERROR(__xludf.DUMMYFUNCTION("""COMPUTED_VALUE"""),0)</f>
        <v>0</v>
      </c>
    </row>
    <row r="54" spans="1:15" ht="12.75">
      <c r="A54" s="539">
        <f ca="1"/>
        <v>48</v>
      </c>
      <c r="B54" s="35" t="str">
        <f ca="1">IFERROR(__xludf.DUMMYFUNCTION("""COMPUTED_VALUE"""),"Tổ Hạ tầng Bến Lức")</f>
        <v>Tổ Hạ tầng Bến Lức</v>
      </c>
      <c r="C54" s="35" t="str">
        <f ca="1">IFERROR(__xludf.DUMMYFUNCTION("""COMPUTED_VALUE"""),"Nguyễn Khương Minh")</f>
        <v>Nguyễn Khương Minh</v>
      </c>
      <c r="D54" s="35">
        <f ca="1">IFERROR(__xludf.DUMMYFUNCTION("""COMPUTED_VALUE"""),913443091)</f>
        <v>913443091</v>
      </c>
      <c r="E54" s="35" t="str">
        <f ca="1">IFERROR(__xludf.DUMMYFUNCTION("""COMPUTED_VALUE"""),"minhnk.lan@vnpt.vn")</f>
        <v>minhnk.lan@vnpt.vn</v>
      </c>
      <c r="F54" s="540" t="str">
        <f ca="1">IFERROR(__xludf.DUMMYFUNCTION("""COMPUTED_VALUE"""),"Lần 16")</f>
        <v>Lần 16</v>
      </c>
      <c r="G54" s="278"/>
      <c r="H54" s="35"/>
      <c r="I54" s="35"/>
      <c r="J54" s="540"/>
      <c r="K54" s="540"/>
      <c r="M54" s="539">
        <f ca="1">IFERROR(__xludf.DUMMYFUNCTION("""COMPUTED_VALUE"""),0)</f>
        <v>0</v>
      </c>
      <c r="N54" s="539">
        <f ca="1">IFERROR(__xludf.DUMMYFUNCTION("""COMPUTED_VALUE"""),0)</f>
        <v>0</v>
      </c>
      <c r="O54" s="539">
        <f ca="1">IFERROR(__xludf.DUMMYFUNCTION("""COMPUTED_VALUE"""),0)</f>
        <v>0</v>
      </c>
    </row>
    <row r="55" spans="1:15" ht="12.75">
      <c r="A55" s="539">
        <f ca="1"/>
        <v>49</v>
      </c>
      <c r="B55" s="35" t="str">
        <f ca="1">IFERROR(__xludf.DUMMYFUNCTION("""COMPUTED_VALUE"""),"Tổ Hạ tầng Bến Lức")</f>
        <v>Tổ Hạ tầng Bến Lức</v>
      </c>
      <c r="C55" s="35" t="str">
        <f ca="1">IFERROR(__xludf.DUMMYFUNCTION("""COMPUTED_VALUE"""),"Bùi Tấn Bảo")</f>
        <v>Bùi Tấn Bảo</v>
      </c>
      <c r="D55" s="35">
        <f ca="1">IFERROR(__xludf.DUMMYFUNCTION("""COMPUTED_VALUE"""),918760639)</f>
        <v>918760639</v>
      </c>
      <c r="E55" s="35" t="str">
        <f ca="1">IFERROR(__xludf.DUMMYFUNCTION("""COMPUTED_VALUE"""),"baobt.lan@vnpt.vn")</f>
        <v>baobt.lan@vnpt.vn</v>
      </c>
      <c r="F55" s="540" t="str">
        <f ca="1">IFERROR(__xludf.DUMMYFUNCTION("""COMPUTED_VALUE"""),"Lần 1")</f>
        <v>Lần 1</v>
      </c>
      <c r="G55" s="278">
        <f ca="1">IFERROR(__xludf.DUMMYFUNCTION("""COMPUTED_VALUE"""),46212)</f>
        <v>46212</v>
      </c>
      <c r="H55" s="35">
        <f ca="1">IFERROR(__xludf.DUMMYFUNCTION("""COMPUTED_VALUE"""),97.3)</f>
        <v>97.3</v>
      </c>
      <c r="I55" s="35">
        <f ca="1">IFERROR(__xludf.DUMMYFUNCTION("""COMPUTED_VALUE"""),45.5)</f>
        <v>45.5</v>
      </c>
      <c r="J55" s="541">
        <f ca="1">IFERROR(__xludf.DUMMYFUNCTION("""COMPUTED_VALUE"""),72.8)</f>
        <v>72.8</v>
      </c>
      <c r="K55" s="541">
        <f ca="1">IFERROR(__xludf.DUMMYFUNCTION("""COMPUTED_VALUE"""),43.2)</f>
        <v>43.2</v>
      </c>
      <c r="M55" s="539">
        <f ca="1">IFERROR(__xludf.DUMMYFUNCTION("""COMPUTED_VALUE"""),1)</f>
        <v>1</v>
      </c>
      <c r="N55" s="539">
        <f ca="1">IFERROR(__xludf.DUMMYFUNCTION("""COMPUTED_VALUE"""),1)</f>
        <v>1</v>
      </c>
      <c r="O55" s="539">
        <f ca="1">IFERROR(__xludf.DUMMYFUNCTION("""COMPUTED_VALUE"""),0)</f>
        <v>0</v>
      </c>
    </row>
    <row r="56" spans="1:15" ht="12.75">
      <c r="A56" s="539">
        <f ca="1"/>
        <v>50</v>
      </c>
      <c r="B56" s="35" t="str">
        <f ca="1">IFERROR(__xludf.DUMMYFUNCTION("""COMPUTED_VALUE"""),"Tổ Hạ tầng Bến Lức")</f>
        <v>Tổ Hạ tầng Bến Lức</v>
      </c>
      <c r="C56" s="35" t="str">
        <f ca="1">IFERROR(__xludf.DUMMYFUNCTION("""COMPUTED_VALUE"""),"Bùi Tấn Bảo")</f>
        <v>Bùi Tấn Bảo</v>
      </c>
      <c r="D56" s="35">
        <f ca="1">IFERROR(__xludf.DUMMYFUNCTION("""COMPUTED_VALUE"""),918760639)</f>
        <v>918760639</v>
      </c>
      <c r="E56" s="35" t="str">
        <f ca="1">IFERROR(__xludf.DUMMYFUNCTION("""COMPUTED_VALUE"""),"baobt.lan@vnpt.vn")</f>
        <v>baobt.lan@vnpt.vn</v>
      </c>
      <c r="F56" s="540" t="str">
        <f ca="1">IFERROR(__xludf.DUMMYFUNCTION("""COMPUTED_VALUE"""),"Lần 2")</f>
        <v>Lần 2</v>
      </c>
      <c r="G56" s="278">
        <f ca="1">IFERROR(__xludf.DUMMYFUNCTION("""COMPUTED_VALUE"""),46212)</f>
        <v>46212</v>
      </c>
      <c r="H56" s="35">
        <f ca="1">IFERROR(__xludf.DUMMYFUNCTION("""COMPUTED_VALUE"""),87)</f>
        <v>87</v>
      </c>
      <c r="I56" s="35">
        <f ca="1">IFERROR(__xludf.DUMMYFUNCTION("""COMPUTED_VALUE"""),42.4)</f>
        <v>42.4</v>
      </c>
      <c r="J56" s="541">
        <f ca="1">IFERROR(__xludf.DUMMYFUNCTION("""COMPUTED_VALUE"""),91.4)</f>
        <v>91.4</v>
      </c>
      <c r="K56" s="541">
        <f ca="1">IFERROR(__xludf.DUMMYFUNCTION("""COMPUTED_VALUE"""),40.6)</f>
        <v>40.6</v>
      </c>
      <c r="M56" s="539">
        <f ca="1">IFERROR(__xludf.DUMMYFUNCTION("""COMPUTED_VALUE"""),1)</f>
        <v>1</v>
      </c>
      <c r="N56" s="539">
        <f ca="1">IFERROR(__xludf.DUMMYFUNCTION("""COMPUTED_VALUE"""),1)</f>
        <v>1</v>
      </c>
      <c r="O56" s="539">
        <f ca="1">IFERROR(__xludf.DUMMYFUNCTION("""COMPUTED_VALUE"""),0)</f>
        <v>0</v>
      </c>
    </row>
    <row r="57" spans="1:15" ht="12.75">
      <c r="A57" s="539">
        <f ca="1"/>
        <v>51</v>
      </c>
      <c r="B57" s="35" t="str">
        <f ca="1">IFERROR(__xludf.DUMMYFUNCTION("""COMPUTED_VALUE"""),"Tổ Hạ tầng Bến Lức")</f>
        <v>Tổ Hạ tầng Bến Lức</v>
      </c>
      <c r="C57" s="35" t="str">
        <f ca="1">IFERROR(__xludf.DUMMYFUNCTION("""COMPUTED_VALUE"""),"Bùi Tấn Bảo")</f>
        <v>Bùi Tấn Bảo</v>
      </c>
      <c r="D57" s="35">
        <f ca="1">IFERROR(__xludf.DUMMYFUNCTION("""COMPUTED_VALUE"""),918760639)</f>
        <v>918760639</v>
      </c>
      <c r="E57" s="35" t="str">
        <f ca="1">IFERROR(__xludf.DUMMYFUNCTION("""COMPUTED_VALUE"""),"baobt.lan@vnpt.vn")</f>
        <v>baobt.lan@vnpt.vn</v>
      </c>
      <c r="F57" s="540" t="str">
        <f ca="1">IFERROR(__xludf.DUMMYFUNCTION("""COMPUTED_VALUE"""),"Lần 3")</f>
        <v>Lần 3</v>
      </c>
      <c r="G57" s="278">
        <f ca="1">IFERROR(__xludf.DUMMYFUNCTION("""COMPUTED_VALUE"""),46212)</f>
        <v>46212</v>
      </c>
      <c r="H57" s="35">
        <f ca="1">IFERROR(__xludf.DUMMYFUNCTION("""COMPUTED_VALUE"""),80.8)</f>
        <v>80.8</v>
      </c>
      <c r="I57" s="35">
        <f ca="1">IFERROR(__xludf.DUMMYFUNCTION("""COMPUTED_VALUE"""),44.6)</f>
        <v>44.6</v>
      </c>
      <c r="J57" s="541">
        <f ca="1">IFERROR(__xludf.DUMMYFUNCTION("""COMPUTED_VALUE"""),92.2)</f>
        <v>92.2</v>
      </c>
      <c r="K57" s="541">
        <f ca="1">IFERROR(__xludf.DUMMYFUNCTION("""COMPUTED_VALUE"""),41.7)</f>
        <v>41.7</v>
      </c>
      <c r="M57" s="539">
        <f ca="1">IFERROR(__xludf.DUMMYFUNCTION("""COMPUTED_VALUE"""),1)</f>
        <v>1</v>
      </c>
      <c r="N57" s="539">
        <f ca="1">IFERROR(__xludf.DUMMYFUNCTION("""COMPUTED_VALUE"""),1)</f>
        <v>1</v>
      </c>
      <c r="O57" s="539">
        <f ca="1">IFERROR(__xludf.DUMMYFUNCTION("""COMPUTED_VALUE"""),0)</f>
        <v>0</v>
      </c>
    </row>
    <row r="58" spans="1:15" ht="12.75">
      <c r="A58" s="539">
        <f ca="1"/>
        <v>52</v>
      </c>
      <c r="B58" s="35" t="str">
        <f ca="1">IFERROR(__xludf.DUMMYFUNCTION("""COMPUTED_VALUE"""),"Tổ Hạ tầng Bến Lức")</f>
        <v>Tổ Hạ tầng Bến Lức</v>
      </c>
      <c r="C58" s="35" t="str">
        <f ca="1">IFERROR(__xludf.DUMMYFUNCTION("""COMPUTED_VALUE"""),"Bùi Tấn Bảo")</f>
        <v>Bùi Tấn Bảo</v>
      </c>
      <c r="D58" s="35">
        <f ca="1">IFERROR(__xludf.DUMMYFUNCTION("""COMPUTED_VALUE"""),918760639)</f>
        <v>918760639</v>
      </c>
      <c r="E58" s="35" t="str">
        <f ca="1">IFERROR(__xludf.DUMMYFUNCTION("""COMPUTED_VALUE"""),"baobt.lan@vnpt.vn")</f>
        <v>baobt.lan@vnpt.vn</v>
      </c>
      <c r="F58" s="540" t="str">
        <f ca="1">IFERROR(__xludf.DUMMYFUNCTION("""COMPUTED_VALUE"""),"Lần 4")</f>
        <v>Lần 4</v>
      </c>
      <c r="G58" s="278">
        <f ca="1">IFERROR(__xludf.DUMMYFUNCTION("""COMPUTED_VALUE"""),46213)</f>
        <v>46213</v>
      </c>
      <c r="H58" s="35">
        <f ca="1">IFERROR(__xludf.DUMMYFUNCTION("""COMPUTED_VALUE"""),351)</f>
        <v>351</v>
      </c>
      <c r="I58" s="35">
        <f ca="1">IFERROR(__xludf.DUMMYFUNCTION("""COMPUTED_VALUE"""),72.9)</f>
        <v>72.900000000000006</v>
      </c>
      <c r="J58" s="541">
        <f ca="1">IFERROR(__xludf.DUMMYFUNCTION("""COMPUTED_VALUE"""),659)</f>
        <v>659</v>
      </c>
      <c r="K58" s="541">
        <f ca="1">IFERROR(__xludf.DUMMYFUNCTION("""COMPUTED_VALUE"""),64.8)</f>
        <v>64.8</v>
      </c>
      <c r="M58" s="539">
        <f ca="1">IFERROR(__xludf.DUMMYFUNCTION("""COMPUTED_VALUE"""),1)</f>
        <v>1</v>
      </c>
      <c r="N58" s="539">
        <f ca="1">IFERROR(__xludf.DUMMYFUNCTION("""COMPUTED_VALUE"""),1)</f>
        <v>1</v>
      </c>
      <c r="O58" s="539">
        <f ca="1">IFERROR(__xludf.DUMMYFUNCTION("""COMPUTED_VALUE"""),1)</f>
        <v>1</v>
      </c>
    </row>
    <row r="59" spans="1:15" ht="12.75">
      <c r="A59" s="539">
        <f ca="1"/>
        <v>53</v>
      </c>
      <c r="B59" s="35" t="str">
        <f ca="1">IFERROR(__xludf.DUMMYFUNCTION("""COMPUTED_VALUE"""),"Tổ Hạ tầng Bến Lức")</f>
        <v>Tổ Hạ tầng Bến Lức</v>
      </c>
      <c r="C59" s="35" t="str">
        <f ca="1">IFERROR(__xludf.DUMMYFUNCTION("""COMPUTED_VALUE"""),"Bùi Tấn Bảo")</f>
        <v>Bùi Tấn Bảo</v>
      </c>
      <c r="D59" s="35">
        <f ca="1">IFERROR(__xludf.DUMMYFUNCTION("""COMPUTED_VALUE"""),918760639)</f>
        <v>918760639</v>
      </c>
      <c r="E59" s="35" t="str">
        <f ca="1">IFERROR(__xludf.DUMMYFUNCTION("""COMPUTED_VALUE"""),"baobt.lan@vnpt.vn")</f>
        <v>baobt.lan@vnpt.vn</v>
      </c>
      <c r="F59" s="540" t="str">
        <f ca="1">IFERROR(__xludf.DUMMYFUNCTION("""COMPUTED_VALUE"""),"Lần 5")</f>
        <v>Lần 5</v>
      </c>
      <c r="G59" s="278">
        <f ca="1">IFERROR(__xludf.DUMMYFUNCTION("""COMPUTED_VALUE"""),46213)</f>
        <v>46213</v>
      </c>
      <c r="H59" s="35">
        <f ca="1">IFERROR(__xludf.DUMMYFUNCTION("""COMPUTED_VALUE"""),260)</f>
        <v>260</v>
      </c>
      <c r="I59" s="35">
        <f ca="1">IFERROR(__xludf.DUMMYFUNCTION("""COMPUTED_VALUE"""),67.9)</f>
        <v>67.900000000000006</v>
      </c>
      <c r="J59" s="541">
        <f ca="1">IFERROR(__xludf.DUMMYFUNCTION("""COMPUTED_VALUE"""),669)</f>
        <v>669</v>
      </c>
      <c r="K59" s="541">
        <f ca="1">IFERROR(__xludf.DUMMYFUNCTION("""COMPUTED_VALUE"""),67.3)</f>
        <v>67.3</v>
      </c>
      <c r="M59" s="539">
        <f ca="1">IFERROR(__xludf.DUMMYFUNCTION("""COMPUTED_VALUE"""),1)</f>
        <v>1</v>
      </c>
      <c r="N59" s="539">
        <f ca="1">IFERROR(__xludf.DUMMYFUNCTION("""COMPUTED_VALUE"""),1)</f>
        <v>1</v>
      </c>
      <c r="O59" s="539">
        <f ca="1">IFERROR(__xludf.DUMMYFUNCTION("""COMPUTED_VALUE"""),1)</f>
        <v>1</v>
      </c>
    </row>
    <row r="60" spans="1:15" ht="12.75">
      <c r="A60" s="539">
        <f ca="1"/>
        <v>54</v>
      </c>
      <c r="B60" s="35" t="str">
        <f ca="1">IFERROR(__xludf.DUMMYFUNCTION("""COMPUTED_VALUE"""),"Tổ Hạ tầng Bến Lức")</f>
        <v>Tổ Hạ tầng Bến Lức</v>
      </c>
      <c r="C60" s="35" t="str">
        <f ca="1">IFERROR(__xludf.DUMMYFUNCTION("""COMPUTED_VALUE"""),"Bùi Tấn Bảo")</f>
        <v>Bùi Tấn Bảo</v>
      </c>
      <c r="D60" s="35">
        <f ca="1">IFERROR(__xludf.DUMMYFUNCTION("""COMPUTED_VALUE"""),918760639)</f>
        <v>918760639</v>
      </c>
      <c r="E60" s="35" t="str">
        <f ca="1">IFERROR(__xludf.DUMMYFUNCTION("""COMPUTED_VALUE"""),"baobt.lan@vnpt.vn")</f>
        <v>baobt.lan@vnpt.vn</v>
      </c>
      <c r="F60" s="540" t="str">
        <f ca="1">IFERROR(__xludf.DUMMYFUNCTION("""COMPUTED_VALUE"""),"Lần 6")</f>
        <v>Lần 6</v>
      </c>
      <c r="G60" s="278">
        <f ca="1">IFERROR(__xludf.DUMMYFUNCTION("""COMPUTED_VALUE"""),46213)</f>
        <v>46213</v>
      </c>
      <c r="H60" s="35">
        <f ca="1">IFERROR(__xludf.DUMMYFUNCTION("""COMPUTED_VALUE"""),268)</f>
        <v>268</v>
      </c>
      <c r="I60" s="35">
        <f ca="1">IFERROR(__xludf.DUMMYFUNCTION("""COMPUTED_VALUE"""),64.8)</f>
        <v>64.8</v>
      </c>
      <c r="J60" s="541">
        <f ca="1">IFERROR(__xludf.DUMMYFUNCTION("""COMPUTED_VALUE"""),623)</f>
        <v>623</v>
      </c>
      <c r="K60" s="541">
        <f ca="1">IFERROR(__xludf.DUMMYFUNCTION("""COMPUTED_VALUE"""),64.7)</f>
        <v>64.7</v>
      </c>
      <c r="M60" s="539">
        <f ca="1">IFERROR(__xludf.DUMMYFUNCTION("""COMPUTED_VALUE"""),1)</f>
        <v>1</v>
      </c>
      <c r="N60" s="539">
        <f ca="1">IFERROR(__xludf.DUMMYFUNCTION("""COMPUTED_VALUE"""),1)</f>
        <v>1</v>
      </c>
      <c r="O60" s="539">
        <f ca="1">IFERROR(__xludf.DUMMYFUNCTION("""COMPUTED_VALUE"""),1)</f>
        <v>1</v>
      </c>
    </row>
    <row r="61" spans="1:15" ht="12.75">
      <c r="A61" s="539">
        <f ca="1"/>
        <v>55</v>
      </c>
      <c r="B61" s="35" t="str">
        <f ca="1">IFERROR(__xludf.DUMMYFUNCTION("""COMPUTED_VALUE"""),"Tổ Hạ tầng Bến Lức")</f>
        <v>Tổ Hạ tầng Bến Lức</v>
      </c>
      <c r="C61" s="35" t="str">
        <f ca="1">IFERROR(__xludf.DUMMYFUNCTION("""COMPUTED_VALUE"""),"Bùi Tấn Bảo")</f>
        <v>Bùi Tấn Bảo</v>
      </c>
      <c r="D61" s="35">
        <f ca="1">IFERROR(__xludf.DUMMYFUNCTION("""COMPUTED_VALUE"""),918760639)</f>
        <v>918760639</v>
      </c>
      <c r="E61" s="35" t="str">
        <f ca="1">IFERROR(__xludf.DUMMYFUNCTION("""COMPUTED_VALUE"""),"baobt.lan@vnpt.vn")</f>
        <v>baobt.lan@vnpt.vn</v>
      </c>
      <c r="F61" s="540" t="str">
        <f ca="1">IFERROR(__xludf.DUMMYFUNCTION("""COMPUTED_VALUE"""),"Lần 7")</f>
        <v>Lần 7</v>
      </c>
      <c r="G61" s="278">
        <f ca="1">IFERROR(__xludf.DUMMYFUNCTION("""COMPUTED_VALUE"""),46213)</f>
        <v>46213</v>
      </c>
      <c r="H61" s="35">
        <f ca="1">IFERROR(__xludf.DUMMYFUNCTION("""COMPUTED_VALUE"""),329)</f>
        <v>329</v>
      </c>
      <c r="I61" s="35">
        <f ca="1">IFERROR(__xludf.DUMMYFUNCTION("""COMPUTED_VALUE"""),73)</f>
        <v>73</v>
      </c>
      <c r="J61" s="541">
        <f ca="1">IFERROR(__xludf.DUMMYFUNCTION("""COMPUTED_VALUE"""),594)</f>
        <v>594</v>
      </c>
      <c r="K61" s="541">
        <f ca="1">IFERROR(__xludf.DUMMYFUNCTION("""COMPUTED_VALUE"""),64.6)</f>
        <v>64.599999999999994</v>
      </c>
      <c r="M61" s="539">
        <f ca="1">IFERROR(__xludf.DUMMYFUNCTION("""COMPUTED_VALUE"""),1)</f>
        <v>1</v>
      </c>
      <c r="N61" s="539">
        <f ca="1">IFERROR(__xludf.DUMMYFUNCTION("""COMPUTED_VALUE"""),1)</f>
        <v>1</v>
      </c>
      <c r="O61" s="539">
        <f ca="1">IFERROR(__xludf.DUMMYFUNCTION("""COMPUTED_VALUE"""),1)</f>
        <v>1</v>
      </c>
    </row>
    <row r="62" spans="1:15" ht="12.75">
      <c r="A62" s="539">
        <f ca="1"/>
        <v>56</v>
      </c>
      <c r="B62" s="35" t="str">
        <f ca="1">IFERROR(__xludf.DUMMYFUNCTION("""COMPUTED_VALUE"""),"Tổ Hạ tầng Bến Lức")</f>
        <v>Tổ Hạ tầng Bến Lức</v>
      </c>
      <c r="C62" s="35" t="str">
        <f ca="1">IFERROR(__xludf.DUMMYFUNCTION("""COMPUTED_VALUE"""),"Bùi Tấn Bảo")</f>
        <v>Bùi Tấn Bảo</v>
      </c>
      <c r="D62" s="35">
        <f ca="1">IFERROR(__xludf.DUMMYFUNCTION("""COMPUTED_VALUE"""),918760639)</f>
        <v>918760639</v>
      </c>
      <c r="E62" s="35" t="str">
        <f ca="1">IFERROR(__xludf.DUMMYFUNCTION("""COMPUTED_VALUE"""),"baobt.lan@vnpt.vn")</f>
        <v>baobt.lan@vnpt.vn</v>
      </c>
      <c r="F62" s="540" t="str">
        <f ca="1">IFERROR(__xludf.DUMMYFUNCTION("""COMPUTED_VALUE"""),"Lần 8")</f>
        <v>Lần 8</v>
      </c>
      <c r="G62" s="278"/>
      <c r="H62" s="35"/>
      <c r="I62" s="35"/>
      <c r="J62" s="541"/>
      <c r="K62" s="541"/>
      <c r="M62" s="539">
        <f ca="1">IFERROR(__xludf.DUMMYFUNCTION("""COMPUTED_VALUE"""),0)</f>
        <v>0</v>
      </c>
      <c r="N62" s="539">
        <f ca="1">IFERROR(__xludf.DUMMYFUNCTION("""COMPUTED_VALUE"""),0)</f>
        <v>0</v>
      </c>
      <c r="O62" s="539">
        <f ca="1">IFERROR(__xludf.DUMMYFUNCTION("""COMPUTED_VALUE"""),0)</f>
        <v>0</v>
      </c>
    </row>
    <row r="63" spans="1:15" ht="12.75">
      <c r="A63" s="539">
        <f ca="1"/>
        <v>57</v>
      </c>
      <c r="B63" s="35" t="str">
        <f ca="1">IFERROR(__xludf.DUMMYFUNCTION("""COMPUTED_VALUE"""),"Tổ Hạ tầng Bến Lức")</f>
        <v>Tổ Hạ tầng Bến Lức</v>
      </c>
      <c r="C63" s="35" t="str">
        <f ca="1">IFERROR(__xludf.DUMMYFUNCTION("""COMPUTED_VALUE"""),"Bùi Tấn Bảo")</f>
        <v>Bùi Tấn Bảo</v>
      </c>
      <c r="D63" s="35">
        <f ca="1">IFERROR(__xludf.DUMMYFUNCTION("""COMPUTED_VALUE"""),918760639)</f>
        <v>918760639</v>
      </c>
      <c r="E63" s="35" t="str">
        <f ca="1">IFERROR(__xludf.DUMMYFUNCTION("""COMPUTED_VALUE"""),"baobt.lan@vnpt.vn")</f>
        <v>baobt.lan@vnpt.vn</v>
      </c>
      <c r="F63" s="540" t="str">
        <f ca="1">IFERROR(__xludf.DUMMYFUNCTION("""COMPUTED_VALUE"""),"Lần 9")</f>
        <v>Lần 9</v>
      </c>
      <c r="G63" s="278"/>
      <c r="H63" s="35"/>
      <c r="I63" s="35"/>
      <c r="J63" s="541"/>
      <c r="K63" s="541"/>
      <c r="M63" s="539">
        <f ca="1">IFERROR(__xludf.DUMMYFUNCTION("""COMPUTED_VALUE"""),0)</f>
        <v>0</v>
      </c>
      <c r="N63" s="539">
        <f ca="1">IFERROR(__xludf.DUMMYFUNCTION("""COMPUTED_VALUE"""),0)</f>
        <v>0</v>
      </c>
      <c r="O63" s="539">
        <f ca="1">IFERROR(__xludf.DUMMYFUNCTION("""COMPUTED_VALUE"""),0)</f>
        <v>0</v>
      </c>
    </row>
    <row r="64" spans="1:15" ht="12.75">
      <c r="A64" s="539">
        <f ca="1"/>
        <v>58</v>
      </c>
      <c r="B64" s="35" t="str">
        <f ca="1">IFERROR(__xludf.DUMMYFUNCTION("""COMPUTED_VALUE"""),"Tổ Hạ tầng Bến Lức")</f>
        <v>Tổ Hạ tầng Bến Lức</v>
      </c>
      <c r="C64" s="35" t="str">
        <f ca="1">IFERROR(__xludf.DUMMYFUNCTION("""COMPUTED_VALUE"""),"Bùi Tấn Bảo")</f>
        <v>Bùi Tấn Bảo</v>
      </c>
      <c r="D64" s="35">
        <f ca="1">IFERROR(__xludf.DUMMYFUNCTION("""COMPUTED_VALUE"""),918760639)</f>
        <v>918760639</v>
      </c>
      <c r="E64" s="35" t="str">
        <f ca="1">IFERROR(__xludf.DUMMYFUNCTION("""COMPUTED_VALUE"""),"baobt.lan@vnpt.vn")</f>
        <v>baobt.lan@vnpt.vn</v>
      </c>
      <c r="F64" s="540" t="str">
        <f ca="1">IFERROR(__xludf.DUMMYFUNCTION("""COMPUTED_VALUE"""),"Lần 10")</f>
        <v>Lần 10</v>
      </c>
      <c r="G64" s="278"/>
      <c r="H64" s="35"/>
      <c r="I64" s="35"/>
      <c r="J64" s="35"/>
      <c r="K64" s="35"/>
      <c r="M64" s="539">
        <f ca="1">IFERROR(__xludf.DUMMYFUNCTION("""COMPUTED_VALUE"""),0)</f>
        <v>0</v>
      </c>
      <c r="N64" s="539">
        <f ca="1">IFERROR(__xludf.DUMMYFUNCTION("""COMPUTED_VALUE"""),0)</f>
        <v>0</v>
      </c>
      <c r="O64" s="539">
        <f ca="1">IFERROR(__xludf.DUMMYFUNCTION("""COMPUTED_VALUE"""),0)</f>
        <v>0</v>
      </c>
    </row>
    <row r="65" spans="1:15" ht="12.75">
      <c r="A65" s="539">
        <f ca="1"/>
        <v>59</v>
      </c>
      <c r="B65" s="35" t="str">
        <f ca="1">IFERROR(__xludf.DUMMYFUNCTION("""COMPUTED_VALUE"""),"Tổ Hạ tầng Bến Lức")</f>
        <v>Tổ Hạ tầng Bến Lức</v>
      </c>
      <c r="C65" s="35" t="str">
        <f ca="1">IFERROR(__xludf.DUMMYFUNCTION("""COMPUTED_VALUE"""),"Bùi Tấn Bảo")</f>
        <v>Bùi Tấn Bảo</v>
      </c>
      <c r="D65" s="35">
        <f ca="1">IFERROR(__xludf.DUMMYFUNCTION("""COMPUTED_VALUE"""),918760639)</f>
        <v>918760639</v>
      </c>
      <c r="E65" s="35" t="str">
        <f ca="1">IFERROR(__xludf.DUMMYFUNCTION("""COMPUTED_VALUE"""),"baobt.lan@vnpt.vn")</f>
        <v>baobt.lan@vnpt.vn</v>
      </c>
      <c r="F65" s="540" t="str">
        <f ca="1">IFERROR(__xludf.DUMMYFUNCTION("""COMPUTED_VALUE"""),"Lần 11")</f>
        <v>Lần 11</v>
      </c>
      <c r="G65" s="278"/>
      <c r="H65" s="35"/>
      <c r="I65" s="35"/>
      <c r="J65" s="35"/>
      <c r="K65" s="35"/>
      <c r="M65" s="539">
        <f ca="1">IFERROR(__xludf.DUMMYFUNCTION("""COMPUTED_VALUE"""),0)</f>
        <v>0</v>
      </c>
      <c r="N65" s="539">
        <f ca="1">IFERROR(__xludf.DUMMYFUNCTION("""COMPUTED_VALUE"""),0)</f>
        <v>0</v>
      </c>
      <c r="O65" s="539">
        <f ca="1">IFERROR(__xludf.DUMMYFUNCTION("""COMPUTED_VALUE"""),0)</f>
        <v>0</v>
      </c>
    </row>
    <row r="66" spans="1:15" ht="12.75">
      <c r="A66" s="539">
        <f ca="1"/>
        <v>60</v>
      </c>
      <c r="B66" s="35" t="str">
        <f ca="1">IFERROR(__xludf.DUMMYFUNCTION("""COMPUTED_VALUE"""),"Tổ Hạ tầng Bến Lức")</f>
        <v>Tổ Hạ tầng Bến Lức</v>
      </c>
      <c r="C66" s="35" t="str">
        <f ca="1">IFERROR(__xludf.DUMMYFUNCTION("""COMPUTED_VALUE"""),"Bùi Tấn Bảo")</f>
        <v>Bùi Tấn Bảo</v>
      </c>
      <c r="D66" s="35">
        <f ca="1">IFERROR(__xludf.DUMMYFUNCTION("""COMPUTED_VALUE"""),918760639)</f>
        <v>918760639</v>
      </c>
      <c r="E66" s="35" t="str">
        <f ca="1">IFERROR(__xludf.DUMMYFUNCTION("""COMPUTED_VALUE"""),"baobt.lan@vnpt.vn")</f>
        <v>baobt.lan@vnpt.vn</v>
      </c>
      <c r="F66" s="540" t="str">
        <f ca="1">IFERROR(__xludf.DUMMYFUNCTION("""COMPUTED_VALUE"""),"Lần 12")</f>
        <v>Lần 12</v>
      </c>
      <c r="G66" s="278"/>
      <c r="H66" s="35"/>
      <c r="I66" s="35"/>
      <c r="J66" s="35"/>
      <c r="K66" s="35"/>
      <c r="M66" s="539">
        <f ca="1">IFERROR(__xludf.DUMMYFUNCTION("""COMPUTED_VALUE"""),0)</f>
        <v>0</v>
      </c>
      <c r="N66" s="539">
        <f ca="1">IFERROR(__xludf.DUMMYFUNCTION("""COMPUTED_VALUE"""),0)</f>
        <v>0</v>
      </c>
      <c r="O66" s="539">
        <f ca="1">IFERROR(__xludf.DUMMYFUNCTION("""COMPUTED_VALUE"""),0)</f>
        <v>0</v>
      </c>
    </row>
    <row r="67" spans="1:15" ht="12.75">
      <c r="A67" s="539">
        <f ca="1"/>
        <v>61</v>
      </c>
      <c r="B67" s="35" t="str">
        <f ca="1">IFERROR(__xludf.DUMMYFUNCTION("""COMPUTED_VALUE"""),"Tổ Hạ tầng Bến Lức")</f>
        <v>Tổ Hạ tầng Bến Lức</v>
      </c>
      <c r="C67" s="35" t="str">
        <f ca="1">IFERROR(__xludf.DUMMYFUNCTION("""COMPUTED_VALUE"""),"Bùi Tấn Bảo")</f>
        <v>Bùi Tấn Bảo</v>
      </c>
      <c r="D67" s="35">
        <f ca="1">IFERROR(__xludf.DUMMYFUNCTION("""COMPUTED_VALUE"""),918760639)</f>
        <v>918760639</v>
      </c>
      <c r="E67" s="35" t="str">
        <f ca="1">IFERROR(__xludf.DUMMYFUNCTION("""COMPUTED_VALUE"""),"baobt.lan@vnpt.vn")</f>
        <v>baobt.lan@vnpt.vn</v>
      </c>
      <c r="F67" s="540" t="str">
        <f ca="1">IFERROR(__xludf.DUMMYFUNCTION("""COMPUTED_VALUE"""),"Lần 13")</f>
        <v>Lần 13</v>
      </c>
      <c r="G67" s="278"/>
      <c r="H67" s="35"/>
      <c r="I67" s="35"/>
      <c r="J67" s="35"/>
      <c r="K67" s="35"/>
      <c r="M67" s="539">
        <f ca="1">IFERROR(__xludf.DUMMYFUNCTION("""COMPUTED_VALUE"""),0)</f>
        <v>0</v>
      </c>
      <c r="N67" s="539">
        <f ca="1">IFERROR(__xludf.DUMMYFUNCTION("""COMPUTED_VALUE"""),0)</f>
        <v>0</v>
      </c>
      <c r="O67" s="539">
        <f ca="1">IFERROR(__xludf.DUMMYFUNCTION("""COMPUTED_VALUE"""),0)</f>
        <v>0</v>
      </c>
    </row>
    <row r="68" spans="1:15" ht="12.75">
      <c r="A68" s="539">
        <f ca="1"/>
        <v>62</v>
      </c>
      <c r="B68" s="35" t="str">
        <f ca="1">IFERROR(__xludf.DUMMYFUNCTION("""COMPUTED_VALUE"""),"Tổ Hạ tầng Bến Lức")</f>
        <v>Tổ Hạ tầng Bến Lức</v>
      </c>
      <c r="C68" s="35" t="str">
        <f ca="1">IFERROR(__xludf.DUMMYFUNCTION("""COMPUTED_VALUE"""),"Bùi Tấn Bảo")</f>
        <v>Bùi Tấn Bảo</v>
      </c>
      <c r="D68" s="35">
        <f ca="1">IFERROR(__xludf.DUMMYFUNCTION("""COMPUTED_VALUE"""),918760639)</f>
        <v>918760639</v>
      </c>
      <c r="E68" s="35" t="str">
        <f ca="1">IFERROR(__xludf.DUMMYFUNCTION("""COMPUTED_VALUE"""),"baobt.lan@vnpt.vn")</f>
        <v>baobt.lan@vnpt.vn</v>
      </c>
      <c r="F68" s="540" t="str">
        <f ca="1">IFERROR(__xludf.DUMMYFUNCTION("""COMPUTED_VALUE"""),"Lần 14")</f>
        <v>Lần 14</v>
      </c>
      <c r="G68" s="278"/>
      <c r="H68" s="35"/>
      <c r="I68" s="35"/>
      <c r="J68" s="35"/>
      <c r="K68" s="35"/>
      <c r="M68" s="539">
        <f ca="1">IFERROR(__xludf.DUMMYFUNCTION("""COMPUTED_VALUE"""),0)</f>
        <v>0</v>
      </c>
      <c r="N68" s="539">
        <f ca="1">IFERROR(__xludf.DUMMYFUNCTION("""COMPUTED_VALUE"""),0)</f>
        <v>0</v>
      </c>
      <c r="O68" s="539">
        <f ca="1">IFERROR(__xludf.DUMMYFUNCTION("""COMPUTED_VALUE"""),0)</f>
        <v>0</v>
      </c>
    </row>
    <row r="69" spans="1:15" ht="12.75">
      <c r="A69" s="539">
        <f ca="1"/>
        <v>63</v>
      </c>
      <c r="B69" s="35" t="str">
        <f ca="1">IFERROR(__xludf.DUMMYFUNCTION("""COMPUTED_VALUE"""),"Tổ Hạ tầng Bến Lức")</f>
        <v>Tổ Hạ tầng Bến Lức</v>
      </c>
      <c r="C69" s="35" t="str">
        <f ca="1">IFERROR(__xludf.DUMMYFUNCTION("""COMPUTED_VALUE"""),"Bùi Tấn Bảo")</f>
        <v>Bùi Tấn Bảo</v>
      </c>
      <c r="D69" s="35">
        <f ca="1">IFERROR(__xludf.DUMMYFUNCTION("""COMPUTED_VALUE"""),918760639)</f>
        <v>918760639</v>
      </c>
      <c r="E69" s="35" t="str">
        <f ca="1">IFERROR(__xludf.DUMMYFUNCTION("""COMPUTED_VALUE"""),"baobt.lan@vnpt.vn")</f>
        <v>baobt.lan@vnpt.vn</v>
      </c>
      <c r="F69" s="540" t="str">
        <f ca="1">IFERROR(__xludf.DUMMYFUNCTION("""COMPUTED_VALUE"""),"Lần 15")</f>
        <v>Lần 15</v>
      </c>
      <c r="G69" s="278"/>
      <c r="H69" s="35"/>
      <c r="I69" s="35"/>
      <c r="J69" s="35"/>
      <c r="K69" s="35"/>
      <c r="M69" s="539">
        <f ca="1">IFERROR(__xludf.DUMMYFUNCTION("""COMPUTED_VALUE"""),0)</f>
        <v>0</v>
      </c>
      <c r="N69" s="539">
        <f ca="1">IFERROR(__xludf.DUMMYFUNCTION("""COMPUTED_VALUE"""),0)</f>
        <v>0</v>
      </c>
      <c r="O69" s="539">
        <f ca="1">IFERROR(__xludf.DUMMYFUNCTION("""COMPUTED_VALUE"""),0)</f>
        <v>0</v>
      </c>
    </row>
    <row r="70" spans="1:15" ht="12.75">
      <c r="A70" s="539">
        <f ca="1"/>
        <v>64</v>
      </c>
      <c r="B70" s="35" t="str">
        <f ca="1">IFERROR(__xludf.DUMMYFUNCTION("""COMPUTED_VALUE"""),"Tổ Hạ tầng Bến Lức")</f>
        <v>Tổ Hạ tầng Bến Lức</v>
      </c>
      <c r="C70" s="35" t="str">
        <f ca="1">IFERROR(__xludf.DUMMYFUNCTION("""COMPUTED_VALUE"""),"Bùi Tấn Bảo")</f>
        <v>Bùi Tấn Bảo</v>
      </c>
      <c r="D70" s="35">
        <f ca="1">IFERROR(__xludf.DUMMYFUNCTION("""COMPUTED_VALUE"""),918760639)</f>
        <v>918760639</v>
      </c>
      <c r="E70" s="35" t="str">
        <f ca="1">IFERROR(__xludf.DUMMYFUNCTION("""COMPUTED_VALUE"""),"baobt.lan@vnpt.vn")</f>
        <v>baobt.lan@vnpt.vn</v>
      </c>
      <c r="F70" s="540" t="str">
        <f ca="1">IFERROR(__xludf.DUMMYFUNCTION("""COMPUTED_VALUE"""),"Lần 16")</f>
        <v>Lần 16</v>
      </c>
      <c r="G70" s="278"/>
      <c r="H70" s="35"/>
      <c r="I70" s="35"/>
      <c r="J70" s="541"/>
      <c r="K70" s="541"/>
      <c r="M70" s="539">
        <f ca="1">IFERROR(__xludf.DUMMYFUNCTION("""COMPUTED_VALUE"""),0)</f>
        <v>0</v>
      </c>
      <c r="N70" s="539">
        <f ca="1">IFERROR(__xludf.DUMMYFUNCTION("""COMPUTED_VALUE"""),0)</f>
        <v>0</v>
      </c>
      <c r="O70" s="539">
        <f ca="1">IFERROR(__xludf.DUMMYFUNCTION("""COMPUTED_VALUE"""),0)</f>
        <v>0</v>
      </c>
    </row>
    <row r="71" spans="1:15" ht="12.75">
      <c r="A71" s="539">
        <f ca="1"/>
        <v>65</v>
      </c>
      <c r="B71" s="35" t="str">
        <f ca="1">IFERROR(__xludf.DUMMYFUNCTION("""COMPUTED_VALUE"""),"Tổ Hạ tầng Bến Lức")</f>
        <v>Tổ Hạ tầng Bến Lức</v>
      </c>
      <c r="C71" s="35" t="str">
        <f ca="1">IFERROR(__xludf.DUMMYFUNCTION("""COMPUTED_VALUE"""),"Đoàn Tấn Phương")</f>
        <v>Đoàn Tấn Phương</v>
      </c>
      <c r="D71" s="35">
        <f ca="1">IFERROR(__xludf.DUMMYFUNCTION("""COMPUTED_VALUE"""),949250049)</f>
        <v>949250049</v>
      </c>
      <c r="E71" s="35" t="str">
        <f ca="1">IFERROR(__xludf.DUMMYFUNCTION("""COMPUTED_VALUE"""),"phuongdt.lan@vnpt.vn")</f>
        <v>phuongdt.lan@vnpt.vn</v>
      </c>
      <c r="F71" s="540" t="str">
        <f ca="1">IFERROR(__xludf.DUMMYFUNCTION("""COMPUTED_VALUE"""),"Lần 1")</f>
        <v>Lần 1</v>
      </c>
      <c r="G71" s="278">
        <f ca="1">IFERROR(__xludf.DUMMYFUNCTION("""COMPUTED_VALUE"""),46209)</f>
        <v>46209</v>
      </c>
      <c r="H71" s="35">
        <f ca="1">IFERROR(__xludf.DUMMYFUNCTION("""COMPUTED_VALUE"""),137)</f>
        <v>137</v>
      </c>
      <c r="I71" s="35" t="str">
        <f ca="1">IFERROR(__xludf.DUMMYFUNCTION("""COMPUTED_VALUE"""),"53.4")</f>
        <v>53.4</v>
      </c>
      <c r="J71" s="541">
        <f ca="1">IFERROR(__xludf.DUMMYFUNCTION("""COMPUTED_VALUE"""),633)</f>
        <v>633</v>
      </c>
      <c r="K71" s="541">
        <f ca="1">IFERROR(__xludf.DUMMYFUNCTION("""COMPUTED_VALUE"""),93.5)</f>
        <v>93.5</v>
      </c>
      <c r="M71" s="539">
        <f ca="1">IFERROR(__xludf.DUMMYFUNCTION("""COMPUTED_VALUE"""),1)</f>
        <v>1</v>
      </c>
      <c r="N71" s="539">
        <f ca="1">IFERROR(__xludf.DUMMYFUNCTION("""COMPUTED_VALUE"""),1)</f>
        <v>1</v>
      </c>
      <c r="O71" s="539">
        <f ca="1">IFERROR(__xludf.DUMMYFUNCTION("""COMPUTED_VALUE"""),1)</f>
        <v>1</v>
      </c>
    </row>
    <row r="72" spans="1:15" ht="12.75">
      <c r="A72" s="539">
        <f ca="1"/>
        <v>66</v>
      </c>
      <c r="B72" s="35" t="str">
        <f ca="1">IFERROR(__xludf.DUMMYFUNCTION("""COMPUTED_VALUE"""),"Tổ Hạ tầng Bến Lức")</f>
        <v>Tổ Hạ tầng Bến Lức</v>
      </c>
      <c r="C72" s="35" t="str">
        <f ca="1">IFERROR(__xludf.DUMMYFUNCTION("""COMPUTED_VALUE"""),"Đoàn Tấn Phương")</f>
        <v>Đoàn Tấn Phương</v>
      </c>
      <c r="D72" s="35">
        <f ca="1">IFERROR(__xludf.DUMMYFUNCTION("""COMPUTED_VALUE"""),949250049)</f>
        <v>949250049</v>
      </c>
      <c r="E72" s="35" t="str">
        <f ca="1">IFERROR(__xludf.DUMMYFUNCTION("""COMPUTED_VALUE"""),"phuongdt.lan@vnpt.vn")</f>
        <v>phuongdt.lan@vnpt.vn</v>
      </c>
      <c r="F72" s="540" t="str">
        <f ca="1">IFERROR(__xludf.DUMMYFUNCTION("""COMPUTED_VALUE"""),"Lần 2")</f>
        <v>Lần 2</v>
      </c>
      <c r="G72" s="278">
        <f ca="1">IFERROR(__xludf.DUMMYFUNCTION("""COMPUTED_VALUE"""),46209)</f>
        <v>46209</v>
      </c>
      <c r="H72" s="35">
        <f ca="1">IFERROR(__xludf.DUMMYFUNCTION("""COMPUTED_VALUE"""),162)</f>
        <v>162</v>
      </c>
      <c r="I72" s="35" t="str">
        <f ca="1">IFERROR(__xludf.DUMMYFUNCTION("""COMPUTED_VALUE"""),"57.7")</f>
        <v>57.7</v>
      </c>
      <c r="J72" s="541">
        <f ca="1">IFERROR(__xludf.DUMMYFUNCTION("""COMPUTED_VALUE"""),435)</f>
        <v>435</v>
      </c>
      <c r="K72" s="541">
        <f ca="1">IFERROR(__xludf.DUMMYFUNCTION("""COMPUTED_VALUE"""),63.7)</f>
        <v>63.7</v>
      </c>
      <c r="M72" s="539">
        <f ca="1">IFERROR(__xludf.DUMMYFUNCTION("""COMPUTED_VALUE"""),1)</f>
        <v>1</v>
      </c>
      <c r="N72" s="539">
        <f ca="1">IFERROR(__xludf.DUMMYFUNCTION("""COMPUTED_VALUE"""),1)</f>
        <v>1</v>
      </c>
      <c r="O72" s="539">
        <f ca="1">IFERROR(__xludf.DUMMYFUNCTION("""COMPUTED_VALUE"""),1)</f>
        <v>1</v>
      </c>
    </row>
    <row r="73" spans="1:15" ht="12.75">
      <c r="A73" s="539">
        <f ca="1"/>
        <v>67</v>
      </c>
      <c r="B73" s="35" t="str">
        <f ca="1">IFERROR(__xludf.DUMMYFUNCTION("""COMPUTED_VALUE"""),"Tổ Hạ tầng Bến Lức")</f>
        <v>Tổ Hạ tầng Bến Lức</v>
      </c>
      <c r="C73" s="35" t="str">
        <f ca="1">IFERROR(__xludf.DUMMYFUNCTION("""COMPUTED_VALUE"""),"Đoàn Tấn Phương")</f>
        <v>Đoàn Tấn Phương</v>
      </c>
      <c r="D73" s="35">
        <f ca="1">IFERROR(__xludf.DUMMYFUNCTION("""COMPUTED_VALUE"""),949250049)</f>
        <v>949250049</v>
      </c>
      <c r="E73" s="35" t="str">
        <f ca="1">IFERROR(__xludf.DUMMYFUNCTION("""COMPUTED_VALUE"""),"phuongdt.lan@vnpt.vn")</f>
        <v>phuongdt.lan@vnpt.vn</v>
      </c>
      <c r="F73" s="540" t="str">
        <f ca="1">IFERROR(__xludf.DUMMYFUNCTION("""COMPUTED_VALUE"""),"Lần 3")</f>
        <v>Lần 3</v>
      </c>
      <c r="G73" s="278">
        <f ca="1">IFERROR(__xludf.DUMMYFUNCTION("""COMPUTED_VALUE"""),46209)</f>
        <v>46209</v>
      </c>
      <c r="H73" s="35">
        <f ca="1">IFERROR(__xludf.DUMMYFUNCTION("""COMPUTED_VALUE"""),165)</f>
        <v>165</v>
      </c>
      <c r="I73" s="35" t="str">
        <f ca="1">IFERROR(__xludf.DUMMYFUNCTION("""COMPUTED_VALUE"""),"56.9")</f>
        <v>56.9</v>
      </c>
      <c r="J73" s="541">
        <f ca="1">IFERROR(__xludf.DUMMYFUNCTION("""COMPUTED_VALUE"""),750)</f>
        <v>750</v>
      </c>
      <c r="K73" s="541">
        <f ca="1">IFERROR(__xludf.DUMMYFUNCTION("""COMPUTED_VALUE"""),87)</f>
        <v>87</v>
      </c>
      <c r="M73" s="539">
        <f ca="1">IFERROR(__xludf.DUMMYFUNCTION("""COMPUTED_VALUE"""),1)</f>
        <v>1</v>
      </c>
      <c r="N73" s="539">
        <f ca="1">IFERROR(__xludf.DUMMYFUNCTION("""COMPUTED_VALUE"""),1)</f>
        <v>1</v>
      </c>
      <c r="O73" s="539">
        <f ca="1">IFERROR(__xludf.DUMMYFUNCTION("""COMPUTED_VALUE"""),1)</f>
        <v>1</v>
      </c>
    </row>
    <row r="74" spans="1:15" ht="12.75">
      <c r="A74" s="539">
        <f ca="1"/>
        <v>68</v>
      </c>
      <c r="B74" s="35" t="str">
        <f ca="1">IFERROR(__xludf.DUMMYFUNCTION("""COMPUTED_VALUE"""),"Tổ Hạ tầng Bến Lức")</f>
        <v>Tổ Hạ tầng Bến Lức</v>
      </c>
      <c r="C74" s="35" t="str">
        <f ca="1">IFERROR(__xludf.DUMMYFUNCTION("""COMPUTED_VALUE"""),"Đoàn Tấn Phương")</f>
        <v>Đoàn Tấn Phương</v>
      </c>
      <c r="D74" s="35">
        <f ca="1">IFERROR(__xludf.DUMMYFUNCTION("""COMPUTED_VALUE"""),949250049)</f>
        <v>949250049</v>
      </c>
      <c r="E74" s="35" t="str">
        <f ca="1">IFERROR(__xludf.DUMMYFUNCTION("""COMPUTED_VALUE"""),"phuongdt.lan@vnpt.vn")</f>
        <v>phuongdt.lan@vnpt.vn</v>
      </c>
      <c r="F74" s="540" t="str">
        <f ca="1">IFERROR(__xludf.DUMMYFUNCTION("""COMPUTED_VALUE"""),"Lần 4")</f>
        <v>Lần 4</v>
      </c>
      <c r="G74" s="278">
        <f ca="1">IFERROR(__xludf.DUMMYFUNCTION("""COMPUTED_VALUE"""),46209)</f>
        <v>46209</v>
      </c>
      <c r="H74" s="35">
        <f ca="1">IFERROR(__xludf.DUMMYFUNCTION("""COMPUTED_VALUE"""),158)</f>
        <v>158</v>
      </c>
      <c r="I74" s="35" t="str">
        <f ca="1">IFERROR(__xludf.DUMMYFUNCTION("""COMPUTED_VALUE"""),"60.6")</f>
        <v>60.6</v>
      </c>
      <c r="J74" s="541">
        <f ca="1">IFERROR(__xludf.DUMMYFUNCTION("""COMPUTED_VALUE"""),506)</f>
        <v>506</v>
      </c>
      <c r="K74" s="541">
        <f ca="1">IFERROR(__xludf.DUMMYFUNCTION("""COMPUTED_VALUE"""),32.7)</f>
        <v>32.700000000000003</v>
      </c>
      <c r="M74" s="539">
        <f ca="1">IFERROR(__xludf.DUMMYFUNCTION("""COMPUTED_VALUE"""),1)</f>
        <v>1</v>
      </c>
      <c r="N74" s="539">
        <f ca="1">IFERROR(__xludf.DUMMYFUNCTION("""COMPUTED_VALUE"""),1)</f>
        <v>1</v>
      </c>
      <c r="O74" s="539">
        <f ca="1">IFERROR(__xludf.DUMMYFUNCTION("""COMPUTED_VALUE"""),1)</f>
        <v>1</v>
      </c>
    </row>
    <row r="75" spans="1:15" ht="12.75">
      <c r="A75" s="539">
        <f ca="1"/>
        <v>69</v>
      </c>
      <c r="B75" s="35" t="str">
        <f ca="1">IFERROR(__xludf.DUMMYFUNCTION("""COMPUTED_VALUE"""),"Tổ Hạ tầng Bến Lức")</f>
        <v>Tổ Hạ tầng Bến Lức</v>
      </c>
      <c r="C75" s="35" t="str">
        <f ca="1">IFERROR(__xludf.DUMMYFUNCTION("""COMPUTED_VALUE"""),"Đoàn Tấn Phương")</f>
        <v>Đoàn Tấn Phương</v>
      </c>
      <c r="D75" s="35">
        <f ca="1">IFERROR(__xludf.DUMMYFUNCTION("""COMPUTED_VALUE"""),949250049)</f>
        <v>949250049</v>
      </c>
      <c r="E75" s="35" t="str">
        <f ca="1">IFERROR(__xludf.DUMMYFUNCTION("""COMPUTED_VALUE"""),"phuongdt.lan@vnpt.vn")</f>
        <v>phuongdt.lan@vnpt.vn</v>
      </c>
      <c r="F75" s="540" t="str">
        <f ca="1">IFERROR(__xludf.DUMMYFUNCTION("""COMPUTED_VALUE"""),"Lần 5")</f>
        <v>Lần 5</v>
      </c>
      <c r="G75" s="278">
        <f ca="1">IFERROR(__xludf.DUMMYFUNCTION("""COMPUTED_VALUE"""),46209)</f>
        <v>46209</v>
      </c>
      <c r="H75" s="35">
        <f ca="1">IFERROR(__xludf.DUMMYFUNCTION("""COMPUTED_VALUE"""),136)</f>
        <v>136</v>
      </c>
      <c r="I75" s="35" t="str">
        <f ca="1">IFERROR(__xludf.DUMMYFUNCTION("""COMPUTED_VALUE"""),"62.3")</f>
        <v>62.3</v>
      </c>
      <c r="J75" s="541">
        <f ca="1">IFERROR(__xludf.DUMMYFUNCTION("""COMPUTED_VALUE"""),114)</f>
        <v>114</v>
      </c>
      <c r="K75" s="541">
        <f ca="1">IFERROR(__xludf.DUMMYFUNCTION("""COMPUTED_VALUE"""),52.7)</f>
        <v>52.7</v>
      </c>
      <c r="M75" s="539">
        <f ca="1">IFERROR(__xludf.DUMMYFUNCTION("""COMPUTED_VALUE"""),1)</f>
        <v>1</v>
      </c>
      <c r="N75" s="539">
        <f ca="1">IFERROR(__xludf.DUMMYFUNCTION("""COMPUTED_VALUE"""),1)</f>
        <v>1</v>
      </c>
      <c r="O75" s="539">
        <f ca="1">IFERROR(__xludf.DUMMYFUNCTION("""COMPUTED_VALUE"""),0)</f>
        <v>0</v>
      </c>
    </row>
    <row r="76" spans="1:15" ht="12.75">
      <c r="A76" s="539">
        <f ca="1"/>
        <v>70</v>
      </c>
      <c r="B76" s="35" t="str">
        <f ca="1">IFERROR(__xludf.DUMMYFUNCTION("""COMPUTED_VALUE"""),"Tổ Hạ tầng Bến Lức")</f>
        <v>Tổ Hạ tầng Bến Lức</v>
      </c>
      <c r="C76" s="35" t="str">
        <f ca="1">IFERROR(__xludf.DUMMYFUNCTION("""COMPUTED_VALUE"""),"Đoàn Tấn Phương")</f>
        <v>Đoàn Tấn Phương</v>
      </c>
      <c r="D76" s="35">
        <f ca="1">IFERROR(__xludf.DUMMYFUNCTION("""COMPUTED_VALUE"""),949250049)</f>
        <v>949250049</v>
      </c>
      <c r="E76" s="35" t="str">
        <f ca="1">IFERROR(__xludf.DUMMYFUNCTION("""COMPUTED_VALUE"""),"phuongdt.lan@vnpt.vn")</f>
        <v>phuongdt.lan@vnpt.vn</v>
      </c>
      <c r="F76" s="540" t="str">
        <f ca="1">IFERROR(__xludf.DUMMYFUNCTION("""COMPUTED_VALUE"""),"Lần 6")</f>
        <v>Lần 6</v>
      </c>
      <c r="G76" s="278">
        <f ca="1">IFERROR(__xludf.DUMMYFUNCTION("""COMPUTED_VALUE"""),46209)</f>
        <v>46209</v>
      </c>
      <c r="H76" s="35">
        <f ca="1">IFERROR(__xludf.DUMMYFUNCTION("""COMPUTED_VALUE"""),167)</f>
        <v>167</v>
      </c>
      <c r="I76" s="35" t="str">
        <f ca="1">IFERROR(__xludf.DUMMYFUNCTION("""COMPUTED_VALUE"""),"37.8")</f>
        <v>37.8</v>
      </c>
      <c r="J76" s="541">
        <f ca="1">IFERROR(__xludf.DUMMYFUNCTION("""COMPUTED_VALUE"""),93.5)</f>
        <v>93.5</v>
      </c>
      <c r="K76" s="541">
        <f ca="1">IFERROR(__xludf.DUMMYFUNCTION("""COMPUTED_VALUE"""),51.4)</f>
        <v>51.4</v>
      </c>
      <c r="M76" s="539">
        <f ca="1">IFERROR(__xludf.DUMMYFUNCTION("""COMPUTED_VALUE"""),1)</f>
        <v>1</v>
      </c>
      <c r="N76" s="539">
        <f ca="1">IFERROR(__xludf.DUMMYFUNCTION("""COMPUTED_VALUE"""),1)</f>
        <v>1</v>
      </c>
      <c r="O76" s="539">
        <f ca="1">IFERROR(__xludf.DUMMYFUNCTION("""COMPUTED_VALUE"""),0)</f>
        <v>0</v>
      </c>
    </row>
    <row r="77" spans="1:15" ht="12.75">
      <c r="A77" s="539">
        <f ca="1"/>
        <v>71</v>
      </c>
      <c r="B77" s="35" t="str">
        <f ca="1">IFERROR(__xludf.DUMMYFUNCTION("""COMPUTED_VALUE"""),"Tổ Hạ tầng Bến Lức")</f>
        <v>Tổ Hạ tầng Bến Lức</v>
      </c>
      <c r="C77" s="35" t="str">
        <f ca="1">IFERROR(__xludf.DUMMYFUNCTION("""COMPUTED_VALUE"""),"Đoàn Tấn Phương")</f>
        <v>Đoàn Tấn Phương</v>
      </c>
      <c r="D77" s="35">
        <f ca="1">IFERROR(__xludf.DUMMYFUNCTION("""COMPUTED_VALUE"""),949250049)</f>
        <v>949250049</v>
      </c>
      <c r="E77" s="35" t="str">
        <f ca="1">IFERROR(__xludf.DUMMYFUNCTION("""COMPUTED_VALUE"""),"phuongdt.lan@vnpt.vn")</f>
        <v>phuongdt.lan@vnpt.vn</v>
      </c>
      <c r="F77" s="540" t="str">
        <f ca="1">IFERROR(__xludf.DUMMYFUNCTION("""COMPUTED_VALUE"""),"Lần 7")</f>
        <v>Lần 7</v>
      </c>
      <c r="G77" s="278">
        <f ca="1">IFERROR(__xludf.DUMMYFUNCTION("""COMPUTED_VALUE"""),46209)</f>
        <v>46209</v>
      </c>
      <c r="H77" s="35">
        <f ca="1">IFERROR(__xludf.DUMMYFUNCTION("""COMPUTED_VALUE"""),155)</f>
        <v>155</v>
      </c>
      <c r="I77" s="35" t="str">
        <f ca="1">IFERROR(__xludf.DUMMYFUNCTION("""COMPUTED_VALUE"""),"59.6")</f>
        <v>59.6</v>
      </c>
      <c r="J77" s="541">
        <f ca="1">IFERROR(__xludf.DUMMYFUNCTION("""COMPUTED_VALUE"""),102)</f>
        <v>102</v>
      </c>
      <c r="K77" s="541">
        <f ca="1">IFERROR(__xludf.DUMMYFUNCTION("""COMPUTED_VALUE"""),47.4)</f>
        <v>47.4</v>
      </c>
      <c r="M77" s="539">
        <f ca="1">IFERROR(__xludf.DUMMYFUNCTION("""COMPUTED_VALUE"""),1)</f>
        <v>1</v>
      </c>
      <c r="N77" s="539">
        <f ca="1">IFERROR(__xludf.DUMMYFUNCTION("""COMPUTED_VALUE"""),1)</f>
        <v>1</v>
      </c>
      <c r="O77" s="539">
        <f ca="1">IFERROR(__xludf.DUMMYFUNCTION("""COMPUTED_VALUE"""),0)</f>
        <v>0</v>
      </c>
    </row>
    <row r="78" spans="1:15" ht="12.75">
      <c r="A78" s="539">
        <f ca="1"/>
        <v>72</v>
      </c>
      <c r="B78" s="35" t="str">
        <f ca="1">IFERROR(__xludf.DUMMYFUNCTION("""COMPUTED_VALUE"""),"Tổ Hạ tầng Bến Lức")</f>
        <v>Tổ Hạ tầng Bến Lức</v>
      </c>
      <c r="C78" s="35" t="str">
        <f ca="1">IFERROR(__xludf.DUMMYFUNCTION("""COMPUTED_VALUE"""),"Đoàn Tấn Phương")</f>
        <v>Đoàn Tấn Phương</v>
      </c>
      <c r="D78" s="35">
        <f ca="1">IFERROR(__xludf.DUMMYFUNCTION("""COMPUTED_VALUE"""),949250049)</f>
        <v>949250049</v>
      </c>
      <c r="E78" s="35" t="str">
        <f ca="1">IFERROR(__xludf.DUMMYFUNCTION("""COMPUTED_VALUE"""),"phuongdt.lan@vnpt.vn")</f>
        <v>phuongdt.lan@vnpt.vn</v>
      </c>
      <c r="F78" s="540" t="str">
        <f ca="1">IFERROR(__xludf.DUMMYFUNCTION("""COMPUTED_VALUE"""),"Lần 8")</f>
        <v>Lần 8</v>
      </c>
      <c r="G78" s="278">
        <f ca="1">IFERROR(__xludf.DUMMYFUNCTION("""COMPUTED_VALUE"""),46215)</f>
        <v>46215</v>
      </c>
      <c r="H78" s="35">
        <f ca="1">IFERROR(__xludf.DUMMYFUNCTION("""COMPUTED_VALUE"""),112)</f>
        <v>112</v>
      </c>
      <c r="I78" s="35" t="str">
        <f ca="1">IFERROR(__xludf.DUMMYFUNCTION("""COMPUTED_VALUE"""),"49.3")</f>
        <v>49.3</v>
      </c>
      <c r="J78" s="541"/>
      <c r="K78" s="541"/>
      <c r="M78" s="539">
        <f ca="1">IFERROR(__xludf.DUMMYFUNCTION("""COMPUTED_VALUE"""),1)</f>
        <v>1</v>
      </c>
      <c r="N78" s="539">
        <f ca="1">IFERROR(__xludf.DUMMYFUNCTION("""COMPUTED_VALUE"""),0)</f>
        <v>0</v>
      </c>
      <c r="O78" s="539">
        <f ca="1">IFERROR(__xludf.DUMMYFUNCTION("""COMPUTED_VALUE"""),0)</f>
        <v>0</v>
      </c>
    </row>
    <row r="79" spans="1:15" ht="12.75">
      <c r="A79" s="539">
        <f ca="1"/>
        <v>73</v>
      </c>
      <c r="B79" s="35" t="str">
        <f ca="1">IFERROR(__xludf.DUMMYFUNCTION("""COMPUTED_VALUE"""),"Tổ Hạ tầng Bến Lức")</f>
        <v>Tổ Hạ tầng Bến Lức</v>
      </c>
      <c r="C79" s="35" t="str">
        <f ca="1">IFERROR(__xludf.DUMMYFUNCTION("""COMPUTED_VALUE"""),"Đoàn Tấn Phương")</f>
        <v>Đoàn Tấn Phương</v>
      </c>
      <c r="D79" s="35">
        <f ca="1">IFERROR(__xludf.DUMMYFUNCTION("""COMPUTED_VALUE"""),949250049)</f>
        <v>949250049</v>
      </c>
      <c r="E79" s="35" t="str">
        <f ca="1">IFERROR(__xludf.DUMMYFUNCTION("""COMPUTED_VALUE"""),"phuongdt.lan@vnpt.vn")</f>
        <v>phuongdt.lan@vnpt.vn</v>
      </c>
      <c r="F79" s="540" t="str">
        <f ca="1">IFERROR(__xludf.DUMMYFUNCTION("""COMPUTED_VALUE"""),"Lần 9")</f>
        <v>Lần 9</v>
      </c>
      <c r="G79" s="278">
        <f ca="1">IFERROR(__xludf.DUMMYFUNCTION("""COMPUTED_VALUE"""),46215)</f>
        <v>46215</v>
      </c>
      <c r="H79" s="35">
        <f ca="1">IFERROR(__xludf.DUMMYFUNCTION("""COMPUTED_VALUE"""),122)</f>
        <v>122</v>
      </c>
      <c r="I79" s="35" t="str">
        <f ca="1">IFERROR(__xludf.DUMMYFUNCTION("""COMPUTED_VALUE"""),"50.4")</f>
        <v>50.4</v>
      </c>
      <c r="J79" s="541"/>
      <c r="K79" s="541"/>
      <c r="M79" s="539">
        <f ca="1">IFERROR(__xludf.DUMMYFUNCTION("""COMPUTED_VALUE"""),1)</f>
        <v>1</v>
      </c>
      <c r="N79" s="539">
        <f ca="1">IFERROR(__xludf.DUMMYFUNCTION("""COMPUTED_VALUE"""),0)</f>
        <v>0</v>
      </c>
      <c r="O79" s="539">
        <f ca="1">IFERROR(__xludf.DUMMYFUNCTION("""COMPUTED_VALUE"""),0)</f>
        <v>0</v>
      </c>
    </row>
    <row r="80" spans="1:15" ht="12.75">
      <c r="A80" s="539">
        <f ca="1"/>
        <v>74</v>
      </c>
      <c r="B80" s="35" t="str">
        <f ca="1">IFERROR(__xludf.DUMMYFUNCTION("""COMPUTED_VALUE"""),"Tổ Hạ tầng Bến Lức")</f>
        <v>Tổ Hạ tầng Bến Lức</v>
      </c>
      <c r="C80" s="35" t="str">
        <f ca="1">IFERROR(__xludf.DUMMYFUNCTION("""COMPUTED_VALUE"""),"Đoàn Tấn Phương")</f>
        <v>Đoàn Tấn Phương</v>
      </c>
      <c r="D80" s="35">
        <f ca="1">IFERROR(__xludf.DUMMYFUNCTION("""COMPUTED_VALUE"""),949250049)</f>
        <v>949250049</v>
      </c>
      <c r="E80" s="35" t="str">
        <f ca="1">IFERROR(__xludf.DUMMYFUNCTION("""COMPUTED_VALUE"""),"phuongdt.lan@vnpt.vn")</f>
        <v>phuongdt.lan@vnpt.vn</v>
      </c>
      <c r="F80" s="540" t="str">
        <f ca="1">IFERROR(__xludf.DUMMYFUNCTION("""COMPUTED_VALUE"""),"Lần 10")</f>
        <v>Lần 10</v>
      </c>
      <c r="G80" s="278">
        <f ca="1">IFERROR(__xludf.DUMMYFUNCTION("""COMPUTED_VALUE"""),46215)</f>
        <v>46215</v>
      </c>
      <c r="H80" s="35">
        <f ca="1">IFERROR(__xludf.DUMMYFUNCTION("""COMPUTED_VALUE"""),112)</f>
        <v>112</v>
      </c>
      <c r="I80" s="35" t="str">
        <f ca="1">IFERROR(__xludf.DUMMYFUNCTION("""COMPUTED_VALUE"""),"39.5")</f>
        <v>39.5</v>
      </c>
      <c r="J80" s="541"/>
      <c r="K80" s="541"/>
      <c r="M80" s="539">
        <f ca="1">IFERROR(__xludf.DUMMYFUNCTION("""COMPUTED_VALUE"""),1)</f>
        <v>1</v>
      </c>
      <c r="N80" s="539">
        <f ca="1">IFERROR(__xludf.DUMMYFUNCTION("""COMPUTED_VALUE"""),0)</f>
        <v>0</v>
      </c>
      <c r="O80" s="539">
        <f ca="1">IFERROR(__xludf.DUMMYFUNCTION("""COMPUTED_VALUE"""),0)</f>
        <v>0</v>
      </c>
    </row>
    <row r="81" spans="1:15" ht="12.75">
      <c r="A81" s="539">
        <f ca="1"/>
        <v>75</v>
      </c>
      <c r="B81" s="35" t="str">
        <f ca="1">IFERROR(__xludf.DUMMYFUNCTION("""COMPUTED_VALUE"""),"Tổ Hạ tầng Bến Lức")</f>
        <v>Tổ Hạ tầng Bến Lức</v>
      </c>
      <c r="C81" s="35" t="str">
        <f ca="1">IFERROR(__xludf.DUMMYFUNCTION("""COMPUTED_VALUE"""),"Đoàn Tấn Phương")</f>
        <v>Đoàn Tấn Phương</v>
      </c>
      <c r="D81" s="35">
        <f ca="1">IFERROR(__xludf.DUMMYFUNCTION("""COMPUTED_VALUE"""),949250049)</f>
        <v>949250049</v>
      </c>
      <c r="E81" s="35" t="str">
        <f ca="1">IFERROR(__xludf.DUMMYFUNCTION("""COMPUTED_VALUE"""),"phuongdt.lan@vnpt.vn")</f>
        <v>phuongdt.lan@vnpt.vn</v>
      </c>
      <c r="F81" s="540" t="str">
        <f ca="1">IFERROR(__xludf.DUMMYFUNCTION("""COMPUTED_VALUE"""),"Lần 11")</f>
        <v>Lần 11</v>
      </c>
      <c r="G81" s="278">
        <f ca="1">IFERROR(__xludf.DUMMYFUNCTION("""COMPUTED_VALUE"""),46215)</f>
        <v>46215</v>
      </c>
      <c r="H81" s="35" t="str">
        <f ca="1">IFERROR(__xludf.DUMMYFUNCTION("""COMPUTED_VALUE"""),"72.3")</f>
        <v>72.3</v>
      </c>
      <c r="I81" s="35" t="str">
        <f ca="1">IFERROR(__xludf.DUMMYFUNCTION("""COMPUTED_VALUE"""),"48.9")</f>
        <v>48.9</v>
      </c>
      <c r="J81" s="541"/>
      <c r="K81" s="541"/>
      <c r="M81" s="539">
        <f ca="1">IFERROR(__xludf.DUMMYFUNCTION("""COMPUTED_VALUE"""),1)</f>
        <v>1</v>
      </c>
      <c r="N81" s="539">
        <f ca="1">IFERROR(__xludf.DUMMYFUNCTION("""COMPUTED_VALUE"""),0)</f>
        <v>0</v>
      </c>
      <c r="O81" s="539">
        <f ca="1">IFERROR(__xludf.DUMMYFUNCTION("""COMPUTED_VALUE"""),0)</f>
        <v>0</v>
      </c>
    </row>
    <row r="82" spans="1:15" ht="12.75">
      <c r="A82" s="539">
        <f ca="1"/>
        <v>76</v>
      </c>
      <c r="B82" s="35" t="str">
        <f ca="1">IFERROR(__xludf.DUMMYFUNCTION("""COMPUTED_VALUE"""),"Tổ Hạ tầng Bến Lức")</f>
        <v>Tổ Hạ tầng Bến Lức</v>
      </c>
      <c r="C82" s="35" t="str">
        <f ca="1">IFERROR(__xludf.DUMMYFUNCTION("""COMPUTED_VALUE"""),"Đoàn Tấn Phương")</f>
        <v>Đoàn Tấn Phương</v>
      </c>
      <c r="D82" s="35">
        <f ca="1">IFERROR(__xludf.DUMMYFUNCTION("""COMPUTED_VALUE"""),949250049)</f>
        <v>949250049</v>
      </c>
      <c r="E82" s="35" t="str">
        <f ca="1">IFERROR(__xludf.DUMMYFUNCTION("""COMPUTED_VALUE"""),"phuongdt.lan@vnpt.vn")</f>
        <v>phuongdt.lan@vnpt.vn</v>
      </c>
      <c r="F82" s="540" t="str">
        <f ca="1">IFERROR(__xludf.DUMMYFUNCTION("""COMPUTED_VALUE"""),"Lần 12")</f>
        <v>Lần 12</v>
      </c>
      <c r="G82" s="278">
        <f ca="1">IFERROR(__xludf.DUMMYFUNCTION("""COMPUTED_VALUE"""),46215)</f>
        <v>46215</v>
      </c>
      <c r="H82" s="35">
        <f ca="1">IFERROR(__xludf.DUMMYFUNCTION("""COMPUTED_VALUE"""),105)</f>
        <v>105</v>
      </c>
      <c r="I82" s="35" t="str">
        <f ca="1">IFERROR(__xludf.DUMMYFUNCTION("""COMPUTED_VALUE"""),"52.3")</f>
        <v>52.3</v>
      </c>
      <c r="J82" s="541"/>
      <c r="K82" s="541"/>
      <c r="M82" s="539">
        <f ca="1">IFERROR(__xludf.DUMMYFUNCTION("""COMPUTED_VALUE"""),1)</f>
        <v>1</v>
      </c>
      <c r="N82" s="539">
        <f ca="1">IFERROR(__xludf.DUMMYFUNCTION("""COMPUTED_VALUE"""),0)</f>
        <v>0</v>
      </c>
      <c r="O82" s="539">
        <f ca="1">IFERROR(__xludf.DUMMYFUNCTION("""COMPUTED_VALUE"""),0)</f>
        <v>0</v>
      </c>
    </row>
    <row r="83" spans="1:15" ht="12.75">
      <c r="A83" s="539">
        <f ca="1"/>
        <v>77</v>
      </c>
      <c r="B83" s="35" t="str">
        <f ca="1">IFERROR(__xludf.DUMMYFUNCTION("""COMPUTED_VALUE"""),"Tổ Hạ tầng Bến Lức")</f>
        <v>Tổ Hạ tầng Bến Lức</v>
      </c>
      <c r="C83" s="35" t="str">
        <f ca="1">IFERROR(__xludf.DUMMYFUNCTION("""COMPUTED_VALUE"""),"Đoàn Tấn Phương")</f>
        <v>Đoàn Tấn Phương</v>
      </c>
      <c r="D83" s="35">
        <f ca="1">IFERROR(__xludf.DUMMYFUNCTION("""COMPUTED_VALUE"""),949250049)</f>
        <v>949250049</v>
      </c>
      <c r="E83" s="35" t="str">
        <f ca="1">IFERROR(__xludf.DUMMYFUNCTION("""COMPUTED_VALUE"""),"phuongdt.lan@vnpt.vn")</f>
        <v>phuongdt.lan@vnpt.vn</v>
      </c>
      <c r="F83" s="540" t="str">
        <f ca="1">IFERROR(__xludf.DUMMYFUNCTION("""COMPUTED_VALUE"""),"Lần 13")</f>
        <v>Lần 13</v>
      </c>
      <c r="G83" s="278">
        <f ca="1">IFERROR(__xludf.DUMMYFUNCTION("""COMPUTED_VALUE"""),46215)</f>
        <v>46215</v>
      </c>
      <c r="H83" s="35">
        <f ca="1">IFERROR(__xludf.DUMMYFUNCTION("""COMPUTED_VALUE"""),124)</f>
        <v>124</v>
      </c>
      <c r="I83" s="35" t="str">
        <f ca="1">IFERROR(__xludf.DUMMYFUNCTION("""COMPUTED_VALUE"""),"46.8")</f>
        <v>46.8</v>
      </c>
      <c r="J83" s="541"/>
      <c r="K83" s="541"/>
      <c r="M83" s="539">
        <f ca="1">IFERROR(__xludf.DUMMYFUNCTION("""COMPUTED_VALUE"""),1)</f>
        <v>1</v>
      </c>
      <c r="N83" s="539">
        <f ca="1">IFERROR(__xludf.DUMMYFUNCTION("""COMPUTED_VALUE"""),0)</f>
        <v>0</v>
      </c>
      <c r="O83" s="539">
        <f ca="1">IFERROR(__xludf.DUMMYFUNCTION("""COMPUTED_VALUE"""),0)</f>
        <v>0</v>
      </c>
    </row>
    <row r="84" spans="1:15" ht="12.75">
      <c r="A84" s="539">
        <f ca="1"/>
        <v>78</v>
      </c>
      <c r="B84" s="35" t="str">
        <f ca="1">IFERROR(__xludf.DUMMYFUNCTION("""COMPUTED_VALUE"""),"Tổ Hạ tầng Bến Lức")</f>
        <v>Tổ Hạ tầng Bến Lức</v>
      </c>
      <c r="C84" s="35" t="str">
        <f ca="1">IFERROR(__xludf.DUMMYFUNCTION("""COMPUTED_VALUE"""),"Đoàn Tấn Phương")</f>
        <v>Đoàn Tấn Phương</v>
      </c>
      <c r="D84" s="35">
        <f ca="1">IFERROR(__xludf.DUMMYFUNCTION("""COMPUTED_VALUE"""),949250049)</f>
        <v>949250049</v>
      </c>
      <c r="E84" s="35" t="str">
        <f ca="1">IFERROR(__xludf.DUMMYFUNCTION("""COMPUTED_VALUE"""),"phuongdt.lan@vnpt.vn")</f>
        <v>phuongdt.lan@vnpt.vn</v>
      </c>
      <c r="F84" s="540" t="str">
        <f ca="1">IFERROR(__xludf.DUMMYFUNCTION("""COMPUTED_VALUE"""),"Lần 14")</f>
        <v>Lần 14</v>
      </c>
      <c r="G84" s="278">
        <f ca="1">IFERROR(__xludf.DUMMYFUNCTION("""COMPUTED_VALUE"""),46215)</f>
        <v>46215</v>
      </c>
      <c r="H84" s="35">
        <f ca="1">IFERROR(__xludf.DUMMYFUNCTION("""COMPUTED_VALUE"""),121)</f>
        <v>121</v>
      </c>
      <c r="I84" s="35" t="str">
        <f ca="1">IFERROR(__xludf.DUMMYFUNCTION("""COMPUTED_VALUE"""),"45.6")</f>
        <v>45.6</v>
      </c>
      <c r="J84" s="541"/>
      <c r="K84" s="541"/>
      <c r="M84" s="539">
        <f ca="1">IFERROR(__xludf.DUMMYFUNCTION("""COMPUTED_VALUE"""),1)</f>
        <v>1</v>
      </c>
      <c r="N84" s="539">
        <f ca="1">IFERROR(__xludf.DUMMYFUNCTION("""COMPUTED_VALUE"""),0)</f>
        <v>0</v>
      </c>
      <c r="O84" s="539">
        <f ca="1">IFERROR(__xludf.DUMMYFUNCTION("""COMPUTED_VALUE"""),0)</f>
        <v>0</v>
      </c>
    </row>
    <row r="85" spans="1:15" ht="12.75">
      <c r="A85" s="539">
        <f ca="1"/>
        <v>79</v>
      </c>
      <c r="B85" s="35" t="str">
        <f ca="1">IFERROR(__xludf.DUMMYFUNCTION("""COMPUTED_VALUE"""),"Tổ Hạ tầng Bến Lức")</f>
        <v>Tổ Hạ tầng Bến Lức</v>
      </c>
      <c r="C85" s="35" t="str">
        <f ca="1">IFERROR(__xludf.DUMMYFUNCTION("""COMPUTED_VALUE"""),"Đoàn Tấn Phương")</f>
        <v>Đoàn Tấn Phương</v>
      </c>
      <c r="D85" s="35">
        <f ca="1">IFERROR(__xludf.DUMMYFUNCTION("""COMPUTED_VALUE"""),949250049)</f>
        <v>949250049</v>
      </c>
      <c r="E85" s="35" t="str">
        <f ca="1">IFERROR(__xludf.DUMMYFUNCTION("""COMPUTED_VALUE"""),"phuongdt.lan@vnpt.vn")</f>
        <v>phuongdt.lan@vnpt.vn</v>
      </c>
      <c r="F85" s="540" t="str">
        <f ca="1">IFERROR(__xludf.DUMMYFUNCTION("""COMPUTED_VALUE"""),"Lần 15")</f>
        <v>Lần 15</v>
      </c>
      <c r="G85" s="278">
        <f ca="1">IFERROR(__xludf.DUMMYFUNCTION("""COMPUTED_VALUE"""),46215)</f>
        <v>46215</v>
      </c>
      <c r="H85" s="35" t="str">
        <f ca="1">IFERROR(__xludf.DUMMYFUNCTION("""COMPUTED_VALUE"""),"98.1")</f>
        <v>98.1</v>
      </c>
      <c r="I85" s="35">
        <f ca="1">IFERROR(__xludf.DUMMYFUNCTION("""COMPUTED_VALUE"""),30)</f>
        <v>30</v>
      </c>
      <c r="J85" s="541"/>
      <c r="K85" s="541"/>
      <c r="M85" s="539">
        <f ca="1">IFERROR(__xludf.DUMMYFUNCTION("""COMPUTED_VALUE"""),1)</f>
        <v>1</v>
      </c>
      <c r="N85" s="539">
        <f ca="1">IFERROR(__xludf.DUMMYFUNCTION("""COMPUTED_VALUE"""),0)</f>
        <v>0</v>
      </c>
      <c r="O85" s="539">
        <f ca="1">IFERROR(__xludf.DUMMYFUNCTION("""COMPUTED_VALUE"""),0)</f>
        <v>0</v>
      </c>
    </row>
    <row r="86" spans="1:15" ht="12.75">
      <c r="A86" s="539">
        <f ca="1"/>
        <v>80</v>
      </c>
      <c r="B86" s="35" t="str">
        <f ca="1">IFERROR(__xludf.DUMMYFUNCTION("""COMPUTED_VALUE"""),"Tổ Hạ tầng Bến Lức")</f>
        <v>Tổ Hạ tầng Bến Lức</v>
      </c>
      <c r="C86" s="35" t="str">
        <f ca="1">IFERROR(__xludf.DUMMYFUNCTION("""COMPUTED_VALUE"""),"Đoàn Tấn Phương")</f>
        <v>Đoàn Tấn Phương</v>
      </c>
      <c r="D86" s="35">
        <f ca="1">IFERROR(__xludf.DUMMYFUNCTION("""COMPUTED_VALUE"""),949250049)</f>
        <v>949250049</v>
      </c>
      <c r="E86" s="35" t="str">
        <f ca="1">IFERROR(__xludf.DUMMYFUNCTION("""COMPUTED_VALUE"""),"phuongdt.lan@vnpt.vn")</f>
        <v>phuongdt.lan@vnpt.vn</v>
      </c>
      <c r="F86" s="540" t="str">
        <f ca="1">IFERROR(__xludf.DUMMYFUNCTION("""COMPUTED_VALUE"""),"Lần 16")</f>
        <v>Lần 16</v>
      </c>
      <c r="G86" s="278">
        <f ca="1">IFERROR(__xludf.DUMMYFUNCTION("""COMPUTED_VALUE"""),46215)</f>
        <v>46215</v>
      </c>
      <c r="H86" s="35" t="str">
        <f ca="1">IFERROR(__xludf.DUMMYFUNCTION("""COMPUTED_VALUE"""),"78.4")</f>
        <v>78.4</v>
      </c>
      <c r="I86" s="35" t="str">
        <f ca="1">IFERROR(__xludf.DUMMYFUNCTION("""COMPUTED_VALUE"""),"30.2")</f>
        <v>30.2</v>
      </c>
      <c r="J86" s="541"/>
      <c r="K86" s="541"/>
      <c r="M86" s="539">
        <f ca="1">IFERROR(__xludf.DUMMYFUNCTION("""COMPUTED_VALUE"""),1)</f>
        <v>1</v>
      </c>
      <c r="N86" s="539">
        <f ca="1">IFERROR(__xludf.DUMMYFUNCTION("""COMPUTED_VALUE"""),0)</f>
        <v>0</v>
      </c>
      <c r="O86" s="539">
        <f ca="1">IFERROR(__xludf.DUMMYFUNCTION("""COMPUTED_VALUE"""),0)</f>
        <v>0</v>
      </c>
    </row>
    <row r="87" spans="1:15" ht="12.75">
      <c r="A87" s="539">
        <f ca="1"/>
        <v>81</v>
      </c>
      <c r="B87" s="35" t="str">
        <f ca="1">IFERROR(__xludf.DUMMYFUNCTION("""COMPUTED_VALUE"""),"Tổ Hạ tầng Bến Lức")</f>
        <v>Tổ Hạ tầng Bến Lức</v>
      </c>
      <c r="C87" s="35" t="str">
        <f ca="1">IFERROR(__xludf.DUMMYFUNCTION("""COMPUTED_VALUE"""),"Mai Thiện Phương")</f>
        <v>Mai Thiện Phương</v>
      </c>
      <c r="D87" s="35">
        <f ca="1">IFERROR(__xludf.DUMMYFUNCTION("""COMPUTED_VALUE"""),835880097)</f>
        <v>835880097</v>
      </c>
      <c r="E87" s="35" t="str">
        <f ca="1">IFERROR(__xludf.DUMMYFUNCTION("""COMPUTED_VALUE"""),"phuongmt.lan@vnpt.vn")</f>
        <v>phuongmt.lan@vnpt.vn</v>
      </c>
      <c r="F87" s="540" t="str">
        <f ca="1">IFERROR(__xludf.DUMMYFUNCTION("""COMPUTED_VALUE"""),"Lần 1")</f>
        <v>Lần 1</v>
      </c>
      <c r="G87" s="278">
        <f ca="1">IFERROR(__xludf.DUMMYFUNCTION("""COMPUTED_VALUE"""),46213)</f>
        <v>46213</v>
      </c>
      <c r="H87" s="35">
        <f ca="1">IFERROR(__xludf.DUMMYFUNCTION("""COMPUTED_VALUE"""),269)</f>
        <v>269</v>
      </c>
      <c r="I87" s="35">
        <f ca="1">IFERROR(__xludf.DUMMYFUNCTION("""COMPUTED_VALUE"""),57)</f>
        <v>57</v>
      </c>
      <c r="J87" s="541">
        <f ca="1">IFERROR(__xludf.DUMMYFUNCTION("""COMPUTED_VALUE"""),633)</f>
        <v>633</v>
      </c>
      <c r="K87" s="541">
        <f ca="1">IFERROR(__xludf.DUMMYFUNCTION("""COMPUTED_VALUE"""),93.5)</f>
        <v>93.5</v>
      </c>
      <c r="M87" s="539">
        <f ca="1">IFERROR(__xludf.DUMMYFUNCTION("""COMPUTED_VALUE"""),1)</f>
        <v>1</v>
      </c>
      <c r="N87" s="539">
        <f ca="1">IFERROR(__xludf.DUMMYFUNCTION("""COMPUTED_VALUE"""),1)</f>
        <v>1</v>
      </c>
      <c r="O87" s="539">
        <f ca="1">IFERROR(__xludf.DUMMYFUNCTION("""COMPUTED_VALUE"""),1)</f>
        <v>1</v>
      </c>
    </row>
    <row r="88" spans="1:15" ht="12.75">
      <c r="A88" s="539">
        <f ca="1"/>
        <v>82</v>
      </c>
      <c r="B88" s="35" t="str">
        <f ca="1">IFERROR(__xludf.DUMMYFUNCTION("""COMPUTED_VALUE"""),"Tổ Hạ tầng Bến Lức")</f>
        <v>Tổ Hạ tầng Bến Lức</v>
      </c>
      <c r="C88" s="35" t="str">
        <f ca="1">IFERROR(__xludf.DUMMYFUNCTION("""COMPUTED_VALUE"""),"Mai Thiện Phương")</f>
        <v>Mai Thiện Phương</v>
      </c>
      <c r="D88" s="35">
        <f ca="1">IFERROR(__xludf.DUMMYFUNCTION("""COMPUTED_VALUE"""),835880097)</f>
        <v>835880097</v>
      </c>
      <c r="E88" s="35" t="str">
        <f ca="1">IFERROR(__xludf.DUMMYFUNCTION("""COMPUTED_VALUE"""),"phuongmt.lan@vnpt.vn")</f>
        <v>phuongmt.lan@vnpt.vn</v>
      </c>
      <c r="F88" s="540" t="str">
        <f ca="1">IFERROR(__xludf.DUMMYFUNCTION("""COMPUTED_VALUE"""),"Lần 2")</f>
        <v>Lần 2</v>
      </c>
      <c r="G88" s="278">
        <f ca="1">IFERROR(__xludf.DUMMYFUNCTION("""COMPUTED_VALUE"""),46213)</f>
        <v>46213</v>
      </c>
      <c r="H88" s="35">
        <f ca="1">IFERROR(__xludf.DUMMYFUNCTION("""COMPUTED_VALUE"""),331)</f>
        <v>331</v>
      </c>
      <c r="I88" s="35">
        <f ca="1">IFERROR(__xludf.DUMMYFUNCTION("""COMPUTED_VALUE"""),70.8)</f>
        <v>70.8</v>
      </c>
      <c r="J88" s="541">
        <f ca="1">IFERROR(__xludf.DUMMYFUNCTION("""COMPUTED_VALUE"""),435)</f>
        <v>435</v>
      </c>
      <c r="K88" s="541">
        <f ca="1">IFERROR(__xludf.DUMMYFUNCTION("""COMPUTED_VALUE"""),63.7)</f>
        <v>63.7</v>
      </c>
      <c r="M88" s="539">
        <f ca="1">IFERROR(__xludf.DUMMYFUNCTION("""COMPUTED_VALUE"""),1)</f>
        <v>1</v>
      </c>
      <c r="N88" s="539">
        <f ca="1">IFERROR(__xludf.DUMMYFUNCTION("""COMPUTED_VALUE"""),1)</f>
        <v>1</v>
      </c>
      <c r="O88" s="539">
        <f ca="1">IFERROR(__xludf.DUMMYFUNCTION("""COMPUTED_VALUE"""),1)</f>
        <v>1</v>
      </c>
    </row>
    <row r="89" spans="1:15" ht="12.75">
      <c r="A89" s="539">
        <f ca="1"/>
        <v>83</v>
      </c>
      <c r="B89" s="35" t="str">
        <f ca="1">IFERROR(__xludf.DUMMYFUNCTION("""COMPUTED_VALUE"""),"Tổ Hạ tầng Bến Lức")</f>
        <v>Tổ Hạ tầng Bến Lức</v>
      </c>
      <c r="C89" s="35" t="str">
        <f ca="1">IFERROR(__xludf.DUMMYFUNCTION("""COMPUTED_VALUE"""),"Mai Thiện Phương")</f>
        <v>Mai Thiện Phương</v>
      </c>
      <c r="D89" s="35">
        <f ca="1">IFERROR(__xludf.DUMMYFUNCTION("""COMPUTED_VALUE"""),835880097)</f>
        <v>835880097</v>
      </c>
      <c r="E89" s="35" t="str">
        <f ca="1">IFERROR(__xludf.DUMMYFUNCTION("""COMPUTED_VALUE"""),"phuongmt.lan@vnpt.vn")</f>
        <v>phuongmt.lan@vnpt.vn</v>
      </c>
      <c r="F89" s="540" t="str">
        <f ca="1">IFERROR(__xludf.DUMMYFUNCTION("""COMPUTED_VALUE"""),"Lần 3")</f>
        <v>Lần 3</v>
      </c>
      <c r="G89" s="278">
        <f ca="1">IFERROR(__xludf.DUMMYFUNCTION("""COMPUTED_VALUE"""),46213)</f>
        <v>46213</v>
      </c>
      <c r="H89" s="35">
        <f ca="1">IFERROR(__xludf.DUMMYFUNCTION("""COMPUTED_VALUE"""),356)</f>
        <v>356</v>
      </c>
      <c r="I89" s="35">
        <f ca="1">IFERROR(__xludf.DUMMYFUNCTION("""COMPUTED_VALUE"""),77.3)</f>
        <v>77.3</v>
      </c>
      <c r="J89" s="541">
        <f ca="1">IFERROR(__xludf.DUMMYFUNCTION("""COMPUTED_VALUE"""),750)</f>
        <v>750</v>
      </c>
      <c r="K89" s="541">
        <f ca="1">IFERROR(__xludf.DUMMYFUNCTION("""COMPUTED_VALUE"""),87)</f>
        <v>87</v>
      </c>
      <c r="M89" s="539">
        <f ca="1">IFERROR(__xludf.DUMMYFUNCTION("""COMPUTED_VALUE"""),1)</f>
        <v>1</v>
      </c>
      <c r="N89" s="539">
        <f ca="1">IFERROR(__xludf.DUMMYFUNCTION("""COMPUTED_VALUE"""),1)</f>
        <v>1</v>
      </c>
      <c r="O89" s="539">
        <f ca="1">IFERROR(__xludf.DUMMYFUNCTION("""COMPUTED_VALUE"""),1)</f>
        <v>1</v>
      </c>
    </row>
    <row r="90" spans="1:15" ht="12.75">
      <c r="A90" s="539">
        <f ca="1"/>
        <v>84</v>
      </c>
      <c r="B90" s="35" t="str">
        <f ca="1">IFERROR(__xludf.DUMMYFUNCTION("""COMPUTED_VALUE"""),"Tổ Hạ tầng Bến Lức")</f>
        <v>Tổ Hạ tầng Bến Lức</v>
      </c>
      <c r="C90" s="35" t="str">
        <f ca="1">IFERROR(__xludf.DUMMYFUNCTION("""COMPUTED_VALUE"""),"Mai Thiện Phương")</f>
        <v>Mai Thiện Phương</v>
      </c>
      <c r="D90" s="35">
        <f ca="1">IFERROR(__xludf.DUMMYFUNCTION("""COMPUTED_VALUE"""),835880097)</f>
        <v>835880097</v>
      </c>
      <c r="E90" s="35" t="str">
        <f ca="1">IFERROR(__xludf.DUMMYFUNCTION("""COMPUTED_VALUE"""),"phuongmt.lan@vnpt.vn")</f>
        <v>phuongmt.lan@vnpt.vn</v>
      </c>
      <c r="F90" s="540" t="str">
        <f ca="1">IFERROR(__xludf.DUMMYFUNCTION("""COMPUTED_VALUE"""),"Lần 4")</f>
        <v>Lần 4</v>
      </c>
      <c r="G90" s="278">
        <f ca="1">IFERROR(__xludf.DUMMYFUNCTION("""COMPUTED_VALUE"""),46213)</f>
        <v>46213</v>
      </c>
      <c r="H90" s="35">
        <f ca="1">IFERROR(__xludf.DUMMYFUNCTION("""COMPUTED_VALUE"""),74.6)</f>
        <v>74.599999999999994</v>
      </c>
      <c r="I90" s="35">
        <f ca="1">IFERROR(__xludf.DUMMYFUNCTION("""COMPUTED_VALUE"""),17.5)</f>
        <v>17.5</v>
      </c>
      <c r="J90" s="541">
        <f ca="1">IFERROR(__xludf.DUMMYFUNCTION("""COMPUTED_VALUE"""),506)</f>
        <v>506</v>
      </c>
      <c r="K90" s="541">
        <f ca="1">IFERROR(__xludf.DUMMYFUNCTION("""COMPUTED_VALUE"""),32.7)</f>
        <v>32.700000000000003</v>
      </c>
      <c r="M90" s="539">
        <f ca="1">IFERROR(__xludf.DUMMYFUNCTION("""COMPUTED_VALUE"""),1)</f>
        <v>1</v>
      </c>
      <c r="N90" s="539">
        <f ca="1">IFERROR(__xludf.DUMMYFUNCTION("""COMPUTED_VALUE"""),1)</f>
        <v>1</v>
      </c>
      <c r="O90" s="539">
        <f ca="1">IFERROR(__xludf.DUMMYFUNCTION("""COMPUTED_VALUE"""),1)</f>
        <v>1</v>
      </c>
    </row>
    <row r="91" spans="1:15" ht="12.75">
      <c r="A91" s="539">
        <f ca="1"/>
        <v>85</v>
      </c>
      <c r="B91" s="35" t="str">
        <f ca="1">IFERROR(__xludf.DUMMYFUNCTION("""COMPUTED_VALUE"""),"Tổ Hạ tầng Bến Lức")</f>
        <v>Tổ Hạ tầng Bến Lức</v>
      </c>
      <c r="C91" s="35" t="str">
        <f ca="1">IFERROR(__xludf.DUMMYFUNCTION("""COMPUTED_VALUE"""),"Mai Thiện Phương")</f>
        <v>Mai Thiện Phương</v>
      </c>
      <c r="D91" s="35">
        <f ca="1">IFERROR(__xludf.DUMMYFUNCTION("""COMPUTED_VALUE"""),835880097)</f>
        <v>835880097</v>
      </c>
      <c r="E91" s="35" t="str">
        <f ca="1">IFERROR(__xludf.DUMMYFUNCTION("""COMPUTED_VALUE"""),"phuongmt.lan@vnpt.vn")</f>
        <v>phuongmt.lan@vnpt.vn</v>
      </c>
      <c r="F91" s="540" t="str">
        <f ca="1">IFERROR(__xludf.DUMMYFUNCTION("""COMPUTED_VALUE"""),"Lần 5")</f>
        <v>Lần 5</v>
      </c>
      <c r="G91" s="278"/>
      <c r="H91" s="35"/>
      <c r="I91" s="35"/>
      <c r="J91" s="35"/>
      <c r="K91" s="541"/>
      <c r="M91" s="539">
        <f ca="1">IFERROR(__xludf.DUMMYFUNCTION("""COMPUTED_VALUE"""),0)</f>
        <v>0</v>
      </c>
      <c r="N91" s="539">
        <f ca="1">IFERROR(__xludf.DUMMYFUNCTION("""COMPUTED_VALUE"""),0)</f>
        <v>0</v>
      </c>
      <c r="O91" s="539">
        <f ca="1">IFERROR(__xludf.DUMMYFUNCTION("""COMPUTED_VALUE"""),0)</f>
        <v>0</v>
      </c>
    </row>
    <row r="92" spans="1:15" ht="12.75">
      <c r="A92" s="539">
        <f ca="1"/>
        <v>86</v>
      </c>
      <c r="B92" s="35" t="str">
        <f ca="1">IFERROR(__xludf.DUMMYFUNCTION("""COMPUTED_VALUE"""),"Tổ Hạ tầng Bến Lức")</f>
        <v>Tổ Hạ tầng Bến Lức</v>
      </c>
      <c r="C92" s="35" t="str">
        <f ca="1">IFERROR(__xludf.DUMMYFUNCTION("""COMPUTED_VALUE"""),"Mai Thiện Phương")</f>
        <v>Mai Thiện Phương</v>
      </c>
      <c r="D92" s="35">
        <f ca="1">IFERROR(__xludf.DUMMYFUNCTION("""COMPUTED_VALUE"""),835880097)</f>
        <v>835880097</v>
      </c>
      <c r="E92" s="35" t="str">
        <f ca="1">IFERROR(__xludf.DUMMYFUNCTION("""COMPUTED_VALUE"""),"phuongmt.lan@vnpt.vn")</f>
        <v>phuongmt.lan@vnpt.vn</v>
      </c>
      <c r="F92" s="540" t="str">
        <f ca="1">IFERROR(__xludf.DUMMYFUNCTION("""COMPUTED_VALUE"""),"Lần 6")</f>
        <v>Lần 6</v>
      </c>
      <c r="G92" s="278"/>
      <c r="H92" s="35"/>
      <c r="I92" s="35"/>
      <c r="J92" s="541"/>
      <c r="K92" s="541"/>
      <c r="M92" s="539">
        <f ca="1">IFERROR(__xludf.DUMMYFUNCTION("""COMPUTED_VALUE"""),0)</f>
        <v>0</v>
      </c>
      <c r="N92" s="539">
        <f ca="1">IFERROR(__xludf.DUMMYFUNCTION("""COMPUTED_VALUE"""),0)</f>
        <v>0</v>
      </c>
      <c r="O92" s="539">
        <f ca="1">IFERROR(__xludf.DUMMYFUNCTION("""COMPUTED_VALUE"""),0)</f>
        <v>0</v>
      </c>
    </row>
    <row r="93" spans="1:15" ht="12.75">
      <c r="A93" s="539">
        <f ca="1"/>
        <v>87</v>
      </c>
      <c r="B93" s="35" t="str">
        <f ca="1">IFERROR(__xludf.DUMMYFUNCTION("""COMPUTED_VALUE"""),"Tổ Hạ tầng Bến Lức")</f>
        <v>Tổ Hạ tầng Bến Lức</v>
      </c>
      <c r="C93" s="35" t="str">
        <f ca="1">IFERROR(__xludf.DUMMYFUNCTION("""COMPUTED_VALUE"""),"Mai Thiện Phương")</f>
        <v>Mai Thiện Phương</v>
      </c>
      <c r="D93" s="35">
        <f ca="1">IFERROR(__xludf.DUMMYFUNCTION("""COMPUTED_VALUE"""),835880097)</f>
        <v>835880097</v>
      </c>
      <c r="E93" s="35" t="str">
        <f ca="1">IFERROR(__xludf.DUMMYFUNCTION("""COMPUTED_VALUE"""),"phuongmt.lan@vnpt.vn")</f>
        <v>phuongmt.lan@vnpt.vn</v>
      </c>
      <c r="F93" s="540" t="str">
        <f ca="1">IFERROR(__xludf.DUMMYFUNCTION("""COMPUTED_VALUE"""),"Lần 7")</f>
        <v>Lần 7</v>
      </c>
      <c r="G93" s="278"/>
      <c r="H93" s="35"/>
      <c r="I93" s="35"/>
      <c r="J93" s="541"/>
      <c r="K93" s="541"/>
      <c r="M93" s="539">
        <f ca="1">IFERROR(__xludf.DUMMYFUNCTION("""COMPUTED_VALUE"""),0)</f>
        <v>0</v>
      </c>
      <c r="N93" s="539">
        <f ca="1">IFERROR(__xludf.DUMMYFUNCTION("""COMPUTED_VALUE"""),0)</f>
        <v>0</v>
      </c>
      <c r="O93" s="539">
        <f ca="1">IFERROR(__xludf.DUMMYFUNCTION("""COMPUTED_VALUE"""),0)</f>
        <v>0</v>
      </c>
    </row>
    <row r="94" spans="1:15" ht="12.75">
      <c r="A94" s="539">
        <f ca="1"/>
        <v>88</v>
      </c>
      <c r="B94" s="35" t="str">
        <f ca="1">IFERROR(__xludf.DUMMYFUNCTION("""COMPUTED_VALUE"""),"Tổ Hạ tầng Bến Lức")</f>
        <v>Tổ Hạ tầng Bến Lức</v>
      </c>
      <c r="C94" s="35" t="str">
        <f ca="1">IFERROR(__xludf.DUMMYFUNCTION("""COMPUTED_VALUE"""),"Mai Thiện Phương")</f>
        <v>Mai Thiện Phương</v>
      </c>
      <c r="D94" s="35">
        <f ca="1">IFERROR(__xludf.DUMMYFUNCTION("""COMPUTED_VALUE"""),835880097)</f>
        <v>835880097</v>
      </c>
      <c r="E94" s="35" t="str">
        <f ca="1">IFERROR(__xludf.DUMMYFUNCTION("""COMPUTED_VALUE"""),"phuongmt.lan@vnpt.vn")</f>
        <v>phuongmt.lan@vnpt.vn</v>
      </c>
      <c r="F94" s="540" t="str">
        <f ca="1">IFERROR(__xludf.DUMMYFUNCTION("""COMPUTED_VALUE"""),"Lần 8")</f>
        <v>Lần 8</v>
      </c>
      <c r="G94" s="278"/>
      <c r="H94" s="35"/>
      <c r="I94" s="35"/>
      <c r="J94" s="541"/>
      <c r="K94" s="541"/>
      <c r="M94" s="539">
        <f ca="1">IFERROR(__xludf.DUMMYFUNCTION("""COMPUTED_VALUE"""),0)</f>
        <v>0</v>
      </c>
      <c r="N94" s="539">
        <f ca="1">IFERROR(__xludf.DUMMYFUNCTION("""COMPUTED_VALUE"""),0)</f>
        <v>0</v>
      </c>
      <c r="O94" s="539">
        <f ca="1">IFERROR(__xludf.DUMMYFUNCTION("""COMPUTED_VALUE"""),0)</f>
        <v>0</v>
      </c>
    </row>
    <row r="95" spans="1:15" ht="12.75">
      <c r="A95" s="539">
        <f ca="1"/>
        <v>89</v>
      </c>
      <c r="B95" s="35" t="str">
        <f ca="1">IFERROR(__xludf.DUMMYFUNCTION("""COMPUTED_VALUE"""),"Tổ Hạ tầng Bến Lức")</f>
        <v>Tổ Hạ tầng Bến Lức</v>
      </c>
      <c r="C95" s="35" t="str">
        <f ca="1">IFERROR(__xludf.DUMMYFUNCTION("""COMPUTED_VALUE"""),"Mai Thiện Phương")</f>
        <v>Mai Thiện Phương</v>
      </c>
      <c r="D95" s="35">
        <f ca="1">IFERROR(__xludf.DUMMYFUNCTION("""COMPUTED_VALUE"""),835880097)</f>
        <v>835880097</v>
      </c>
      <c r="E95" s="35" t="str">
        <f ca="1">IFERROR(__xludf.DUMMYFUNCTION("""COMPUTED_VALUE"""),"phuongmt.lan@vnpt.vn")</f>
        <v>phuongmt.lan@vnpt.vn</v>
      </c>
      <c r="F95" s="540" t="str">
        <f ca="1">IFERROR(__xludf.DUMMYFUNCTION("""COMPUTED_VALUE"""),"Lần 9")</f>
        <v>Lần 9</v>
      </c>
      <c r="G95" s="278"/>
      <c r="H95" s="35"/>
      <c r="I95" s="35"/>
      <c r="J95" s="541"/>
      <c r="K95" s="541"/>
      <c r="M95" s="539">
        <f ca="1">IFERROR(__xludf.DUMMYFUNCTION("""COMPUTED_VALUE"""),0)</f>
        <v>0</v>
      </c>
      <c r="N95" s="539">
        <f ca="1">IFERROR(__xludf.DUMMYFUNCTION("""COMPUTED_VALUE"""),0)</f>
        <v>0</v>
      </c>
      <c r="O95" s="539">
        <f ca="1">IFERROR(__xludf.DUMMYFUNCTION("""COMPUTED_VALUE"""),0)</f>
        <v>0</v>
      </c>
    </row>
    <row r="96" spans="1:15" ht="12.75">
      <c r="A96" s="539">
        <f ca="1"/>
        <v>90</v>
      </c>
      <c r="B96" s="35" t="str">
        <f ca="1">IFERROR(__xludf.DUMMYFUNCTION("""COMPUTED_VALUE"""),"Tổ Hạ tầng Bến Lức")</f>
        <v>Tổ Hạ tầng Bến Lức</v>
      </c>
      <c r="C96" s="35" t="str">
        <f ca="1">IFERROR(__xludf.DUMMYFUNCTION("""COMPUTED_VALUE"""),"Mai Thiện Phương")</f>
        <v>Mai Thiện Phương</v>
      </c>
      <c r="D96" s="35">
        <f ca="1">IFERROR(__xludf.DUMMYFUNCTION("""COMPUTED_VALUE"""),835880097)</f>
        <v>835880097</v>
      </c>
      <c r="E96" s="35" t="str">
        <f ca="1">IFERROR(__xludf.DUMMYFUNCTION("""COMPUTED_VALUE"""),"phuongmt.lan@vnpt.vn")</f>
        <v>phuongmt.lan@vnpt.vn</v>
      </c>
      <c r="F96" s="540" t="str">
        <f ca="1">IFERROR(__xludf.DUMMYFUNCTION("""COMPUTED_VALUE"""),"Lần 10")</f>
        <v>Lần 10</v>
      </c>
      <c r="G96" s="278"/>
      <c r="H96" s="35"/>
      <c r="I96" s="35"/>
      <c r="J96" s="541"/>
      <c r="K96" s="541"/>
      <c r="M96" s="539">
        <f ca="1">IFERROR(__xludf.DUMMYFUNCTION("""COMPUTED_VALUE"""),0)</f>
        <v>0</v>
      </c>
      <c r="N96" s="539">
        <f ca="1">IFERROR(__xludf.DUMMYFUNCTION("""COMPUTED_VALUE"""),0)</f>
        <v>0</v>
      </c>
      <c r="O96" s="539">
        <f ca="1">IFERROR(__xludf.DUMMYFUNCTION("""COMPUTED_VALUE"""),0)</f>
        <v>0</v>
      </c>
    </row>
    <row r="97" spans="1:15" ht="12.75">
      <c r="A97" s="539">
        <f ca="1"/>
        <v>91</v>
      </c>
      <c r="B97" s="35" t="str">
        <f ca="1">IFERROR(__xludf.DUMMYFUNCTION("""COMPUTED_VALUE"""),"Tổ Hạ tầng Bến Lức")</f>
        <v>Tổ Hạ tầng Bến Lức</v>
      </c>
      <c r="C97" s="35" t="str">
        <f ca="1">IFERROR(__xludf.DUMMYFUNCTION("""COMPUTED_VALUE"""),"Mai Thiện Phương")</f>
        <v>Mai Thiện Phương</v>
      </c>
      <c r="D97" s="35">
        <f ca="1">IFERROR(__xludf.DUMMYFUNCTION("""COMPUTED_VALUE"""),835880097)</f>
        <v>835880097</v>
      </c>
      <c r="E97" s="35" t="str">
        <f ca="1">IFERROR(__xludf.DUMMYFUNCTION("""COMPUTED_VALUE"""),"phuongmt.lan@vnpt.vn")</f>
        <v>phuongmt.lan@vnpt.vn</v>
      </c>
      <c r="F97" s="540" t="str">
        <f ca="1">IFERROR(__xludf.DUMMYFUNCTION("""COMPUTED_VALUE"""),"Lần 11")</f>
        <v>Lần 11</v>
      </c>
      <c r="G97" s="278"/>
      <c r="H97" s="35"/>
      <c r="I97" s="35"/>
      <c r="J97" s="541"/>
      <c r="K97" s="541"/>
      <c r="M97" s="539">
        <f ca="1">IFERROR(__xludf.DUMMYFUNCTION("""COMPUTED_VALUE"""),0)</f>
        <v>0</v>
      </c>
      <c r="N97" s="539">
        <f ca="1">IFERROR(__xludf.DUMMYFUNCTION("""COMPUTED_VALUE"""),0)</f>
        <v>0</v>
      </c>
      <c r="O97" s="539">
        <f ca="1">IFERROR(__xludf.DUMMYFUNCTION("""COMPUTED_VALUE"""),0)</f>
        <v>0</v>
      </c>
    </row>
    <row r="98" spans="1:15" ht="12.75">
      <c r="A98" s="539">
        <f ca="1"/>
        <v>92</v>
      </c>
      <c r="B98" s="35" t="str">
        <f ca="1">IFERROR(__xludf.DUMMYFUNCTION("""COMPUTED_VALUE"""),"Tổ Hạ tầng Bến Lức")</f>
        <v>Tổ Hạ tầng Bến Lức</v>
      </c>
      <c r="C98" s="35" t="str">
        <f ca="1">IFERROR(__xludf.DUMMYFUNCTION("""COMPUTED_VALUE"""),"Mai Thiện Phương")</f>
        <v>Mai Thiện Phương</v>
      </c>
      <c r="D98" s="35">
        <f ca="1">IFERROR(__xludf.DUMMYFUNCTION("""COMPUTED_VALUE"""),835880097)</f>
        <v>835880097</v>
      </c>
      <c r="E98" s="35" t="str">
        <f ca="1">IFERROR(__xludf.DUMMYFUNCTION("""COMPUTED_VALUE"""),"phuongmt.lan@vnpt.vn")</f>
        <v>phuongmt.lan@vnpt.vn</v>
      </c>
      <c r="F98" s="540" t="str">
        <f ca="1">IFERROR(__xludf.DUMMYFUNCTION("""COMPUTED_VALUE"""),"Lần 12")</f>
        <v>Lần 12</v>
      </c>
      <c r="G98" s="278"/>
      <c r="H98" s="35"/>
      <c r="I98" s="35"/>
      <c r="J98" s="541"/>
      <c r="K98" s="541"/>
      <c r="M98" s="539">
        <f ca="1">IFERROR(__xludf.DUMMYFUNCTION("""COMPUTED_VALUE"""),0)</f>
        <v>0</v>
      </c>
      <c r="N98" s="539">
        <f ca="1">IFERROR(__xludf.DUMMYFUNCTION("""COMPUTED_VALUE"""),0)</f>
        <v>0</v>
      </c>
      <c r="O98" s="539">
        <f ca="1">IFERROR(__xludf.DUMMYFUNCTION("""COMPUTED_VALUE"""),0)</f>
        <v>0</v>
      </c>
    </row>
    <row r="99" spans="1:15" ht="12.75">
      <c r="A99" s="539">
        <f ca="1"/>
        <v>93</v>
      </c>
      <c r="B99" s="35" t="str">
        <f ca="1">IFERROR(__xludf.DUMMYFUNCTION("""COMPUTED_VALUE"""),"Tổ Hạ tầng Bến Lức")</f>
        <v>Tổ Hạ tầng Bến Lức</v>
      </c>
      <c r="C99" s="35" t="str">
        <f ca="1">IFERROR(__xludf.DUMMYFUNCTION("""COMPUTED_VALUE"""),"Mai Thiện Phương")</f>
        <v>Mai Thiện Phương</v>
      </c>
      <c r="D99" s="35">
        <f ca="1">IFERROR(__xludf.DUMMYFUNCTION("""COMPUTED_VALUE"""),835880097)</f>
        <v>835880097</v>
      </c>
      <c r="E99" s="35" t="str">
        <f ca="1">IFERROR(__xludf.DUMMYFUNCTION("""COMPUTED_VALUE"""),"phuongmt.lan@vnpt.vn")</f>
        <v>phuongmt.lan@vnpt.vn</v>
      </c>
      <c r="F99" s="540" t="str">
        <f ca="1">IFERROR(__xludf.DUMMYFUNCTION("""COMPUTED_VALUE"""),"Lần 13")</f>
        <v>Lần 13</v>
      </c>
      <c r="G99" s="278"/>
      <c r="H99" s="35"/>
      <c r="I99" s="35"/>
      <c r="J99" s="541"/>
      <c r="K99" s="541"/>
      <c r="M99" s="539">
        <f ca="1">IFERROR(__xludf.DUMMYFUNCTION("""COMPUTED_VALUE"""),0)</f>
        <v>0</v>
      </c>
      <c r="N99" s="539">
        <f ca="1">IFERROR(__xludf.DUMMYFUNCTION("""COMPUTED_VALUE"""),0)</f>
        <v>0</v>
      </c>
      <c r="O99" s="539">
        <f ca="1">IFERROR(__xludf.DUMMYFUNCTION("""COMPUTED_VALUE"""),0)</f>
        <v>0</v>
      </c>
    </row>
    <row r="100" spans="1:15" ht="12.75">
      <c r="A100" s="539">
        <f ca="1"/>
        <v>94</v>
      </c>
      <c r="B100" s="35" t="str">
        <f ca="1">IFERROR(__xludf.DUMMYFUNCTION("""COMPUTED_VALUE"""),"Tổ Hạ tầng Bến Lức")</f>
        <v>Tổ Hạ tầng Bến Lức</v>
      </c>
      <c r="C100" s="35" t="str">
        <f ca="1">IFERROR(__xludf.DUMMYFUNCTION("""COMPUTED_VALUE"""),"Mai Thiện Phương")</f>
        <v>Mai Thiện Phương</v>
      </c>
      <c r="D100" s="35">
        <f ca="1">IFERROR(__xludf.DUMMYFUNCTION("""COMPUTED_VALUE"""),835880097)</f>
        <v>835880097</v>
      </c>
      <c r="E100" s="35" t="str">
        <f ca="1">IFERROR(__xludf.DUMMYFUNCTION("""COMPUTED_VALUE"""),"phuongmt.lan@vnpt.vn")</f>
        <v>phuongmt.lan@vnpt.vn</v>
      </c>
      <c r="F100" s="540" t="str">
        <f ca="1">IFERROR(__xludf.DUMMYFUNCTION("""COMPUTED_VALUE"""),"Lần 14")</f>
        <v>Lần 14</v>
      </c>
      <c r="G100" s="278"/>
      <c r="H100" s="35"/>
      <c r="I100" s="35"/>
      <c r="J100" s="541"/>
      <c r="K100" s="541"/>
      <c r="M100" s="539">
        <f ca="1">IFERROR(__xludf.DUMMYFUNCTION("""COMPUTED_VALUE"""),0)</f>
        <v>0</v>
      </c>
      <c r="N100" s="539">
        <f ca="1">IFERROR(__xludf.DUMMYFUNCTION("""COMPUTED_VALUE"""),0)</f>
        <v>0</v>
      </c>
      <c r="O100" s="539">
        <f ca="1">IFERROR(__xludf.DUMMYFUNCTION("""COMPUTED_VALUE"""),0)</f>
        <v>0</v>
      </c>
    </row>
    <row r="101" spans="1:15" ht="12.75">
      <c r="A101" s="539">
        <f ca="1"/>
        <v>95</v>
      </c>
      <c r="B101" s="35" t="str">
        <f ca="1">IFERROR(__xludf.DUMMYFUNCTION("""COMPUTED_VALUE"""),"Tổ Hạ tầng Bến Lức")</f>
        <v>Tổ Hạ tầng Bến Lức</v>
      </c>
      <c r="C101" s="35" t="str">
        <f ca="1">IFERROR(__xludf.DUMMYFUNCTION("""COMPUTED_VALUE"""),"Mai Thiện Phương")</f>
        <v>Mai Thiện Phương</v>
      </c>
      <c r="D101" s="35">
        <f ca="1">IFERROR(__xludf.DUMMYFUNCTION("""COMPUTED_VALUE"""),835880097)</f>
        <v>835880097</v>
      </c>
      <c r="E101" s="35" t="str">
        <f ca="1">IFERROR(__xludf.DUMMYFUNCTION("""COMPUTED_VALUE"""),"phuongmt.lan@vnpt.vn")</f>
        <v>phuongmt.lan@vnpt.vn</v>
      </c>
      <c r="F101" s="540" t="str">
        <f ca="1">IFERROR(__xludf.DUMMYFUNCTION("""COMPUTED_VALUE"""),"Lần 15")</f>
        <v>Lần 15</v>
      </c>
      <c r="G101" s="278"/>
      <c r="H101" s="35"/>
      <c r="I101" s="35"/>
      <c r="J101" s="541"/>
      <c r="K101" s="541"/>
      <c r="M101" s="539">
        <f ca="1">IFERROR(__xludf.DUMMYFUNCTION("""COMPUTED_VALUE"""),0)</f>
        <v>0</v>
      </c>
      <c r="N101" s="539">
        <f ca="1">IFERROR(__xludf.DUMMYFUNCTION("""COMPUTED_VALUE"""),0)</f>
        <v>0</v>
      </c>
      <c r="O101" s="539">
        <f ca="1">IFERROR(__xludf.DUMMYFUNCTION("""COMPUTED_VALUE"""),0)</f>
        <v>0</v>
      </c>
    </row>
    <row r="102" spans="1:15" ht="12.75">
      <c r="A102" s="539">
        <f ca="1"/>
        <v>96</v>
      </c>
      <c r="B102" s="35" t="str">
        <f ca="1">IFERROR(__xludf.DUMMYFUNCTION("""COMPUTED_VALUE"""),"Tổ Hạ tầng Bến Lức")</f>
        <v>Tổ Hạ tầng Bến Lức</v>
      </c>
      <c r="C102" s="35" t="str">
        <f ca="1">IFERROR(__xludf.DUMMYFUNCTION("""COMPUTED_VALUE"""),"Mai Thiện Phương")</f>
        <v>Mai Thiện Phương</v>
      </c>
      <c r="D102" s="35">
        <f ca="1">IFERROR(__xludf.DUMMYFUNCTION("""COMPUTED_VALUE"""),835880097)</f>
        <v>835880097</v>
      </c>
      <c r="E102" s="35" t="str">
        <f ca="1">IFERROR(__xludf.DUMMYFUNCTION("""COMPUTED_VALUE"""),"phuongmt.lan@vnpt.vn")</f>
        <v>phuongmt.lan@vnpt.vn</v>
      </c>
      <c r="F102" s="540" t="str">
        <f ca="1">IFERROR(__xludf.DUMMYFUNCTION("""COMPUTED_VALUE"""),"Lần 16")</f>
        <v>Lần 16</v>
      </c>
      <c r="G102" s="278"/>
      <c r="H102" s="35"/>
      <c r="I102" s="35"/>
      <c r="J102" s="541"/>
      <c r="K102" s="541"/>
      <c r="M102" s="539">
        <f ca="1">IFERROR(__xludf.DUMMYFUNCTION("""COMPUTED_VALUE"""),0)</f>
        <v>0</v>
      </c>
      <c r="N102" s="539">
        <f ca="1">IFERROR(__xludf.DUMMYFUNCTION("""COMPUTED_VALUE"""),0)</f>
        <v>0</v>
      </c>
      <c r="O102" s="539">
        <f ca="1">IFERROR(__xludf.DUMMYFUNCTION("""COMPUTED_VALUE"""),0)</f>
        <v>0</v>
      </c>
    </row>
    <row r="103" spans="1:15" ht="12.75">
      <c r="A103" s="539">
        <f ca="1"/>
        <v>97</v>
      </c>
      <c r="B103" s="35" t="str">
        <f ca="1">IFERROR(__xludf.DUMMYFUNCTION("""COMPUTED_VALUE"""),"Tổ Hạ tầng Bến Lức")</f>
        <v>Tổ Hạ tầng Bến Lức</v>
      </c>
      <c r="C103" s="35" t="str">
        <f ca="1">IFERROR(__xludf.DUMMYFUNCTION("""COMPUTED_VALUE"""),"Trương Anh Pha")</f>
        <v>Trương Anh Pha</v>
      </c>
      <c r="D103" s="35">
        <f ca="1">IFERROR(__xludf.DUMMYFUNCTION("""COMPUTED_VALUE"""),916234929)</f>
        <v>916234929</v>
      </c>
      <c r="E103" s="35" t="str">
        <f ca="1">IFERROR(__xludf.DUMMYFUNCTION("""COMPUTED_VALUE"""),"phata.lan@vnpt.vn")</f>
        <v>phata.lan@vnpt.vn</v>
      </c>
      <c r="F103" s="540" t="str">
        <f ca="1">IFERROR(__xludf.DUMMYFUNCTION("""COMPUTED_VALUE"""),"Lần 1")</f>
        <v>Lần 1</v>
      </c>
      <c r="G103" s="278">
        <f ca="1">IFERROR(__xludf.DUMMYFUNCTION("""COMPUTED_VALUE"""),46205)</f>
        <v>46205</v>
      </c>
      <c r="H103" s="35">
        <f ca="1">IFERROR(__xludf.DUMMYFUNCTION("""COMPUTED_VALUE"""),406)</f>
        <v>406</v>
      </c>
      <c r="I103" s="35">
        <f ca="1">IFERROR(__xludf.DUMMYFUNCTION("""COMPUTED_VALUE"""),23.7)</f>
        <v>23.7</v>
      </c>
      <c r="J103" s="541">
        <f ca="1">IFERROR(__xludf.DUMMYFUNCTION("""COMPUTED_VALUE"""),626)</f>
        <v>626</v>
      </c>
      <c r="K103" s="541">
        <f ca="1">IFERROR(__xludf.DUMMYFUNCTION("""COMPUTED_VALUE"""),24.5)</f>
        <v>24.5</v>
      </c>
      <c r="M103" s="539">
        <f ca="1">IFERROR(__xludf.DUMMYFUNCTION("""COMPUTED_VALUE"""),1)</f>
        <v>1</v>
      </c>
      <c r="N103" s="539">
        <f ca="1">IFERROR(__xludf.DUMMYFUNCTION("""COMPUTED_VALUE"""),1)</f>
        <v>1</v>
      </c>
      <c r="O103" s="539">
        <f ca="1">IFERROR(__xludf.DUMMYFUNCTION("""COMPUTED_VALUE"""),1)</f>
        <v>1</v>
      </c>
    </row>
    <row r="104" spans="1:15" ht="12.75">
      <c r="A104" s="539">
        <f ca="1"/>
        <v>98</v>
      </c>
      <c r="B104" s="35" t="str">
        <f ca="1">IFERROR(__xludf.DUMMYFUNCTION("""COMPUTED_VALUE"""),"Tổ Hạ tầng Bến Lức")</f>
        <v>Tổ Hạ tầng Bến Lức</v>
      </c>
      <c r="C104" s="35" t="str">
        <f ca="1">IFERROR(__xludf.DUMMYFUNCTION("""COMPUTED_VALUE"""),"Trương Anh Pha")</f>
        <v>Trương Anh Pha</v>
      </c>
      <c r="D104" s="35">
        <f ca="1">IFERROR(__xludf.DUMMYFUNCTION("""COMPUTED_VALUE"""),916234929)</f>
        <v>916234929</v>
      </c>
      <c r="E104" s="35" t="str">
        <f ca="1">IFERROR(__xludf.DUMMYFUNCTION("""COMPUTED_VALUE"""),"phata.lan@vnpt.vn")</f>
        <v>phata.lan@vnpt.vn</v>
      </c>
      <c r="F104" s="540" t="str">
        <f ca="1">IFERROR(__xludf.DUMMYFUNCTION("""COMPUTED_VALUE"""),"Lần 2")</f>
        <v>Lần 2</v>
      </c>
      <c r="G104" s="278">
        <f ca="1">IFERROR(__xludf.DUMMYFUNCTION("""COMPUTED_VALUE"""),46208)</f>
        <v>46208</v>
      </c>
      <c r="H104" s="35">
        <f ca="1">IFERROR(__xludf.DUMMYFUNCTION("""COMPUTED_VALUE"""),655)</f>
        <v>655</v>
      </c>
      <c r="I104" s="35">
        <f ca="1">IFERROR(__xludf.DUMMYFUNCTION("""COMPUTED_VALUE"""),58.6)</f>
        <v>58.6</v>
      </c>
      <c r="J104" s="541">
        <f ca="1">IFERROR(__xludf.DUMMYFUNCTION("""COMPUTED_VALUE"""),1032)</f>
        <v>1032</v>
      </c>
      <c r="K104" s="541">
        <f ca="1">IFERROR(__xludf.DUMMYFUNCTION("""COMPUTED_VALUE"""),163)</f>
        <v>163</v>
      </c>
      <c r="M104" s="539">
        <f ca="1">IFERROR(__xludf.DUMMYFUNCTION("""COMPUTED_VALUE"""),1)</f>
        <v>1</v>
      </c>
      <c r="N104" s="539">
        <f ca="1">IFERROR(__xludf.DUMMYFUNCTION("""COMPUTED_VALUE"""),1)</f>
        <v>1</v>
      </c>
      <c r="O104" s="539">
        <f ca="1">IFERROR(__xludf.DUMMYFUNCTION("""COMPUTED_VALUE"""),1)</f>
        <v>1</v>
      </c>
    </row>
    <row r="105" spans="1:15" ht="12.75">
      <c r="A105" s="539">
        <f ca="1"/>
        <v>99</v>
      </c>
      <c r="B105" s="35" t="str">
        <f ca="1">IFERROR(__xludf.DUMMYFUNCTION("""COMPUTED_VALUE"""),"Tổ Hạ tầng Bến Lức")</f>
        <v>Tổ Hạ tầng Bến Lức</v>
      </c>
      <c r="C105" s="35" t="str">
        <f ca="1">IFERROR(__xludf.DUMMYFUNCTION("""COMPUTED_VALUE"""),"Trương Anh Pha")</f>
        <v>Trương Anh Pha</v>
      </c>
      <c r="D105" s="35">
        <f ca="1">IFERROR(__xludf.DUMMYFUNCTION("""COMPUTED_VALUE"""),916234929)</f>
        <v>916234929</v>
      </c>
      <c r="E105" s="35" t="str">
        <f ca="1">IFERROR(__xludf.DUMMYFUNCTION("""COMPUTED_VALUE"""),"phata.lan@vnpt.vn")</f>
        <v>phata.lan@vnpt.vn</v>
      </c>
      <c r="F105" s="540" t="str">
        <f ca="1">IFERROR(__xludf.DUMMYFUNCTION("""COMPUTED_VALUE"""),"Lần 3")</f>
        <v>Lần 3</v>
      </c>
      <c r="G105" s="278">
        <f ca="1">IFERROR(__xludf.DUMMYFUNCTION("""COMPUTED_VALUE"""),46208)</f>
        <v>46208</v>
      </c>
      <c r="H105" s="35">
        <f ca="1">IFERROR(__xludf.DUMMYFUNCTION("""COMPUTED_VALUE"""),575)</f>
        <v>575</v>
      </c>
      <c r="I105" s="35">
        <f ca="1">IFERROR(__xludf.DUMMYFUNCTION("""COMPUTED_VALUE"""),74.1)</f>
        <v>74.099999999999994</v>
      </c>
      <c r="J105" s="541">
        <f ca="1">IFERROR(__xludf.DUMMYFUNCTION("""COMPUTED_VALUE"""),1174)</f>
        <v>1174</v>
      </c>
      <c r="K105" s="541">
        <f ca="1">IFERROR(__xludf.DUMMYFUNCTION("""COMPUTED_VALUE"""),163)</f>
        <v>163</v>
      </c>
      <c r="M105" s="539">
        <f ca="1">IFERROR(__xludf.DUMMYFUNCTION("""COMPUTED_VALUE"""),1)</f>
        <v>1</v>
      </c>
      <c r="N105" s="539">
        <f ca="1">IFERROR(__xludf.DUMMYFUNCTION("""COMPUTED_VALUE"""),1)</f>
        <v>1</v>
      </c>
      <c r="O105" s="539">
        <f ca="1">IFERROR(__xludf.DUMMYFUNCTION("""COMPUTED_VALUE"""),1)</f>
        <v>1</v>
      </c>
    </row>
    <row r="106" spans="1:15" ht="12.75">
      <c r="A106" s="539">
        <f ca="1"/>
        <v>100</v>
      </c>
      <c r="B106" s="35" t="str">
        <f ca="1">IFERROR(__xludf.DUMMYFUNCTION("""COMPUTED_VALUE"""),"Tổ Hạ tầng Bến Lức")</f>
        <v>Tổ Hạ tầng Bến Lức</v>
      </c>
      <c r="C106" s="35" t="str">
        <f ca="1">IFERROR(__xludf.DUMMYFUNCTION("""COMPUTED_VALUE"""),"Trương Anh Pha")</f>
        <v>Trương Anh Pha</v>
      </c>
      <c r="D106" s="35">
        <f ca="1">IFERROR(__xludf.DUMMYFUNCTION("""COMPUTED_VALUE"""),916234929)</f>
        <v>916234929</v>
      </c>
      <c r="E106" s="35" t="str">
        <f ca="1">IFERROR(__xludf.DUMMYFUNCTION("""COMPUTED_VALUE"""),"phata.lan@vnpt.vn")</f>
        <v>phata.lan@vnpt.vn</v>
      </c>
      <c r="F106" s="540" t="str">
        <f ca="1">IFERROR(__xludf.DUMMYFUNCTION("""COMPUTED_VALUE"""),"Lần 4")</f>
        <v>Lần 4</v>
      </c>
      <c r="G106" s="278">
        <f ca="1">IFERROR(__xludf.DUMMYFUNCTION("""COMPUTED_VALUE"""),46208)</f>
        <v>46208</v>
      </c>
      <c r="H106" s="35">
        <f ca="1">IFERROR(__xludf.DUMMYFUNCTION("""COMPUTED_VALUE"""),564)</f>
        <v>564</v>
      </c>
      <c r="I106" s="35">
        <f ca="1">IFERROR(__xludf.DUMMYFUNCTION("""COMPUTED_VALUE"""),68.8)</f>
        <v>68.8</v>
      </c>
      <c r="J106" s="541">
        <f ca="1">IFERROR(__xludf.DUMMYFUNCTION("""COMPUTED_VALUE"""),948)</f>
        <v>948</v>
      </c>
      <c r="K106" s="541">
        <f ca="1">IFERROR(__xludf.DUMMYFUNCTION("""COMPUTED_VALUE"""),160)</f>
        <v>160</v>
      </c>
      <c r="M106" s="539">
        <f ca="1">IFERROR(__xludf.DUMMYFUNCTION("""COMPUTED_VALUE"""),1)</f>
        <v>1</v>
      </c>
      <c r="N106" s="539">
        <f ca="1">IFERROR(__xludf.DUMMYFUNCTION("""COMPUTED_VALUE"""),1)</f>
        <v>1</v>
      </c>
      <c r="O106" s="539">
        <f ca="1">IFERROR(__xludf.DUMMYFUNCTION("""COMPUTED_VALUE"""),1)</f>
        <v>1</v>
      </c>
    </row>
    <row r="107" spans="1:15" ht="12.75">
      <c r="A107" s="539">
        <f ca="1"/>
        <v>101</v>
      </c>
      <c r="B107" s="35" t="str">
        <f ca="1">IFERROR(__xludf.DUMMYFUNCTION("""COMPUTED_VALUE"""),"Tổ Hạ tầng Bến Lức")</f>
        <v>Tổ Hạ tầng Bến Lức</v>
      </c>
      <c r="C107" s="35" t="str">
        <f ca="1">IFERROR(__xludf.DUMMYFUNCTION("""COMPUTED_VALUE"""),"Trương Anh Pha")</f>
        <v>Trương Anh Pha</v>
      </c>
      <c r="D107" s="35">
        <f ca="1">IFERROR(__xludf.DUMMYFUNCTION("""COMPUTED_VALUE"""),916234929)</f>
        <v>916234929</v>
      </c>
      <c r="E107" s="35" t="str">
        <f ca="1">IFERROR(__xludf.DUMMYFUNCTION("""COMPUTED_VALUE"""),"phata.lan@vnpt.vn")</f>
        <v>phata.lan@vnpt.vn</v>
      </c>
      <c r="F107" s="540" t="str">
        <f ca="1">IFERROR(__xludf.DUMMYFUNCTION("""COMPUTED_VALUE"""),"Lần 5")</f>
        <v>Lần 5</v>
      </c>
      <c r="G107" s="278"/>
      <c r="H107" s="35"/>
      <c r="I107" s="35"/>
      <c r="J107" s="541"/>
      <c r="K107" s="541"/>
      <c r="M107" s="539">
        <f ca="1">IFERROR(__xludf.DUMMYFUNCTION("""COMPUTED_VALUE"""),0)</f>
        <v>0</v>
      </c>
      <c r="N107" s="539">
        <f ca="1">IFERROR(__xludf.DUMMYFUNCTION("""COMPUTED_VALUE"""),0)</f>
        <v>0</v>
      </c>
      <c r="O107" s="539">
        <f ca="1">IFERROR(__xludf.DUMMYFUNCTION("""COMPUTED_VALUE"""),0)</f>
        <v>0</v>
      </c>
    </row>
    <row r="108" spans="1:15" ht="12.75">
      <c r="A108" s="539">
        <f ca="1"/>
        <v>102</v>
      </c>
      <c r="B108" s="35" t="str">
        <f ca="1">IFERROR(__xludf.DUMMYFUNCTION("""COMPUTED_VALUE"""),"Tổ Hạ tầng Bến Lức")</f>
        <v>Tổ Hạ tầng Bến Lức</v>
      </c>
      <c r="C108" s="35" t="str">
        <f ca="1">IFERROR(__xludf.DUMMYFUNCTION("""COMPUTED_VALUE"""),"Trương Anh Pha")</f>
        <v>Trương Anh Pha</v>
      </c>
      <c r="D108" s="35">
        <f ca="1">IFERROR(__xludf.DUMMYFUNCTION("""COMPUTED_VALUE"""),916234929)</f>
        <v>916234929</v>
      </c>
      <c r="E108" s="35" t="str">
        <f ca="1">IFERROR(__xludf.DUMMYFUNCTION("""COMPUTED_VALUE"""),"phata.lan@vnpt.vn")</f>
        <v>phata.lan@vnpt.vn</v>
      </c>
      <c r="F108" s="540" t="str">
        <f ca="1">IFERROR(__xludf.DUMMYFUNCTION("""COMPUTED_VALUE"""),"Lần 6")</f>
        <v>Lần 6</v>
      </c>
      <c r="G108" s="278"/>
      <c r="H108" s="35"/>
      <c r="I108" s="35"/>
      <c r="J108" s="541"/>
      <c r="K108" s="541"/>
      <c r="M108" s="539">
        <f ca="1">IFERROR(__xludf.DUMMYFUNCTION("""COMPUTED_VALUE"""),0)</f>
        <v>0</v>
      </c>
      <c r="N108" s="539">
        <f ca="1">IFERROR(__xludf.DUMMYFUNCTION("""COMPUTED_VALUE"""),0)</f>
        <v>0</v>
      </c>
      <c r="O108" s="539">
        <f ca="1">IFERROR(__xludf.DUMMYFUNCTION("""COMPUTED_VALUE"""),0)</f>
        <v>0</v>
      </c>
    </row>
    <row r="109" spans="1:15" ht="12.75">
      <c r="A109" s="539">
        <f ca="1"/>
        <v>103</v>
      </c>
      <c r="B109" s="35" t="str">
        <f ca="1">IFERROR(__xludf.DUMMYFUNCTION("""COMPUTED_VALUE"""),"Tổ Hạ tầng Bến Lức")</f>
        <v>Tổ Hạ tầng Bến Lức</v>
      </c>
      <c r="C109" s="35" t="str">
        <f ca="1">IFERROR(__xludf.DUMMYFUNCTION("""COMPUTED_VALUE"""),"Trương Anh Pha")</f>
        <v>Trương Anh Pha</v>
      </c>
      <c r="D109" s="35">
        <f ca="1">IFERROR(__xludf.DUMMYFUNCTION("""COMPUTED_VALUE"""),916234929)</f>
        <v>916234929</v>
      </c>
      <c r="E109" s="35" t="str">
        <f ca="1">IFERROR(__xludf.DUMMYFUNCTION("""COMPUTED_VALUE"""),"phata.lan@vnpt.vn")</f>
        <v>phata.lan@vnpt.vn</v>
      </c>
      <c r="F109" s="540" t="str">
        <f ca="1">IFERROR(__xludf.DUMMYFUNCTION("""COMPUTED_VALUE"""),"Lần 7")</f>
        <v>Lần 7</v>
      </c>
      <c r="G109" s="278"/>
      <c r="H109" s="35"/>
      <c r="I109" s="35"/>
      <c r="J109" s="541"/>
      <c r="K109" s="541"/>
      <c r="M109" s="539">
        <f ca="1">IFERROR(__xludf.DUMMYFUNCTION("""COMPUTED_VALUE"""),0)</f>
        <v>0</v>
      </c>
      <c r="N109" s="539">
        <f ca="1">IFERROR(__xludf.DUMMYFUNCTION("""COMPUTED_VALUE"""),0)</f>
        <v>0</v>
      </c>
      <c r="O109" s="539">
        <f ca="1">IFERROR(__xludf.DUMMYFUNCTION("""COMPUTED_VALUE"""),0)</f>
        <v>0</v>
      </c>
    </row>
    <row r="110" spans="1:15" ht="12.75">
      <c r="A110" s="539">
        <f ca="1"/>
        <v>104</v>
      </c>
      <c r="B110" s="35" t="str">
        <f ca="1">IFERROR(__xludf.DUMMYFUNCTION("""COMPUTED_VALUE"""),"Tổ Hạ tầng Bến Lức")</f>
        <v>Tổ Hạ tầng Bến Lức</v>
      </c>
      <c r="C110" s="35" t="str">
        <f ca="1">IFERROR(__xludf.DUMMYFUNCTION("""COMPUTED_VALUE"""),"Trương Anh Pha")</f>
        <v>Trương Anh Pha</v>
      </c>
      <c r="D110" s="35">
        <f ca="1">IFERROR(__xludf.DUMMYFUNCTION("""COMPUTED_VALUE"""),916234929)</f>
        <v>916234929</v>
      </c>
      <c r="E110" s="35" t="str">
        <f ca="1">IFERROR(__xludf.DUMMYFUNCTION("""COMPUTED_VALUE"""),"phata.lan@vnpt.vn")</f>
        <v>phata.lan@vnpt.vn</v>
      </c>
      <c r="F110" s="540" t="str">
        <f ca="1">IFERROR(__xludf.DUMMYFUNCTION("""COMPUTED_VALUE"""),"Lần 8")</f>
        <v>Lần 8</v>
      </c>
      <c r="G110" s="278"/>
      <c r="H110" s="35"/>
      <c r="I110" s="35"/>
      <c r="J110" s="541"/>
      <c r="K110" s="541"/>
      <c r="M110" s="539">
        <f ca="1">IFERROR(__xludf.DUMMYFUNCTION("""COMPUTED_VALUE"""),0)</f>
        <v>0</v>
      </c>
      <c r="N110" s="539">
        <f ca="1">IFERROR(__xludf.DUMMYFUNCTION("""COMPUTED_VALUE"""),0)</f>
        <v>0</v>
      </c>
      <c r="O110" s="539">
        <f ca="1">IFERROR(__xludf.DUMMYFUNCTION("""COMPUTED_VALUE"""),0)</f>
        <v>0</v>
      </c>
    </row>
    <row r="111" spans="1:15" ht="12.75">
      <c r="A111" s="539">
        <f ca="1"/>
        <v>105</v>
      </c>
      <c r="B111" s="35" t="str">
        <f ca="1">IFERROR(__xludf.DUMMYFUNCTION("""COMPUTED_VALUE"""),"Tổ Hạ tầng Bến Lức")</f>
        <v>Tổ Hạ tầng Bến Lức</v>
      </c>
      <c r="C111" s="35" t="str">
        <f ca="1">IFERROR(__xludf.DUMMYFUNCTION("""COMPUTED_VALUE"""),"Trương Anh Pha")</f>
        <v>Trương Anh Pha</v>
      </c>
      <c r="D111" s="35">
        <f ca="1">IFERROR(__xludf.DUMMYFUNCTION("""COMPUTED_VALUE"""),916234929)</f>
        <v>916234929</v>
      </c>
      <c r="E111" s="35" t="str">
        <f ca="1">IFERROR(__xludf.DUMMYFUNCTION("""COMPUTED_VALUE"""),"phata.lan@vnpt.vn")</f>
        <v>phata.lan@vnpt.vn</v>
      </c>
      <c r="F111" s="540" t="str">
        <f ca="1">IFERROR(__xludf.DUMMYFUNCTION("""COMPUTED_VALUE"""),"Lần 9")</f>
        <v>Lần 9</v>
      </c>
      <c r="G111" s="278"/>
      <c r="H111" s="35"/>
      <c r="I111" s="35"/>
      <c r="J111" s="541"/>
      <c r="K111" s="541"/>
      <c r="M111" s="539">
        <f ca="1">IFERROR(__xludf.DUMMYFUNCTION("""COMPUTED_VALUE"""),0)</f>
        <v>0</v>
      </c>
      <c r="N111" s="539">
        <f ca="1">IFERROR(__xludf.DUMMYFUNCTION("""COMPUTED_VALUE"""),0)</f>
        <v>0</v>
      </c>
      <c r="O111" s="539">
        <f ca="1">IFERROR(__xludf.DUMMYFUNCTION("""COMPUTED_VALUE"""),0)</f>
        <v>0</v>
      </c>
    </row>
    <row r="112" spans="1:15" ht="12.75">
      <c r="A112" s="539">
        <f ca="1"/>
        <v>106</v>
      </c>
      <c r="B112" s="35" t="str">
        <f ca="1">IFERROR(__xludf.DUMMYFUNCTION("""COMPUTED_VALUE"""),"Tổ Hạ tầng Bến Lức")</f>
        <v>Tổ Hạ tầng Bến Lức</v>
      </c>
      <c r="C112" s="35" t="str">
        <f ca="1">IFERROR(__xludf.DUMMYFUNCTION("""COMPUTED_VALUE"""),"Trương Anh Pha")</f>
        <v>Trương Anh Pha</v>
      </c>
      <c r="D112" s="35">
        <f ca="1">IFERROR(__xludf.DUMMYFUNCTION("""COMPUTED_VALUE"""),916234929)</f>
        <v>916234929</v>
      </c>
      <c r="E112" s="35" t="str">
        <f ca="1">IFERROR(__xludf.DUMMYFUNCTION("""COMPUTED_VALUE"""),"phata.lan@vnpt.vn")</f>
        <v>phata.lan@vnpt.vn</v>
      </c>
      <c r="F112" s="540" t="str">
        <f ca="1">IFERROR(__xludf.DUMMYFUNCTION("""COMPUTED_VALUE"""),"Lần 10")</f>
        <v>Lần 10</v>
      </c>
      <c r="G112" s="278"/>
      <c r="H112" s="35"/>
      <c r="I112" s="35"/>
      <c r="J112" s="541"/>
      <c r="K112" s="541"/>
      <c r="M112" s="539">
        <f ca="1">IFERROR(__xludf.DUMMYFUNCTION("""COMPUTED_VALUE"""),0)</f>
        <v>0</v>
      </c>
      <c r="N112" s="539">
        <f ca="1">IFERROR(__xludf.DUMMYFUNCTION("""COMPUTED_VALUE"""),0)</f>
        <v>0</v>
      </c>
      <c r="O112" s="539">
        <f ca="1">IFERROR(__xludf.DUMMYFUNCTION("""COMPUTED_VALUE"""),0)</f>
        <v>0</v>
      </c>
    </row>
    <row r="113" spans="1:15" ht="12.75">
      <c r="A113" s="539">
        <f ca="1"/>
        <v>107</v>
      </c>
      <c r="B113" s="35" t="str">
        <f ca="1">IFERROR(__xludf.DUMMYFUNCTION("""COMPUTED_VALUE"""),"Tổ Hạ tầng Bến Lức")</f>
        <v>Tổ Hạ tầng Bến Lức</v>
      </c>
      <c r="C113" s="35" t="str">
        <f ca="1">IFERROR(__xludf.DUMMYFUNCTION("""COMPUTED_VALUE"""),"Trương Anh Pha")</f>
        <v>Trương Anh Pha</v>
      </c>
      <c r="D113" s="35">
        <f ca="1">IFERROR(__xludf.DUMMYFUNCTION("""COMPUTED_VALUE"""),916234929)</f>
        <v>916234929</v>
      </c>
      <c r="E113" s="35" t="str">
        <f ca="1">IFERROR(__xludf.DUMMYFUNCTION("""COMPUTED_VALUE"""),"phata.lan@vnpt.vn")</f>
        <v>phata.lan@vnpt.vn</v>
      </c>
      <c r="F113" s="540" t="str">
        <f ca="1">IFERROR(__xludf.DUMMYFUNCTION("""COMPUTED_VALUE"""),"Lần 11")</f>
        <v>Lần 11</v>
      </c>
      <c r="G113" s="278"/>
      <c r="H113" s="35"/>
      <c r="I113" s="35"/>
      <c r="J113" s="541"/>
      <c r="K113" s="541"/>
      <c r="M113" s="539">
        <f ca="1">IFERROR(__xludf.DUMMYFUNCTION("""COMPUTED_VALUE"""),0)</f>
        <v>0</v>
      </c>
      <c r="N113" s="539">
        <f ca="1">IFERROR(__xludf.DUMMYFUNCTION("""COMPUTED_VALUE"""),0)</f>
        <v>0</v>
      </c>
      <c r="O113" s="539">
        <f ca="1">IFERROR(__xludf.DUMMYFUNCTION("""COMPUTED_VALUE"""),0)</f>
        <v>0</v>
      </c>
    </row>
    <row r="114" spans="1:15" ht="12.75">
      <c r="A114" s="539">
        <f ca="1"/>
        <v>108</v>
      </c>
      <c r="B114" s="35" t="str">
        <f ca="1">IFERROR(__xludf.DUMMYFUNCTION("""COMPUTED_VALUE"""),"Tổ Hạ tầng Bến Lức")</f>
        <v>Tổ Hạ tầng Bến Lức</v>
      </c>
      <c r="C114" s="35" t="str">
        <f ca="1">IFERROR(__xludf.DUMMYFUNCTION("""COMPUTED_VALUE"""),"Trương Anh Pha")</f>
        <v>Trương Anh Pha</v>
      </c>
      <c r="D114" s="35">
        <f ca="1">IFERROR(__xludf.DUMMYFUNCTION("""COMPUTED_VALUE"""),916234929)</f>
        <v>916234929</v>
      </c>
      <c r="E114" s="35" t="str">
        <f ca="1">IFERROR(__xludf.DUMMYFUNCTION("""COMPUTED_VALUE"""),"phata.lan@vnpt.vn")</f>
        <v>phata.lan@vnpt.vn</v>
      </c>
      <c r="F114" s="540" t="str">
        <f ca="1">IFERROR(__xludf.DUMMYFUNCTION("""COMPUTED_VALUE"""),"Lần 12")</f>
        <v>Lần 12</v>
      </c>
      <c r="G114" s="278"/>
      <c r="H114" s="35"/>
      <c r="I114" s="35"/>
      <c r="J114" s="541"/>
      <c r="K114" s="541"/>
      <c r="M114" s="539">
        <f ca="1">IFERROR(__xludf.DUMMYFUNCTION("""COMPUTED_VALUE"""),0)</f>
        <v>0</v>
      </c>
      <c r="N114" s="539">
        <f ca="1">IFERROR(__xludf.DUMMYFUNCTION("""COMPUTED_VALUE"""),0)</f>
        <v>0</v>
      </c>
      <c r="O114" s="539">
        <f ca="1">IFERROR(__xludf.DUMMYFUNCTION("""COMPUTED_VALUE"""),0)</f>
        <v>0</v>
      </c>
    </row>
    <row r="115" spans="1:15" ht="12.75">
      <c r="A115" s="539">
        <f ca="1"/>
        <v>109</v>
      </c>
      <c r="B115" s="35" t="str">
        <f ca="1">IFERROR(__xludf.DUMMYFUNCTION("""COMPUTED_VALUE"""),"Tổ Hạ tầng Bến Lức")</f>
        <v>Tổ Hạ tầng Bến Lức</v>
      </c>
      <c r="C115" s="35" t="str">
        <f ca="1">IFERROR(__xludf.DUMMYFUNCTION("""COMPUTED_VALUE"""),"Trương Anh Pha")</f>
        <v>Trương Anh Pha</v>
      </c>
      <c r="D115" s="35">
        <f ca="1">IFERROR(__xludf.DUMMYFUNCTION("""COMPUTED_VALUE"""),916234929)</f>
        <v>916234929</v>
      </c>
      <c r="E115" s="35" t="str">
        <f ca="1">IFERROR(__xludf.DUMMYFUNCTION("""COMPUTED_VALUE"""),"phata.lan@vnpt.vn")</f>
        <v>phata.lan@vnpt.vn</v>
      </c>
      <c r="F115" s="540" t="str">
        <f ca="1">IFERROR(__xludf.DUMMYFUNCTION("""COMPUTED_VALUE"""),"Lần 13")</f>
        <v>Lần 13</v>
      </c>
      <c r="G115" s="278"/>
      <c r="H115" s="35"/>
      <c r="I115" s="35"/>
      <c r="J115" s="541"/>
      <c r="K115" s="541"/>
      <c r="M115" s="539">
        <f ca="1">IFERROR(__xludf.DUMMYFUNCTION("""COMPUTED_VALUE"""),0)</f>
        <v>0</v>
      </c>
      <c r="N115" s="539">
        <f ca="1">IFERROR(__xludf.DUMMYFUNCTION("""COMPUTED_VALUE"""),0)</f>
        <v>0</v>
      </c>
      <c r="O115" s="539">
        <f ca="1">IFERROR(__xludf.DUMMYFUNCTION("""COMPUTED_VALUE"""),0)</f>
        <v>0</v>
      </c>
    </row>
    <row r="116" spans="1:15" ht="12.75">
      <c r="A116" s="539">
        <f ca="1"/>
        <v>110</v>
      </c>
      <c r="B116" s="35" t="str">
        <f ca="1">IFERROR(__xludf.DUMMYFUNCTION("""COMPUTED_VALUE"""),"Tổ Hạ tầng Bến Lức")</f>
        <v>Tổ Hạ tầng Bến Lức</v>
      </c>
      <c r="C116" s="35" t="str">
        <f ca="1">IFERROR(__xludf.DUMMYFUNCTION("""COMPUTED_VALUE"""),"Trương Anh Pha")</f>
        <v>Trương Anh Pha</v>
      </c>
      <c r="D116" s="35">
        <f ca="1">IFERROR(__xludf.DUMMYFUNCTION("""COMPUTED_VALUE"""),916234929)</f>
        <v>916234929</v>
      </c>
      <c r="E116" s="35" t="str">
        <f ca="1">IFERROR(__xludf.DUMMYFUNCTION("""COMPUTED_VALUE"""),"phata.lan@vnpt.vn")</f>
        <v>phata.lan@vnpt.vn</v>
      </c>
      <c r="F116" s="540" t="str">
        <f ca="1">IFERROR(__xludf.DUMMYFUNCTION("""COMPUTED_VALUE"""),"Lần 14")</f>
        <v>Lần 14</v>
      </c>
      <c r="G116" s="278"/>
      <c r="H116" s="35"/>
      <c r="I116" s="35"/>
      <c r="J116" s="541"/>
      <c r="K116" s="541"/>
      <c r="M116" s="539">
        <f ca="1">IFERROR(__xludf.DUMMYFUNCTION("""COMPUTED_VALUE"""),0)</f>
        <v>0</v>
      </c>
      <c r="N116" s="539">
        <f ca="1">IFERROR(__xludf.DUMMYFUNCTION("""COMPUTED_VALUE"""),0)</f>
        <v>0</v>
      </c>
      <c r="O116" s="539">
        <f ca="1">IFERROR(__xludf.DUMMYFUNCTION("""COMPUTED_VALUE"""),0)</f>
        <v>0</v>
      </c>
    </row>
    <row r="117" spans="1:15" ht="12.75">
      <c r="A117" s="539">
        <f ca="1"/>
        <v>111</v>
      </c>
      <c r="B117" s="35" t="str">
        <f ca="1">IFERROR(__xludf.DUMMYFUNCTION("""COMPUTED_VALUE"""),"Tổ Hạ tầng Bến Lức")</f>
        <v>Tổ Hạ tầng Bến Lức</v>
      </c>
      <c r="C117" s="35" t="str">
        <f ca="1">IFERROR(__xludf.DUMMYFUNCTION("""COMPUTED_VALUE"""),"Trương Anh Pha")</f>
        <v>Trương Anh Pha</v>
      </c>
      <c r="D117" s="35">
        <f ca="1">IFERROR(__xludf.DUMMYFUNCTION("""COMPUTED_VALUE"""),916234929)</f>
        <v>916234929</v>
      </c>
      <c r="E117" s="35" t="str">
        <f ca="1">IFERROR(__xludf.DUMMYFUNCTION("""COMPUTED_VALUE"""),"phata.lan@vnpt.vn")</f>
        <v>phata.lan@vnpt.vn</v>
      </c>
      <c r="F117" s="540" t="str">
        <f ca="1">IFERROR(__xludf.DUMMYFUNCTION("""COMPUTED_VALUE"""),"Lần 15")</f>
        <v>Lần 15</v>
      </c>
      <c r="G117" s="278"/>
      <c r="H117" s="35"/>
      <c r="I117" s="35"/>
      <c r="J117" s="541"/>
      <c r="K117" s="541"/>
      <c r="M117" s="539">
        <f ca="1">IFERROR(__xludf.DUMMYFUNCTION("""COMPUTED_VALUE"""),0)</f>
        <v>0</v>
      </c>
      <c r="N117" s="539">
        <f ca="1">IFERROR(__xludf.DUMMYFUNCTION("""COMPUTED_VALUE"""),0)</f>
        <v>0</v>
      </c>
      <c r="O117" s="539">
        <f ca="1">IFERROR(__xludf.DUMMYFUNCTION("""COMPUTED_VALUE"""),0)</f>
        <v>0</v>
      </c>
    </row>
    <row r="118" spans="1:15" ht="12.75">
      <c r="A118" s="539">
        <f ca="1"/>
        <v>112</v>
      </c>
      <c r="B118" s="35" t="str">
        <f ca="1">IFERROR(__xludf.DUMMYFUNCTION("""COMPUTED_VALUE"""),"Tổ Hạ tầng Bến Lức")</f>
        <v>Tổ Hạ tầng Bến Lức</v>
      </c>
      <c r="C118" s="35" t="str">
        <f ca="1">IFERROR(__xludf.DUMMYFUNCTION("""COMPUTED_VALUE"""),"Trương Anh Pha")</f>
        <v>Trương Anh Pha</v>
      </c>
      <c r="D118" s="35">
        <f ca="1">IFERROR(__xludf.DUMMYFUNCTION("""COMPUTED_VALUE"""),916234929)</f>
        <v>916234929</v>
      </c>
      <c r="E118" s="35" t="str">
        <f ca="1">IFERROR(__xludf.DUMMYFUNCTION("""COMPUTED_VALUE"""),"phata.lan@vnpt.vn")</f>
        <v>phata.lan@vnpt.vn</v>
      </c>
      <c r="F118" s="540" t="str">
        <f ca="1">IFERROR(__xludf.DUMMYFUNCTION("""COMPUTED_VALUE"""),"Lần 16")</f>
        <v>Lần 16</v>
      </c>
      <c r="G118" s="278"/>
      <c r="H118" s="35"/>
      <c r="I118" s="35"/>
      <c r="J118" s="541"/>
      <c r="K118" s="541"/>
      <c r="M118" s="539">
        <f ca="1">IFERROR(__xludf.DUMMYFUNCTION("""COMPUTED_VALUE"""),0)</f>
        <v>0</v>
      </c>
      <c r="N118" s="539">
        <f ca="1">IFERROR(__xludf.DUMMYFUNCTION("""COMPUTED_VALUE"""),0)</f>
        <v>0</v>
      </c>
      <c r="O118" s="539">
        <f ca="1">IFERROR(__xludf.DUMMYFUNCTION("""COMPUTED_VALUE"""),0)</f>
        <v>0</v>
      </c>
    </row>
    <row r="119" spans="1:15" ht="12.75">
      <c r="A119" s="539">
        <f ca="1"/>
        <v>113</v>
      </c>
      <c r="B119" s="35" t="str">
        <f ca="1">IFERROR(__xludf.DUMMYFUNCTION("""COMPUTED_VALUE"""),"Tổ Hạ tầng Bến Lức")</f>
        <v>Tổ Hạ tầng Bến Lức</v>
      </c>
      <c r="C119" s="35" t="str">
        <f ca="1">IFERROR(__xludf.DUMMYFUNCTION("""COMPUTED_VALUE"""),"Đặng Hoàng Vũ")</f>
        <v>Đặng Hoàng Vũ</v>
      </c>
      <c r="D119" s="35">
        <f ca="1">IFERROR(__xludf.DUMMYFUNCTION("""COMPUTED_VALUE"""),918616787)</f>
        <v>918616787</v>
      </c>
      <c r="E119" s="35" t="str">
        <f ca="1">IFERROR(__xludf.DUMMYFUNCTION("""COMPUTED_VALUE"""),"vudh.lan@vnpt.vn")</f>
        <v>vudh.lan@vnpt.vn</v>
      </c>
      <c r="F119" s="540" t="str">
        <f ca="1">IFERROR(__xludf.DUMMYFUNCTION("""COMPUTED_VALUE"""),"Lần 1")</f>
        <v>Lần 1</v>
      </c>
      <c r="G119" s="278">
        <f ca="1">IFERROR(__xludf.DUMMYFUNCTION("""COMPUTED_VALUE"""),46207)</f>
        <v>46207</v>
      </c>
      <c r="H119" s="35">
        <f ca="1">IFERROR(__xludf.DUMMYFUNCTION("""COMPUTED_VALUE"""),80.4)</f>
        <v>80.400000000000006</v>
      </c>
      <c r="I119" s="35">
        <f ca="1">IFERROR(__xludf.DUMMYFUNCTION("""COMPUTED_VALUE"""),37.2)</f>
        <v>37.200000000000003</v>
      </c>
      <c r="J119" s="541">
        <f ca="1">IFERROR(__xludf.DUMMYFUNCTION("""COMPUTED_VALUE"""),95.5)</f>
        <v>95.5</v>
      </c>
      <c r="K119" s="541">
        <f ca="1">IFERROR(__xludf.DUMMYFUNCTION("""COMPUTED_VALUE"""),37.9)</f>
        <v>37.9</v>
      </c>
      <c r="M119" s="539">
        <f ca="1">IFERROR(__xludf.DUMMYFUNCTION("""COMPUTED_VALUE"""),1)</f>
        <v>1</v>
      </c>
      <c r="N119" s="539">
        <f ca="1">IFERROR(__xludf.DUMMYFUNCTION("""COMPUTED_VALUE"""),1)</f>
        <v>1</v>
      </c>
      <c r="O119" s="539">
        <f ca="1">IFERROR(__xludf.DUMMYFUNCTION("""COMPUTED_VALUE"""),0)</f>
        <v>0</v>
      </c>
    </row>
    <row r="120" spans="1:15" ht="12.75">
      <c r="A120" s="539">
        <f ca="1"/>
        <v>114</v>
      </c>
      <c r="B120" s="35" t="str">
        <f ca="1">IFERROR(__xludf.DUMMYFUNCTION("""COMPUTED_VALUE"""),"Tổ Hạ tầng Bến Lức")</f>
        <v>Tổ Hạ tầng Bến Lức</v>
      </c>
      <c r="C120" s="35" t="str">
        <f ca="1">IFERROR(__xludf.DUMMYFUNCTION("""COMPUTED_VALUE"""),"Đặng Hoàng Vũ")</f>
        <v>Đặng Hoàng Vũ</v>
      </c>
      <c r="D120" s="35">
        <f ca="1">IFERROR(__xludf.DUMMYFUNCTION("""COMPUTED_VALUE"""),918616787)</f>
        <v>918616787</v>
      </c>
      <c r="E120" s="35" t="str">
        <f ca="1">IFERROR(__xludf.DUMMYFUNCTION("""COMPUTED_VALUE"""),"vudh.lan@vnpt.vn")</f>
        <v>vudh.lan@vnpt.vn</v>
      </c>
      <c r="F120" s="540" t="str">
        <f ca="1">IFERROR(__xludf.DUMMYFUNCTION("""COMPUTED_VALUE"""),"Lần 2")</f>
        <v>Lần 2</v>
      </c>
      <c r="G120" s="278">
        <f ca="1">IFERROR(__xludf.DUMMYFUNCTION("""COMPUTED_VALUE"""),46207)</f>
        <v>46207</v>
      </c>
      <c r="H120" s="35">
        <f ca="1">IFERROR(__xludf.DUMMYFUNCTION("""COMPUTED_VALUE"""),77)</f>
        <v>77</v>
      </c>
      <c r="I120" s="35">
        <f ca="1">IFERROR(__xludf.DUMMYFUNCTION("""COMPUTED_VALUE"""),39)</f>
        <v>39</v>
      </c>
      <c r="J120" s="541">
        <f ca="1">IFERROR(__xludf.DUMMYFUNCTION("""COMPUTED_VALUE"""),83.3)</f>
        <v>83.3</v>
      </c>
      <c r="K120" s="541">
        <f ca="1">IFERROR(__xludf.DUMMYFUNCTION("""COMPUTED_VALUE"""),38.7)</f>
        <v>38.700000000000003</v>
      </c>
      <c r="M120" s="539">
        <f ca="1">IFERROR(__xludf.DUMMYFUNCTION("""COMPUTED_VALUE"""),1)</f>
        <v>1</v>
      </c>
      <c r="N120" s="539">
        <f ca="1">IFERROR(__xludf.DUMMYFUNCTION("""COMPUTED_VALUE"""),1)</f>
        <v>1</v>
      </c>
      <c r="O120" s="539">
        <f ca="1">IFERROR(__xludf.DUMMYFUNCTION("""COMPUTED_VALUE"""),0)</f>
        <v>0</v>
      </c>
    </row>
    <row r="121" spans="1:15" ht="12.75">
      <c r="A121" s="539">
        <f ca="1"/>
        <v>115</v>
      </c>
      <c r="B121" s="35" t="str">
        <f ca="1">IFERROR(__xludf.DUMMYFUNCTION("""COMPUTED_VALUE"""),"Tổ Hạ tầng Bến Lức")</f>
        <v>Tổ Hạ tầng Bến Lức</v>
      </c>
      <c r="C121" s="35" t="str">
        <f ca="1">IFERROR(__xludf.DUMMYFUNCTION("""COMPUTED_VALUE"""),"Đặng Hoàng Vũ")</f>
        <v>Đặng Hoàng Vũ</v>
      </c>
      <c r="D121" s="35">
        <f ca="1">IFERROR(__xludf.DUMMYFUNCTION("""COMPUTED_VALUE"""),918616787)</f>
        <v>918616787</v>
      </c>
      <c r="E121" s="35" t="str">
        <f ca="1">IFERROR(__xludf.DUMMYFUNCTION("""COMPUTED_VALUE"""),"vudh.lan@vnpt.vn")</f>
        <v>vudh.lan@vnpt.vn</v>
      </c>
      <c r="F121" s="540" t="str">
        <f ca="1">IFERROR(__xludf.DUMMYFUNCTION("""COMPUTED_VALUE"""),"Lần 3")</f>
        <v>Lần 3</v>
      </c>
      <c r="G121" s="278">
        <f ca="1">IFERROR(__xludf.DUMMYFUNCTION("""COMPUTED_VALUE"""),46211)</f>
        <v>46211</v>
      </c>
      <c r="H121" s="35">
        <f ca="1">IFERROR(__xludf.DUMMYFUNCTION("""COMPUTED_VALUE"""),77.3)</f>
        <v>77.3</v>
      </c>
      <c r="I121" s="35">
        <f ca="1">IFERROR(__xludf.DUMMYFUNCTION("""COMPUTED_VALUE"""),30.8)</f>
        <v>30.8</v>
      </c>
      <c r="J121" s="541">
        <f ca="1">IFERROR(__xludf.DUMMYFUNCTION("""COMPUTED_VALUE"""),77.7)</f>
        <v>77.7</v>
      </c>
      <c r="K121" s="541">
        <f ca="1">IFERROR(__xludf.DUMMYFUNCTION("""COMPUTED_VALUE"""),27.9)</f>
        <v>27.9</v>
      </c>
      <c r="M121" s="539">
        <f ca="1">IFERROR(__xludf.DUMMYFUNCTION("""COMPUTED_VALUE"""),1)</f>
        <v>1</v>
      </c>
      <c r="N121" s="539">
        <f ca="1">IFERROR(__xludf.DUMMYFUNCTION("""COMPUTED_VALUE"""),1)</f>
        <v>1</v>
      </c>
      <c r="O121" s="539">
        <f ca="1">IFERROR(__xludf.DUMMYFUNCTION("""COMPUTED_VALUE"""),0)</f>
        <v>0</v>
      </c>
    </row>
    <row r="122" spans="1:15" ht="12.75">
      <c r="A122" s="539">
        <f ca="1"/>
        <v>116</v>
      </c>
      <c r="B122" s="35" t="str">
        <f ca="1">IFERROR(__xludf.DUMMYFUNCTION("""COMPUTED_VALUE"""),"Tổ Hạ tầng Bến Lức")</f>
        <v>Tổ Hạ tầng Bến Lức</v>
      </c>
      <c r="C122" s="35" t="str">
        <f ca="1">IFERROR(__xludf.DUMMYFUNCTION("""COMPUTED_VALUE"""),"Đặng Hoàng Vũ")</f>
        <v>Đặng Hoàng Vũ</v>
      </c>
      <c r="D122" s="35">
        <f ca="1">IFERROR(__xludf.DUMMYFUNCTION("""COMPUTED_VALUE"""),918616787)</f>
        <v>918616787</v>
      </c>
      <c r="E122" s="35" t="str">
        <f ca="1">IFERROR(__xludf.DUMMYFUNCTION("""COMPUTED_VALUE"""),"vudh.lan@vnpt.vn")</f>
        <v>vudh.lan@vnpt.vn</v>
      </c>
      <c r="F122" s="540" t="str">
        <f ca="1">IFERROR(__xludf.DUMMYFUNCTION("""COMPUTED_VALUE"""),"Lần 4")</f>
        <v>Lần 4</v>
      </c>
      <c r="G122" s="278"/>
      <c r="H122" s="35"/>
      <c r="I122" s="35"/>
      <c r="J122" s="541"/>
      <c r="K122" s="541"/>
      <c r="M122" s="539">
        <f ca="1">IFERROR(__xludf.DUMMYFUNCTION("""COMPUTED_VALUE"""),0)</f>
        <v>0</v>
      </c>
      <c r="N122" s="539">
        <f ca="1">IFERROR(__xludf.DUMMYFUNCTION("""COMPUTED_VALUE"""),0)</f>
        <v>0</v>
      </c>
      <c r="O122" s="539">
        <f ca="1">IFERROR(__xludf.DUMMYFUNCTION("""COMPUTED_VALUE"""),0)</f>
        <v>0</v>
      </c>
    </row>
    <row r="123" spans="1:15" ht="12.75">
      <c r="A123" s="539">
        <f ca="1"/>
        <v>117</v>
      </c>
      <c r="B123" s="35" t="str">
        <f ca="1">IFERROR(__xludf.DUMMYFUNCTION("""COMPUTED_VALUE"""),"Tổ Hạ tầng Bến Lức")</f>
        <v>Tổ Hạ tầng Bến Lức</v>
      </c>
      <c r="C123" s="35" t="str">
        <f ca="1">IFERROR(__xludf.DUMMYFUNCTION("""COMPUTED_VALUE"""),"Đặng Hoàng Vũ")</f>
        <v>Đặng Hoàng Vũ</v>
      </c>
      <c r="D123" s="35">
        <f ca="1">IFERROR(__xludf.DUMMYFUNCTION("""COMPUTED_VALUE"""),918616787)</f>
        <v>918616787</v>
      </c>
      <c r="E123" s="35" t="str">
        <f ca="1">IFERROR(__xludf.DUMMYFUNCTION("""COMPUTED_VALUE"""),"vudh.lan@vnpt.vn")</f>
        <v>vudh.lan@vnpt.vn</v>
      </c>
      <c r="F123" s="540" t="str">
        <f ca="1">IFERROR(__xludf.DUMMYFUNCTION("""COMPUTED_VALUE"""),"Lần 5")</f>
        <v>Lần 5</v>
      </c>
      <c r="G123" s="278"/>
      <c r="H123" s="35"/>
      <c r="I123" s="35"/>
      <c r="J123" s="541"/>
      <c r="K123" s="541"/>
      <c r="M123" s="539">
        <f ca="1">IFERROR(__xludf.DUMMYFUNCTION("""COMPUTED_VALUE"""),0)</f>
        <v>0</v>
      </c>
      <c r="N123" s="539">
        <f ca="1">IFERROR(__xludf.DUMMYFUNCTION("""COMPUTED_VALUE"""),0)</f>
        <v>0</v>
      </c>
      <c r="O123" s="539">
        <f ca="1">IFERROR(__xludf.DUMMYFUNCTION("""COMPUTED_VALUE"""),0)</f>
        <v>0</v>
      </c>
    </row>
    <row r="124" spans="1:15" ht="12.75">
      <c r="A124" s="539">
        <f ca="1"/>
        <v>118</v>
      </c>
      <c r="B124" s="35" t="str">
        <f ca="1">IFERROR(__xludf.DUMMYFUNCTION("""COMPUTED_VALUE"""),"Tổ Hạ tầng Bến Lức")</f>
        <v>Tổ Hạ tầng Bến Lức</v>
      </c>
      <c r="C124" s="35" t="str">
        <f ca="1">IFERROR(__xludf.DUMMYFUNCTION("""COMPUTED_VALUE"""),"Đặng Hoàng Vũ")</f>
        <v>Đặng Hoàng Vũ</v>
      </c>
      <c r="D124" s="35">
        <f ca="1">IFERROR(__xludf.DUMMYFUNCTION("""COMPUTED_VALUE"""),918616787)</f>
        <v>918616787</v>
      </c>
      <c r="E124" s="35" t="str">
        <f ca="1">IFERROR(__xludf.DUMMYFUNCTION("""COMPUTED_VALUE"""),"vudh.lan@vnpt.vn")</f>
        <v>vudh.lan@vnpt.vn</v>
      </c>
      <c r="F124" s="540" t="str">
        <f ca="1">IFERROR(__xludf.DUMMYFUNCTION("""COMPUTED_VALUE"""),"Lần 6")</f>
        <v>Lần 6</v>
      </c>
      <c r="G124" s="278"/>
      <c r="H124" s="35"/>
      <c r="I124" s="35"/>
      <c r="J124" s="541"/>
      <c r="K124" s="541"/>
      <c r="M124" s="539">
        <f ca="1">IFERROR(__xludf.DUMMYFUNCTION("""COMPUTED_VALUE"""),0)</f>
        <v>0</v>
      </c>
      <c r="N124" s="539">
        <f ca="1">IFERROR(__xludf.DUMMYFUNCTION("""COMPUTED_VALUE"""),0)</f>
        <v>0</v>
      </c>
      <c r="O124" s="539">
        <f ca="1">IFERROR(__xludf.DUMMYFUNCTION("""COMPUTED_VALUE"""),0)</f>
        <v>0</v>
      </c>
    </row>
    <row r="125" spans="1:15" ht="12.75">
      <c r="A125" s="539">
        <f ca="1"/>
        <v>119</v>
      </c>
      <c r="B125" s="35" t="str">
        <f ca="1">IFERROR(__xludf.DUMMYFUNCTION("""COMPUTED_VALUE"""),"Tổ Hạ tầng Bến Lức")</f>
        <v>Tổ Hạ tầng Bến Lức</v>
      </c>
      <c r="C125" s="35" t="str">
        <f ca="1">IFERROR(__xludf.DUMMYFUNCTION("""COMPUTED_VALUE"""),"Đặng Hoàng Vũ")</f>
        <v>Đặng Hoàng Vũ</v>
      </c>
      <c r="D125" s="35">
        <f ca="1">IFERROR(__xludf.DUMMYFUNCTION("""COMPUTED_VALUE"""),918616787)</f>
        <v>918616787</v>
      </c>
      <c r="E125" s="35" t="str">
        <f ca="1">IFERROR(__xludf.DUMMYFUNCTION("""COMPUTED_VALUE"""),"vudh.lan@vnpt.vn")</f>
        <v>vudh.lan@vnpt.vn</v>
      </c>
      <c r="F125" s="540" t="str">
        <f ca="1">IFERROR(__xludf.DUMMYFUNCTION("""COMPUTED_VALUE"""),"Lần 7")</f>
        <v>Lần 7</v>
      </c>
      <c r="G125" s="278"/>
      <c r="H125" s="35"/>
      <c r="I125" s="542"/>
      <c r="J125" s="541"/>
      <c r="K125" s="541"/>
      <c r="M125" s="539">
        <f ca="1">IFERROR(__xludf.DUMMYFUNCTION("""COMPUTED_VALUE"""),0)</f>
        <v>0</v>
      </c>
      <c r="N125" s="539">
        <f ca="1">IFERROR(__xludf.DUMMYFUNCTION("""COMPUTED_VALUE"""),0)</f>
        <v>0</v>
      </c>
      <c r="O125" s="539">
        <f ca="1">IFERROR(__xludf.DUMMYFUNCTION("""COMPUTED_VALUE"""),0)</f>
        <v>0</v>
      </c>
    </row>
    <row r="126" spans="1:15" ht="12.75">
      <c r="A126" s="539">
        <f ca="1"/>
        <v>120</v>
      </c>
      <c r="B126" s="35" t="str">
        <f ca="1">IFERROR(__xludf.DUMMYFUNCTION("""COMPUTED_VALUE"""),"Tổ Hạ tầng Bến Lức")</f>
        <v>Tổ Hạ tầng Bến Lức</v>
      </c>
      <c r="C126" s="35" t="str">
        <f ca="1">IFERROR(__xludf.DUMMYFUNCTION("""COMPUTED_VALUE"""),"Đặng Hoàng Vũ")</f>
        <v>Đặng Hoàng Vũ</v>
      </c>
      <c r="D126" s="35">
        <f ca="1">IFERROR(__xludf.DUMMYFUNCTION("""COMPUTED_VALUE"""),918616787)</f>
        <v>918616787</v>
      </c>
      <c r="E126" s="35" t="str">
        <f ca="1">IFERROR(__xludf.DUMMYFUNCTION("""COMPUTED_VALUE"""),"vudh.lan@vnpt.vn")</f>
        <v>vudh.lan@vnpt.vn</v>
      </c>
      <c r="F126" s="540" t="str">
        <f ca="1">IFERROR(__xludf.DUMMYFUNCTION("""COMPUTED_VALUE"""),"Lần 8")</f>
        <v>Lần 8</v>
      </c>
      <c r="G126" s="278"/>
      <c r="H126" s="35"/>
      <c r="I126" s="35"/>
      <c r="J126" s="541"/>
      <c r="K126" s="541"/>
      <c r="M126" s="539">
        <f ca="1">IFERROR(__xludf.DUMMYFUNCTION("""COMPUTED_VALUE"""),0)</f>
        <v>0</v>
      </c>
      <c r="N126" s="539">
        <f ca="1">IFERROR(__xludf.DUMMYFUNCTION("""COMPUTED_VALUE"""),0)</f>
        <v>0</v>
      </c>
      <c r="O126" s="539">
        <f ca="1">IFERROR(__xludf.DUMMYFUNCTION("""COMPUTED_VALUE"""),0)</f>
        <v>0</v>
      </c>
    </row>
    <row r="127" spans="1:15" ht="12.75">
      <c r="A127" s="539">
        <f ca="1"/>
        <v>121</v>
      </c>
      <c r="B127" s="35" t="str">
        <f ca="1">IFERROR(__xludf.DUMMYFUNCTION("""COMPUTED_VALUE"""),"Tổ Hạ tầng Bến Lức")</f>
        <v>Tổ Hạ tầng Bến Lức</v>
      </c>
      <c r="C127" s="35" t="str">
        <f ca="1">IFERROR(__xludf.DUMMYFUNCTION("""COMPUTED_VALUE"""),"Đặng Hoàng Vũ")</f>
        <v>Đặng Hoàng Vũ</v>
      </c>
      <c r="D127" s="35">
        <f ca="1">IFERROR(__xludf.DUMMYFUNCTION("""COMPUTED_VALUE"""),918616787)</f>
        <v>918616787</v>
      </c>
      <c r="E127" s="35" t="str">
        <f ca="1">IFERROR(__xludf.DUMMYFUNCTION("""COMPUTED_VALUE"""),"vudh.lan@vnpt.vn")</f>
        <v>vudh.lan@vnpt.vn</v>
      </c>
      <c r="F127" s="540" t="str">
        <f ca="1">IFERROR(__xludf.DUMMYFUNCTION("""COMPUTED_VALUE"""),"Lần 9")</f>
        <v>Lần 9</v>
      </c>
      <c r="G127" s="278"/>
      <c r="H127" s="35"/>
      <c r="I127" s="35"/>
      <c r="J127" s="541"/>
      <c r="K127" s="541"/>
      <c r="M127" s="539">
        <f ca="1">IFERROR(__xludf.DUMMYFUNCTION("""COMPUTED_VALUE"""),0)</f>
        <v>0</v>
      </c>
      <c r="N127" s="539">
        <f ca="1">IFERROR(__xludf.DUMMYFUNCTION("""COMPUTED_VALUE"""),0)</f>
        <v>0</v>
      </c>
      <c r="O127" s="539">
        <f ca="1">IFERROR(__xludf.DUMMYFUNCTION("""COMPUTED_VALUE"""),0)</f>
        <v>0</v>
      </c>
    </row>
    <row r="128" spans="1:15" ht="12.75">
      <c r="A128" s="539">
        <f ca="1"/>
        <v>122</v>
      </c>
      <c r="B128" s="35" t="str">
        <f ca="1">IFERROR(__xludf.DUMMYFUNCTION("""COMPUTED_VALUE"""),"Tổ Hạ tầng Bến Lức")</f>
        <v>Tổ Hạ tầng Bến Lức</v>
      </c>
      <c r="C128" s="35" t="str">
        <f ca="1">IFERROR(__xludf.DUMMYFUNCTION("""COMPUTED_VALUE"""),"Đặng Hoàng Vũ")</f>
        <v>Đặng Hoàng Vũ</v>
      </c>
      <c r="D128" s="35">
        <f ca="1">IFERROR(__xludf.DUMMYFUNCTION("""COMPUTED_VALUE"""),918616787)</f>
        <v>918616787</v>
      </c>
      <c r="E128" s="35" t="str">
        <f ca="1">IFERROR(__xludf.DUMMYFUNCTION("""COMPUTED_VALUE"""),"vudh.lan@vnpt.vn")</f>
        <v>vudh.lan@vnpt.vn</v>
      </c>
      <c r="F128" s="540" t="str">
        <f ca="1">IFERROR(__xludf.DUMMYFUNCTION("""COMPUTED_VALUE"""),"Lần 10")</f>
        <v>Lần 10</v>
      </c>
      <c r="G128" s="278"/>
      <c r="H128" s="35"/>
      <c r="I128" s="35"/>
      <c r="J128" s="541"/>
      <c r="K128" s="541"/>
      <c r="M128" s="539">
        <f ca="1">IFERROR(__xludf.DUMMYFUNCTION("""COMPUTED_VALUE"""),0)</f>
        <v>0</v>
      </c>
      <c r="N128" s="539">
        <f ca="1">IFERROR(__xludf.DUMMYFUNCTION("""COMPUTED_VALUE"""),0)</f>
        <v>0</v>
      </c>
      <c r="O128" s="539">
        <f ca="1">IFERROR(__xludf.DUMMYFUNCTION("""COMPUTED_VALUE"""),0)</f>
        <v>0</v>
      </c>
    </row>
    <row r="129" spans="1:15" ht="12.75">
      <c r="A129" s="539">
        <f ca="1"/>
        <v>123</v>
      </c>
      <c r="B129" s="35" t="str">
        <f ca="1">IFERROR(__xludf.DUMMYFUNCTION("""COMPUTED_VALUE"""),"Tổ Hạ tầng Bến Lức")</f>
        <v>Tổ Hạ tầng Bến Lức</v>
      </c>
      <c r="C129" s="35" t="str">
        <f ca="1">IFERROR(__xludf.DUMMYFUNCTION("""COMPUTED_VALUE"""),"Đặng Hoàng Vũ")</f>
        <v>Đặng Hoàng Vũ</v>
      </c>
      <c r="D129" s="35">
        <f ca="1">IFERROR(__xludf.DUMMYFUNCTION("""COMPUTED_VALUE"""),918616787)</f>
        <v>918616787</v>
      </c>
      <c r="E129" s="35" t="str">
        <f ca="1">IFERROR(__xludf.DUMMYFUNCTION("""COMPUTED_VALUE"""),"vudh.lan@vnpt.vn")</f>
        <v>vudh.lan@vnpt.vn</v>
      </c>
      <c r="F129" s="540" t="str">
        <f ca="1">IFERROR(__xludf.DUMMYFUNCTION("""COMPUTED_VALUE"""),"Lần 11")</f>
        <v>Lần 11</v>
      </c>
      <c r="G129" s="278"/>
      <c r="H129" s="35"/>
      <c r="I129" s="35"/>
      <c r="J129" s="541"/>
      <c r="K129" s="541"/>
      <c r="M129" s="539">
        <f ca="1">IFERROR(__xludf.DUMMYFUNCTION("""COMPUTED_VALUE"""),0)</f>
        <v>0</v>
      </c>
      <c r="N129" s="539">
        <f ca="1">IFERROR(__xludf.DUMMYFUNCTION("""COMPUTED_VALUE"""),0)</f>
        <v>0</v>
      </c>
      <c r="O129" s="539">
        <f ca="1">IFERROR(__xludf.DUMMYFUNCTION("""COMPUTED_VALUE"""),0)</f>
        <v>0</v>
      </c>
    </row>
    <row r="130" spans="1:15" ht="12.75">
      <c r="A130" s="539">
        <f ca="1"/>
        <v>124</v>
      </c>
      <c r="B130" s="35" t="str">
        <f ca="1">IFERROR(__xludf.DUMMYFUNCTION("""COMPUTED_VALUE"""),"Tổ Hạ tầng Bến Lức")</f>
        <v>Tổ Hạ tầng Bến Lức</v>
      </c>
      <c r="C130" s="35" t="str">
        <f ca="1">IFERROR(__xludf.DUMMYFUNCTION("""COMPUTED_VALUE"""),"Đặng Hoàng Vũ")</f>
        <v>Đặng Hoàng Vũ</v>
      </c>
      <c r="D130" s="35">
        <f ca="1">IFERROR(__xludf.DUMMYFUNCTION("""COMPUTED_VALUE"""),918616787)</f>
        <v>918616787</v>
      </c>
      <c r="E130" s="35" t="str">
        <f ca="1">IFERROR(__xludf.DUMMYFUNCTION("""COMPUTED_VALUE"""),"vudh.lan@vnpt.vn")</f>
        <v>vudh.lan@vnpt.vn</v>
      </c>
      <c r="F130" s="540" t="str">
        <f ca="1">IFERROR(__xludf.DUMMYFUNCTION("""COMPUTED_VALUE"""),"Lần 12")</f>
        <v>Lần 12</v>
      </c>
      <c r="G130" s="278"/>
      <c r="H130" s="35"/>
      <c r="I130" s="35"/>
      <c r="J130" s="541"/>
      <c r="K130" s="541"/>
      <c r="M130" s="539">
        <f ca="1">IFERROR(__xludf.DUMMYFUNCTION("""COMPUTED_VALUE"""),0)</f>
        <v>0</v>
      </c>
      <c r="N130" s="539">
        <f ca="1">IFERROR(__xludf.DUMMYFUNCTION("""COMPUTED_VALUE"""),0)</f>
        <v>0</v>
      </c>
      <c r="O130" s="539">
        <f ca="1">IFERROR(__xludf.DUMMYFUNCTION("""COMPUTED_VALUE"""),0)</f>
        <v>0</v>
      </c>
    </row>
    <row r="131" spans="1:15" ht="12.75">
      <c r="A131" s="539">
        <f ca="1"/>
        <v>125</v>
      </c>
      <c r="B131" s="35" t="str">
        <f ca="1">IFERROR(__xludf.DUMMYFUNCTION("""COMPUTED_VALUE"""),"Tổ Hạ tầng Bến Lức")</f>
        <v>Tổ Hạ tầng Bến Lức</v>
      </c>
      <c r="C131" s="35" t="str">
        <f ca="1">IFERROR(__xludf.DUMMYFUNCTION("""COMPUTED_VALUE"""),"Đặng Hoàng Vũ")</f>
        <v>Đặng Hoàng Vũ</v>
      </c>
      <c r="D131" s="35">
        <f ca="1">IFERROR(__xludf.DUMMYFUNCTION("""COMPUTED_VALUE"""),918616787)</f>
        <v>918616787</v>
      </c>
      <c r="E131" s="35" t="str">
        <f ca="1">IFERROR(__xludf.DUMMYFUNCTION("""COMPUTED_VALUE"""),"vudh.lan@vnpt.vn")</f>
        <v>vudh.lan@vnpt.vn</v>
      </c>
      <c r="F131" s="540" t="str">
        <f ca="1">IFERROR(__xludf.DUMMYFUNCTION("""COMPUTED_VALUE"""),"Lần 13")</f>
        <v>Lần 13</v>
      </c>
      <c r="G131" s="278"/>
      <c r="H131" s="35"/>
      <c r="I131" s="35"/>
      <c r="J131" s="541"/>
      <c r="K131" s="541"/>
      <c r="M131" s="539">
        <f ca="1">IFERROR(__xludf.DUMMYFUNCTION("""COMPUTED_VALUE"""),0)</f>
        <v>0</v>
      </c>
      <c r="N131" s="539">
        <f ca="1">IFERROR(__xludf.DUMMYFUNCTION("""COMPUTED_VALUE"""),0)</f>
        <v>0</v>
      </c>
      <c r="O131" s="539">
        <f ca="1">IFERROR(__xludf.DUMMYFUNCTION("""COMPUTED_VALUE"""),0)</f>
        <v>0</v>
      </c>
    </row>
    <row r="132" spans="1:15" ht="12.75">
      <c r="A132" s="539">
        <f ca="1"/>
        <v>126</v>
      </c>
      <c r="B132" s="35" t="str">
        <f ca="1">IFERROR(__xludf.DUMMYFUNCTION("""COMPUTED_VALUE"""),"Tổ Hạ tầng Bến Lức")</f>
        <v>Tổ Hạ tầng Bến Lức</v>
      </c>
      <c r="C132" s="35" t="str">
        <f ca="1">IFERROR(__xludf.DUMMYFUNCTION("""COMPUTED_VALUE"""),"Đặng Hoàng Vũ")</f>
        <v>Đặng Hoàng Vũ</v>
      </c>
      <c r="D132" s="35">
        <f ca="1">IFERROR(__xludf.DUMMYFUNCTION("""COMPUTED_VALUE"""),918616787)</f>
        <v>918616787</v>
      </c>
      <c r="E132" s="35" t="str">
        <f ca="1">IFERROR(__xludf.DUMMYFUNCTION("""COMPUTED_VALUE"""),"vudh.lan@vnpt.vn")</f>
        <v>vudh.lan@vnpt.vn</v>
      </c>
      <c r="F132" s="540" t="str">
        <f ca="1">IFERROR(__xludf.DUMMYFUNCTION("""COMPUTED_VALUE"""),"Lần 14")</f>
        <v>Lần 14</v>
      </c>
      <c r="G132" s="278"/>
      <c r="H132" s="35"/>
      <c r="I132" s="35"/>
      <c r="J132" s="541"/>
      <c r="K132" s="541"/>
      <c r="M132" s="539">
        <f ca="1">IFERROR(__xludf.DUMMYFUNCTION("""COMPUTED_VALUE"""),0)</f>
        <v>0</v>
      </c>
      <c r="N132" s="539">
        <f ca="1">IFERROR(__xludf.DUMMYFUNCTION("""COMPUTED_VALUE"""),0)</f>
        <v>0</v>
      </c>
      <c r="O132" s="539">
        <f ca="1">IFERROR(__xludf.DUMMYFUNCTION("""COMPUTED_VALUE"""),0)</f>
        <v>0</v>
      </c>
    </row>
    <row r="133" spans="1:15" ht="12.75">
      <c r="A133" s="539">
        <f ca="1"/>
        <v>127</v>
      </c>
      <c r="B133" s="35" t="str">
        <f ca="1">IFERROR(__xludf.DUMMYFUNCTION("""COMPUTED_VALUE"""),"Tổ Hạ tầng Bến Lức")</f>
        <v>Tổ Hạ tầng Bến Lức</v>
      </c>
      <c r="C133" s="35" t="str">
        <f ca="1">IFERROR(__xludf.DUMMYFUNCTION("""COMPUTED_VALUE"""),"Đặng Hoàng Vũ")</f>
        <v>Đặng Hoàng Vũ</v>
      </c>
      <c r="D133" s="35">
        <f ca="1">IFERROR(__xludf.DUMMYFUNCTION("""COMPUTED_VALUE"""),918616787)</f>
        <v>918616787</v>
      </c>
      <c r="E133" s="35" t="str">
        <f ca="1">IFERROR(__xludf.DUMMYFUNCTION("""COMPUTED_VALUE"""),"vudh.lan@vnpt.vn")</f>
        <v>vudh.lan@vnpt.vn</v>
      </c>
      <c r="F133" s="540" t="str">
        <f ca="1">IFERROR(__xludf.DUMMYFUNCTION("""COMPUTED_VALUE"""),"Lần 15")</f>
        <v>Lần 15</v>
      </c>
      <c r="G133" s="278"/>
      <c r="H133" s="35"/>
      <c r="I133" s="35"/>
      <c r="J133" s="541"/>
      <c r="K133" s="541"/>
      <c r="M133" s="539">
        <f ca="1">IFERROR(__xludf.DUMMYFUNCTION("""COMPUTED_VALUE"""),0)</f>
        <v>0</v>
      </c>
      <c r="N133" s="539">
        <f ca="1">IFERROR(__xludf.DUMMYFUNCTION("""COMPUTED_VALUE"""),0)</f>
        <v>0</v>
      </c>
      <c r="O133" s="539">
        <f ca="1">IFERROR(__xludf.DUMMYFUNCTION("""COMPUTED_VALUE"""),0)</f>
        <v>0</v>
      </c>
    </row>
    <row r="134" spans="1:15" ht="12.75">
      <c r="A134" s="539">
        <f ca="1"/>
        <v>128</v>
      </c>
      <c r="B134" s="35" t="str">
        <f ca="1">IFERROR(__xludf.DUMMYFUNCTION("""COMPUTED_VALUE"""),"Tổ Hạ tầng Bến Lức")</f>
        <v>Tổ Hạ tầng Bến Lức</v>
      </c>
      <c r="C134" s="35" t="str">
        <f ca="1">IFERROR(__xludf.DUMMYFUNCTION("""COMPUTED_VALUE"""),"Đặng Hoàng Vũ")</f>
        <v>Đặng Hoàng Vũ</v>
      </c>
      <c r="D134" s="35">
        <f ca="1">IFERROR(__xludf.DUMMYFUNCTION("""COMPUTED_VALUE"""),918616787)</f>
        <v>918616787</v>
      </c>
      <c r="E134" s="35" t="str">
        <f ca="1">IFERROR(__xludf.DUMMYFUNCTION("""COMPUTED_VALUE"""),"vudh.lan@vnpt.vn")</f>
        <v>vudh.lan@vnpt.vn</v>
      </c>
      <c r="F134" s="540" t="str">
        <f ca="1">IFERROR(__xludf.DUMMYFUNCTION("""COMPUTED_VALUE"""),"Lần 16")</f>
        <v>Lần 16</v>
      </c>
      <c r="G134" s="278"/>
      <c r="H134" s="35"/>
      <c r="I134" s="35"/>
      <c r="J134" s="541"/>
      <c r="K134" s="541"/>
      <c r="M134" s="539">
        <f ca="1">IFERROR(__xludf.DUMMYFUNCTION("""COMPUTED_VALUE"""),0)</f>
        <v>0</v>
      </c>
      <c r="N134" s="539">
        <f ca="1">IFERROR(__xludf.DUMMYFUNCTION("""COMPUTED_VALUE"""),0)</f>
        <v>0</v>
      </c>
      <c r="O134" s="539">
        <f ca="1">IFERROR(__xludf.DUMMYFUNCTION("""COMPUTED_VALUE"""),0)</f>
        <v>0</v>
      </c>
    </row>
    <row r="135" spans="1:15" ht="12.75">
      <c r="A135" s="539">
        <f ca="1"/>
        <v>129</v>
      </c>
      <c r="B135" s="35" t="str">
        <f ca="1">IFERROR(__xludf.DUMMYFUNCTION("""COMPUTED_VALUE"""),"Tổ Hạ tầng Bến Lức")</f>
        <v>Tổ Hạ tầng Bến Lức</v>
      </c>
      <c r="C135" s="35" t="str">
        <f ca="1">IFERROR(__xludf.DUMMYFUNCTION("""COMPUTED_VALUE"""),"Huỳnh Minh Triết")</f>
        <v>Huỳnh Minh Triết</v>
      </c>
      <c r="D135" s="35">
        <f ca="1">IFERROR(__xludf.DUMMYFUNCTION("""COMPUTED_VALUE"""),919113959)</f>
        <v>919113959</v>
      </c>
      <c r="E135" s="35" t="str">
        <f ca="1">IFERROR(__xludf.DUMMYFUNCTION("""COMPUTED_VALUE"""),"triethm.lan@vnpt.vn")</f>
        <v>triethm.lan@vnpt.vn</v>
      </c>
      <c r="F135" s="540" t="str">
        <f ca="1">IFERROR(__xludf.DUMMYFUNCTION("""COMPUTED_VALUE"""),"Lần 1")</f>
        <v>Lần 1</v>
      </c>
      <c r="G135" s="278">
        <f ca="1">IFERROR(__xludf.DUMMYFUNCTION("""COMPUTED_VALUE"""),46209)</f>
        <v>46209</v>
      </c>
      <c r="H135" s="35" t="str">
        <f ca="1">IFERROR(__xludf.DUMMYFUNCTION("""COMPUTED_VALUE"""),"87.2")</f>
        <v>87.2</v>
      </c>
      <c r="I135" s="542">
        <f ca="1">IFERROR(__xludf.DUMMYFUNCTION("""COMPUTED_VALUE"""),46214)</f>
        <v>46214</v>
      </c>
      <c r="J135" s="541">
        <f ca="1">IFERROR(__xludf.DUMMYFUNCTION("""COMPUTED_VALUE"""),82.7)</f>
        <v>82.7</v>
      </c>
      <c r="K135" s="541" t="str">
        <f ca="1">IFERROR(__xludf.DUMMYFUNCTION("""COMPUTED_VALUE"""),"41.6")</f>
        <v>41.6</v>
      </c>
      <c r="M135" s="539">
        <f ca="1">IFERROR(__xludf.DUMMYFUNCTION("""COMPUTED_VALUE"""),1)</f>
        <v>1</v>
      </c>
      <c r="N135" s="539">
        <f ca="1">IFERROR(__xludf.DUMMYFUNCTION("""COMPUTED_VALUE"""),1)</f>
        <v>1</v>
      </c>
      <c r="O135" s="539">
        <f ca="1">IFERROR(__xludf.DUMMYFUNCTION("""COMPUTED_VALUE"""),0)</f>
        <v>0</v>
      </c>
    </row>
    <row r="136" spans="1:15" ht="12.75">
      <c r="A136" s="539">
        <f ca="1"/>
        <v>130</v>
      </c>
      <c r="B136" s="35" t="str">
        <f ca="1">IFERROR(__xludf.DUMMYFUNCTION("""COMPUTED_VALUE"""),"Tổ Hạ tầng Bến Lức")</f>
        <v>Tổ Hạ tầng Bến Lức</v>
      </c>
      <c r="C136" s="35" t="str">
        <f ca="1">IFERROR(__xludf.DUMMYFUNCTION("""COMPUTED_VALUE"""),"Huỳnh Minh Triết")</f>
        <v>Huỳnh Minh Triết</v>
      </c>
      <c r="D136" s="35">
        <f ca="1">IFERROR(__xludf.DUMMYFUNCTION("""COMPUTED_VALUE"""),919113959)</f>
        <v>919113959</v>
      </c>
      <c r="E136" s="35" t="str">
        <f ca="1">IFERROR(__xludf.DUMMYFUNCTION("""COMPUTED_VALUE"""),"triethm.lan@vnpt.vn")</f>
        <v>triethm.lan@vnpt.vn</v>
      </c>
      <c r="F136" s="540" t="str">
        <f ca="1">IFERROR(__xludf.DUMMYFUNCTION("""COMPUTED_VALUE"""),"Lần 2")</f>
        <v>Lần 2</v>
      </c>
      <c r="G136" s="278">
        <f ca="1">IFERROR(__xludf.DUMMYFUNCTION("""COMPUTED_VALUE"""),46209)</f>
        <v>46209</v>
      </c>
      <c r="H136" s="35" t="str">
        <f ca="1">IFERROR(__xludf.DUMMYFUNCTION("""COMPUTED_VALUE"""),"85.6")</f>
        <v>85.6</v>
      </c>
      <c r="I136" s="542">
        <f ca="1">IFERROR(__xludf.DUMMYFUNCTION("""COMPUTED_VALUE"""),46093)</f>
        <v>46093</v>
      </c>
      <c r="J136" s="541">
        <f ca="1">IFERROR(__xludf.DUMMYFUNCTION("""COMPUTED_VALUE"""),109)</f>
        <v>109</v>
      </c>
      <c r="K136" s="541" t="str">
        <f ca="1">IFERROR(__xludf.DUMMYFUNCTION("""COMPUTED_VALUE"""),"56.8")</f>
        <v>56.8</v>
      </c>
      <c r="M136" s="539">
        <f ca="1">IFERROR(__xludf.DUMMYFUNCTION("""COMPUTED_VALUE"""),1)</f>
        <v>1</v>
      </c>
      <c r="N136" s="539">
        <f ca="1">IFERROR(__xludf.DUMMYFUNCTION("""COMPUTED_VALUE"""),1)</f>
        <v>1</v>
      </c>
      <c r="O136" s="539">
        <f ca="1">IFERROR(__xludf.DUMMYFUNCTION("""COMPUTED_VALUE"""),0)</f>
        <v>0</v>
      </c>
    </row>
    <row r="137" spans="1:15" ht="12.75">
      <c r="A137" s="539">
        <f ca="1"/>
        <v>131</v>
      </c>
      <c r="B137" s="35" t="str">
        <f ca="1">IFERROR(__xludf.DUMMYFUNCTION("""COMPUTED_VALUE"""),"Tổ Hạ tầng Bến Lức")</f>
        <v>Tổ Hạ tầng Bến Lức</v>
      </c>
      <c r="C137" s="35" t="str">
        <f ca="1">IFERROR(__xludf.DUMMYFUNCTION("""COMPUTED_VALUE"""),"Huỳnh Minh Triết")</f>
        <v>Huỳnh Minh Triết</v>
      </c>
      <c r="D137" s="35">
        <f ca="1">IFERROR(__xludf.DUMMYFUNCTION("""COMPUTED_VALUE"""),919113959)</f>
        <v>919113959</v>
      </c>
      <c r="E137" s="35" t="str">
        <f ca="1">IFERROR(__xludf.DUMMYFUNCTION("""COMPUTED_VALUE"""),"triethm.lan@vnpt.vn")</f>
        <v>triethm.lan@vnpt.vn</v>
      </c>
      <c r="F137" s="540" t="str">
        <f ca="1">IFERROR(__xludf.DUMMYFUNCTION("""COMPUTED_VALUE"""),"Lần 3")</f>
        <v>Lần 3</v>
      </c>
      <c r="G137" s="278">
        <f ca="1">IFERROR(__xludf.DUMMYFUNCTION("""COMPUTED_VALUE"""),46213)</f>
        <v>46213</v>
      </c>
      <c r="H137" s="35">
        <f ca="1">IFERROR(__xludf.DUMMYFUNCTION("""COMPUTED_VALUE"""),102)</f>
        <v>102</v>
      </c>
      <c r="I137" s="35" t="str">
        <f ca="1">IFERROR(__xludf.DUMMYFUNCTION("""COMPUTED_VALUE"""),"9.62")</f>
        <v>9.62</v>
      </c>
      <c r="J137" s="541">
        <f ca="1">IFERROR(__xludf.DUMMYFUNCTION("""COMPUTED_VALUE"""),113)</f>
        <v>113</v>
      </c>
      <c r="K137" s="541" t="str">
        <f ca="1">IFERROR(__xludf.DUMMYFUNCTION("""COMPUTED_VALUE"""),"57.1")</f>
        <v>57.1</v>
      </c>
      <c r="M137" s="539">
        <f ca="1">IFERROR(__xludf.DUMMYFUNCTION("""COMPUTED_VALUE"""),1)</f>
        <v>1</v>
      </c>
      <c r="N137" s="539">
        <f ca="1">IFERROR(__xludf.DUMMYFUNCTION("""COMPUTED_VALUE"""),1)</f>
        <v>1</v>
      </c>
      <c r="O137" s="539">
        <f ca="1">IFERROR(__xludf.DUMMYFUNCTION("""COMPUTED_VALUE"""),0)</f>
        <v>0</v>
      </c>
    </row>
    <row r="138" spans="1:15" ht="12.75">
      <c r="A138" s="539">
        <f ca="1"/>
        <v>132</v>
      </c>
      <c r="B138" s="35" t="str">
        <f ca="1">IFERROR(__xludf.DUMMYFUNCTION("""COMPUTED_VALUE"""),"Tổ Hạ tầng Bến Lức")</f>
        <v>Tổ Hạ tầng Bến Lức</v>
      </c>
      <c r="C138" s="35" t="str">
        <f ca="1">IFERROR(__xludf.DUMMYFUNCTION("""COMPUTED_VALUE"""),"Huỳnh Minh Triết")</f>
        <v>Huỳnh Minh Triết</v>
      </c>
      <c r="D138" s="35">
        <f ca="1">IFERROR(__xludf.DUMMYFUNCTION("""COMPUTED_VALUE"""),919113959)</f>
        <v>919113959</v>
      </c>
      <c r="E138" s="35" t="str">
        <f ca="1">IFERROR(__xludf.DUMMYFUNCTION("""COMPUTED_VALUE"""),"triethm.lan@vnpt.vn")</f>
        <v>triethm.lan@vnpt.vn</v>
      </c>
      <c r="F138" s="540" t="str">
        <f ca="1">IFERROR(__xludf.DUMMYFUNCTION("""COMPUTED_VALUE"""),"Lần 4")</f>
        <v>Lần 4</v>
      </c>
      <c r="G138" s="278">
        <f ca="1">IFERROR(__xludf.DUMMYFUNCTION("""COMPUTED_VALUE"""),46213)</f>
        <v>46213</v>
      </c>
      <c r="H138" s="35" t="str">
        <f ca="1">IFERROR(__xludf.DUMMYFUNCTION("""COMPUTED_VALUE"""),"96.4")</f>
        <v>96.4</v>
      </c>
      <c r="I138" s="35">
        <f ca="1">IFERROR(__xludf.DUMMYFUNCTION("""COMPUTED_VALUE"""),11)</f>
        <v>11</v>
      </c>
      <c r="J138" s="541">
        <f ca="1">IFERROR(__xludf.DUMMYFUNCTION("""COMPUTED_VALUE"""),73.8)</f>
        <v>73.8</v>
      </c>
      <c r="K138" s="541" t="str">
        <f ca="1">IFERROR(__xludf.DUMMYFUNCTION("""COMPUTED_VALUE"""),"40.6")</f>
        <v>40.6</v>
      </c>
      <c r="M138" s="539">
        <f ca="1">IFERROR(__xludf.DUMMYFUNCTION("""COMPUTED_VALUE"""),1)</f>
        <v>1</v>
      </c>
      <c r="N138" s="539">
        <f ca="1">IFERROR(__xludf.DUMMYFUNCTION("""COMPUTED_VALUE"""),1)</f>
        <v>1</v>
      </c>
      <c r="O138" s="539">
        <f ca="1">IFERROR(__xludf.DUMMYFUNCTION("""COMPUTED_VALUE"""),0)</f>
        <v>0</v>
      </c>
    </row>
    <row r="139" spans="1:15" ht="12.75">
      <c r="A139" s="539">
        <f ca="1"/>
        <v>133</v>
      </c>
      <c r="B139" s="35" t="str">
        <f ca="1">IFERROR(__xludf.DUMMYFUNCTION("""COMPUTED_VALUE"""),"Tổ Hạ tầng Bến Lức")</f>
        <v>Tổ Hạ tầng Bến Lức</v>
      </c>
      <c r="C139" s="35" t="str">
        <f ca="1">IFERROR(__xludf.DUMMYFUNCTION("""COMPUTED_VALUE"""),"Huỳnh Minh Triết")</f>
        <v>Huỳnh Minh Triết</v>
      </c>
      <c r="D139" s="35">
        <f ca="1">IFERROR(__xludf.DUMMYFUNCTION("""COMPUTED_VALUE"""),919113959)</f>
        <v>919113959</v>
      </c>
      <c r="E139" s="35" t="str">
        <f ca="1">IFERROR(__xludf.DUMMYFUNCTION("""COMPUTED_VALUE"""),"triethm.lan@vnpt.vn")</f>
        <v>triethm.lan@vnpt.vn</v>
      </c>
      <c r="F139" s="540" t="str">
        <f ca="1">IFERROR(__xludf.DUMMYFUNCTION("""COMPUTED_VALUE"""),"Lần 5")</f>
        <v>Lần 5</v>
      </c>
      <c r="G139" s="278">
        <f ca="1">IFERROR(__xludf.DUMMYFUNCTION("""COMPUTED_VALUE"""),46213)</f>
        <v>46213</v>
      </c>
      <c r="H139" s="35">
        <f ca="1">IFERROR(__xludf.DUMMYFUNCTION("""COMPUTED_VALUE"""),108)</f>
        <v>108</v>
      </c>
      <c r="I139" s="542">
        <f ca="1">IFERROR(__xludf.DUMMYFUNCTION("""COMPUTED_VALUE"""),46275)</f>
        <v>46275</v>
      </c>
      <c r="J139" s="541">
        <f ca="1">IFERROR(__xludf.DUMMYFUNCTION("""COMPUTED_VALUE"""),90.6)</f>
        <v>90.6</v>
      </c>
      <c r="K139" s="541" t="str">
        <f ca="1">IFERROR(__xludf.DUMMYFUNCTION("""COMPUTED_VALUE"""),"55.5")</f>
        <v>55.5</v>
      </c>
      <c r="M139" s="539">
        <f ca="1">IFERROR(__xludf.DUMMYFUNCTION("""COMPUTED_VALUE"""),1)</f>
        <v>1</v>
      </c>
      <c r="N139" s="539">
        <f ca="1">IFERROR(__xludf.DUMMYFUNCTION("""COMPUTED_VALUE"""),1)</f>
        <v>1</v>
      </c>
      <c r="O139" s="539">
        <f ca="1">IFERROR(__xludf.DUMMYFUNCTION("""COMPUTED_VALUE"""),0)</f>
        <v>0</v>
      </c>
    </row>
    <row r="140" spans="1:15" ht="12.75">
      <c r="A140" s="539">
        <f ca="1"/>
        <v>134</v>
      </c>
      <c r="B140" s="35" t="str">
        <f ca="1">IFERROR(__xludf.DUMMYFUNCTION("""COMPUTED_VALUE"""),"Tổ Hạ tầng Bến Lức")</f>
        <v>Tổ Hạ tầng Bến Lức</v>
      </c>
      <c r="C140" s="35" t="str">
        <f ca="1">IFERROR(__xludf.DUMMYFUNCTION("""COMPUTED_VALUE"""),"Huỳnh Minh Triết")</f>
        <v>Huỳnh Minh Triết</v>
      </c>
      <c r="D140" s="35">
        <f ca="1">IFERROR(__xludf.DUMMYFUNCTION("""COMPUTED_VALUE"""),919113959)</f>
        <v>919113959</v>
      </c>
      <c r="E140" s="35" t="str">
        <f ca="1">IFERROR(__xludf.DUMMYFUNCTION("""COMPUTED_VALUE"""),"triethm.lan@vnpt.vn")</f>
        <v>triethm.lan@vnpt.vn</v>
      </c>
      <c r="F140" s="540" t="str">
        <f ca="1">IFERROR(__xludf.DUMMYFUNCTION("""COMPUTED_VALUE"""),"Lần 6")</f>
        <v>Lần 6</v>
      </c>
      <c r="G140" s="278"/>
      <c r="H140" s="35"/>
      <c r="I140" s="35"/>
      <c r="J140" s="541"/>
      <c r="K140" s="541"/>
      <c r="M140" s="539">
        <f ca="1">IFERROR(__xludf.DUMMYFUNCTION("""COMPUTED_VALUE"""),0)</f>
        <v>0</v>
      </c>
      <c r="N140" s="539">
        <f ca="1">IFERROR(__xludf.DUMMYFUNCTION("""COMPUTED_VALUE"""),0)</f>
        <v>0</v>
      </c>
      <c r="O140" s="539">
        <f ca="1">IFERROR(__xludf.DUMMYFUNCTION("""COMPUTED_VALUE"""),0)</f>
        <v>0</v>
      </c>
    </row>
    <row r="141" spans="1:15" ht="12.75">
      <c r="A141" s="539">
        <f ca="1"/>
        <v>135</v>
      </c>
      <c r="B141" s="35" t="str">
        <f ca="1">IFERROR(__xludf.DUMMYFUNCTION("""COMPUTED_VALUE"""),"Tổ Hạ tầng Bến Lức")</f>
        <v>Tổ Hạ tầng Bến Lức</v>
      </c>
      <c r="C141" s="35" t="str">
        <f ca="1">IFERROR(__xludf.DUMMYFUNCTION("""COMPUTED_VALUE"""),"Huỳnh Minh Triết")</f>
        <v>Huỳnh Minh Triết</v>
      </c>
      <c r="D141" s="35">
        <f ca="1">IFERROR(__xludf.DUMMYFUNCTION("""COMPUTED_VALUE"""),919113959)</f>
        <v>919113959</v>
      </c>
      <c r="E141" s="35" t="str">
        <f ca="1">IFERROR(__xludf.DUMMYFUNCTION("""COMPUTED_VALUE"""),"triethm.lan@vnpt.vn")</f>
        <v>triethm.lan@vnpt.vn</v>
      </c>
      <c r="F141" s="540" t="str">
        <f ca="1">IFERROR(__xludf.DUMMYFUNCTION("""COMPUTED_VALUE"""),"Lần 7")</f>
        <v>Lần 7</v>
      </c>
      <c r="G141" s="278"/>
      <c r="H141" s="35"/>
      <c r="I141" s="35"/>
      <c r="J141" s="541"/>
      <c r="K141" s="541"/>
      <c r="M141" s="539">
        <f ca="1">IFERROR(__xludf.DUMMYFUNCTION("""COMPUTED_VALUE"""),0)</f>
        <v>0</v>
      </c>
      <c r="N141" s="539">
        <f ca="1">IFERROR(__xludf.DUMMYFUNCTION("""COMPUTED_VALUE"""),0)</f>
        <v>0</v>
      </c>
      <c r="O141" s="539">
        <f ca="1">IFERROR(__xludf.DUMMYFUNCTION("""COMPUTED_VALUE"""),0)</f>
        <v>0</v>
      </c>
    </row>
    <row r="142" spans="1:15" ht="12.75">
      <c r="A142" s="539">
        <f ca="1"/>
        <v>136</v>
      </c>
      <c r="B142" s="35" t="str">
        <f ca="1">IFERROR(__xludf.DUMMYFUNCTION("""COMPUTED_VALUE"""),"Tổ Hạ tầng Bến Lức")</f>
        <v>Tổ Hạ tầng Bến Lức</v>
      </c>
      <c r="C142" s="35" t="str">
        <f ca="1">IFERROR(__xludf.DUMMYFUNCTION("""COMPUTED_VALUE"""),"Huỳnh Minh Triết")</f>
        <v>Huỳnh Minh Triết</v>
      </c>
      <c r="D142" s="35">
        <f ca="1">IFERROR(__xludf.DUMMYFUNCTION("""COMPUTED_VALUE"""),919113959)</f>
        <v>919113959</v>
      </c>
      <c r="E142" s="35" t="str">
        <f ca="1">IFERROR(__xludf.DUMMYFUNCTION("""COMPUTED_VALUE"""),"triethm.lan@vnpt.vn")</f>
        <v>triethm.lan@vnpt.vn</v>
      </c>
      <c r="F142" s="540" t="str">
        <f ca="1">IFERROR(__xludf.DUMMYFUNCTION("""COMPUTED_VALUE"""),"Lần 8")</f>
        <v>Lần 8</v>
      </c>
      <c r="G142" s="278"/>
      <c r="H142" s="35"/>
      <c r="I142" s="35"/>
      <c r="J142" s="541"/>
      <c r="K142" s="541"/>
      <c r="M142" s="539">
        <f ca="1">IFERROR(__xludf.DUMMYFUNCTION("""COMPUTED_VALUE"""),0)</f>
        <v>0</v>
      </c>
      <c r="N142" s="539">
        <f ca="1">IFERROR(__xludf.DUMMYFUNCTION("""COMPUTED_VALUE"""),0)</f>
        <v>0</v>
      </c>
      <c r="O142" s="539">
        <f ca="1">IFERROR(__xludf.DUMMYFUNCTION("""COMPUTED_VALUE"""),0)</f>
        <v>0</v>
      </c>
    </row>
    <row r="143" spans="1:15" ht="12.75">
      <c r="A143" s="539">
        <f ca="1"/>
        <v>137</v>
      </c>
      <c r="B143" s="35" t="str">
        <f ca="1">IFERROR(__xludf.DUMMYFUNCTION("""COMPUTED_VALUE"""),"Tổ Hạ tầng Bến Lức")</f>
        <v>Tổ Hạ tầng Bến Lức</v>
      </c>
      <c r="C143" s="35" t="str">
        <f ca="1">IFERROR(__xludf.DUMMYFUNCTION("""COMPUTED_VALUE"""),"Huỳnh Minh Triết")</f>
        <v>Huỳnh Minh Triết</v>
      </c>
      <c r="D143" s="35">
        <f ca="1">IFERROR(__xludf.DUMMYFUNCTION("""COMPUTED_VALUE"""),919113959)</f>
        <v>919113959</v>
      </c>
      <c r="E143" s="35" t="str">
        <f ca="1">IFERROR(__xludf.DUMMYFUNCTION("""COMPUTED_VALUE"""),"triethm.lan@vnpt.vn")</f>
        <v>triethm.lan@vnpt.vn</v>
      </c>
      <c r="F143" s="540" t="str">
        <f ca="1">IFERROR(__xludf.DUMMYFUNCTION("""COMPUTED_VALUE"""),"Lần 9")</f>
        <v>Lần 9</v>
      </c>
      <c r="G143" s="278"/>
      <c r="H143" s="35"/>
      <c r="I143" s="35"/>
      <c r="J143" s="541"/>
      <c r="K143" s="541"/>
      <c r="M143" s="539">
        <f ca="1">IFERROR(__xludf.DUMMYFUNCTION("""COMPUTED_VALUE"""),0)</f>
        <v>0</v>
      </c>
      <c r="N143" s="539">
        <f ca="1">IFERROR(__xludf.DUMMYFUNCTION("""COMPUTED_VALUE"""),0)</f>
        <v>0</v>
      </c>
      <c r="O143" s="539">
        <f ca="1">IFERROR(__xludf.DUMMYFUNCTION("""COMPUTED_VALUE"""),0)</f>
        <v>0</v>
      </c>
    </row>
    <row r="144" spans="1:15" ht="12.75">
      <c r="A144" s="539">
        <f ca="1"/>
        <v>138</v>
      </c>
      <c r="B144" s="35" t="str">
        <f ca="1">IFERROR(__xludf.DUMMYFUNCTION("""COMPUTED_VALUE"""),"Tổ Hạ tầng Bến Lức")</f>
        <v>Tổ Hạ tầng Bến Lức</v>
      </c>
      <c r="C144" s="35" t="str">
        <f ca="1">IFERROR(__xludf.DUMMYFUNCTION("""COMPUTED_VALUE"""),"Huỳnh Minh Triết")</f>
        <v>Huỳnh Minh Triết</v>
      </c>
      <c r="D144" s="35">
        <f ca="1">IFERROR(__xludf.DUMMYFUNCTION("""COMPUTED_VALUE"""),919113959)</f>
        <v>919113959</v>
      </c>
      <c r="E144" s="35" t="str">
        <f ca="1">IFERROR(__xludf.DUMMYFUNCTION("""COMPUTED_VALUE"""),"triethm.lan@vnpt.vn")</f>
        <v>triethm.lan@vnpt.vn</v>
      </c>
      <c r="F144" s="540" t="str">
        <f ca="1">IFERROR(__xludf.DUMMYFUNCTION("""COMPUTED_VALUE"""),"Lần 10")</f>
        <v>Lần 10</v>
      </c>
      <c r="G144" s="278"/>
      <c r="H144" s="35"/>
      <c r="I144" s="35"/>
      <c r="J144" s="541"/>
      <c r="K144" s="541"/>
      <c r="M144" s="539">
        <f ca="1">IFERROR(__xludf.DUMMYFUNCTION("""COMPUTED_VALUE"""),0)</f>
        <v>0</v>
      </c>
      <c r="N144" s="539">
        <f ca="1">IFERROR(__xludf.DUMMYFUNCTION("""COMPUTED_VALUE"""),0)</f>
        <v>0</v>
      </c>
      <c r="O144" s="539">
        <f ca="1">IFERROR(__xludf.DUMMYFUNCTION("""COMPUTED_VALUE"""),0)</f>
        <v>0</v>
      </c>
    </row>
    <row r="145" spans="1:15" ht="12.75">
      <c r="A145" s="539">
        <f ca="1"/>
        <v>139</v>
      </c>
      <c r="B145" s="35" t="str">
        <f ca="1">IFERROR(__xludf.DUMMYFUNCTION("""COMPUTED_VALUE"""),"Tổ Hạ tầng Bến Lức")</f>
        <v>Tổ Hạ tầng Bến Lức</v>
      </c>
      <c r="C145" s="35" t="str">
        <f ca="1">IFERROR(__xludf.DUMMYFUNCTION("""COMPUTED_VALUE"""),"Huỳnh Minh Triết")</f>
        <v>Huỳnh Minh Triết</v>
      </c>
      <c r="D145" s="35">
        <f ca="1">IFERROR(__xludf.DUMMYFUNCTION("""COMPUTED_VALUE"""),919113959)</f>
        <v>919113959</v>
      </c>
      <c r="E145" s="35" t="str">
        <f ca="1">IFERROR(__xludf.DUMMYFUNCTION("""COMPUTED_VALUE"""),"triethm.lan@vnpt.vn")</f>
        <v>triethm.lan@vnpt.vn</v>
      </c>
      <c r="F145" s="540" t="str">
        <f ca="1">IFERROR(__xludf.DUMMYFUNCTION("""COMPUTED_VALUE"""),"Lần 11")</f>
        <v>Lần 11</v>
      </c>
      <c r="G145" s="278"/>
      <c r="H145" s="35"/>
      <c r="I145" s="35"/>
      <c r="J145" s="541"/>
      <c r="K145" s="541"/>
      <c r="M145" s="539">
        <f ca="1">IFERROR(__xludf.DUMMYFUNCTION("""COMPUTED_VALUE"""),0)</f>
        <v>0</v>
      </c>
      <c r="N145" s="539">
        <f ca="1">IFERROR(__xludf.DUMMYFUNCTION("""COMPUTED_VALUE"""),0)</f>
        <v>0</v>
      </c>
      <c r="O145" s="539">
        <f ca="1">IFERROR(__xludf.DUMMYFUNCTION("""COMPUTED_VALUE"""),0)</f>
        <v>0</v>
      </c>
    </row>
    <row r="146" spans="1:15" ht="12.75">
      <c r="A146" s="539">
        <f ca="1"/>
        <v>140</v>
      </c>
      <c r="B146" s="35" t="str">
        <f ca="1">IFERROR(__xludf.DUMMYFUNCTION("""COMPUTED_VALUE"""),"Tổ Hạ tầng Bến Lức")</f>
        <v>Tổ Hạ tầng Bến Lức</v>
      </c>
      <c r="C146" s="35" t="str">
        <f ca="1">IFERROR(__xludf.DUMMYFUNCTION("""COMPUTED_VALUE"""),"Huỳnh Minh Triết")</f>
        <v>Huỳnh Minh Triết</v>
      </c>
      <c r="D146" s="35">
        <f ca="1">IFERROR(__xludf.DUMMYFUNCTION("""COMPUTED_VALUE"""),919113959)</f>
        <v>919113959</v>
      </c>
      <c r="E146" s="35" t="str">
        <f ca="1">IFERROR(__xludf.DUMMYFUNCTION("""COMPUTED_VALUE"""),"triethm.lan@vnpt.vn")</f>
        <v>triethm.lan@vnpt.vn</v>
      </c>
      <c r="F146" s="540" t="str">
        <f ca="1">IFERROR(__xludf.DUMMYFUNCTION("""COMPUTED_VALUE"""),"Lần 12")</f>
        <v>Lần 12</v>
      </c>
      <c r="G146" s="278"/>
      <c r="H146" s="35"/>
      <c r="I146" s="35"/>
      <c r="J146" s="541"/>
      <c r="K146" s="541"/>
      <c r="M146" s="539">
        <f ca="1">IFERROR(__xludf.DUMMYFUNCTION("""COMPUTED_VALUE"""),0)</f>
        <v>0</v>
      </c>
      <c r="N146" s="539">
        <f ca="1">IFERROR(__xludf.DUMMYFUNCTION("""COMPUTED_VALUE"""),0)</f>
        <v>0</v>
      </c>
      <c r="O146" s="539">
        <f ca="1">IFERROR(__xludf.DUMMYFUNCTION("""COMPUTED_VALUE"""),0)</f>
        <v>0</v>
      </c>
    </row>
    <row r="147" spans="1:15" ht="12.75">
      <c r="A147" s="539">
        <f ca="1"/>
        <v>141</v>
      </c>
      <c r="B147" s="35" t="str">
        <f ca="1">IFERROR(__xludf.DUMMYFUNCTION("""COMPUTED_VALUE"""),"Tổ Hạ tầng Bến Lức")</f>
        <v>Tổ Hạ tầng Bến Lức</v>
      </c>
      <c r="C147" s="35" t="str">
        <f ca="1">IFERROR(__xludf.DUMMYFUNCTION("""COMPUTED_VALUE"""),"Huỳnh Minh Triết")</f>
        <v>Huỳnh Minh Triết</v>
      </c>
      <c r="D147" s="35">
        <f ca="1">IFERROR(__xludf.DUMMYFUNCTION("""COMPUTED_VALUE"""),919113959)</f>
        <v>919113959</v>
      </c>
      <c r="E147" s="35" t="str">
        <f ca="1">IFERROR(__xludf.DUMMYFUNCTION("""COMPUTED_VALUE"""),"triethm.lan@vnpt.vn")</f>
        <v>triethm.lan@vnpt.vn</v>
      </c>
      <c r="F147" s="540" t="str">
        <f ca="1">IFERROR(__xludf.DUMMYFUNCTION("""COMPUTED_VALUE"""),"Lần 13")</f>
        <v>Lần 13</v>
      </c>
      <c r="G147" s="278"/>
      <c r="H147" s="35"/>
      <c r="I147" s="35"/>
      <c r="J147" s="541"/>
      <c r="K147" s="541"/>
      <c r="M147" s="539">
        <f ca="1">IFERROR(__xludf.DUMMYFUNCTION("""COMPUTED_VALUE"""),0)</f>
        <v>0</v>
      </c>
      <c r="N147" s="539">
        <f ca="1">IFERROR(__xludf.DUMMYFUNCTION("""COMPUTED_VALUE"""),0)</f>
        <v>0</v>
      </c>
      <c r="O147" s="539">
        <f ca="1">IFERROR(__xludf.DUMMYFUNCTION("""COMPUTED_VALUE"""),0)</f>
        <v>0</v>
      </c>
    </row>
    <row r="148" spans="1:15" ht="12.75">
      <c r="A148" s="539">
        <f ca="1"/>
        <v>142</v>
      </c>
      <c r="B148" s="35" t="str">
        <f ca="1">IFERROR(__xludf.DUMMYFUNCTION("""COMPUTED_VALUE"""),"Tổ Hạ tầng Bến Lức")</f>
        <v>Tổ Hạ tầng Bến Lức</v>
      </c>
      <c r="C148" s="35" t="str">
        <f ca="1">IFERROR(__xludf.DUMMYFUNCTION("""COMPUTED_VALUE"""),"Huỳnh Minh Triết")</f>
        <v>Huỳnh Minh Triết</v>
      </c>
      <c r="D148" s="35">
        <f ca="1">IFERROR(__xludf.DUMMYFUNCTION("""COMPUTED_VALUE"""),919113959)</f>
        <v>919113959</v>
      </c>
      <c r="E148" s="35" t="str">
        <f ca="1">IFERROR(__xludf.DUMMYFUNCTION("""COMPUTED_VALUE"""),"triethm.lan@vnpt.vn")</f>
        <v>triethm.lan@vnpt.vn</v>
      </c>
      <c r="F148" s="540" t="str">
        <f ca="1">IFERROR(__xludf.DUMMYFUNCTION("""COMPUTED_VALUE"""),"Lần 14")</f>
        <v>Lần 14</v>
      </c>
      <c r="G148" s="278"/>
      <c r="H148" s="35"/>
      <c r="I148" s="35"/>
      <c r="J148" s="541"/>
      <c r="K148" s="541"/>
      <c r="M148" s="539">
        <f ca="1">IFERROR(__xludf.DUMMYFUNCTION("""COMPUTED_VALUE"""),0)</f>
        <v>0</v>
      </c>
      <c r="N148" s="539">
        <f ca="1">IFERROR(__xludf.DUMMYFUNCTION("""COMPUTED_VALUE"""),0)</f>
        <v>0</v>
      </c>
      <c r="O148" s="539">
        <f ca="1">IFERROR(__xludf.DUMMYFUNCTION("""COMPUTED_VALUE"""),0)</f>
        <v>0</v>
      </c>
    </row>
    <row r="149" spans="1:15" ht="12.75">
      <c r="A149" s="539">
        <f ca="1"/>
        <v>143</v>
      </c>
      <c r="B149" s="35" t="str">
        <f ca="1">IFERROR(__xludf.DUMMYFUNCTION("""COMPUTED_VALUE"""),"Tổ Hạ tầng Bến Lức")</f>
        <v>Tổ Hạ tầng Bến Lức</v>
      </c>
      <c r="C149" s="35" t="str">
        <f ca="1">IFERROR(__xludf.DUMMYFUNCTION("""COMPUTED_VALUE"""),"Huỳnh Minh Triết")</f>
        <v>Huỳnh Minh Triết</v>
      </c>
      <c r="D149" s="35">
        <f ca="1">IFERROR(__xludf.DUMMYFUNCTION("""COMPUTED_VALUE"""),919113959)</f>
        <v>919113959</v>
      </c>
      <c r="E149" s="35" t="str">
        <f ca="1">IFERROR(__xludf.DUMMYFUNCTION("""COMPUTED_VALUE"""),"triethm.lan@vnpt.vn")</f>
        <v>triethm.lan@vnpt.vn</v>
      </c>
      <c r="F149" s="540" t="str">
        <f ca="1">IFERROR(__xludf.DUMMYFUNCTION("""COMPUTED_VALUE"""),"Lần 15")</f>
        <v>Lần 15</v>
      </c>
      <c r="G149" s="278"/>
      <c r="H149" s="35"/>
      <c r="I149" s="35"/>
      <c r="J149" s="541"/>
      <c r="K149" s="541"/>
      <c r="M149" s="539">
        <f ca="1">IFERROR(__xludf.DUMMYFUNCTION("""COMPUTED_VALUE"""),0)</f>
        <v>0</v>
      </c>
      <c r="N149" s="539">
        <f ca="1">IFERROR(__xludf.DUMMYFUNCTION("""COMPUTED_VALUE"""),0)</f>
        <v>0</v>
      </c>
      <c r="O149" s="539">
        <f ca="1">IFERROR(__xludf.DUMMYFUNCTION("""COMPUTED_VALUE"""),0)</f>
        <v>0</v>
      </c>
    </row>
    <row r="150" spans="1:15" ht="12.75">
      <c r="A150" s="539">
        <f ca="1"/>
        <v>144</v>
      </c>
      <c r="B150" s="35" t="str">
        <f ca="1">IFERROR(__xludf.DUMMYFUNCTION("""COMPUTED_VALUE"""),"Tổ Hạ tầng Bến Lức")</f>
        <v>Tổ Hạ tầng Bến Lức</v>
      </c>
      <c r="C150" s="35" t="str">
        <f ca="1">IFERROR(__xludf.DUMMYFUNCTION("""COMPUTED_VALUE"""),"Huỳnh Minh Triết")</f>
        <v>Huỳnh Minh Triết</v>
      </c>
      <c r="D150" s="35">
        <f ca="1">IFERROR(__xludf.DUMMYFUNCTION("""COMPUTED_VALUE"""),919113959)</f>
        <v>919113959</v>
      </c>
      <c r="E150" s="35" t="str">
        <f ca="1">IFERROR(__xludf.DUMMYFUNCTION("""COMPUTED_VALUE"""),"triethm.lan@vnpt.vn")</f>
        <v>triethm.lan@vnpt.vn</v>
      </c>
      <c r="F150" s="540" t="str">
        <f ca="1">IFERROR(__xludf.DUMMYFUNCTION("""COMPUTED_VALUE"""),"Lần 16")</f>
        <v>Lần 16</v>
      </c>
      <c r="G150" s="35"/>
      <c r="H150" s="35"/>
      <c r="I150" s="35"/>
      <c r="J150" s="540"/>
      <c r="K150" s="544"/>
      <c r="M150" s="539">
        <f ca="1">IFERROR(__xludf.DUMMYFUNCTION("""COMPUTED_VALUE"""),0)</f>
        <v>0</v>
      </c>
      <c r="N150" s="539">
        <f ca="1">IFERROR(__xludf.DUMMYFUNCTION("""COMPUTED_VALUE"""),0)</f>
        <v>0</v>
      </c>
      <c r="O150" s="539">
        <f ca="1">IFERROR(__xludf.DUMMYFUNCTION("""COMPUTED_VALUE"""),0)</f>
        <v>0</v>
      </c>
    </row>
    <row r="151" spans="1:15" ht="12.75">
      <c r="A151" s="539">
        <f ca="1"/>
        <v>145</v>
      </c>
      <c r="B151" s="35" t="str">
        <f ca="1">IFERROR(__xludf.DUMMYFUNCTION("""COMPUTED_VALUE"""),"Tổ Hạ tầng Bến Lức")</f>
        <v>Tổ Hạ tầng Bến Lức</v>
      </c>
      <c r="C151" s="35" t="str">
        <f ca="1">IFERROR(__xludf.DUMMYFUNCTION("""COMPUTED_VALUE"""),"Lê Minh Hòa")</f>
        <v>Lê Minh Hòa</v>
      </c>
      <c r="D151" s="35">
        <f ca="1">IFERROR(__xludf.DUMMYFUNCTION("""COMPUTED_VALUE"""),919684007)</f>
        <v>919684007</v>
      </c>
      <c r="E151" s="35" t="str">
        <f ca="1">IFERROR(__xludf.DUMMYFUNCTION("""COMPUTED_VALUE"""),"hoalm.lan@vnpt.vn")</f>
        <v>hoalm.lan@vnpt.vn</v>
      </c>
      <c r="F151" s="540" t="str">
        <f ca="1">IFERROR(__xludf.DUMMYFUNCTION("""COMPUTED_VALUE"""),"Lần 1")</f>
        <v>Lần 1</v>
      </c>
      <c r="G151" s="278">
        <f ca="1">IFERROR(__xludf.DUMMYFUNCTION("""COMPUTED_VALUE"""),46206)</f>
        <v>46206</v>
      </c>
      <c r="H151" s="35">
        <f ca="1">IFERROR(__xludf.DUMMYFUNCTION("""COMPUTED_VALUE"""),700)</f>
        <v>700</v>
      </c>
      <c r="I151" s="35">
        <f ca="1">IFERROR(__xludf.DUMMYFUNCTION("""COMPUTED_VALUE"""),60)</f>
        <v>60</v>
      </c>
      <c r="J151" s="541">
        <f ca="1">IFERROR(__xludf.DUMMYFUNCTION("""COMPUTED_VALUE"""),750)</f>
        <v>750</v>
      </c>
      <c r="K151" s="541">
        <f ca="1">IFERROR(__xludf.DUMMYFUNCTION("""COMPUTED_VALUE"""),69)</f>
        <v>69</v>
      </c>
      <c r="M151" s="539">
        <f ca="1">IFERROR(__xludf.DUMMYFUNCTION("""COMPUTED_VALUE"""),1)</f>
        <v>1</v>
      </c>
      <c r="N151" s="539">
        <f ca="1">IFERROR(__xludf.DUMMYFUNCTION("""COMPUTED_VALUE"""),1)</f>
        <v>1</v>
      </c>
      <c r="O151" s="539">
        <f ca="1">IFERROR(__xludf.DUMMYFUNCTION("""COMPUTED_VALUE"""),1)</f>
        <v>1</v>
      </c>
    </row>
    <row r="152" spans="1:15" ht="12.75">
      <c r="A152" s="539">
        <f ca="1"/>
        <v>146</v>
      </c>
      <c r="B152" s="35" t="str">
        <f ca="1">IFERROR(__xludf.DUMMYFUNCTION("""COMPUTED_VALUE"""),"Tổ Hạ tầng Bến Lức")</f>
        <v>Tổ Hạ tầng Bến Lức</v>
      </c>
      <c r="C152" s="35" t="str">
        <f ca="1">IFERROR(__xludf.DUMMYFUNCTION("""COMPUTED_VALUE"""),"Lê Minh Hòa")</f>
        <v>Lê Minh Hòa</v>
      </c>
      <c r="D152" s="35">
        <f ca="1">IFERROR(__xludf.DUMMYFUNCTION("""COMPUTED_VALUE"""),919684007)</f>
        <v>919684007</v>
      </c>
      <c r="E152" s="35" t="str">
        <f ca="1">IFERROR(__xludf.DUMMYFUNCTION("""COMPUTED_VALUE"""),"hoalm.lan@vnpt.vn")</f>
        <v>hoalm.lan@vnpt.vn</v>
      </c>
      <c r="F152" s="540" t="str">
        <f ca="1">IFERROR(__xludf.DUMMYFUNCTION("""COMPUTED_VALUE"""),"Lần 2")</f>
        <v>Lần 2</v>
      </c>
      <c r="G152" s="278">
        <f ca="1">IFERROR(__xludf.DUMMYFUNCTION("""COMPUTED_VALUE"""),46206)</f>
        <v>46206</v>
      </c>
      <c r="H152" s="35">
        <f ca="1">IFERROR(__xludf.DUMMYFUNCTION("""COMPUTED_VALUE"""),750)</f>
        <v>750</v>
      </c>
      <c r="I152" s="35">
        <f ca="1">IFERROR(__xludf.DUMMYFUNCTION("""COMPUTED_VALUE"""),58)</f>
        <v>58</v>
      </c>
      <c r="J152" s="35">
        <f ca="1">IFERROR(__xludf.DUMMYFUNCTION("""COMPUTED_VALUE"""),769)</f>
        <v>769</v>
      </c>
      <c r="K152" s="541">
        <f ca="1">IFERROR(__xludf.DUMMYFUNCTION("""COMPUTED_VALUE"""),77)</f>
        <v>77</v>
      </c>
      <c r="M152" s="539">
        <f ca="1">IFERROR(__xludf.DUMMYFUNCTION("""COMPUTED_VALUE"""),1)</f>
        <v>1</v>
      </c>
      <c r="N152" s="539">
        <f ca="1">IFERROR(__xludf.DUMMYFUNCTION("""COMPUTED_VALUE"""),1)</f>
        <v>1</v>
      </c>
      <c r="O152" s="539">
        <f ca="1">IFERROR(__xludf.DUMMYFUNCTION("""COMPUTED_VALUE"""),1)</f>
        <v>1</v>
      </c>
    </row>
    <row r="153" spans="1:15" ht="12.75">
      <c r="A153" s="539">
        <f ca="1"/>
        <v>147</v>
      </c>
      <c r="B153" s="35" t="str">
        <f ca="1">IFERROR(__xludf.DUMMYFUNCTION("""COMPUTED_VALUE"""),"Tổ Hạ tầng Bến Lức")</f>
        <v>Tổ Hạ tầng Bến Lức</v>
      </c>
      <c r="C153" s="35" t="str">
        <f ca="1">IFERROR(__xludf.DUMMYFUNCTION("""COMPUTED_VALUE"""),"Lê Minh Hòa")</f>
        <v>Lê Minh Hòa</v>
      </c>
      <c r="D153" s="35">
        <f ca="1">IFERROR(__xludf.DUMMYFUNCTION("""COMPUTED_VALUE"""),919684007)</f>
        <v>919684007</v>
      </c>
      <c r="E153" s="35" t="str">
        <f ca="1">IFERROR(__xludf.DUMMYFUNCTION("""COMPUTED_VALUE"""),"hoalm.lan@vnpt.vn")</f>
        <v>hoalm.lan@vnpt.vn</v>
      </c>
      <c r="F153" s="540" t="str">
        <f ca="1">IFERROR(__xludf.DUMMYFUNCTION("""COMPUTED_VALUE"""),"Lần 3")</f>
        <v>Lần 3</v>
      </c>
      <c r="G153" s="278">
        <f ca="1">IFERROR(__xludf.DUMMYFUNCTION("""COMPUTED_VALUE"""),46208)</f>
        <v>46208</v>
      </c>
      <c r="H153" s="35">
        <f ca="1">IFERROR(__xludf.DUMMYFUNCTION("""COMPUTED_VALUE"""),220)</f>
        <v>220</v>
      </c>
      <c r="I153" s="35">
        <f ca="1">IFERROR(__xludf.DUMMYFUNCTION("""COMPUTED_VALUE"""),49)</f>
        <v>49</v>
      </c>
      <c r="J153" s="35">
        <f ca="1">IFERROR(__xludf.DUMMYFUNCTION("""COMPUTED_VALUE"""),250)</f>
        <v>250</v>
      </c>
      <c r="K153" s="35">
        <f ca="1">IFERROR(__xludf.DUMMYFUNCTION("""COMPUTED_VALUE"""),70)</f>
        <v>70</v>
      </c>
      <c r="M153" s="539">
        <f ca="1">IFERROR(__xludf.DUMMYFUNCTION("""COMPUTED_VALUE"""),1)</f>
        <v>1</v>
      </c>
      <c r="N153" s="539">
        <f ca="1">IFERROR(__xludf.DUMMYFUNCTION("""COMPUTED_VALUE"""),1)</f>
        <v>1</v>
      </c>
      <c r="O153" s="539">
        <f ca="1">IFERROR(__xludf.DUMMYFUNCTION("""COMPUTED_VALUE"""),1)</f>
        <v>1</v>
      </c>
    </row>
    <row r="154" spans="1:15" ht="12.75">
      <c r="A154" s="539">
        <f ca="1"/>
        <v>148</v>
      </c>
      <c r="B154" s="35" t="str">
        <f ca="1">IFERROR(__xludf.DUMMYFUNCTION("""COMPUTED_VALUE"""),"Tổ Hạ tầng Bến Lức")</f>
        <v>Tổ Hạ tầng Bến Lức</v>
      </c>
      <c r="C154" s="35" t="str">
        <f ca="1">IFERROR(__xludf.DUMMYFUNCTION("""COMPUTED_VALUE"""),"Lê Minh Hòa")</f>
        <v>Lê Minh Hòa</v>
      </c>
      <c r="D154" s="35">
        <f ca="1">IFERROR(__xludf.DUMMYFUNCTION("""COMPUTED_VALUE"""),919684007)</f>
        <v>919684007</v>
      </c>
      <c r="E154" s="35" t="str">
        <f ca="1">IFERROR(__xludf.DUMMYFUNCTION("""COMPUTED_VALUE"""),"hoalm.lan@vnpt.vn")</f>
        <v>hoalm.lan@vnpt.vn</v>
      </c>
      <c r="F154" s="540" t="str">
        <f ca="1">IFERROR(__xludf.DUMMYFUNCTION("""COMPUTED_VALUE"""),"Lần 4")</f>
        <v>Lần 4</v>
      </c>
      <c r="G154" s="278">
        <f ca="1">IFERROR(__xludf.DUMMYFUNCTION("""COMPUTED_VALUE"""),46211)</f>
        <v>46211</v>
      </c>
      <c r="H154" s="35">
        <f ca="1">IFERROR(__xludf.DUMMYFUNCTION("""COMPUTED_VALUE"""),667)</f>
        <v>667</v>
      </c>
      <c r="I154" s="35">
        <f ca="1">IFERROR(__xludf.DUMMYFUNCTION("""COMPUTED_VALUE"""),55)</f>
        <v>55</v>
      </c>
      <c r="J154" s="541">
        <f ca="1">IFERROR(__xludf.DUMMYFUNCTION("""COMPUTED_VALUE"""),701)</f>
        <v>701</v>
      </c>
      <c r="K154" s="35">
        <f ca="1">IFERROR(__xludf.DUMMYFUNCTION("""COMPUTED_VALUE"""),54)</f>
        <v>54</v>
      </c>
      <c r="M154" s="539">
        <f ca="1">IFERROR(__xludf.DUMMYFUNCTION("""COMPUTED_VALUE"""),1)</f>
        <v>1</v>
      </c>
      <c r="N154" s="539">
        <f ca="1">IFERROR(__xludf.DUMMYFUNCTION("""COMPUTED_VALUE"""),1)</f>
        <v>1</v>
      </c>
      <c r="O154" s="539">
        <f ca="1">IFERROR(__xludf.DUMMYFUNCTION("""COMPUTED_VALUE"""),1)</f>
        <v>1</v>
      </c>
    </row>
    <row r="155" spans="1:15" ht="12.75">
      <c r="A155" s="539">
        <f ca="1"/>
        <v>149</v>
      </c>
      <c r="B155" s="35" t="str">
        <f ca="1">IFERROR(__xludf.DUMMYFUNCTION("""COMPUTED_VALUE"""),"Tổ Hạ tầng Bến Lức")</f>
        <v>Tổ Hạ tầng Bến Lức</v>
      </c>
      <c r="C155" s="35" t="str">
        <f ca="1">IFERROR(__xludf.DUMMYFUNCTION("""COMPUTED_VALUE"""),"Lê Minh Hòa")</f>
        <v>Lê Minh Hòa</v>
      </c>
      <c r="D155" s="35">
        <f ca="1">IFERROR(__xludf.DUMMYFUNCTION("""COMPUTED_VALUE"""),919684007)</f>
        <v>919684007</v>
      </c>
      <c r="E155" s="35" t="str">
        <f ca="1">IFERROR(__xludf.DUMMYFUNCTION("""COMPUTED_VALUE"""),"hoalm.lan@vnpt.vn")</f>
        <v>hoalm.lan@vnpt.vn</v>
      </c>
      <c r="F155" s="540" t="str">
        <f ca="1">IFERROR(__xludf.DUMMYFUNCTION("""COMPUTED_VALUE"""),"Lần 5")</f>
        <v>Lần 5</v>
      </c>
      <c r="G155" s="278">
        <f ca="1">IFERROR(__xludf.DUMMYFUNCTION("""COMPUTED_VALUE"""),46212)</f>
        <v>46212</v>
      </c>
      <c r="H155" s="35">
        <f ca="1">IFERROR(__xludf.DUMMYFUNCTION("""COMPUTED_VALUE"""),804)</f>
        <v>804</v>
      </c>
      <c r="I155" s="35">
        <f ca="1">IFERROR(__xludf.DUMMYFUNCTION("""COMPUTED_VALUE"""),56)</f>
        <v>56</v>
      </c>
      <c r="J155" s="35">
        <f ca="1">IFERROR(__xludf.DUMMYFUNCTION("""COMPUTED_VALUE"""),810)</f>
        <v>810</v>
      </c>
      <c r="K155" s="35">
        <f ca="1">IFERROR(__xludf.DUMMYFUNCTION("""COMPUTED_VALUE"""),43)</f>
        <v>43</v>
      </c>
      <c r="M155" s="539">
        <f ca="1">IFERROR(__xludf.DUMMYFUNCTION("""COMPUTED_VALUE"""),1)</f>
        <v>1</v>
      </c>
      <c r="N155" s="539">
        <f ca="1">IFERROR(__xludf.DUMMYFUNCTION("""COMPUTED_VALUE"""),1)</f>
        <v>1</v>
      </c>
      <c r="O155" s="539">
        <f ca="1">IFERROR(__xludf.DUMMYFUNCTION("""COMPUTED_VALUE"""),1)</f>
        <v>1</v>
      </c>
    </row>
    <row r="156" spans="1:15" ht="12.75">
      <c r="A156" s="539">
        <f ca="1"/>
        <v>150</v>
      </c>
      <c r="B156" s="35" t="str">
        <f ca="1">IFERROR(__xludf.DUMMYFUNCTION("""COMPUTED_VALUE"""),"Tổ Hạ tầng Bến Lức")</f>
        <v>Tổ Hạ tầng Bến Lức</v>
      </c>
      <c r="C156" s="35" t="str">
        <f ca="1">IFERROR(__xludf.DUMMYFUNCTION("""COMPUTED_VALUE"""),"Lê Minh Hòa")</f>
        <v>Lê Minh Hòa</v>
      </c>
      <c r="D156" s="35">
        <f ca="1">IFERROR(__xludf.DUMMYFUNCTION("""COMPUTED_VALUE"""),919684007)</f>
        <v>919684007</v>
      </c>
      <c r="E156" s="35" t="str">
        <f ca="1">IFERROR(__xludf.DUMMYFUNCTION("""COMPUTED_VALUE"""),"hoalm.lan@vnpt.vn")</f>
        <v>hoalm.lan@vnpt.vn</v>
      </c>
      <c r="F156" s="540" t="str">
        <f ca="1">IFERROR(__xludf.DUMMYFUNCTION("""COMPUTED_VALUE"""),"Lần 6")</f>
        <v>Lần 6</v>
      </c>
      <c r="G156" s="278"/>
      <c r="H156" s="35"/>
      <c r="I156" s="35"/>
      <c r="J156" s="541"/>
      <c r="K156" s="541"/>
      <c r="M156" s="539">
        <f ca="1">IFERROR(__xludf.DUMMYFUNCTION("""COMPUTED_VALUE"""),0)</f>
        <v>0</v>
      </c>
      <c r="N156" s="539">
        <f ca="1">IFERROR(__xludf.DUMMYFUNCTION("""COMPUTED_VALUE"""),0)</f>
        <v>0</v>
      </c>
      <c r="O156" s="539">
        <f ca="1">IFERROR(__xludf.DUMMYFUNCTION("""COMPUTED_VALUE"""),0)</f>
        <v>0</v>
      </c>
    </row>
    <row r="157" spans="1:15" ht="12.75">
      <c r="A157" s="539">
        <f ca="1"/>
        <v>151</v>
      </c>
      <c r="B157" s="35" t="str">
        <f ca="1">IFERROR(__xludf.DUMMYFUNCTION("""COMPUTED_VALUE"""),"Tổ Hạ tầng Bến Lức")</f>
        <v>Tổ Hạ tầng Bến Lức</v>
      </c>
      <c r="C157" s="35" t="str">
        <f ca="1">IFERROR(__xludf.DUMMYFUNCTION("""COMPUTED_VALUE"""),"Lê Minh Hòa")</f>
        <v>Lê Minh Hòa</v>
      </c>
      <c r="D157" s="35">
        <f ca="1">IFERROR(__xludf.DUMMYFUNCTION("""COMPUTED_VALUE"""),919684007)</f>
        <v>919684007</v>
      </c>
      <c r="E157" s="35" t="str">
        <f ca="1">IFERROR(__xludf.DUMMYFUNCTION("""COMPUTED_VALUE"""),"hoalm.lan@vnpt.vn")</f>
        <v>hoalm.lan@vnpt.vn</v>
      </c>
      <c r="F157" s="540" t="str">
        <f ca="1">IFERROR(__xludf.DUMMYFUNCTION("""COMPUTED_VALUE"""),"Lần 7")</f>
        <v>Lần 7</v>
      </c>
      <c r="G157" s="278"/>
      <c r="H157" s="35"/>
      <c r="I157" s="35"/>
      <c r="J157" s="541"/>
      <c r="K157" s="541"/>
      <c r="M157" s="539">
        <f ca="1">IFERROR(__xludf.DUMMYFUNCTION("""COMPUTED_VALUE"""),0)</f>
        <v>0</v>
      </c>
      <c r="N157" s="539">
        <f ca="1">IFERROR(__xludf.DUMMYFUNCTION("""COMPUTED_VALUE"""),0)</f>
        <v>0</v>
      </c>
      <c r="O157" s="539">
        <f ca="1">IFERROR(__xludf.DUMMYFUNCTION("""COMPUTED_VALUE"""),0)</f>
        <v>0</v>
      </c>
    </row>
    <row r="158" spans="1:15" ht="12.75">
      <c r="A158" s="539">
        <f ca="1"/>
        <v>152</v>
      </c>
      <c r="B158" s="35" t="str">
        <f ca="1">IFERROR(__xludf.DUMMYFUNCTION("""COMPUTED_VALUE"""),"Tổ Hạ tầng Bến Lức")</f>
        <v>Tổ Hạ tầng Bến Lức</v>
      </c>
      <c r="C158" s="35" t="str">
        <f ca="1">IFERROR(__xludf.DUMMYFUNCTION("""COMPUTED_VALUE"""),"Lê Minh Hòa")</f>
        <v>Lê Minh Hòa</v>
      </c>
      <c r="D158" s="35">
        <f ca="1">IFERROR(__xludf.DUMMYFUNCTION("""COMPUTED_VALUE"""),919684007)</f>
        <v>919684007</v>
      </c>
      <c r="E158" s="35" t="str">
        <f ca="1">IFERROR(__xludf.DUMMYFUNCTION("""COMPUTED_VALUE"""),"hoalm.lan@vnpt.vn")</f>
        <v>hoalm.lan@vnpt.vn</v>
      </c>
      <c r="F158" s="540" t="str">
        <f ca="1">IFERROR(__xludf.DUMMYFUNCTION("""COMPUTED_VALUE"""),"Lần 8")</f>
        <v>Lần 8</v>
      </c>
      <c r="G158" s="278"/>
      <c r="H158" s="35"/>
      <c r="I158" s="35"/>
      <c r="J158" s="541"/>
      <c r="K158" s="541"/>
      <c r="M158" s="539">
        <f ca="1">IFERROR(__xludf.DUMMYFUNCTION("""COMPUTED_VALUE"""),0)</f>
        <v>0</v>
      </c>
      <c r="N158" s="539">
        <f ca="1">IFERROR(__xludf.DUMMYFUNCTION("""COMPUTED_VALUE"""),0)</f>
        <v>0</v>
      </c>
      <c r="O158" s="539">
        <f ca="1">IFERROR(__xludf.DUMMYFUNCTION("""COMPUTED_VALUE"""),0)</f>
        <v>0</v>
      </c>
    </row>
    <row r="159" spans="1:15" ht="12.75">
      <c r="A159" s="539">
        <f ca="1"/>
        <v>153</v>
      </c>
      <c r="B159" s="35" t="str">
        <f ca="1">IFERROR(__xludf.DUMMYFUNCTION("""COMPUTED_VALUE"""),"Tổ Hạ tầng Bến Lức")</f>
        <v>Tổ Hạ tầng Bến Lức</v>
      </c>
      <c r="C159" s="35" t="str">
        <f ca="1">IFERROR(__xludf.DUMMYFUNCTION("""COMPUTED_VALUE"""),"Lê Minh Hòa")</f>
        <v>Lê Minh Hòa</v>
      </c>
      <c r="D159" s="35">
        <f ca="1">IFERROR(__xludf.DUMMYFUNCTION("""COMPUTED_VALUE"""),919684007)</f>
        <v>919684007</v>
      </c>
      <c r="E159" s="35" t="str">
        <f ca="1">IFERROR(__xludf.DUMMYFUNCTION("""COMPUTED_VALUE"""),"hoalm.lan@vnpt.vn")</f>
        <v>hoalm.lan@vnpt.vn</v>
      </c>
      <c r="F159" s="540" t="str">
        <f ca="1">IFERROR(__xludf.DUMMYFUNCTION("""COMPUTED_VALUE"""),"Lần 9")</f>
        <v>Lần 9</v>
      </c>
      <c r="G159" s="278"/>
      <c r="H159" s="35"/>
      <c r="I159" s="35"/>
      <c r="J159" s="35"/>
      <c r="K159" s="35"/>
      <c r="M159" s="539">
        <f ca="1">IFERROR(__xludf.DUMMYFUNCTION("""COMPUTED_VALUE"""),0)</f>
        <v>0</v>
      </c>
      <c r="N159" s="539">
        <f ca="1">IFERROR(__xludf.DUMMYFUNCTION("""COMPUTED_VALUE"""),0)</f>
        <v>0</v>
      </c>
      <c r="O159" s="539">
        <f ca="1">IFERROR(__xludf.DUMMYFUNCTION("""COMPUTED_VALUE"""),0)</f>
        <v>0</v>
      </c>
    </row>
    <row r="160" spans="1:15" ht="12.75">
      <c r="A160" s="539">
        <f ca="1"/>
        <v>154</v>
      </c>
      <c r="B160" s="35" t="str">
        <f ca="1">IFERROR(__xludf.DUMMYFUNCTION("""COMPUTED_VALUE"""),"Tổ Hạ tầng Bến Lức")</f>
        <v>Tổ Hạ tầng Bến Lức</v>
      </c>
      <c r="C160" s="35" t="str">
        <f ca="1">IFERROR(__xludf.DUMMYFUNCTION("""COMPUTED_VALUE"""),"Lê Minh Hòa")</f>
        <v>Lê Minh Hòa</v>
      </c>
      <c r="D160" s="35">
        <f ca="1">IFERROR(__xludf.DUMMYFUNCTION("""COMPUTED_VALUE"""),919684007)</f>
        <v>919684007</v>
      </c>
      <c r="E160" s="35" t="str">
        <f ca="1">IFERROR(__xludf.DUMMYFUNCTION("""COMPUTED_VALUE"""),"hoalm.lan@vnpt.vn")</f>
        <v>hoalm.lan@vnpt.vn</v>
      </c>
      <c r="F160" s="540" t="str">
        <f ca="1">IFERROR(__xludf.DUMMYFUNCTION("""COMPUTED_VALUE"""),"Lần 10")</f>
        <v>Lần 10</v>
      </c>
      <c r="G160" s="278"/>
      <c r="H160" s="35"/>
      <c r="I160" s="35"/>
      <c r="J160" s="35"/>
      <c r="K160" s="35"/>
      <c r="M160" s="539">
        <f ca="1">IFERROR(__xludf.DUMMYFUNCTION("""COMPUTED_VALUE"""),0)</f>
        <v>0</v>
      </c>
      <c r="N160" s="539">
        <f ca="1">IFERROR(__xludf.DUMMYFUNCTION("""COMPUTED_VALUE"""),0)</f>
        <v>0</v>
      </c>
      <c r="O160" s="539">
        <f ca="1">IFERROR(__xludf.DUMMYFUNCTION("""COMPUTED_VALUE"""),0)</f>
        <v>0</v>
      </c>
    </row>
    <row r="161" spans="1:15" ht="12.75">
      <c r="A161" s="539">
        <f ca="1"/>
        <v>155</v>
      </c>
      <c r="B161" s="35" t="str">
        <f ca="1">IFERROR(__xludf.DUMMYFUNCTION("""COMPUTED_VALUE"""),"Tổ Hạ tầng Bến Lức")</f>
        <v>Tổ Hạ tầng Bến Lức</v>
      </c>
      <c r="C161" s="35" t="str">
        <f ca="1">IFERROR(__xludf.DUMMYFUNCTION("""COMPUTED_VALUE"""),"Lê Minh Hòa")</f>
        <v>Lê Minh Hòa</v>
      </c>
      <c r="D161" s="35">
        <f ca="1">IFERROR(__xludf.DUMMYFUNCTION("""COMPUTED_VALUE"""),919684007)</f>
        <v>919684007</v>
      </c>
      <c r="E161" s="35" t="str">
        <f ca="1">IFERROR(__xludf.DUMMYFUNCTION("""COMPUTED_VALUE"""),"hoalm.lan@vnpt.vn")</f>
        <v>hoalm.lan@vnpt.vn</v>
      </c>
      <c r="F161" s="540" t="str">
        <f ca="1">IFERROR(__xludf.DUMMYFUNCTION("""COMPUTED_VALUE"""),"Lần 11")</f>
        <v>Lần 11</v>
      </c>
      <c r="G161" s="278"/>
      <c r="H161" s="35"/>
      <c r="I161" s="35"/>
      <c r="J161" s="35"/>
      <c r="K161" s="35"/>
      <c r="M161" s="539">
        <f ca="1">IFERROR(__xludf.DUMMYFUNCTION("""COMPUTED_VALUE"""),0)</f>
        <v>0</v>
      </c>
      <c r="N161" s="539">
        <f ca="1">IFERROR(__xludf.DUMMYFUNCTION("""COMPUTED_VALUE"""),0)</f>
        <v>0</v>
      </c>
      <c r="O161" s="539">
        <f ca="1">IFERROR(__xludf.DUMMYFUNCTION("""COMPUTED_VALUE"""),0)</f>
        <v>0</v>
      </c>
    </row>
    <row r="162" spans="1:15" ht="12.75">
      <c r="A162" s="539">
        <f ca="1"/>
        <v>156</v>
      </c>
      <c r="B162" s="35" t="str">
        <f ca="1">IFERROR(__xludf.DUMMYFUNCTION("""COMPUTED_VALUE"""),"Tổ Hạ tầng Bến Lức")</f>
        <v>Tổ Hạ tầng Bến Lức</v>
      </c>
      <c r="C162" s="35" t="str">
        <f ca="1">IFERROR(__xludf.DUMMYFUNCTION("""COMPUTED_VALUE"""),"Lê Minh Hòa")</f>
        <v>Lê Minh Hòa</v>
      </c>
      <c r="D162" s="35">
        <f ca="1">IFERROR(__xludf.DUMMYFUNCTION("""COMPUTED_VALUE"""),919684007)</f>
        <v>919684007</v>
      </c>
      <c r="E162" s="35" t="str">
        <f ca="1">IFERROR(__xludf.DUMMYFUNCTION("""COMPUTED_VALUE"""),"hoalm.lan@vnpt.vn")</f>
        <v>hoalm.lan@vnpt.vn</v>
      </c>
      <c r="F162" s="540" t="str">
        <f ca="1">IFERROR(__xludf.DUMMYFUNCTION("""COMPUTED_VALUE"""),"Lần 12")</f>
        <v>Lần 12</v>
      </c>
      <c r="G162" s="278"/>
      <c r="H162" s="35"/>
      <c r="I162" s="35"/>
      <c r="J162" s="35"/>
      <c r="K162" s="35"/>
      <c r="M162" s="539">
        <f ca="1">IFERROR(__xludf.DUMMYFUNCTION("""COMPUTED_VALUE"""),0)</f>
        <v>0</v>
      </c>
      <c r="N162" s="539">
        <f ca="1">IFERROR(__xludf.DUMMYFUNCTION("""COMPUTED_VALUE"""),0)</f>
        <v>0</v>
      </c>
      <c r="O162" s="539">
        <f ca="1">IFERROR(__xludf.DUMMYFUNCTION("""COMPUTED_VALUE"""),0)</f>
        <v>0</v>
      </c>
    </row>
    <row r="163" spans="1:15" ht="12.75">
      <c r="A163" s="539">
        <f ca="1"/>
        <v>157</v>
      </c>
      <c r="B163" s="35" t="str">
        <f ca="1">IFERROR(__xludf.DUMMYFUNCTION("""COMPUTED_VALUE"""),"Tổ Hạ tầng Bến Lức")</f>
        <v>Tổ Hạ tầng Bến Lức</v>
      </c>
      <c r="C163" s="35" t="str">
        <f ca="1">IFERROR(__xludf.DUMMYFUNCTION("""COMPUTED_VALUE"""),"Lê Minh Hòa")</f>
        <v>Lê Minh Hòa</v>
      </c>
      <c r="D163" s="35">
        <f ca="1">IFERROR(__xludf.DUMMYFUNCTION("""COMPUTED_VALUE"""),919684007)</f>
        <v>919684007</v>
      </c>
      <c r="E163" s="35" t="str">
        <f ca="1">IFERROR(__xludf.DUMMYFUNCTION("""COMPUTED_VALUE"""),"hoalm.lan@vnpt.vn")</f>
        <v>hoalm.lan@vnpt.vn</v>
      </c>
      <c r="F163" s="540" t="str">
        <f ca="1">IFERROR(__xludf.DUMMYFUNCTION("""COMPUTED_VALUE"""),"Lần 13")</f>
        <v>Lần 13</v>
      </c>
      <c r="G163" s="278"/>
      <c r="H163" s="35"/>
      <c r="I163" s="35"/>
      <c r="J163" s="35"/>
      <c r="K163" s="35"/>
      <c r="M163" s="539">
        <f ca="1">IFERROR(__xludf.DUMMYFUNCTION("""COMPUTED_VALUE"""),0)</f>
        <v>0</v>
      </c>
      <c r="N163" s="539">
        <f ca="1">IFERROR(__xludf.DUMMYFUNCTION("""COMPUTED_VALUE"""),0)</f>
        <v>0</v>
      </c>
      <c r="O163" s="539">
        <f ca="1">IFERROR(__xludf.DUMMYFUNCTION("""COMPUTED_VALUE"""),0)</f>
        <v>0</v>
      </c>
    </row>
    <row r="164" spans="1:15" ht="12.75">
      <c r="A164" s="539">
        <f ca="1"/>
        <v>158</v>
      </c>
      <c r="B164" s="35" t="str">
        <f ca="1">IFERROR(__xludf.DUMMYFUNCTION("""COMPUTED_VALUE"""),"Tổ Hạ tầng Bến Lức")</f>
        <v>Tổ Hạ tầng Bến Lức</v>
      </c>
      <c r="C164" s="35" t="str">
        <f ca="1">IFERROR(__xludf.DUMMYFUNCTION("""COMPUTED_VALUE"""),"Lê Minh Hòa")</f>
        <v>Lê Minh Hòa</v>
      </c>
      <c r="D164" s="35">
        <f ca="1">IFERROR(__xludf.DUMMYFUNCTION("""COMPUTED_VALUE"""),919684007)</f>
        <v>919684007</v>
      </c>
      <c r="E164" s="35" t="str">
        <f ca="1">IFERROR(__xludf.DUMMYFUNCTION("""COMPUTED_VALUE"""),"hoalm.lan@vnpt.vn")</f>
        <v>hoalm.lan@vnpt.vn</v>
      </c>
      <c r="F164" s="540" t="str">
        <f ca="1">IFERROR(__xludf.DUMMYFUNCTION("""COMPUTED_VALUE"""),"Lần 14")</f>
        <v>Lần 14</v>
      </c>
      <c r="G164" s="278"/>
      <c r="H164" s="35"/>
      <c r="I164" s="35"/>
      <c r="J164" s="35"/>
      <c r="K164" s="35"/>
      <c r="M164" s="539">
        <f ca="1">IFERROR(__xludf.DUMMYFUNCTION("""COMPUTED_VALUE"""),0)</f>
        <v>0</v>
      </c>
      <c r="N164" s="539">
        <f ca="1">IFERROR(__xludf.DUMMYFUNCTION("""COMPUTED_VALUE"""),0)</f>
        <v>0</v>
      </c>
      <c r="O164" s="539">
        <f ca="1">IFERROR(__xludf.DUMMYFUNCTION("""COMPUTED_VALUE"""),0)</f>
        <v>0</v>
      </c>
    </row>
    <row r="165" spans="1:15" ht="12.75">
      <c r="A165" s="539">
        <f ca="1"/>
        <v>159</v>
      </c>
      <c r="B165" s="35" t="str">
        <f ca="1">IFERROR(__xludf.DUMMYFUNCTION("""COMPUTED_VALUE"""),"Tổ Hạ tầng Bến Lức")</f>
        <v>Tổ Hạ tầng Bến Lức</v>
      </c>
      <c r="C165" s="35" t="str">
        <f ca="1">IFERROR(__xludf.DUMMYFUNCTION("""COMPUTED_VALUE"""),"Lê Minh Hòa")</f>
        <v>Lê Minh Hòa</v>
      </c>
      <c r="D165" s="35">
        <f ca="1">IFERROR(__xludf.DUMMYFUNCTION("""COMPUTED_VALUE"""),919684007)</f>
        <v>919684007</v>
      </c>
      <c r="E165" s="35" t="str">
        <f ca="1">IFERROR(__xludf.DUMMYFUNCTION("""COMPUTED_VALUE"""),"hoalm.lan@vnpt.vn")</f>
        <v>hoalm.lan@vnpt.vn</v>
      </c>
      <c r="F165" s="540" t="str">
        <f ca="1">IFERROR(__xludf.DUMMYFUNCTION("""COMPUTED_VALUE"""),"Lần 15")</f>
        <v>Lần 15</v>
      </c>
      <c r="G165" s="278"/>
      <c r="H165" s="35"/>
      <c r="I165" s="35"/>
      <c r="J165" s="35"/>
      <c r="K165" s="35"/>
      <c r="M165" s="539">
        <f ca="1">IFERROR(__xludf.DUMMYFUNCTION("""COMPUTED_VALUE"""),0)</f>
        <v>0</v>
      </c>
      <c r="N165" s="539">
        <f ca="1">IFERROR(__xludf.DUMMYFUNCTION("""COMPUTED_VALUE"""),0)</f>
        <v>0</v>
      </c>
      <c r="O165" s="539">
        <f ca="1">IFERROR(__xludf.DUMMYFUNCTION("""COMPUTED_VALUE"""),0)</f>
        <v>0</v>
      </c>
    </row>
    <row r="166" spans="1:15" ht="12.75">
      <c r="A166" s="539">
        <f ca="1"/>
        <v>160</v>
      </c>
      <c r="B166" s="35" t="str">
        <f ca="1">IFERROR(__xludf.DUMMYFUNCTION("""COMPUTED_VALUE"""),"Tổ Hạ tầng Bến Lức")</f>
        <v>Tổ Hạ tầng Bến Lức</v>
      </c>
      <c r="C166" s="35" t="str">
        <f ca="1">IFERROR(__xludf.DUMMYFUNCTION("""COMPUTED_VALUE"""),"Lê Minh Hòa")</f>
        <v>Lê Minh Hòa</v>
      </c>
      <c r="D166" s="35">
        <f ca="1">IFERROR(__xludf.DUMMYFUNCTION("""COMPUTED_VALUE"""),919684007)</f>
        <v>919684007</v>
      </c>
      <c r="E166" s="35" t="str">
        <f ca="1">IFERROR(__xludf.DUMMYFUNCTION("""COMPUTED_VALUE"""),"hoalm.lan@vnpt.vn")</f>
        <v>hoalm.lan@vnpt.vn</v>
      </c>
      <c r="F166" s="540" t="str">
        <f ca="1">IFERROR(__xludf.DUMMYFUNCTION("""COMPUTED_VALUE"""),"Lần 16")</f>
        <v>Lần 16</v>
      </c>
      <c r="G166" s="278"/>
      <c r="H166" s="35"/>
      <c r="I166" s="35"/>
      <c r="J166" s="35"/>
      <c r="K166" s="35"/>
      <c r="M166" s="539">
        <f ca="1">IFERROR(__xludf.DUMMYFUNCTION("""COMPUTED_VALUE"""),0)</f>
        <v>0</v>
      </c>
      <c r="N166" s="539">
        <f ca="1">IFERROR(__xludf.DUMMYFUNCTION("""COMPUTED_VALUE"""),0)</f>
        <v>0</v>
      </c>
      <c r="O166" s="539">
        <f ca="1">IFERROR(__xludf.DUMMYFUNCTION("""COMPUTED_VALUE"""),0)</f>
        <v>0</v>
      </c>
    </row>
    <row r="167" spans="1:15" ht="12.75">
      <c r="A167" s="539">
        <f ca="1"/>
        <v>161</v>
      </c>
      <c r="B167" s="35" t="str">
        <f ca="1">IFERROR(__xludf.DUMMYFUNCTION("""COMPUTED_VALUE"""),"Tổ Hạ tầng Bến Lức")</f>
        <v>Tổ Hạ tầng Bến Lức</v>
      </c>
      <c r="C167" s="35" t="str">
        <f ca="1">IFERROR(__xludf.DUMMYFUNCTION("""COMPUTED_VALUE"""),"Trần Văn Bình")</f>
        <v>Trần Văn Bình</v>
      </c>
      <c r="D167" s="35">
        <f ca="1">IFERROR(__xludf.DUMMYFUNCTION("""COMPUTED_VALUE"""),838800286)</f>
        <v>838800286</v>
      </c>
      <c r="E167" s="35" t="str">
        <f ca="1">IFERROR(__xludf.DUMMYFUNCTION("""COMPUTED_VALUE"""),"binhtv.tnh@vnpt.vn")</f>
        <v>binhtv.tnh@vnpt.vn</v>
      </c>
      <c r="F167" s="540" t="str">
        <f ca="1">IFERROR(__xludf.DUMMYFUNCTION("""COMPUTED_VALUE"""),"Lần 1")</f>
        <v>Lần 1</v>
      </c>
      <c r="G167" s="278">
        <f ca="1">IFERROR(__xludf.DUMMYFUNCTION("""COMPUTED_VALUE"""),46209)</f>
        <v>46209</v>
      </c>
      <c r="H167" s="35">
        <f ca="1">IFERROR(__xludf.DUMMYFUNCTION("""COMPUTED_VALUE"""),420.92)</f>
        <v>420.92</v>
      </c>
      <c r="I167" s="35">
        <f ca="1">IFERROR(__xludf.DUMMYFUNCTION("""COMPUTED_VALUE"""),48.22)</f>
        <v>48.22</v>
      </c>
      <c r="J167" s="541">
        <f ca="1">IFERROR(__xludf.DUMMYFUNCTION("""COMPUTED_VALUE"""),594)</f>
        <v>594</v>
      </c>
      <c r="K167" s="541">
        <f ca="1">IFERROR(__xludf.DUMMYFUNCTION("""COMPUTED_VALUE"""),98.3)</f>
        <v>98.3</v>
      </c>
      <c r="M167" s="539">
        <f ca="1">IFERROR(__xludf.DUMMYFUNCTION("""COMPUTED_VALUE"""),1)</f>
        <v>1</v>
      </c>
      <c r="N167" s="539">
        <f ca="1">IFERROR(__xludf.DUMMYFUNCTION("""COMPUTED_VALUE"""),1)</f>
        <v>1</v>
      </c>
      <c r="O167" s="539">
        <f ca="1">IFERROR(__xludf.DUMMYFUNCTION("""COMPUTED_VALUE"""),1)</f>
        <v>1</v>
      </c>
    </row>
    <row r="168" spans="1:15" ht="12.75">
      <c r="A168" s="539">
        <f ca="1"/>
        <v>162</v>
      </c>
      <c r="B168" s="35" t="str">
        <f ca="1">IFERROR(__xludf.DUMMYFUNCTION("""COMPUTED_VALUE"""),"Tổ Hạ tầng Bến Lức")</f>
        <v>Tổ Hạ tầng Bến Lức</v>
      </c>
      <c r="C168" s="35" t="str">
        <f ca="1">IFERROR(__xludf.DUMMYFUNCTION("""COMPUTED_VALUE"""),"Trần Văn Bình")</f>
        <v>Trần Văn Bình</v>
      </c>
      <c r="D168" s="35">
        <f ca="1">IFERROR(__xludf.DUMMYFUNCTION("""COMPUTED_VALUE"""),838800286)</f>
        <v>838800286</v>
      </c>
      <c r="E168" s="35" t="str">
        <f ca="1">IFERROR(__xludf.DUMMYFUNCTION("""COMPUTED_VALUE"""),"binhtv.tnh@vnpt.vn")</f>
        <v>binhtv.tnh@vnpt.vn</v>
      </c>
      <c r="F168" s="540" t="str">
        <f ca="1">IFERROR(__xludf.DUMMYFUNCTION("""COMPUTED_VALUE"""),"Lần 2")</f>
        <v>Lần 2</v>
      </c>
      <c r="G168" s="278">
        <f ca="1">IFERROR(__xludf.DUMMYFUNCTION("""COMPUTED_VALUE"""),46209)</f>
        <v>46209</v>
      </c>
      <c r="H168" s="35">
        <f ca="1">IFERROR(__xludf.DUMMYFUNCTION("""COMPUTED_VALUE"""),442.63)</f>
        <v>442.63</v>
      </c>
      <c r="I168" s="35">
        <f ca="1">IFERROR(__xludf.DUMMYFUNCTION("""COMPUTED_VALUE"""),50.41)</f>
        <v>50.41</v>
      </c>
      <c r="J168" s="541">
        <f ca="1">IFERROR(__xludf.DUMMYFUNCTION("""COMPUTED_VALUE"""),546)</f>
        <v>546</v>
      </c>
      <c r="K168" s="541">
        <f ca="1">IFERROR(__xludf.DUMMYFUNCTION("""COMPUTED_VALUE"""),96.6)</f>
        <v>96.6</v>
      </c>
      <c r="M168" s="539">
        <f ca="1">IFERROR(__xludf.DUMMYFUNCTION("""COMPUTED_VALUE"""),1)</f>
        <v>1</v>
      </c>
      <c r="N168" s="539">
        <f ca="1">IFERROR(__xludf.DUMMYFUNCTION("""COMPUTED_VALUE"""),1)</f>
        <v>1</v>
      </c>
      <c r="O168" s="539">
        <f ca="1">IFERROR(__xludf.DUMMYFUNCTION("""COMPUTED_VALUE"""),1)</f>
        <v>1</v>
      </c>
    </row>
    <row r="169" spans="1:15" ht="12.75">
      <c r="A169" s="539">
        <f ca="1"/>
        <v>163</v>
      </c>
      <c r="B169" s="35" t="str">
        <f ca="1">IFERROR(__xludf.DUMMYFUNCTION("""COMPUTED_VALUE"""),"Tổ Hạ tầng Bến Lức")</f>
        <v>Tổ Hạ tầng Bến Lức</v>
      </c>
      <c r="C169" s="35" t="str">
        <f ca="1">IFERROR(__xludf.DUMMYFUNCTION("""COMPUTED_VALUE"""),"Trần Văn Bình")</f>
        <v>Trần Văn Bình</v>
      </c>
      <c r="D169" s="35">
        <f ca="1">IFERROR(__xludf.DUMMYFUNCTION("""COMPUTED_VALUE"""),838800286)</f>
        <v>838800286</v>
      </c>
      <c r="E169" s="35" t="str">
        <f ca="1">IFERROR(__xludf.DUMMYFUNCTION("""COMPUTED_VALUE"""),"binhtv.tnh@vnpt.vn")</f>
        <v>binhtv.tnh@vnpt.vn</v>
      </c>
      <c r="F169" s="540" t="str">
        <f ca="1">IFERROR(__xludf.DUMMYFUNCTION("""COMPUTED_VALUE"""),"Lần 3")</f>
        <v>Lần 3</v>
      </c>
      <c r="G169" s="278">
        <f ca="1">IFERROR(__xludf.DUMMYFUNCTION("""COMPUTED_VALUE"""),46209)</f>
        <v>46209</v>
      </c>
      <c r="H169" s="35">
        <f ca="1">IFERROR(__xludf.DUMMYFUNCTION("""COMPUTED_VALUE"""),421.56)</f>
        <v>421.56</v>
      </c>
      <c r="I169" s="35">
        <f ca="1">IFERROR(__xludf.DUMMYFUNCTION("""COMPUTED_VALUE"""),49.41)</f>
        <v>49.41</v>
      </c>
      <c r="J169" s="541">
        <f ca="1">IFERROR(__xludf.DUMMYFUNCTION("""COMPUTED_VALUE"""),599)</f>
        <v>599</v>
      </c>
      <c r="K169" s="541">
        <f ca="1">IFERROR(__xludf.DUMMYFUNCTION("""COMPUTED_VALUE"""),113)</f>
        <v>113</v>
      </c>
      <c r="M169" s="539">
        <f ca="1">IFERROR(__xludf.DUMMYFUNCTION("""COMPUTED_VALUE"""),1)</f>
        <v>1</v>
      </c>
      <c r="N169" s="539">
        <f ca="1">IFERROR(__xludf.DUMMYFUNCTION("""COMPUTED_VALUE"""),1)</f>
        <v>1</v>
      </c>
      <c r="O169" s="539">
        <f ca="1">IFERROR(__xludf.DUMMYFUNCTION("""COMPUTED_VALUE"""),1)</f>
        <v>1</v>
      </c>
    </row>
    <row r="170" spans="1:15" ht="12.75">
      <c r="A170" s="539">
        <f ca="1"/>
        <v>164</v>
      </c>
      <c r="B170" s="35" t="str">
        <f ca="1">IFERROR(__xludf.DUMMYFUNCTION("""COMPUTED_VALUE"""),"Tổ Hạ tầng Bến Lức")</f>
        <v>Tổ Hạ tầng Bến Lức</v>
      </c>
      <c r="C170" s="35" t="str">
        <f ca="1">IFERROR(__xludf.DUMMYFUNCTION("""COMPUTED_VALUE"""),"Trần Văn Bình")</f>
        <v>Trần Văn Bình</v>
      </c>
      <c r="D170" s="35">
        <f ca="1">IFERROR(__xludf.DUMMYFUNCTION("""COMPUTED_VALUE"""),838800286)</f>
        <v>838800286</v>
      </c>
      <c r="E170" s="35" t="str">
        <f ca="1">IFERROR(__xludf.DUMMYFUNCTION("""COMPUTED_VALUE"""),"binhtv.tnh@vnpt.vn")</f>
        <v>binhtv.tnh@vnpt.vn</v>
      </c>
      <c r="F170" s="540" t="str">
        <f ca="1">IFERROR(__xludf.DUMMYFUNCTION("""COMPUTED_VALUE"""),"Lần 4")</f>
        <v>Lần 4</v>
      </c>
      <c r="G170" s="278">
        <f ca="1">IFERROR(__xludf.DUMMYFUNCTION("""COMPUTED_VALUE"""),46209)</f>
        <v>46209</v>
      </c>
      <c r="H170" s="35">
        <f ca="1">IFERROR(__xludf.DUMMYFUNCTION("""COMPUTED_VALUE"""),442.13)</f>
        <v>442.13</v>
      </c>
      <c r="I170" s="35">
        <f ca="1">IFERROR(__xludf.DUMMYFUNCTION("""COMPUTED_VALUE"""),47.69)</f>
        <v>47.69</v>
      </c>
      <c r="J170" s="541">
        <f ca="1">IFERROR(__xludf.DUMMYFUNCTION("""COMPUTED_VALUE"""),650)</f>
        <v>650</v>
      </c>
      <c r="K170" s="541">
        <f ca="1">IFERROR(__xludf.DUMMYFUNCTION("""COMPUTED_VALUE"""),116)</f>
        <v>116</v>
      </c>
      <c r="M170" s="539">
        <f ca="1">IFERROR(__xludf.DUMMYFUNCTION("""COMPUTED_VALUE"""),1)</f>
        <v>1</v>
      </c>
      <c r="N170" s="539">
        <f ca="1">IFERROR(__xludf.DUMMYFUNCTION("""COMPUTED_VALUE"""),1)</f>
        <v>1</v>
      </c>
      <c r="O170" s="539">
        <f ca="1">IFERROR(__xludf.DUMMYFUNCTION("""COMPUTED_VALUE"""),1)</f>
        <v>1</v>
      </c>
    </row>
    <row r="171" spans="1:15" ht="12.75">
      <c r="A171" s="539">
        <f ca="1"/>
        <v>165</v>
      </c>
      <c r="B171" s="35" t="str">
        <f ca="1">IFERROR(__xludf.DUMMYFUNCTION("""COMPUTED_VALUE"""),"Tổ Hạ tầng Bến Lức")</f>
        <v>Tổ Hạ tầng Bến Lức</v>
      </c>
      <c r="C171" s="35" t="str">
        <f ca="1">IFERROR(__xludf.DUMMYFUNCTION("""COMPUTED_VALUE"""),"Trần Văn Bình")</f>
        <v>Trần Văn Bình</v>
      </c>
      <c r="D171" s="35">
        <f ca="1">IFERROR(__xludf.DUMMYFUNCTION("""COMPUTED_VALUE"""),838800286)</f>
        <v>838800286</v>
      </c>
      <c r="E171" s="35" t="str">
        <f ca="1">IFERROR(__xludf.DUMMYFUNCTION("""COMPUTED_VALUE"""),"binhtv.tnh@vnpt.vn")</f>
        <v>binhtv.tnh@vnpt.vn</v>
      </c>
      <c r="F171" s="540" t="str">
        <f ca="1">IFERROR(__xludf.DUMMYFUNCTION("""COMPUTED_VALUE"""),"Lần 5")</f>
        <v>Lần 5</v>
      </c>
      <c r="G171" s="278">
        <f ca="1">IFERROR(__xludf.DUMMYFUNCTION("""COMPUTED_VALUE"""),46209)</f>
        <v>46209</v>
      </c>
      <c r="H171" s="35">
        <f ca="1">IFERROR(__xludf.DUMMYFUNCTION("""COMPUTED_VALUE"""),417.95)</f>
        <v>417.95</v>
      </c>
      <c r="I171" s="35">
        <f ca="1">IFERROR(__xludf.DUMMYFUNCTION("""COMPUTED_VALUE"""),48.21)</f>
        <v>48.21</v>
      </c>
      <c r="J171" s="541">
        <f ca="1">IFERROR(__xludf.DUMMYFUNCTION("""COMPUTED_VALUE"""),661)</f>
        <v>661</v>
      </c>
      <c r="K171" s="541">
        <f ca="1">IFERROR(__xludf.DUMMYFUNCTION("""COMPUTED_VALUE"""),91.1)</f>
        <v>91.1</v>
      </c>
      <c r="M171" s="539">
        <f ca="1">IFERROR(__xludf.DUMMYFUNCTION("""COMPUTED_VALUE"""),1)</f>
        <v>1</v>
      </c>
      <c r="N171" s="539">
        <f ca="1">IFERROR(__xludf.DUMMYFUNCTION("""COMPUTED_VALUE"""),1)</f>
        <v>1</v>
      </c>
      <c r="O171" s="539">
        <f ca="1">IFERROR(__xludf.DUMMYFUNCTION("""COMPUTED_VALUE"""),1)</f>
        <v>1</v>
      </c>
    </row>
    <row r="172" spans="1:15" ht="12.75">
      <c r="A172" s="539">
        <f ca="1"/>
        <v>166</v>
      </c>
      <c r="B172" s="35" t="str">
        <f ca="1">IFERROR(__xludf.DUMMYFUNCTION("""COMPUTED_VALUE"""),"Tổ Hạ tầng Bến Lức")</f>
        <v>Tổ Hạ tầng Bến Lức</v>
      </c>
      <c r="C172" s="35" t="str">
        <f ca="1">IFERROR(__xludf.DUMMYFUNCTION("""COMPUTED_VALUE"""),"Trần Văn Bình")</f>
        <v>Trần Văn Bình</v>
      </c>
      <c r="D172" s="35">
        <f ca="1">IFERROR(__xludf.DUMMYFUNCTION("""COMPUTED_VALUE"""),838800286)</f>
        <v>838800286</v>
      </c>
      <c r="E172" s="35" t="str">
        <f ca="1">IFERROR(__xludf.DUMMYFUNCTION("""COMPUTED_VALUE"""),"binhtv.tnh@vnpt.vn")</f>
        <v>binhtv.tnh@vnpt.vn</v>
      </c>
      <c r="F172" s="540" t="str">
        <f ca="1">IFERROR(__xludf.DUMMYFUNCTION("""COMPUTED_VALUE"""),"Lần 6")</f>
        <v>Lần 6</v>
      </c>
      <c r="G172" s="278"/>
      <c r="H172" s="35"/>
      <c r="I172" s="35"/>
      <c r="J172" s="541"/>
      <c r="K172" s="541"/>
      <c r="M172" s="539">
        <f ca="1">IFERROR(__xludf.DUMMYFUNCTION("""COMPUTED_VALUE"""),0)</f>
        <v>0</v>
      </c>
      <c r="N172" s="539">
        <f ca="1">IFERROR(__xludf.DUMMYFUNCTION("""COMPUTED_VALUE"""),0)</f>
        <v>0</v>
      </c>
      <c r="O172" s="539">
        <f ca="1">IFERROR(__xludf.DUMMYFUNCTION("""COMPUTED_VALUE"""),0)</f>
        <v>0</v>
      </c>
    </row>
    <row r="173" spans="1:15" ht="12.75">
      <c r="A173" s="539">
        <f ca="1"/>
        <v>167</v>
      </c>
      <c r="B173" s="35" t="str">
        <f ca="1">IFERROR(__xludf.DUMMYFUNCTION("""COMPUTED_VALUE"""),"Tổ Hạ tầng Bến Lức")</f>
        <v>Tổ Hạ tầng Bến Lức</v>
      </c>
      <c r="C173" s="35" t="str">
        <f ca="1">IFERROR(__xludf.DUMMYFUNCTION("""COMPUTED_VALUE"""),"Trần Văn Bình")</f>
        <v>Trần Văn Bình</v>
      </c>
      <c r="D173" s="35">
        <f ca="1">IFERROR(__xludf.DUMMYFUNCTION("""COMPUTED_VALUE"""),838800286)</f>
        <v>838800286</v>
      </c>
      <c r="E173" s="35" t="str">
        <f ca="1">IFERROR(__xludf.DUMMYFUNCTION("""COMPUTED_VALUE"""),"binhtv.tnh@vnpt.vn")</f>
        <v>binhtv.tnh@vnpt.vn</v>
      </c>
      <c r="F173" s="540" t="str">
        <f ca="1">IFERROR(__xludf.DUMMYFUNCTION("""COMPUTED_VALUE"""),"Lần 7")</f>
        <v>Lần 7</v>
      </c>
      <c r="G173" s="278"/>
      <c r="H173" s="35"/>
      <c r="I173" s="35"/>
      <c r="J173" s="541"/>
      <c r="K173" s="541"/>
      <c r="M173" s="539">
        <f ca="1">IFERROR(__xludf.DUMMYFUNCTION("""COMPUTED_VALUE"""),0)</f>
        <v>0</v>
      </c>
      <c r="N173" s="539">
        <f ca="1">IFERROR(__xludf.DUMMYFUNCTION("""COMPUTED_VALUE"""),0)</f>
        <v>0</v>
      </c>
      <c r="O173" s="539">
        <f ca="1">IFERROR(__xludf.DUMMYFUNCTION("""COMPUTED_VALUE"""),0)</f>
        <v>0</v>
      </c>
    </row>
    <row r="174" spans="1:15" ht="12.75">
      <c r="A174" s="539">
        <f ca="1"/>
        <v>168</v>
      </c>
      <c r="B174" s="35" t="str">
        <f ca="1">IFERROR(__xludf.DUMMYFUNCTION("""COMPUTED_VALUE"""),"Tổ Hạ tầng Bến Lức")</f>
        <v>Tổ Hạ tầng Bến Lức</v>
      </c>
      <c r="C174" s="35" t="str">
        <f ca="1">IFERROR(__xludf.DUMMYFUNCTION("""COMPUTED_VALUE"""),"Trần Văn Bình")</f>
        <v>Trần Văn Bình</v>
      </c>
      <c r="D174" s="35">
        <f ca="1">IFERROR(__xludf.DUMMYFUNCTION("""COMPUTED_VALUE"""),838800286)</f>
        <v>838800286</v>
      </c>
      <c r="E174" s="35" t="str">
        <f ca="1">IFERROR(__xludf.DUMMYFUNCTION("""COMPUTED_VALUE"""),"binhtv.tnh@vnpt.vn")</f>
        <v>binhtv.tnh@vnpt.vn</v>
      </c>
      <c r="F174" s="540" t="str">
        <f ca="1">IFERROR(__xludf.DUMMYFUNCTION("""COMPUTED_VALUE"""),"Lần 8")</f>
        <v>Lần 8</v>
      </c>
      <c r="G174" s="278"/>
      <c r="H174" s="35"/>
      <c r="I174" s="542"/>
      <c r="J174" s="541"/>
      <c r="K174" s="541"/>
      <c r="M174" s="539">
        <f ca="1">IFERROR(__xludf.DUMMYFUNCTION("""COMPUTED_VALUE"""),0)</f>
        <v>0</v>
      </c>
      <c r="N174" s="539">
        <f ca="1">IFERROR(__xludf.DUMMYFUNCTION("""COMPUTED_VALUE"""),0)</f>
        <v>0</v>
      </c>
      <c r="O174" s="539">
        <f ca="1">IFERROR(__xludf.DUMMYFUNCTION("""COMPUTED_VALUE"""),0)</f>
        <v>0</v>
      </c>
    </row>
    <row r="175" spans="1:15" ht="12.75">
      <c r="A175" s="539">
        <f ca="1"/>
        <v>169</v>
      </c>
      <c r="B175" s="35" t="str">
        <f ca="1">IFERROR(__xludf.DUMMYFUNCTION("""COMPUTED_VALUE"""),"Tổ Hạ tầng Bến Lức")</f>
        <v>Tổ Hạ tầng Bến Lức</v>
      </c>
      <c r="C175" s="35" t="str">
        <f ca="1">IFERROR(__xludf.DUMMYFUNCTION("""COMPUTED_VALUE"""),"Trần Văn Bình")</f>
        <v>Trần Văn Bình</v>
      </c>
      <c r="D175" s="35">
        <f ca="1">IFERROR(__xludf.DUMMYFUNCTION("""COMPUTED_VALUE"""),838800286)</f>
        <v>838800286</v>
      </c>
      <c r="E175" s="35" t="str">
        <f ca="1">IFERROR(__xludf.DUMMYFUNCTION("""COMPUTED_VALUE"""),"binhtv.tnh@vnpt.vn")</f>
        <v>binhtv.tnh@vnpt.vn</v>
      </c>
      <c r="F175" s="540" t="str">
        <f ca="1">IFERROR(__xludf.DUMMYFUNCTION("""COMPUTED_VALUE"""),"Lần 9")</f>
        <v>Lần 9</v>
      </c>
      <c r="G175" s="278"/>
      <c r="H175" s="35"/>
      <c r="I175" s="542"/>
      <c r="J175" s="541"/>
      <c r="K175" s="541"/>
      <c r="M175" s="539">
        <f ca="1">IFERROR(__xludf.DUMMYFUNCTION("""COMPUTED_VALUE"""),0)</f>
        <v>0</v>
      </c>
      <c r="N175" s="539">
        <f ca="1">IFERROR(__xludf.DUMMYFUNCTION("""COMPUTED_VALUE"""),0)</f>
        <v>0</v>
      </c>
      <c r="O175" s="539">
        <f ca="1">IFERROR(__xludf.DUMMYFUNCTION("""COMPUTED_VALUE"""),0)</f>
        <v>0</v>
      </c>
    </row>
    <row r="176" spans="1:15" ht="12.75">
      <c r="A176" s="539">
        <f ca="1"/>
        <v>170</v>
      </c>
      <c r="B176" s="35" t="str">
        <f ca="1">IFERROR(__xludf.DUMMYFUNCTION("""COMPUTED_VALUE"""),"Tổ Hạ tầng Bến Lức")</f>
        <v>Tổ Hạ tầng Bến Lức</v>
      </c>
      <c r="C176" s="35" t="str">
        <f ca="1">IFERROR(__xludf.DUMMYFUNCTION("""COMPUTED_VALUE"""),"Trần Văn Bình")</f>
        <v>Trần Văn Bình</v>
      </c>
      <c r="D176" s="35">
        <f ca="1">IFERROR(__xludf.DUMMYFUNCTION("""COMPUTED_VALUE"""),838800286)</f>
        <v>838800286</v>
      </c>
      <c r="E176" s="35" t="str">
        <f ca="1">IFERROR(__xludf.DUMMYFUNCTION("""COMPUTED_VALUE"""),"binhtv.tnh@vnpt.vn")</f>
        <v>binhtv.tnh@vnpt.vn</v>
      </c>
      <c r="F176" s="540" t="str">
        <f ca="1">IFERROR(__xludf.DUMMYFUNCTION("""COMPUTED_VALUE"""),"Lần 10")</f>
        <v>Lần 10</v>
      </c>
      <c r="G176" s="278"/>
      <c r="H176" s="35"/>
      <c r="I176" s="35"/>
      <c r="J176" s="541"/>
      <c r="K176" s="541"/>
      <c r="M176" s="539">
        <f ca="1">IFERROR(__xludf.DUMMYFUNCTION("""COMPUTED_VALUE"""),0)</f>
        <v>0</v>
      </c>
      <c r="N176" s="539">
        <f ca="1">IFERROR(__xludf.DUMMYFUNCTION("""COMPUTED_VALUE"""),0)</f>
        <v>0</v>
      </c>
      <c r="O176" s="539">
        <f ca="1">IFERROR(__xludf.DUMMYFUNCTION("""COMPUTED_VALUE"""),0)</f>
        <v>0</v>
      </c>
    </row>
    <row r="177" spans="1:15" ht="12.75">
      <c r="A177" s="539">
        <f ca="1"/>
        <v>171</v>
      </c>
      <c r="B177" s="35" t="str">
        <f ca="1">IFERROR(__xludf.DUMMYFUNCTION("""COMPUTED_VALUE"""),"Tổ Hạ tầng Bến Lức")</f>
        <v>Tổ Hạ tầng Bến Lức</v>
      </c>
      <c r="C177" s="35" t="str">
        <f ca="1">IFERROR(__xludf.DUMMYFUNCTION("""COMPUTED_VALUE"""),"Trần Văn Bình")</f>
        <v>Trần Văn Bình</v>
      </c>
      <c r="D177" s="35">
        <f ca="1">IFERROR(__xludf.DUMMYFUNCTION("""COMPUTED_VALUE"""),838800286)</f>
        <v>838800286</v>
      </c>
      <c r="E177" s="35" t="str">
        <f ca="1">IFERROR(__xludf.DUMMYFUNCTION("""COMPUTED_VALUE"""),"binhtv.tnh@vnpt.vn")</f>
        <v>binhtv.tnh@vnpt.vn</v>
      </c>
      <c r="F177" s="540" t="str">
        <f ca="1">IFERROR(__xludf.DUMMYFUNCTION("""COMPUTED_VALUE"""),"Lần 11")</f>
        <v>Lần 11</v>
      </c>
      <c r="G177" s="278"/>
      <c r="H177" s="35"/>
      <c r="I177" s="35"/>
      <c r="J177" s="35"/>
      <c r="K177" s="35"/>
      <c r="M177" s="539">
        <f ca="1">IFERROR(__xludf.DUMMYFUNCTION("""COMPUTED_VALUE"""),0)</f>
        <v>0</v>
      </c>
      <c r="N177" s="539">
        <f ca="1">IFERROR(__xludf.DUMMYFUNCTION("""COMPUTED_VALUE"""),0)</f>
        <v>0</v>
      </c>
      <c r="O177" s="539">
        <f ca="1">IFERROR(__xludf.DUMMYFUNCTION("""COMPUTED_VALUE"""),0)</f>
        <v>0</v>
      </c>
    </row>
    <row r="178" spans="1:15" ht="12.75">
      <c r="A178" s="539">
        <f ca="1"/>
        <v>172</v>
      </c>
      <c r="B178" s="35" t="str">
        <f ca="1">IFERROR(__xludf.DUMMYFUNCTION("""COMPUTED_VALUE"""),"Tổ Hạ tầng Bến Lức")</f>
        <v>Tổ Hạ tầng Bến Lức</v>
      </c>
      <c r="C178" s="35" t="str">
        <f ca="1">IFERROR(__xludf.DUMMYFUNCTION("""COMPUTED_VALUE"""),"Trần Văn Bình")</f>
        <v>Trần Văn Bình</v>
      </c>
      <c r="D178" s="35">
        <f ca="1">IFERROR(__xludf.DUMMYFUNCTION("""COMPUTED_VALUE"""),838800286)</f>
        <v>838800286</v>
      </c>
      <c r="E178" s="35" t="str">
        <f ca="1">IFERROR(__xludf.DUMMYFUNCTION("""COMPUTED_VALUE"""),"binhtv.tnh@vnpt.vn")</f>
        <v>binhtv.tnh@vnpt.vn</v>
      </c>
      <c r="F178" s="540" t="str">
        <f ca="1">IFERROR(__xludf.DUMMYFUNCTION("""COMPUTED_VALUE"""),"Lần 12")</f>
        <v>Lần 12</v>
      </c>
      <c r="G178" s="278"/>
      <c r="H178" s="35"/>
      <c r="I178" s="35"/>
      <c r="J178" s="35"/>
      <c r="K178" s="35"/>
      <c r="M178" s="539">
        <f ca="1">IFERROR(__xludf.DUMMYFUNCTION("""COMPUTED_VALUE"""),0)</f>
        <v>0</v>
      </c>
      <c r="N178" s="539">
        <f ca="1">IFERROR(__xludf.DUMMYFUNCTION("""COMPUTED_VALUE"""),0)</f>
        <v>0</v>
      </c>
      <c r="O178" s="539">
        <f ca="1">IFERROR(__xludf.DUMMYFUNCTION("""COMPUTED_VALUE"""),0)</f>
        <v>0</v>
      </c>
    </row>
    <row r="179" spans="1:15" ht="12.75">
      <c r="A179" s="539">
        <f ca="1"/>
        <v>173</v>
      </c>
      <c r="B179" s="35" t="str">
        <f ca="1">IFERROR(__xludf.DUMMYFUNCTION("""COMPUTED_VALUE"""),"Tổ Hạ tầng Bến Lức")</f>
        <v>Tổ Hạ tầng Bến Lức</v>
      </c>
      <c r="C179" s="35" t="str">
        <f ca="1">IFERROR(__xludf.DUMMYFUNCTION("""COMPUTED_VALUE"""),"Trần Văn Bình")</f>
        <v>Trần Văn Bình</v>
      </c>
      <c r="D179" s="35">
        <f ca="1">IFERROR(__xludf.DUMMYFUNCTION("""COMPUTED_VALUE"""),838800286)</f>
        <v>838800286</v>
      </c>
      <c r="E179" s="35" t="str">
        <f ca="1">IFERROR(__xludf.DUMMYFUNCTION("""COMPUTED_VALUE"""),"binhtv.tnh@vnpt.vn")</f>
        <v>binhtv.tnh@vnpt.vn</v>
      </c>
      <c r="F179" s="540" t="str">
        <f ca="1">IFERROR(__xludf.DUMMYFUNCTION("""COMPUTED_VALUE"""),"Lần 13")</f>
        <v>Lần 13</v>
      </c>
      <c r="G179" s="278"/>
      <c r="H179" s="35"/>
      <c r="I179" s="35"/>
      <c r="J179" s="35"/>
      <c r="K179" s="35"/>
      <c r="M179" s="539">
        <f ca="1">IFERROR(__xludf.DUMMYFUNCTION("""COMPUTED_VALUE"""),0)</f>
        <v>0</v>
      </c>
      <c r="N179" s="539">
        <f ca="1">IFERROR(__xludf.DUMMYFUNCTION("""COMPUTED_VALUE"""),0)</f>
        <v>0</v>
      </c>
      <c r="O179" s="539">
        <f ca="1">IFERROR(__xludf.DUMMYFUNCTION("""COMPUTED_VALUE"""),0)</f>
        <v>0</v>
      </c>
    </row>
    <row r="180" spans="1:15" ht="12.75">
      <c r="A180" s="539">
        <f ca="1"/>
        <v>174</v>
      </c>
      <c r="B180" s="35" t="str">
        <f ca="1">IFERROR(__xludf.DUMMYFUNCTION("""COMPUTED_VALUE"""),"Tổ Hạ tầng Bến Lức")</f>
        <v>Tổ Hạ tầng Bến Lức</v>
      </c>
      <c r="C180" s="35" t="str">
        <f ca="1">IFERROR(__xludf.DUMMYFUNCTION("""COMPUTED_VALUE"""),"Trần Văn Bình")</f>
        <v>Trần Văn Bình</v>
      </c>
      <c r="D180" s="35">
        <f ca="1">IFERROR(__xludf.DUMMYFUNCTION("""COMPUTED_VALUE"""),838800286)</f>
        <v>838800286</v>
      </c>
      <c r="E180" s="35" t="str">
        <f ca="1">IFERROR(__xludf.DUMMYFUNCTION("""COMPUTED_VALUE"""),"binhtv.tnh@vnpt.vn")</f>
        <v>binhtv.tnh@vnpt.vn</v>
      </c>
      <c r="F180" s="540" t="str">
        <f ca="1">IFERROR(__xludf.DUMMYFUNCTION("""COMPUTED_VALUE"""),"Lần 14")</f>
        <v>Lần 14</v>
      </c>
      <c r="G180" s="278"/>
      <c r="H180" s="35"/>
      <c r="I180" s="35"/>
      <c r="J180" s="35"/>
      <c r="K180" s="35"/>
      <c r="M180" s="539">
        <f ca="1">IFERROR(__xludf.DUMMYFUNCTION("""COMPUTED_VALUE"""),0)</f>
        <v>0</v>
      </c>
      <c r="N180" s="539">
        <f ca="1">IFERROR(__xludf.DUMMYFUNCTION("""COMPUTED_VALUE"""),0)</f>
        <v>0</v>
      </c>
      <c r="O180" s="539">
        <f ca="1">IFERROR(__xludf.DUMMYFUNCTION("""COMPUTED_VALUE"""),0)</f>
        <v>0</v>
      </c>
    </row>
    <row r="181" spans="1:15" ht="12.75">
      <c r="A181" s="539">
        <f ca="1"/>
        <v>175</v>
      </c>
      <c r="B181" s="35" t="str">
        <f ca="1">IFERROR(__xludf.DUMMYFUNCTION("""COMPUTED_VALUE"""),"Tổ Hạ tầng Bến Lức")</f>
        <v>Tổ Hạ tầng Bến Lức</v>
      </c>
      <c r="C181" s="35" t="str">
        <f ca="1">IFERROR(__xludf.DUMMYFUNCTION("""COMPUTED_VALUE"""),"Trần Văn Bình")</f>
        <v>Trần Văn Bình</v>
      </c>
      <c r="D181" s="35">
        <f ca="1">IFERROR(__xludf.DUMMYFUNCTION("""COMPUTED_VALUE"""),838800286)</f>
        <v>838800286</v>
      </c>
      <c r="E181" s="35" t="str">
        <f ca="1">IFERROR(__xludf.DUMMYFUNCTION("""COMPUTED_VALUE"""),"binhtv.tnh@vnpt.vn")</f>
        <v>binhtv.tnh@vnpt.vn</v>
      </c>
      <c r="F181" s="540" t="str">
        <f ca="1">IFERROR(__xludf.DUMMYFUNCTION("""COMPUTED_VALUE"""),"Lần 15")</f>
        <v>Lần 15</v>
      </c>
      <c r="G181" s="278"/>
      <c r="H181" s="35"/>
      <c r="I181" s="35"/>
      <c r="J181" s="35"/>
      <c r="K181" s="35"/>
      <c r="M181" s="539">
        <f ca="1">IFERROR(__xludf.DUMMYFUNCTION("""COMPUTED_VALUE"""),0)</f>
        <v>0</v>
      </c>
      <c r="N181" s="539">
        <f ca="1">IFERROR(__xludf.DUMMYFUNCTION("""COMPUTED_VALUE"""),0)</f>
        <v>0</v>
      </c>
      <c r="O181" s="539">
        <f ca="1">IFERROR(__xludf.DUMMYFUNCTION("""COMPUTED_VALUE"""),0)</f>
        <v>0</v>
      </c>
    </row>
    <row r="182" spans="1:15" ht="12.75">
      <c r="A182" s="539">
        <f ca="1"/>
        <v>176</v>
      </c>
      <c r="B182" s="35" t="str">
        <f ca="1">IFERROR(__xludf.DUMMYFUNCTION("""COMPUTED_VALUE"""),"Tổ Hạ tầng Bến Lức")</f>
        <v>Tổ Hạ tầng Bến Lức</v>
      </c>
      <c r="C182" s="35" t="str">
        <f ca="1">IFERROR(__xludf.DUMMYFUNCTION("""COMPUTED_VALUE"""),"Trần Văn Bình")</f>
        <v>Trần Văn Bình</v>
      </c>
      <c r="D182" s="35">
        <f ca="1">IFERROR(__xludf.DUMMYFUNCTION("""COMPUTED_VALUE"""),838800286)</f>
        <v>838800286</v>
      </c>
      <c r="E182" s="35" t="str">
        <f ca="1">IFERROR(__xludf.DUMMYFUNCTION("""COMPUTED_VALUE"""),"binhtv.tnh@vnpt.vn")</f>
        <v>binhtv.tnh@vnpt.vn</v>
      </c>
      <c r="F182" s="540" t="str">
        <f ca="1">IFERROR(__xludf.DUMMYFUNCTION("""COMPUTED_VALUE"""),"Lần 16")</f>
        <v>Lần 16</v>
      </c>
      <c r="G182" s="278"/>
      <c r="H182" s="35"/>
      <c r="I182" s="35"/>
      <c r="J182" s="541"/>
      <c r="K182" s="541"/>
      <c r="M182" s="539">
        <f ca="1">IFERROR(__xludf.DUMMYFUNCTION("""COMPUTED_VALUE"""),0)</f>
        <v>0</v>
      </c>
      <c r="N182" s="539">
        <f ca="1">IFERROR(__xludf.DUMMYFUNCTION("""COMPUTED_VALUE"""),0)</f>
        <v>0</v>
      </c>
      <c r="O182" s="539">
        <f ca="1">IFERROR(__xludf.DUMMYFUNCTION("""COMPUTED_VALUE"""),0)</f>
        <v>0</v>
      </c>
    </row>
    <row r="183" spans="1:15" ht="12.75">
      <c r="A183" s="539">
        <f ca="1"/>
        <v>177</v>
      </c>
      <c r="B183" s="35" t="str">
        <f ca="1">IFERROR(__xludf.DUMMYFUNCTION("""COMPUTED_VALUE"""),"Tổ Hạ tầng Bến Lức")</f>
        <v>Tổ Hạ tầng Bến Lức</v>
      </c>
      <c r="C183" s="35" t="str">
        <f ca="1">IFERROR(__xludf.DUMMYFUNCTION("""COMPUTED_VALUE"""),"Trịnh Minh Trí")</f>
        <v>Trịnh Minh Trí</v>
      </c>
      <c r="D183" s="35">
        <f ca="1">IFERROR(__xludf.DUMMYFUNCTION("""COMPUTED_VALUE"""),918278345)</f>
        <v>918278345</v>
      </c>
      <c r="E183" s="35" t="str">
        <f ca="1">IFERROR(__xludf.DUMMYFUNCTION("""COMPUTED_VALUE"""),"tritm.lan@vnpt.vn")</f>
        <v>tritm.lan@vnpt.vn</v>
      </c>
      <c r="F183" s="540" t="str">
        <f ca="1">IFERROR(__xludf.DUMMYFUNCTION("""COMPUTED_VALUE"""),"Lần 1")</f>
        <v>Lần 1</v>
      </c>
      <c r="G183" s="278">
        <f ca="1">IFERROR(__xludf.DUMMYFUNCTION("""COMPUTED_VALUE"""),46206)</f>
        <v>46206</v>
      </c>
      <c r="H183" s="35" t="str">
        <f ca="1">IFERROR(__xludf.DUMMYFUNCTION("""COMPUTED_VALUE"""),"85.7")</f>
        <v>85.7</v>
      </c>
      <c r="I183" s="542">
        <f ca="1">IFERROR(__xludf.DUMMYFUNCTION("""COMPUTED_VALUE"""),46034)</f>
        <v>46034</v>
      </c>
      <c r="J183" s="541">
        <f ca="1">IFERROR(__xludf.DUMMYFUNCTION("""COMPUTED_VALUE"""),96)</f>
        <v>96</v>
      </c>
      <c r="K183" s="541" t="str">
        <f ca="1">IFERROR(__xludf.DUMMYFUNCTION("""COMPUTED_VALUE"""),"47.3")</f>
        <v>47.3</v>
      </c>
      <c r="M183" s="539">
        <f ca="1">IFERROR(__xludf.DUMMYFUNCTION("""COMPUTED_VALUE"""),1)</f>
        <v>1</v>
      </c>
      <c r="N183" s="539">
        <f ca="1">IFERROR(__xludf.DUMMYFUNCTION("""COMPUTED_VALUE"""),1)</f>
        <v>1</v>
      </c>
      <c r="O183" s="539">
        <f ca="1">IFERROR(__xludf.DUMMYFUNCTION("""COMPUTED_VALUE"""),0)</f>
        <v>0</v>
      </c>
    </row>
    <row r="184" spans="1:15" ht="12.75">
      <c r="A184" s="539">
        <f ca="1"/>
        <v>178</v>
      </c>
      <c r="B184" s="35" t="str">
        <f ca="1">IFERROR(__xludf.DUMMYFUNCTION("""COMPUTED_VALUE"""),"Tổ Hạ tầng Bến Lức")</f>
        <v>Tổ Hạ tầng Bến Lức</v>
      </c>
      <c r="C184" s="35" t="str">
        <f ca="1">IFERROR(__xludf.DUMMYFUNCTION("""COMPUTED_VALUE"""),"Trịnh Minh Trí")</f>
        <v>Trịnh Minh Trí</v>
      </c>
      <c r="D184" s="35">
        <f ca="1">IFERROR(__xludf.DUMMYFUNCTION("""COMPUTED_VALUE"""),918278345)</f>
        <v>918278345</v>
      </c>
      <c r="E184" s="35" t="str">
        <f ca="1">IFERROR(__xludf.DUMMYFUNCTION("""COMPUTED_VALUE"""),"tritm.lan@vnpt.vn")</f>
        <v>tritm.lan@vnpt.vn</v>
      </c>
      <c r="F184" s="540" t="str">
        <f ca="1">IFERROR(__xludf.DUMMYFUNCTION("""COMPUTED_VALUE"""),"Lần 2")</f>
        <v>Lần 2</v>
      </c>
      <c r="G184" s="278">
        <f ca="1">IFERROR(__xludf.DUMMYFUNCTION("""COMPUTED_VALUE"""),46209)</f>
        <v>46209</v>
      </c>
      <c r="H184" s="35">
        <f ca="1">IFERROR(__xludf.DUMMYFUNCTION("""COMPUTED_VALUE"""),150)</f>
        <v>150</v>
      </c>
      <c r="I184" s="542">
        <f ca="1">IFERROR(__xludf.DUMMYFUNCTION("""COMPUTED_VALUE"""),46034)</f>
        <v>46034</v>
      </c>
      <c r="J184" s="541">
        <f ca="1">IFERROR(__xludf.DUMMYFUNCTION("""COMPUTED_VALUE"""),147)</f>
        <v>147</v>
      </c>
      <c r="K184" s="541" t="str">
        <f ca="1">IFERROR(__xludf.DUMMYFUNCTION("""COMPUTED_VALUE"""),"80.1")</f>
        <v>80.1</v>
      </c>
      <c r="M184" s="539">
        <f ca="1">IFERROR(__xludf.DUMMYFUNCTION("""COMPUTED_VALUE"""),1)</f>
        <v>1</v>
      </c>
      <c r="N184" s="539">
        <f ca="1">IFERROR(__xludf.DUMMYFUNCTION("""COMPUTED_VALUE"""),1)</f>
        <v>1</v>
      </c>
      <c r="O184" s="539">
        <f ca="1">IFERROR(__xludf.DUMMYFUNCTION("""COMPUTED_VALUE"""),0)</f>
        <v>0</v>
      </c>
    </row>
    <row r="185" spans="1:15" ht="12.75">
      <c r="A185" s="539">
        <f ca="1"/>
        <v>179</v>
      </c>
      <c r="B185" s="35" t="str">
        <f ca="1">IFERROR(__xludf.DUMMYFUNCTION("""COMPUTED_VALUE"""),"Tổ Hạ tầng Bến Lức")</f>
        <v>Tổ Hạ tầng Bến Lức</v>
      </c>
      <c r="C185" s="35" t="str">
        <f ca="1">IFERROR(__xludf.DUMMYFUNCTION("""COMPUTED_VALUE"""),"Trịnh Minh Trí")</f>
        <v>Trịnh Minh Trí</v>
      </c>
      <c r="D185" s="35">
        <f ca="1">IFERROR(__xludf.DUMMYFUNCTION("""COMPUTED_VALUE"""),918278345)</f>
        <v>918278345</v>
      </c>
      <c r="E185" s="35" t="str">
        <f ca="1">IFERROR(__xludf.DUMMYFUNCTION("""COMPUTED_VALUE"""),"tritm.lan@vnpt.vn")</f>
        <v>tritm.lan@vnpt.vn</v>
      </c>
      <c r="F185" s="540" t="str">
        <f ca="1">IFERROR(__xludf.DUMMYFUNCTION("""COMPUTED_VALUE"""),"Lần 3")</f>
        <v>Lần 3</v>
      </c>
      <c r="G185" s="278">
        <f ca="1">IFERROR(__xludf.DUMMYFUNCTION("""COMPUTED_VALUE"""),46209)</f>
        <v>46209</v>
      </c>
      <c r="H185" s="35">
        <f ca="1">IFERROR(__xludf.DUMMYFUNCTION("""COMPUTED_VALUE"""),147)</f>
        <v>147</v>
      </c>
      <c r="I185" s="542">
        <f ca="1">IFERROR(__xludf.DUMMYFUNCTION("""COMPUTED_VALUE"""),46245)</f>
        <v>46245</v>
      </c>
      <c r="J185" s="541">
        <f ca="1">IFERROR(__xludf.DUMMYFUNCTION("""COMPUTED_VALUE"""),141)</f>
        <v>141</v>
      </c>
      <c r="K185" s="541" t="str">
        <f ca="1">IFERROR(__xludf.DUMMYFUNCTION("""COMPUTED_VALUE"""),"78.8")</f>
        <v>78.8</v>
      </c>
      <c r="M185" s="539">
        <f ca="1">IFERROR(__xludf.DUMMYFUNCTION("""COMPUTED_VALUE"""),1)</f>
        <v>1</v>
      </c>
      <c r="N185" s="539">
        <f ca="1">IFERROR(__xludf.DUMMYFUNCTION("""COMPUTED_VALUE"""),1)</f>
        <v>1</v>
      </c>
      <c r="O185" s="539">
        <f ca="1">IFERROR(__xludf.DUMMYFUNCTION("""COMPUTED_VALUE"""),0)</f>
        <v>0</v>
      </c>
    </row>
    <row r="186" spans="1:15" ht="12.75">
      <c r="A186" s="539">
        <f ca="1"/>
        <v>180</v>
      </c>
      <c r="B186" s="35" t="str">
        <f ca="1">IFERROR(__xludf.DUMMYFUNCTION("""COMPUTED_VALUE"""),"Tổ Hạ tầng Bến Lức")</f>
        <v>Tổ Hạ tầng Bến Lức</v>
      </c>
      <c r="C186" s="35" t="str">
        <f ca="1">IFERROR(__xludf.DUMMYFUNCTION("""COMPUTED_VALUE"""),"Trịnh Minh Trí")</f>
        <v>Trịnh Minh Trí</v>
      </c>
      <c r="D186" s="35">
        <f ca="1">IFERROR(__xludf.DUMMYFUNCTION("""COMPUTED_VALUE"""),918278345)</f>
        <v>918278345</v>
      </c>
      <c r="E186" s="35" t="str">
        <f ca="1">IFERROR(__xludf.DUMMYFUNCTION("""COMPUTED_VALUE"""),"tritm.lan@vnpt.vn")</f>
        <v>tritm.lan@vnpt.vn</v>
      </c>
      <c r="F186" s="540" t="str">
        <f ca="1">IFERROR(__xludf.DUMMYFUNCTION("""COMPUTED_VALUE"""),"Lần 4")</f>
        <v>Lần 4</v>
      </c>
      <c r="G186" s="278">
        <f ca="1">IFERROR(__xludf.DUMMYFUNCTION("""COMPUTED_VALUE"""),46209)</f>
        <v>46209</v>
      </c>
      <c r="H186" s="35">
        <f ca="1">IFERROR(__xludf.DUMMYFUNCTION("""COMPUTED_VALUE"""),150)</f>
        <v>150</v>
      </c>
      <c r="I186" s="542">
        <f ca="1">IFERROR(__xludf.DUMMYFUNCTION("""COMPUTED_VALUE"""),46094)</f>
        <v>46094</v>
      </c>
      <c r="J186" s="541">
        <f ca="1">IFERROR(__xludf.DUMMYFUNCTION("""COMPUTED_VALUE"""),166)</f>
        <v>166</v>
      </c>
      <c r="K186" s="541" t="str">
        <f ca="1">IFERROR(__xludf.DUMMYFUNCTION("""COMPUTED_VALUE"""),"73.8")</f>
        <v>73.8</v>
      </c>
      <c r="M186" s="539">
        <f ca="1">IFERROR(__xludf.DUMMYFUNCTION("""COMPUTED_VALUE"""),1)</f>
        <v>1</v>
      </c>
      <c r="N186" s="539">
        <f ca="1">IFERROR(__xludf.DUMMYFUNCTION("""COMPUTED_VALUE"""),1)</f>
        <v>1</v>
      </c>
      <c r="O186" s="539">
        <f ca="1">IFERROR(__xludf.DUMMYFUNCTION("""COMPUTED_VALUE"""),0)</f>
        <v>0</v>
      </c>
    </row>
    <row r="187" spans="1:15" ht="12.75">
      <c r="A187" s="539">
        <f ca="1"/>
        <v>181</v>
      </c>
      <c r="B187" s="35" t="str">
        <f ca="1">IFERROR(__xludf.DUMMYFUNCTION("""COMPUTED_VALUE"""),"Tổ Hạ tầng Bến Lức")</f>
        <v>Tổ Hạ tầng Bến Lức</v>
      </c>
      <c r="C187" s="35" t="str">
        <f ca="1">IFERROR(__xludf.DUMMYFUNCTION("""COMPUTED_VALUE"""),"Trịnh Minh Trí")</f>
        <v>Trịnh Minh Trí</v>
      </c>
      <c r="D187" s="35">
        <f ca="1">IFERROR(__xludf.DUMMYFUNCTION("""COMPUTED_VALUE"""),918278345)</f>
        <v>918278345</v>
      </c>
      <c r="E187" s="35" t="str">
        <f ca="1">IFERROR(__xludf.DUMMYFUNCTION("""COMPUTED_VALUE"""),"tritm.lan@vnpt.vn")</f>
        <v>tritm.lan@vnpt.vn</v>
      </c>
      <c r="F187" s="540" t="str">
        <f ca="1">IFERROR(__xludf.DUMMYFUNCTION("""COMPUTED_VALUE"""),"Lần 5")</f>
        <v>Lần 5</v>
      </c>
      <c r="G187" s="278">
        <f ca="1">IFERROR(__xludf.DUMMYFUNCTION("""COMPUTED_VALUE"""),46212)</f>
        <v>46212</v>
      </c>
      <c r="H187" s="35">
        <f ca="1">IFERROR(__xludf.DUMMYFUNCTION("""COMPUTED_VALUE"""),983)</f>
        <v>983</v>
      </c>
      <c r="I187" s="35">
        <f ca="1">IFERROR(__xludf.DUMMYFUNCTION("""COMPUTED_VALUE"""),117)</f>
        <v>117</v>
      </c>
      <c r="J187" s="541">
        <f ca="1">IFERROR(__xludf.DUMMYFUNCTION("""COMPUTED_VALUE"""),1054)</f>
        <v>1054</v>
      </c>
      <c r="K187" s="541">
        <f ca="1">IFERROR(__xludf.DUMMYFUNCTION("""COMPUTED_VALUE"""),117)</f>
        <v>117</v>
      </c>
      <c r="M187" s="539">
        <f ca="1">IFERROR(__xludf.DUMMYFUNCTION("""COMPUTED_VALUE"""),1)</f>
        <v>1</v>
      </c>
      <c r="N187" s="539">
        <f ca="1">IFERROR(__xludf.DUMMYFUNCTION("""COMPUTED_VALUE"""),1)</f>
        <v>1</v>
      </c>
      <c r="O187" s="539">
        <f ca="1">IFERROR(__xludf.DUMMYFUNCTION("""COMPUTED_VALUE"""),1)</f>
        <v>1</v>
      </c>
    </row>
    <row r="188" spans="1:15" ht="12.75">
      <c r="A188" s="539">
        <f ca="1"/>
        <v>182</v>
      </c>
      <c r="B188" s="35" t="str">
        <f ca="1">IFERROR(__xludf.DUMMYFUNCTION("""COMPUTED_VALUE"""),"Tổ Hạ tầng Bến Lức")</f>
        <v>Tổ Hạ tầng Bến Lức</v>
      </c>
      <c r="C188" s="35" t="str">
        <f ca="1">IFERROR(__xludf.DUMMYFUNCTION("""COMPUTED_VALUE"""),"Trịnh Minh Trí")</f>
        <v>Trịnh Minh Trí</v>
      </c>
      <c r="D188" s="35">
        <f ca="1">IFERROR(__xludf.DUMMYFUNCTION("""COMPUTED_VALUE"""),918278345)</f>
        <v>918278345</v>
      </c>
      <c r="E188" s="35" t="str">
        <f ca="1">IFERROR(__xludf.DUMMYFUNCTION("""COMPUTED_VALUE"""),"tritm.lan@vnpt.vn")</f>
        <v>tritm.lan@vnpt.vn</v>
      </c>
      <c r="F188" s="540" t="str">
        <f ca="1">IFERROR(__xludf.DUMMYFUNCTION("""COMPUTED_VALUE"""),"Lần 6")</f>
        <v>Lần 6</v>
      </c>
      <c r="G188" s="278">
        <f ca="1">IFERROR(__xludf.DUMMYFUNCTION("""COMPUTED_VALUE"""),46212)</f>
        <v>46212</v>
      </c>
      <c r="H188" s="35">
        <f ca="1">IFERROR(__xludf.DUMMYFUNCTION("""COMPUTED_VALUE"""),969)</f>
        <v>969</v>
      </c>
      <c r="I188" s="35">
        <f ca="1">IFERROR(__xludf.DUMMYFUNCTION("""COMPUTED_VALUE"""),115)</f>
        <v>115</v>
      </c>
      <c r="J188" s="541">
        <f ca="1">IFERROR(__xludf.DUMMYFUNCTION("""COMPUTED_VALUE"""),1009)</f>
        <v>1009</v>
      </c>
      <c r="K188" s="541">
        <f ca="1">IFERROR(__xludf.DUMMYFUNCTION("""COMPUTED_VALUE"""),124)</f>
        <v>124</v>
      </c>
      <c r="M188" s="539">
        <f ca="1">IFERROR(__xludf.DUMMYFUNCTION("""COMPUTED_VALUE"""),1)</f>
        <v>1</v>
      </c>
      <c r="N188" s="539">
        <f ca="1">IFERROR(__xludf.DUMMYFUNCTION("""COMPUTED_VALUE"""),1)</f>
        <v>1</v>
      </c>
      <c r="O188" s="539">
        <f ca="1">IFERROR(__xludf.DUMMYFUNCTION("""COMPUTED_VALUE"""),1)</f>
        <v>1</v>
      </c>
    </row>
    <row r="189" spans="1:15" ht="12.75">
      <c r="A189" s="539">
        <f ca="1"/>
        <v>183</v>
      </c>
      <c r="B189" s="35" t="str">
        <f ca="1">IFERROR(__xludf.DUMMYFUNCTION("""COMPUTED_VALUE"""),"Tổ Hạ tầng Bến Lức")</f>
        <v>Tổ Hạ tầng Bến Lức</v>
      </c>
      <c r="C189" s="35" t="str">
        <f ca="1">IFERROR(__xludf.DUMMYFUNCTION("""COMPUTED_VALUE"""),"Trịnh Minh Trí")</f>
        <v>Trịnh Minh Trí</v>
      </c>
      <c r="D189" s="35">
        <f ca="1">IFERROR(__xludf.DUMMYFUNCTION("""COMPUTED_VALUE"""),918278345)</f>
        <v>918278345</v>
      </c>
      <c r="E189" s="35" t="str">
        <f ca="1">IFERROR(__xludf.DUMMYFUNCTION("""COMPUTED_VALUE"""),"tritm.lan@vnpt.vn")</f>
        <v>tritm.lan@vnpt.vn</v>
      </c>
      <c r="F189" s="540" t="str">
        <f ca="1">IFERROR(__xludf.DUMMYFUNCTION("""COMPUTED_VALUE"""),"Lần 7")</f>
        <v>Lần 7</v>
      </c>
      <c r="G189" s="278">
        <f ca="1">IFERROR(__xludf.DUMMYFUNCTION("""COMPUTED_VALUE"""),46212)</f>
        <v>46212</v>
      </c>
      <c r="H189" s="35">
        <f ca="1">IFERROR(__xludf.DUMMYFUNCTION("""COMPUTED_VALUE"""),883)</f>
        <v>883</v>
      </c>
      <c r="I189" s="35">
        <f ca="1">IFERROR(__xludf.DUMMYFUNCTION("""COMPUTED_VALUE"""),120)</f>
        <v>120</v>
      </c>
      <c r="J189" s="541">
        <f ca="1">IFERROR(__xludf.DUMMYFUNCTION("""COMPUTED_VALUE"""),1141)</f>
        <v>1141</v>
      </c>
      <c r="K189" s="541">
        <f ca="1">IFERROR(__xludf.DUMMYFUNCTION("""COMPUTED_VALUE"""),119)</f>
        <v>119</v>
      </c>
      <c r="M189" s="539">
        <f ca="1">IFERROR(__xludf.DUMMYFUNCTION("""COMPUTED_VALUE"""),1)</f>
        <v>1</v>
      </c>
      <c r="N189" s="539">
        <f ca="1">IFERROR(__xludf.DUMMYFUNCTION("""COMPUTED_VALUE"""),1)</f>
        <v>1</v>
      </c>
      <c r="O189" s="539">
        <f ca="1">IFERROR(__xludf.DUMMYFUNCTION("""COMPUTED_VALUE"""),1)</f>
        <v>1</v>
      </c>
    </row>
    <row r="190" spans="1:15" ht="12.75">
      <c r="A190" s="539">
        <f ca="1"/>
        <v>184</v>
      </c>
      <c r="B190" s="35" t="str">
        <f ca="1">IFERROR(__xludf.DUMMYFUNCTION("""COMPUTED_VALUE"""),"Tổ Hạ tầng Bến Lức")</f>
        <v>Tổ Hạ tầng Bến Lức</v>
      </c>
      <c r="C190" s="35" t="str">
        <f ca="1">IFERROR(__xludf.DUMMYFUNCTION("""COMPUTED_VALUE"""),"Trịnh Minh Trí")</f>
        <v>Trịnh Minh Trí</v>
      </c>
      <c r="D190" s="35">
        <f ca="1">IFERROR(__xludf.DUMMYFUNCTION("""COMPUTED_VALUE"""),918278345)</f>
        <v>918278345</v>
      </c>
      <c r="E190" s="35" t="str">
        <f ca="1">IFERROR(__xludf.DUMMYFUNCTION("""COMPUTED_VALUE"""),"tritm.lan@vnpt.vn")</f>
        <v>tritm.lan@vnpt.vn</v>
      </c>
      <c r="F190" s="540" t="str">
        <f ca="1">IFERROR(__xludf.DUMMYFUNCTION("""COMPUTED_VALUE"""),"Lần 8")</f>
        <v>Lần 8</v>
      </c>
      <c r="G190" s="278">
        <f ca="1">IFERROR(__xludf.DUMMYFUNCTION("""COMPUTED_VALUE"""),46212)</f>
        <v>46212</v>
      </c>
      <c r="H190" s="35">
        <f ca="1">IFERROR(__xludf.DUMMYFUNCTION("""COMPUTED_VALUE"""),1089)</f>
        <v>1089</v>
      </c>
      <c r="I190" s="35">
        <f ca="1">IFERROR(__xludf.DUMMYFUNCTION("""COMPUTED_VALUE"""),123)</f>
        <v>123</v>
      </c>
      <c r="J190" s="541">
        <f ca="1">IFERROR(__xludf.DUMMYFUNCTION("""COMPUTED_VALUE"""),1041)</f>
        <v>1041</v>
      </c>
      <c r="K190" s="541">
        <f ca="1">IFERROR(__xludf.DUMMYFUNCTION("""COMPUTED_VALUE"""),117)</f>
        <v>117</v>
      </c>
      <c r="M190" s="539">
        <f ca="1">IFERROR(__xludf.DUMMYFUNCTION("""COMPUTED_VALUE"""),1)</f>
        <v>1</v>
      </c>
      <c r="N190" s="539">
        <f ca="1">IFERROR(__xludf.DUMMYFUNCTION("""COMPUTED_VALUE"""),1)</f>
        <v>1</v>
      </c>
      <c r="O190" s="539">
        <f ca="1">IFERROR(__xludf.DUMMYFUNCTION("""COMPUTED_VALUE"""),1)</f>
        <v>1</v>
      </c>
    </row>
    <row r="191" spans="1:15" ht="12.75">
      <c r="A191" s="539">
        <f ca="1"/>
        <v>185</v>
      </c>
      <c r="B191" s="35" t="str">
        <f ca="1">IFERROR(__xludf.DUMMYFUNCTION("""COMPUTED_VALUE"""),"Tổ Hạ tầng Bến Lức")</f>
        <v>Tổ Hạ tầng Bến Lức</v>
      </c>
      <c r="C191" s="35" t="str">
        <f ca="1">IFERROR(__xludf.DUMMYFUNCTION("""COMPUTED_VALUE"""),"Trịnh Minh Trí")</f>
        <v>Trịnh Minh Trí</v>
      </c>
      <c r="D191" s="35">
        <f ca="1">IFERROR(__xludf.DUMMYFUNCTION("""COMPUTED_VALUE"""),918278345)</f>
        <v>918278345</v>
      </c>
      <c r="E191" s="35" t="str">
        <f ca="1">IFERROR(__xludf.DUMMYFUNCTION("""COMPUTED_VALUE"""),"tritm.lan@vnpt.vn")</f>
        <v>tritm.lan@vnpt.vn</v>
      </c>
      <c r="F191" s="540" t="str">
        <f ca="1">IFERROR(__xludf.DUMMYFUNCTION("""COMPUTED_VALUE"""),"Lần 9")</f>
        <v>Lần 9</v>
      </c>
      <c r="G191" s="278"/>
      <c r="H191" s="35"/>
      <c r="I191" s="35"/>
      <c r="J191" s="35"/>
      <c r="K191" s="35"/>
      <c r="M191" s="539">
        <f ca="1">IFERROR(__xludf.DUMMYFUNCTION("""COMPUTED_VALUE"""),0)</f>
        <v>0</v>
      </c>
      <c r="N191" s="539">
        <f ca="1">IFERROR(__xludf.DUMMYFUNCTION("""COMPUTED_VALUE"""),0)</f>
        <v>0</v>
      </c>
      <c r="O191" s="539">
        <f ca="1">IFERROR(__xludf.DUMMYFUNCTION("""COMPUTED_VALUE"""),0)</f>
        <v>0</v>
      </c>
    </row>
    <row r="192" spans="1:15" ht="12.75">
      <c r="A192" s="539">
        <f ca="1"/>
        <v>186</v>
      </c>
      <c r="B192" s="35" t="str">
        <f ca="1">IFERROR(__xludf.DUMMYFUNCTION("""COMPUTED_VALUE"""),"Tổ Hạ tầng Bến Lức")</f>
        <v>Tổ Hạ tầng Bến Lức</v>
      </c>
      <c r="C192" s="35" t="str">
        <f ca="1">IFERROR(__xludf.DUMMYFUNCTION("""COMPUTED_VALUE"""),"Trịnh Minh Trí")</f>
        <v>Trịnh Minh Trí</v>
      </c>
      <c r="D192" s="35">
        <f ca="1">IFERROR(__xludf.DUMMYFUNCTION("""COMPUTED_VALUE"""),918278345)</f>
        <v>918278345</v>
      </c>
      <c r="E192" s="35" t="str">
        <f ca="1">IFERROR(__xludf.DUMMYFUNCTION("""COMPUTED_VALUE"""),"tritm.lan@vnpt.vn")</f>
        <v>tritm.lan@vnpt.vn</v>
      </c>
      <c r="F192" s="540" t="str">
        <f ca="1">IFERROR(__xludf.DUMMYFUNCTION("""COMPUTED_VALUE"""),"Lần 10")</f>
        <v>Lần 10</v>
      </c>
      <c r="G192" s="278"/>
      <c r="H192" s="35"/>
      <c r="I192" s="35"/>
      <c r="J192" s="35"/>
      <c r="K192" s="35"/>
      <c r="M192" s="539">
        <f ca="1">IFERROR(__xludf.DUMMYFUNCTION("""COMPUTED_VALUE"""),0)</f>
        <v>0</v>
      </c>
      <c r="N192" s="539">
        <f ca="1">IFERROR(__xludf.DUMMYFUNCTION("""COMPUTED_VALUE"""),0)</f>
        <v>0</v>
      </c>
      <c r="O192" s="539">
        <f ca="1">IFERROR(__xludf.DUMMYFUNCTION("""COMPUTED_VALUE"""),0)</f>
        <v>0</v>
      </c>
    </row>
    <row r="193" spans="1:15" ht="12.75">
      <c r="A193" s="539">
        <f ca="1"/>
        <v>187</v>
      </c>
      <c r="B193" s="35" t="str">
        <f ca="1">IFERROR(__xludf.DUMMYFUNCTION("""COMPUTED_VALUE"""),"Tổ Hạ tầng Bến Lức")</f>
        <v>Tổ Hạ tầng Bến Lức</v>
      </c>
      <c r="C193" s="35" t="str">
        <f ca="1">IFERROR(__xludf.DUMMYFUNCTION("""COMPUTED_VALUE"""),"Trịnh Minh Trí")</f>
        <v>Trịnh Minh Trí</v>
      </c>
      <c r="D193" s="35">
        <f ca="1">IFERROR(__xludf.DUMMYFUNCTION("""COMPUTED_VALUE"""),918278345)</f>
        <v>918278345</v>
      </c>
      <c r="E193" s="35" t="str">
        <f ca="1">IFERROR(__xludf.DUMMYFUNCTION("""COMPUTED_VALUE"""),"tritm.lan@vnpt.vn")</f>
        <v>tritm.lan@vnpt.vn</v>
      </c>
      <c r="F193" s="540" t="str">
        <f ca="1">IFERROR(__xludf.DUMMYFUNCTION("""COMPUTED_VALUE"""),"Lần 11")</f>
        <v>Lần 11</v>
      </c>
      <c r="G193" s="278"/>
      <c r="H193" s="35"/>
      <c r="I193" s="35"/>
      <c r="J193" s="35"/>
      <c r="K193" s="35"/>
      <c r="M193" s="539">
        <f ca="1">IFERROR(__xludf.DUMMYFUNCTION("""COMPUTED_VALUE"""),0)</f>
        <v>0</v>
      </c>
      <c r="N193" s="539">
        <f ca="1">IFERROR(__xludf.DUMMYFUNCTION("""COMPUTED_VALUE"""),0)</f>
        <v>0</v>
      </c>
      <c r="O193" s="539">
        <f ca="1">IFERROR(__xludf.DUMMYFUNCTION("""COMPUTED_VALUE"""),0)</f>
        <v>0</v>
      </c>
    </row>
    <row r="194" spans="1:15" ht="12.75">
      <c r="A194" s="539">
        <f ca="1"/>
        <v>188</v>
      </c>
      <c r="B194" s="35" t="str">
        <f ca="1">IFERROR(__xludf.DUMMYFUNCTION("""COMPUTED_VALUE"""),"Tổ Hạ tầng Bến Lức")</f>
        <v>Tổ Hạ tầng Bến Lức</v>
      </c>
      <c r="C194" s="35" t="str">
        <f ca="1">IFERROR(__xludf.DUMMYFUNCTION("""COMPUTED_VALUE"""),"Trịnh Minh Trí")</f>
        <v>Trịnh Minh Trí</v>
      </c>
      <c r="D194" s="35">
        <f ca="1">IFERROR(__xludf.DUMMYFUNCTION("""COMPUTED_VALUE"""),918278345)</f>
        <v>918278345</v>
      </c>
      <c r="E194" s="35" t="str">
        <f ca="1">IFERROR(__xludf.DUMMYFUNCTION("""COMPUTED_VALUE"""),"tritm.lan@vnpt.vn")</f>
        <v>tritm.lan@vnpt.vn</v>
      </c>
      <c r="F194" s="540" t="str">
        <f ca="1">IFERROR(__xludf.DUMMYFUNCTION("""COMPUTED_VALUE"""),"Lần 12")</f>
        <v>Lần 12</v>
      </c>
      <c r="G194" s="278"/>
      <c r="H194" s="35"/>
      <c r="I194" s="35"/>
      <c r="J194" s="541"/>
      <c r="K194" s="541"/>
      <c r="M194" s="539">
        <f ca="1">IFERROR(__xludf.DUMMYFUNCTION("""COMPUTED_VALUE"""),0)</f>
        <v>0</v>
      </c>
      <c r="N194" s="539">
        <f ca="1">IFERROR(__xludf.DUMMYFUNCTION("""COMPUTED_VALUE"""),0)</f>
        <v>0</v>
      </c>
      <c r="O194" s="539">
        <f ca="1">IFERROR(__xludf.DUMMYFUNCTION("""COMPUTED_VALUE"""),0)</f>
        <v>0</v>
      </c>
    </row>
    <row r="195" spans="1:15" ht="12.75">
      <c r="A195" s="539">
        <f ca="1"/>
        <v>189</v>
      </c>
      <c r="B195" s="35" t="str">
        <f ca="1">IFERROR(__xludf.DUMMYFUNCTION("""COMPUTED_VALUE"""),"Tổ Hạ tầng Bến Lức")</f>
        <v>Tổ Hạ tầng Bến Lức</v>
      </c>
      <c r="C195" s="35" t="str">
        <f ca="1">IFERROR(__xludf.DUMMYFUNCTION("""COMPUTED_VALUE"""),"Trịnh Minh Trí")</f>
        <v>Trịnh Minh Trí</v>
      </c>
      <c r="D195" s="35">
        <f ca="1">IFERROR(__xludf.DUMMYFUNCTION("""COMPUTED_VALUE"""),918278345)</f>
        <v>918278345</v>
      </c>
      <c r="E195" s="35" t="str">
        <f ca="1">IFERROR(__xludf.DUMMYFUNCTION("""COMPUTED_VALUE"""),"tritm.lan@vnpt.vn")</f>
        <v>tritm.lan@vnpt.vn</v>
      </c>
      <c r="F195" s="540" t="str">
        <f ca="1">IFERROR(__xludf.DUMMYFUNCTION("""COMPUTED_VALUE"""),"Lần 13")</f>
        <v>Lần 13</v>
      </c>
      <c r="G195" s="278"/>
      <c r="H195" s="35"/>
      <c r="I195" s="35"/>
      <c r="J195" s="541"/>
      <c r="K195" s="541"/>
      <c r="M195" s="539">
        <f ca="1">IFERROR(__xludf.DUMMYFUNCTION("""COMPUTED_VALUE"""),0)</f>
        <v>0</v>
      </c>
      <c r="N195" s="539">
        <f ca="1">IFERROR(__xludf.DUMMYFUNCTION("""COMPUTED_VALUE"""),0)</f>
        <v>0</v>
      </c>
      <c r="O195" s="539">
        <f ca="1">IFERROR(__xludf.DUMMYFUNCTION("""COMPUTED_VALUE"""),0)</f>
        <v>0</v>
      </c>
    </row>
    <row r="196" spans="1:15" ht="12.75">
      <c r="A196" s="539">
        <f ca="1"/>
        <v>190</v>
      </c>
      <c r="B196" s="35" t="str">
        <f ca="1">IFERROR(__xludf.DUMMYFUNCTION("""COMPUTED_VALUE"""),"Tổ Hạ tầng Bến Lức")</f>
        <v>Tổ Hạ tầng Bến Lức</v>
      </c>
      <c r="C196" s="35" t="str">
        <f ca="1">IFERROR(__xludf.DUMMYFUNCTION("""COMPUTED_VALUE"""),"Trịnh Minh Trí")</f>
        <v>Trịnh Minh Trí</v>
      </c>
      <c r="D196" s="35">
        <f ca="1">IFERROR(__xludf.DUMMYFUNCTION("""COMPUTED_VALUE"""),918278345)</f>
        <v>918278345</v>
      </c>
      <c r="E196" s="35" t="str">
        <f ca="1">IFERROR(__xludf.DUMMYFUNCTION("""COMPUTED_VALUE"""),"tritm.lan@vnpt.vn")</f>
        <v>tritm.lan@vnpt.vn</v>
      </c>
      <c r="F196" s="540" t="str">
        <f ca="1">IFERROR(__xludf.DUMMYFUNCTION("""COMPUTED_VALUE"""),"Lần 14")</f>
        <v>Lần 14</v>
      </c>
      <c r="G196" s="278"/>
      <c r="H196" s="35"/>
      <c r="I196" s="35"/>
      <c r="J196" s="541"/>
      <c r="K196" s="542"/>
      <c r="M196" s="539">
        <f ca="1">IFERROR(__xludf.DUMMYFUNCTION("""COMPUTED_VALUE"""),0)</f>
        <v>0</v>
      </c>
      <c r="N196" s="539">
        <f ca="1">IFERROR(__xludf.DUMMYFUNCTION("""COMPUTED_VALUE"""),0)</f>
        <v>0</v>
      </c>
      <c r="O196" s="539">
        <f ca="1">IFERROR(__xludf.DUMMYFUNCTION("""COMPUTED_VALUE"""),0)</f>
        <v>0</v>
      </c>
    </row>
    <row r="197" spans="1:15" ht="12.75">
      <c r="A197" s="539">
        <f ca="1"/>
        <v>191</v>
      </c>
      <c r="B197" s="35" t="str">
        <f ca="1">IFERROR(__xludf.DUMMYFUNCTION("""COMPUTED_VALUE"""),"Tổ Hạ tầng Bến Lức")</f>
        <v>Tổ Hạ tầng Bến Lức</v>
      </c>
      <c r="C197" s="35" t="str">
        <f ca="1">IFERROR(__xludf.DUMMYFUNCTION("""COMPUTED_VALUE"""),"Trịnh Minh Trí")</f>
        <v>Trịnh Minh Trí</v>
      </c>
      <c r="D197" s="35">
        <f ca="1">IFERROR(__xludf.DUMMYFUNCTION("""COMPUTED_VALUE"""),918278345)</f>
        <v>918278345</v>
      </c>
      <c r="E197" s="35" t="str">
        <f ca="1">IFERROR(__xludf.DUMMYFUNCTION("""COMPUTED_VALUE"""),"tritm.lan@vnpt.vn")</f>
        <v>tritm.lan@vnpt.vn</v>
      </c>
      <c r="F197" s="540" t="str">
        <f ca="1">IFERROR(__xludf.DUMMYFUNCTION("""COMPUTED_VALUE"""),"Lần 15")</f>
        <v>Lần 15</v>
      </c>
      <c r="G197" s="278"/>
      <c r="H197" s="35"/>
      <c r="I197" s="35"/>
      <c r="J197" s="541"/>
      <c r="K197" s="542"/>
      <c r="M197" s="539">
        <f ca="1">IFERROR(__xludf.DUMMYFUNCTION("""COMPUTED_VALUE"""),0)</f>
        <v>0</v>
      </c>
      <c r="N197" s="539">
        <f ca="1">IFERROR(__xludf.DUMMYFUNCTION("""COMPUTED_VALUE"""),0)</f>
        <v>0</v>
      </c>
      <c r="O197" s="539">
        <f ca="1">IFERROR(__xludf.DUMMYFUNCTION("""COMPUTED_VALUE"""),0)</f>
        <v>0</v>
      </c>
    </row>
    <row r="198" spans="1:15" ht="12.75">
      <c r="A198" s="539">
        <f ca="1"/>
        <v>192</v>
      </c>
      <c r="B198" s="35" t="str">
        <f ca="1">IFERROR(__xludf.DUMMYFUNCTION("""COMPUTED_VALUE"""),"Tổ Hạ tầng Bến Lức")</f>
        <v>Tổ Hạ tầng Bến Lức</v>
      </c>
      <c r="C198" s="35" t="str">
        <f ca="1">IFERROR(__xludf.DUMMYFUNCTION("""COMPUTED_VALUE"""),"Trịnh Minh Trí")</f>
        <v>Trịnh Minh Trí</v>
      </c>
      <c r="D198" s="35">
        <f ca="1">IFERROR(__xludf.DUMMYFUNCTION("""COMPUTED_VALUE"""),918278345)</f>
        <v>918278345</v>
      </c>
      <c r="E198" s="35" t="str">
        <f ca="1">IFERROR(__xludf.DUMMYFUNCTION("""COMPUTED_VALUE"""),"tritm.lan@vnpt.vn")</f>
        <v>tritm.lan@vnpt.vn</v>
      </c>
      <c r="F198" s="540" t="str">
        <f ca="1">IFERROR(__xludf.DUMMYFUNCTION("""COMPUTED_VALUE"""),"Lần 16")</f>
        <v>Lần 16</v>
      </c>
      <c r="G198" s="278"/>
      <c r="H198" s="35"/>
      <c r="I198" s="35"/>
      <c r="J198" s="541"/>
      <c r="K198" s="541"/>
      <c r="M198" s="539">
        <f ca="1">IFERROR(__xludf.DUMMYFUNCTION("""COMPUTED_VALUE"""),0)</f>
        <v>0</v>
      </c>
      <c r="N198" s="539">
        <f ca="1">IFERROR(__xludf.DUMMYFUNCTION("""COMPUTED_VALUE"""),0)</f>
        <v>0</v>
      </c>
      <c r="O198" s="539">
        <f ca="1">IFERROR(__xludf.DUMMYFUNCTION("""COMPUTED_VALUE"""),0)</f>
        <v>0</v>
      </c>
    </row>
    <row r="199" spans="1:15" ht="12.75">
      <c r="A199" s="539">
        <f ca="1"/>
        <v>193</v>
      </c>
      <c r="B199" s="35" t="str">
        <f ca="1">IFERROR(__xludf.DUMMYFUNCTION("""COMPUTED_VALUE"""),"Tổ Hạ tầng Bến Lức")</f>
        <v>Tổ Hạ tầng Bến Lức</v>
      </c>
      <c r="C199" s="35" t="str">
        <f ca="1">IFERROR(__xludf.DUMMYFUNCTION("""COMPUTED_VALUE"""),"Võ Hoàng Anh Tiến")</f>
        <v>Võ Hoàng Anh Tiến</v>
      </c>
      <c r="D199" s="35">
        <f ca="1">IFERROR(__xludf.DUMMYFUNCTION("""COMPUTED_VALUE"""),839859849)</f>
        <v>839859849</v>
      </c>
      <c r="E199" s="35" t="str">
        <f ca="1">IFERROR(__xludf.DUMMYFUNCTION("""COMPUTED_VALUE"""),"tienvha.lan@vnpt.vn")</f>
        <v>tienvha.lan@vnpt.vn</v>
      </c>
      <c r="F199" s="540" t="str">
        <f ca="1">IFERROR(__xludf.DUMMYFUNCTION("""COMPUTED_VALUE"""),"Lần 1")</f>
        <v>Lần 1</v>
      </c>
      <c r="G199" s="278">
        <f ca="1">IFERROR(__xludf.DUMMYFUNCTION("""COMPUTED_VALUE"""),46209)</f>
        <v>46209</v>
      </c>
      <c r="H199" s="35">
        <f ca="1">IFERROR(__xludf.DUMMYFUNCTION("""COMPUTED_VALUE"""),101)</f>
        <v>101</v>
      </c>
      <c r="I199" s="35">
        <f ca="1">IFERROR(__xludf.DUMMYFUNCTION("""COMPUTED_VALUE"""),55.5)</f>
        <v>55.5</v>
      </c>
      <c r="J199" s="541">
        <f ca="1">IFERROR(__xludf.DUMMYFUNCTION("""COMPUTED_VALUE"""),93.7)</f>
        <v>93.7</v>
      </c>
      <c r="K199" s="35">
        <f ca="1">IFERROR(__xludf.DUMMYFUNCTION("""COMPUTED_VALUE"""),53.1)</f>
        <v>53.1</v>
      </c>
      <c r="M199" s="539">
        <f ca="1">IFERROR(__xludf.DUMMYFUNCTION("""COMPUTED_VALUE"""),1)</f>
        <v>1</v>
      </c>
      <c r="N199" s="539">
        <f ca="1">IFERROR(__xludf.DUMMYFUNCTION("""COMPUTED_VALUE"""),1)</f>
        <v>1</v>
      </c>
      <c r="O199" s="539">
        <f ca="1">IFERROR(__xludf.DUMMYFUNCTION("""COMPUTED_VALUE"""),0)</f>
        <v>0</v>
      </c>
    </row>
    <row r="200" spans="1:15" ht="12.75">
      <c r="A200" s="539">
        <f ca="1"/>
        <v>194</v>
      </c>
      <c r="B200" s="35" t="str">
        <f ca="1">IFERROR(__xludf.DUMMYFUNCTION("""COMPUTED_VALUE"""),"Tổ Hạ tầng Bến Lức")</f>
        <v>Tổ Hạ tầng Bến Lức</v>
      </c>
      <c r="C200" s="35" t="str">
        <f ca="1">IFERROR(__xludf.DUMMYFUNCTION("""COMPUTED_VALUE"""),"Võ Hoàng Anh Tiến")</f>
        <v>Võ Hoàng Anh Tiến</v>
      </c>
      <c r="D200" s="35">
        <f ca="1">IFERROR(__xludf.DUMMYFUNCTION("""COMPUTED_VALUE"""),839859849)</f>
        <v>839859849</v>
      </c>
      <c r="E200" s="35" t="str">
        <f ca="1">IFERROR(__xludf.DUMMYFUNCTION("""COMPUTED_VALUE"""),"tienvha.lan@vnpt.vn")</f>
        <v>tienvha.lan@vnpt.vn</v>
      </c>
      <c r="F200" s="540" t="str">
        <f ca="1">IFERROR(__xludf.DUMMYFUNCTION("""COMPUTED_VALUE"""),"Lần 2")</f>
        <v>Lần 2</v>
      </c>
      <c r="G200" s="278">
        <f ca="1">IFERROR(__xludf.DUMMYFUNCTION("""COMPUTED_VALUE"""),46209)</f>
        <v>46209</v>
      </c>
      <c r="H200" s="35">
        <f ca="1">IFERROR(__xludf.DUMMYFUNCTION("""COMPUTED_VALUE"""),85.8)</f>
        <v>85.8</v>
      </c>
      <c r="I200" s="35">
        <f ca="1">IFERROR(__xludf.DUMMYFUNCTION("""COMPUTED_VALUE"""),52.8)</f>
        <v>52.8</v>
      </c>
      <c r="J200" s="541">
        <f ca="1">IFERROR(__xludf.DUMMYFUNCTION("""COMPUTED_VALUE"""),95.3)</f>
        <v>95.3</v>
      </c>
      <c r="K200" s="541">
        <f ca="1">IFERROR(__xludf.DUMMYFUNCTION("""COMPUTED_VALUE"""),54.3)</f>
        <v>54.3</v>
      </c>
      <c r="M200" s="539">
        <f ca="1">IFERROR(__xludf.DUMMYFUNCTION("""COMPUTED_VALUE"""),1)</f>
        <v>1</v>
      </c>
      <c r="N200" s="539">
        <f ca="1">IFERROR(__xludf.DUMMYFUNCTION("""COMPUTED_VALUE"""),1)</f>
        <v>1</v>
      </c>
      <c r="O200" s="539">
        <f ca="1">IFERROR(__xludf.DUMMYFUNCTION("""COMPUTED_VALUE"""),0)</f>
        <v>0</v>
      </c>
    </row>
    <row r="201" spans="1:15" ht="12.75">
      <c r="A201" s="539">
        <f ca="1"/>
        <v>195</v>
      </c>
      <c r="B201" s="35" t="str">
        <f ca="1">IFERROR(__xludf.DUMMYFUNCTION("""COMPUTED_VALUE"""),"Tổ Hạ tầng Bến Lức")</f>
        <v>Tổ Hạ tầng Bến Lức</v>
      </c>
      <c r="C201" s="35" t="str">
        <f ca="1">IFERROR(__xludf.DUMMYFUNCTION("""COMPUTED_VALUE"""),"Võ Hoàng Anh Tiến")</f>
        <v>Võ Hoàng Anh Tiến</v>
      </c>
      <c r="D201" s="35">
        <f ca="1">IFERROR(__xludf.DUMMYFUNCTION("""COMPUTED_VALUE"""),839859849)</f>
        <v>839859849</v>
      </c>
      <c r="E201" s="35" t="str">
        <f ca="1">IFERROR(__xludf.DUMMYFUNCTION("""COMPUTED_VALUE"""),"tienvha.lan@vnpt.vn")</f>
        <v>tienvha.lan@vnpt.vn</v>
      </c>
      <c r="F201" s="540" t="str">
        <f ca="1">IFERROR(__xludf.DUMMYFUNCTION("""COMPUTED_VALUE"""),"Lần 3")</f>
        <v>Lần 3</v>
      </c>
      <c r="G201" s="278">
        <f ca="1">IFERROR(__xludf.DUMMYFUNCTION("""COMPUTED_VALUE"""),46213)</f>
        <v>46213</v>
      </c>
      <c r="H201" s="35">
        <f ca="1">IFERROR(__xludf.DUMMYFUNCTION("""COMPUTED_VALUE"""),124)</f>
        <v>124</v>
      </c>
      <c r="I201" s="35">
        <f ca="1">IFERROR(__xludf.DUMMYFUNCTION("""COMPUTED_VALUE"""),54.2)</f>
        <v>54.2</v>
      </c>
      <c r="J201" s="35">
        <f ca="1">IFERROR(__xludf.DUMMYFUNCTION("""COMPUTED_VALUE"""),124)</f>
        <v>124</v>
      </c>
      <c r="K201" s="541">
        <f ca="1">IFERROR(__xludf.DUMMYFUNCTION("""COMPUTED_VALUE"""),51.5)</f>
        <v>51.5</v>
      </c>
      <c r="M201" s="539">
        <f ca="1">IFERROR(__xludf.DUMMYFUNCTION("""COMPUTED_VALUE"""),1)</f>
        <v>1</v>
      </c>
      <c r="N201" s="539">
        <f ca="1">IFERROR(__xludf.DUMMYFUNCTION("""COMPUTED_VALUE"""),1)</f>
        <v>1</v>
      </c>
      <c r="O201" s="539">
        <f ca="1">IFERROR(__xludf.DUMMYFUNCTION("""COMPUTED_VALUE"""),0)</f>
        <v>0</v>
      </c>
    </row>
    <row r="202" spans="1:15" ht="12.75">
      <c r="A202" s="539">
        <f ca="1"/>
        <v>196</v>
      </c>
      <c r="B202" s="35" t="str">
        <f ca="1">IFERROR(__xludf.DUMMYFUNCTION("""COMPUTED_VALUE"""),"Tổ Hạ tầng Bến Lức")</f>
        <v>Tổ Hạ tầng Bến Lức</v>
      </c>
      <c r="C202" s="35" t="str">
        <f ca="1">IFERROR(__xludf.DUMMYFUNCTION("""COMPUTED_VALUE"""),"Võ Hoàng Anh Tiến")</f>
        <v>Võ Hoàng Anh Tiến</v>
      </c>
      <c r="D202" s="35">
        <f ca="1">IFERROR(__xludf.DUMMYFUNCTION("""COMPUTED_VALUE"""),839859849)</f>
        <v>839859849</v>
      </c>
      <c r="E202" s="35" t="str">
        <f ca="1">IFERROR(__xludf.DUMMYFUNCTION("""COMPUTED_VALUE"""),"tienvha.lan@vnpt.vn")</f>
        <v>tienvha.lan@vnpt.vn</v>
      </c>
      <c r="F202" s="540" t="str">
        <f ca="1">IFERROR(__xludf.DUMMYFUNCTION("""COMPUTED_VALUE"""),"Lần 4")</f>
        <v>Lần 4</v>
      </c>
      <c r="G202" s="278">
        <f ca="1">IFERROR(__xludf.DUMMYFUNCTION("""COMPUTED_VALUE"""),46213)</f>
        <v>46213</v>
      </c>
      <c r="H202" s="35">
        <f ca="1">IFERROR(__xludf.DUMMYFUNCTION("""COMPUTED_VALUE"""),115)</f>
        <v>115</v>
      </c>
      <c r="I202" s="35">
        <f ca="1">IFERROR(__xludf.DUMMYFUNCTION("""COMPUTED_VALUE"""),45.1)</f>
        <v>45.1</v>
      </c>
      <c r="J202" s="541">
        <f ca="1">IFERROR(__xludf.DUMMYFUNCTION("""COMPUTED_VALUE"""),105)</f>
        <v>105</v>
      </c>
      <c r="K202" s="35">
        <f ca="1">IFERROR(__xludf.DUMMYFUNCTION("""COMPUTED_VALUE"""),50.4)</f>
        <v>50.4</v>
      </c>
      <c r="M202" s="539">
        <f ca="1">IFERROR(__xludf.DUMMYFUNCTION("""COMPUTED_VALUE"""),1)</f>
        <v>1</v>
      </c>
      <c r="N202" s="539">
        <f ca="1">IFERROR(__xludf.DUMMYFUNCTION("""COMPUTED_VALUE"""),1)</f>
        <v>1</v>
      </c>
      <c r="O202" s="539">
        <f ca="1">IFERROR(__xludf.DUMMYFUNCTION("""COMPUTED_VALUE"""),0)</f>
        <v>0</v>
      </c>
    </row>
    <row r="203" spans="1:15" ht="12.75">
      <c r="A203" s="539">
        <f ca="1"/>
        <v>197</v>
      </c>
      <c r="B203" s="35" t="str">
        <f ca="1">IFERROR(__xludf.DUMMYFUNCTION("""COMPUTED_VALUE"""),"Tổ Hạ tầng Bến Lức")</f>
        <v>Tổ Hạ tầng Bến Lức</v>
      </c>
      <c r="C203" s="35" t="str">
        <f ca="1">IFERROR(__xludf.DUMMYFUNCTION("""COMPUTED_VALUE"""),"Võ Hoàng Anh Tiến")</f>
        <v>Võ Hoàng Anh Tiến</v>
      </c>
      <c r="D203" s="35">
        <f ca="1">IFERROR(__xludf.DUMMYFUNCTION("""COMPUTED_VALUE"""),839859849)</f>
        <v>839859849</v>
      </c>
      <c r="E203" s="35" t="str">
        <f ca="1">IFERROR(__xludf.DUMMYFUNCTION("""COMPUTED_VALUE"""),"tienvha.lan@vnpt.vn")</f>
        <v>tienvha.lan@vnpt.vn</v>
      </c>
      <c r="F203" s="540" t="str">
        <f ca="1">IFERROR(__xludf.DUMMYFUNCTION("""COMPUTED_VALUE"""),"Lần 5")</f>
        <v>Lần 5</v>
      </c>
      <c r="G203" s="278"/>
      <c r="H203" s="35"/>
      <c r="I203" s="35"/>
      <c r="J203" s="541"/>
      <c r="K203" s="541"/>
      <c r="M203" s="539">
        <f ca="1">IFERROR(__xludf.DUMMYFUNCTION("""COMPUTED_VALUE"""),0)</f>
        <v>0</v>
      </c>
      <c r="N203" s="539">
        <f ca="1">IFERROR(__xludf.DUMMYFUNCTION("""COMPUTED_VALUE"""),0)</f>
        <v>0</v>
      </c>
      <c r="O203" s="539">
        <f ca="1">IFERROR(__xludf.DUMMYFUNCTION("""COMPUTED_VALUE"""),0)</f>
        <v>0</v>
      </c>
    </row>
    <row r="204" spans="1:15" ht="12.75">
      <c r="A204" s="539">
        <f ca="1"/>
        <v>198</v>
      </c>
      <c r="B204" s="35" t="str">
        <f ca="1">IFERROR(__xludf.DUMMYFUNCTION("""COMPUTED_VALUE"""),"Tổ Hạ tầng Bến Lức")</f>
        <v>Tổ Hạ tầng Bến Lức</v>
      </c>
      <c r="C204" s="35" t="str">
        <f ca="1">IFERROR(__xludf.DUMMYFUNCTION("""COMPUTED_VALUE"""),"Võ Hoàng Anh Tiến")</f>
        <v>Võ Hoàng Anh Tiến</v>
      </c>
      <c r="D204" s="35">
        <f ca="1">IFERROR(__xludf.DUMMYFUNCTION("""COMPUTED_VALUE"""),839859849)</f>
        <v>839859849</v>
      </c>
      <c r="E204" s="35" t="str">
        <f ca="1">IFERROR(__xludf.DUMMYFUNCTION("""COMPUTED_VALUE"""),"tienvha.lan@vnpt.vn")</f>
        <v>tienvha.lan@vnpt.vn</v>
      </c>
      <c r="F204" s="540" t="str">
        <f ca="1">IFERROR(__xludf.DUMMYFUNCTION("""COMPUTED_VALUE"""),"Lần 6")</f>
        <v>Lần 6</v>
      </c>
      <c r="G204" s="278"/>
      <c r="H204" s="35"/>
      <c r="I204" s="35"/>
      <c r="J204" s="541"/>
      <c r="K204" s="541"/>
      <c r="M204" s="539">
        <f ca="1">IFERROR(__xludf.DUMMYFUNCTION("""COMPUTED_VALUE"""),0)</f>
        <v>0</v>
      </c>
      <c r="N204" s="539">
        <f ca="1">IFERROR(__xludf.DUMMYFUNCTION("""COMPUTED_VALUE"""),0)</f>
        <v>0</v>
      </c>
      <c r="O204" s="539">
        <f ca="1">IFERROR(__xludf.DUMMYFUNCTION("""COMPUTED_VALUE"""),0)</f>
        <v>0</v>
      </c>
    </row>
    <row r="205" spans="1:15" ht="12.75">
      <c r="A205" s="539">
        <f ca="1"/>
        <v>199</v>
      </c>
      <c r="B205" s="35" t="str">
        <f ca="1">IFERROR(__xludf.DUMMYFUNCTION("""COMPUTED_VALUE"""),"Tổ Hạ tầng Bến Lức")</f>
        <v>Tổ Hạ tầng Bến Lức</v>
      </c>
      <c r="C205" s="35" t="str">
        <f ca="1">IFERROR(__xludf.DUMMYFUNCTION("""COMPUTED_VALUE"""),"Võ Hoàng Anh Tiến")</f>
        <v>Võ Hoàng Anh Tiến</v>
      </c>
      <c r="D205" s="35">
        <f ca="1">IFERROR(__xludf.DUMMYFUNCTION("""COMPUTED_VALUE"""),839859849)</f>
        <v>839859849</v>
      </c>
      <c r="E205" s="35" t="str">
        <f ca="1">IFERROR(__xludf.DUMMYFUNCTION("""COMPUTED_VALUE"""),"tienvha.lan@vnpt.vn")</f>
        <v>tienvha.lan@vnpt.vn</v>
      </c>
      <c r="F205" s="540" t="str">
        <f ca="1">IFERROR(__xludf.DUMMYFUNCTION("""COMPUTED_VALUE"""),"Lần 7")</f>
        <v>Lần 7</v>
      </c>
      <c r="G205" s="278"/>
      <c r="H205" s="35"/>
      <c r="I205" s="35"/>
      <c r="J205" s="541"/>
      <c r="K205" s="541"/>
      <c r="M205" s="539">
        <f ca="1">IFERROR(__xludf.DUMMYFUNCTION("""COMPUTED_VALUE"""),0)</f>
        <v>0</v>
      </c>
      <c r="N205" s="539">
        <f ca="1">IFERROR(__xludf.DUMMYFUNCTION("""COMPUTED_VALUE"""),0)</f>
        <v>0</v>
      </c>
      <c r="O205" s="539">
        <f ca="1">IFERROR(__xludf.DUMMYFUNCTION("""COMPUTED_VALUE"""),0)</f>
        <v>0</v>
      </c>
    </row>
    <row r="206" spans="1:15" ht="12.75">
      <c r="A206" s="539">
        <f ca="1"/>
        <v>200</v>
      </c>
      <c r="B206" s="35" t="str">
        <f ca="1">IFERROR(__xludf.DUMMYFUNCTION("""COMPUTED_VALUE"""),"Tổ Hạ tầng Bến Lức")</f>
        <v>Tổ Hạ tầng Bến Lức</v>
      </c>
      <c r="C206" s="35" t="str">
        <f ca="1">IFERROR(__xludf.DUMMYFUNCTION("""COMPUTED_VALUE"""),"Võ Hoàng Anh Tiến")</f>
        <v>Võ Hoàng Anh Tiến</v>
      </c>
      <c r="D206" s="35">
        <f ca="1">IFERROR(__xludf.DUMMYFUNCTION("""COMPUTED_VALUE"""),839859849)</f>
        <v>839859849</v>
      </c>
      <c r="E206" s="35" t="str">
        <f ca="1">IFERROR(__xludf.DUMMYFUNCTION("""COMPUTED_VALUE"""),"tienvha.lan@vnpt.vn")</f>
        <v>tienvha.lan@vnpt.vn</v>
      </c>
      <c r="F206" s="540" t="str">
        <f ca="1">IFERROR(__xludf.DUMMYFUNCTION("""COMPUTED_VALUE"""),"Lần 8")</f>
        <v>Lần 8</v>
      </c>
      <c r="G206" s="278"/>
      <c r="H206" s="35"/>
      <c r="I206" s="35"/>
      <c r="J206" s="541"/>
      <c r="K206" s="541"/>
      <c r="M206" s="539">
        <f ca="1">IFERROR(__xludf.DUMMYFUNCTION("""COMPUTED_VALUE"""),0)</f>
        <v>0</v>
      </c>
      <c r="N206" s="539">
        <f ca="1">IFERROR(__xludf.DUMMYFUNCTION("""COMPUTED_VALUE"""),0)</f>
        <v>0</v>
      </c>
      <c r="O206" s="539">
        <f ca="1">IFERROR(__xludf.DUMMYFUNCTION("""COMPUTED_VALUE"""),0)</f>
        <v>0</v>
      </c>
    </row>
    <row r="207" spans="1:15" ht="12.75">
      <c r="A207" s="539">
        <f ca="1"/>
        <v>201</v>
      </c>
      <c r="B207" s="35" t="str">
        <f ca="1">IFERROR(__xludf.DUMMYFUNCTION("""COMPUTED_VALUE"""),"Tổ Hạ tầng Bến Lức")</f>
        <v>Tổ Hạ tầng Bến Lức</v>
      </c>
      <c r="C207" s="35" t="str">
        <f ca="1">IFERROR(__xludf.DUMMYFUNCTION("""COMPUTED_VALUE"""),"Võ Hoàng Anh Tiến")</f>
        <v>Võ Hoàng Anh Tiến</v>
      </c>
      <c r="D207" s="35">
        <f ca="1">IFERROR(__xludf.DUMMYFUNCTION("""COMPUTED_VALUE"""),839859849)</f>
        <v>839859849</v>
      </c>
      <c r="E207" s="35" t="str">
        <f ca="1">IFERROR(__xludf.DUMMYFUNCTION("""COMPUTED_VALUE"""),"tienvha.lan@vnpt.vn")</f>
        <v>tienvha.lan@vnpt.vn</v>
      </c>
      <c r="F207" s="540" t="str">
        <f ca="1">IFERROR(__xludf.DUMMYFUNCTION("""COMPUTED_VALUE"""),"Lần 9")</f>
        <v>Lần 9</v>
      </c>
      <c r="G207" s="278"/>
      <c r="H207" s="35"/>
      <c r="I207" s="35"/>
      <c r="J207" s="541"/>
      <c r="K207" s="541"/>
      <c r="M207" s="539">
        <f ca="1">IFERROR(__xludf.DUMMYFUNCTION("""COMPUTED_VALUE"""),0)</f>
        <v>0</v>
      </c>
      <c r="N207" s="539">
        <f ca="1">IFERROR(__xludf.DUMMYFUNCTION("""COMPUTED_VALUE"""),0)</f>
        <v>0</v>
      </c>
      <c r="O207" s="539">
        <f ca="1">IFERROR(__xludf.DUMMYFUNCTION("""COMPUTED_VALUE"""),0)</f>
        <v>0</v>
      </c>
    </row>
    <row r="208" spans="1:15" ht="12.75">
      <c r="A208" s="539">
        <f ca="1"/>
        <v>202</v>
      </c>
      <c r="B208" s="35" t="str">
        <f ca="1">IFERROR(__xludf.DUMMYFUNCTION("""COMPUTED_VALUE"""),"Tổ Hạ tầng Bến Lức")</f>
        <v>Tổ Hạ tầng Bến Lức</v>
      </c>
      <c r="C208" s="35" t="str">
        <f ca="1">IFERROR(__xludf.DUMMYFUNCTION("""COMPUTED_VALUE"""),"Võ Hoàng Anh Tiến")</f>
        <v>Võ Hoàng Anh Tiến</v>
      </c>
      <c r="D208" s="35">
        <f ca="1">IFERROR(__xludf.DUMMYFUNCTION("""COMPUTED_VALUE"""),839859849)</f>
        <v>839859849</v>
      </c>
      <c r="E208" s="35" t="str">
        <f ca="1">IFERROR(__xludf.DUMMYFUNCTION("""COMPUTED_VALUE"""),"tienvha.lan@vnpt.vn")</f>
        <v>tienvha.lan@vnpt.vn</v>
      </c>
      <c r="F208" s="540" t="str">
        <f ca="1">IFERROR(__xludf.DUMMYFUNCTION("""COMPUTED_VALUE"""),"Lần 10")</f>
        <v>Lần 10</v>
      </c>
      <c r="G208" s="278"/>
      <c r="H208" s="35"/>
      <c r="I208" s="35"/>
      <c r="J208" s="541"/>
      <c r="K208" s="541"/>
      <c r="M208" s="539">
        <f ca="1">IFERROR(__xludf.DUMMYFUNCTION("""COMPUTED_VALUE"""),0)</f>
        <v>0</v>
      </c>
      <c r="N208" s="539">
        <f ca="1">IFERROR(__xludf.DUMMYFUNCTION("""COMPUTED_VALUE"""),0)</f>
        <v>0</v>
      </c>
      <c r="O208" s="539">
        <f ca="1">IFERROR(__xludf.DUMMYFUNCTION("""COMPUTED_VALUE"""),0)</f>
        <v>0</v>
      </c>
    </row>
    <row r="209" spans="1:15" ht="12.75">
      <c r="A209" s="539">
        <f ca="1"/>
        <v>203</v>
      </c>
      <c r="B209" s="35" t="str">
        <f ca="1">IFERROR(__xludf.DUMMYFUNCTION("""COMPUTED_VALUE"""),"Tổ Hạ tầng Bến Lức")</f>
        <v>Tổ Hạ tầng Bến Lức</v>
      </c>
      <c r="C209" s="35" t="str">
        <f ca="1">IFERROR(__xludf.DUMMYFUNCTION("""COMPUTED_VALUE"""),"Võ Hoàng Anh Tiến")</f>
        <v>Võ Hoàng Anh Tiến</v>
      </c>
      <c r="D209" s="35">
        <f ca="1">IFERROR(__xludf.DUMMYFUNCTION("""COMPUTED_VALUE"""),839859849)</f>
        <v>839859849</v>
      </c>
      <c r="E209" s="35" t="str">
        <f ca="1">IFERROR(__xludf.DUMMYFUNCTION("""COMPUTED_VALUE"""),"tienvha.lan@vnpt.vn")</f>
        <v>tienvha.lan@vnpt.vn</v>
      </c>
      <c r="F209" s="540" t="str">
        <f ca="1">IFERROR(__xludf.DUMMYFUNCTION("""COMPUTED_VALUE"""),"Lần 11")</f>
        <v>Lần 11</v>
      </c>
      <c r="G209" s="278"/>
      <c r="H209" s="35"/>
      <c r="I209" s="35"/>
      <c r="J209" s="541"/>
      <c r="K209" s="541"/>
      <c r="M209" s="539">
        <f ca="1">IFERROR(__xludf.DUMMYFUNCTION("""COMPUTED_VALUE"""),0)</f>
        <v>0</v>
      </c>
      <c r="N209" s="539">
        <f ca="1">IFERROR(__xludf.DUMMYFUNCTION("""COMPUTED_VALUE"""),0)</f>
        <v>0</v>
      </c>
      <c r="O209" s="539">
        <f ca="1">IFERROR(__xludf.DUMMYFUNCTION("""COMPUTED_VALUE"""),0)</f>
        <v>0</v>
      </c>
    </row>
    <row r="210" spans="1:15" ht="12.75">
      <c r="A210" s="539">
        <f ca="1"/>
        <v>204</v>
      </c>
      <c r="B210" s="35" t="str">
        <f ca="1">IFERROR(__xludf.DUMMYFUNCTION("""COMPUTED_VALUE"""),"Tổ Hạ tầng Bến Lức")</f>
        <v>Tổ Hạ tầng Bến Lức</v>
      </c>
      <c r="C210" s="35" t="str">
        <f ca="1">IFERROR(__xludf.DUMMYFUNCTION("""COMPUTED_VALUE"""),"Võ Hoàng Anh Tiến")</f>
        <v>Võ Hoàng Anh Tiến</v>
      </c>
      <c r="D210" s="35">
        <f ca="1">IFERROR(__xludf.DUMMYFUNCTION("""COMPUTED_VALUE"""),839859849)</f>
        <v>839859849</v>
      </c>
      <c r="E210" s="35" t="str">
        <f ca="1">IFERROR(__xludf.DUMMYFUNCTION("""COMPUTED_VALUE"""),"tienvha.lan@vnpt.vn")</f>
        <v>tienvha.lan@vnpt.vn</v>
      </c>
      <c r="F210" s="540" t="str">
        <f ca="1">IFERROR(__xludf.DUMMYFUNCTION("""COMPUTED_VALUE"""),"Lần 12")</f>
        <v>Lần 12</v>
      </c>
      <c r="G210" s="278"/>
      <c r="H210" s="35"/>
      <c r="I210" s="35"/>
      <c r="J210" s="541"/>
      <c r="K210" s="541"/>
      <c r="M210" s="539">
        <f ca="1">IFERROR(__xludf.DUMMYFUNCTION("""COMPUTED_VALUE"""),0)</f>
        <v>0</v>
      </c>
      <c r="N210" s="539">
        <f ca="1">IFERROR(__xludf.DUMMYFUNCTION("""COMPUTED_VALUE"""),0)</f>
        <v>0</v>
      </c>
      <c r="O210" s="539">
        <f ca="1">IFERROR(__xludf.DUMMYFUNCTION("""COMPUTED_VALUE"""),0)</f>
        <v>0</v>
      </c>
    </row>
    <row r="211" spans="1:15" ht="12.75">
      <c r="A211" s="539">
        <f ca="1"/>
        <v>205</v>
      </c>
      <c r="B211" s="35" t="str">
        <f ca="1">IFERROR(__xludf.DUMMYFUNCTION("""COMPUTED_VALUE"""),"Tổ Hạ tầng Bến Lức")</f>
        <v>Tổ Hạ tầng Bến Lức</v>
      </c>
      <c r="C211" s="35" t="str">
        <f ca="1">IFERROR(__xludf.DUMMYFUNCTION("""COMPUTED_VALUE"""),"Võ Hoàng Anh Tiến")</f>
        <v>Võ Hoàng Anh Tiến</v>
      </c>
      <c r="D211" s="35">
        <f ca="1">IFERROR(__xludf.DUMMYFUNCTION("""COMPUTED_VALUE"""),839859849)</f>
        <v>839859849</v>
      </c>
      <c r="E211" s="35" t="str">
        <f ca="1">IFERROR(__xludf.DUMMYFUNCTION("""COMPUTED_VALUE"""),"tienvha.lan@vnpt.vn")</f>
        <v>tienvha.lan@vnpt.vn</v>
      </c>
      <c r="F211" s="540" t="str">
        <f ca="1">IFERROR(__xludf.DUMMYFUNCTION("""COMPUTED_VALUE"""),"Lần 13")</f>
        <v>Lần 13</v>
      </c>
      <c r="G211" s="35"/>
      <c r="H211" s="35"/>
      <c r="I211" s="35"/>
      <c r="J211" s="540"/>
      <c r="K211" s="544"/>
      <c r="M211" s="539">
        <f ca="1">IFERROR(__xludf.DUMMYFUNCTION("""COMPUTED_VALUE"""),0)</f>
        <v>0</v>
      </c>
      <c r="N211" s="539">
        <f ca="1">IFERROR(__xludf.DUMMYFUNCTION("""COMPUTED_VALUE"""),0)</f>
        <v>0</v>
      </c>
      <c r="O211" s="539">
        <f ca="1">IFERROR(__xludf.DUMMYFUNCTION("""COMPUTED_VALUE"""),0)</f>
        <v>0</v>
      </c>
    </row>
    <row r="212" spans="1:15" ht="12.75">
      <c r="A212" s="539">
        <f ca="1"/>
        <v>206</v>
      </c>
      <c r="B212" s="35" t="str">
        <f ca="1">IFERROR(__xludf.DUMMYFUNCTION("""COMPUTED_VALUE"""),"Tổ Hạ tầng Bến Lức")</f>
        <v>Tổ Hạ tầng Bến Lức</v>
      </c>
      <c r="C212" s="35" t="str">
        <f ca="1">IFERROR(__xludf.DUMMYFUNCTION("""COMPUTED_VALUE"""),"Võ Hoàng Anh Tiến")</f>
        <v>Võ Hoàng Anh Tiến</v>
      </c>
      <c r="D212" s="35">
        <f ca="1">IFERROR(__xludf.DUMMYFUNCTION("""COMPUTED_VALUE"""),839859849)</f>
        <v>839859849</v>
      </c>
      <c r="E212" s="35" t="str">
        <f ca="1">IFERROR(__xludf.DUMMYFUNCTION("""COMPUTED_VALUE"""),"tienvha.lan@vnpt.vn")</f>
        <v>tienvha.lan@vnpt.vn</v>
      </c>
      <c r="F212" s="540" t="str">
        <f ca="1">IFERROR(__xludf.DUMMYFUNCTION("""COMPUTED_VALUE"""),"Lần 14")</f>
        <v>Lần 14</v>
      </c>
      <c r="G212" s="35"/>
      <c r="H212" s="35"/>
      <c r="I212" s="35"/>
      <c r="J212" s="540"/>
      <c r="K212" s="544"/>
      <c r="M212" s="539">
        <f ca="1">IFERROR(__xludf.DUMMYFUNCTION("""COMPUTED_VALUE"""),0)</f>
        <v>0</v>
      </c>
      <c r="N212" s="539">
        <f ca="1">IFERROR(__xludf.DUMMYFUNCTION("""COMPUTED_VALUE"""),0)</f>
        <v>0</v>
      </c>
      <c r="O212" s="539">
        <f ca="1">IFERROR(__xludf.DUMMYFUNCTION("""COMPUTED_VALUE"""),0)</f>
        <v>0</v>
      </c>
    </row>
    <row r="213" spans="1:15" ht="12.75">
      <c r="A213" s="539">
        <f ca="1"/>
        <v>207</v>
      </c>
      <c r="B213" s="35" t="str">
        <f ca="1">IFERROR(__xludf.DUMMYFUNCTION("""COMPUTED_VALUE"""),"Tổ Hạ tầng Bến Lức")</f>
        <v>Tổ Hạ tầng Bến Lức</v>
      </c>
      <c r="C213" s="35" t="str">
        <f ca="1">IFERROR(__xludf.DUMMYFUNCTION("""COMPUTED_VALUE"""),"Võ Hoàng Anh Tiến")</f>
        <v>Võ Hoàng Anh Tiến</v>
      </c>
      <c r="D213" s="35">
        <f ca="1">IFERROR(__xludf.DUMMYFUNCTION("""COMPUTED_VALUE"""),839859849)</f>
        <v>839859849</v>
      </c>
      <c r="E213" s="35" t="str">
        <f ca="1">IFERROR(__xludf.DUMMYFUNCTION("""COMPUTED_VALUE"""),"tienvha.lan@vnpt.vn")</f>
        <v>tienvha.lan@vnpt.vn</v>
      </c>
      <c r="F213" s="540" t="str">
        <f ca="1">IFERROR(__xludf.DUMMYFUNCTION("""COMPUTED_VALUE"""),"Lần 15")</f>
        <v>Lần 15</v>
      </c>
      <c r="G213" s="35"/>
      <c r="H213" s="35"/>
      <c r="I213" s="35"/>
      <c r="J213" s="540"/>
      <c r="K213" s="544"/>
      <c r="M213" s="539">
        <f ca="1">IFERROR(__xludf.DUMMYFUNCTION("""COMPUTED_VALUE"""),0)</f>
        <v>0</v>
      </c>
      <c r="N213" s="539">
        <f ca="1">IFERROR(__xludf.DUMMYFUNCTION("""COMPUTED_VALUE"""),0)</f>
        <v>0</v>
      </c>
      <c r="O213" s="539">
        <f ca="1">IFERROR(__xludf.DUMMYFUNCTION("""COMPUTED_VALUE"""),0)</f>
        <v>0</v>
      </c>
    </row>
    <row r="214" spans="1:15" ht="12.75">
      <c r="A214" s="539">
        <f ca="1"/>
        <v>208</v>
      </c>
      <c r="B214" s="35" t="str">
        <f ca="1">IFERROR(__xludf.DUMMYFUNCTION("""COMPUTED_VALUE"""),"Tổ Hạ tầng Bến Lức")</f>
        <v>Tổ Hạ tầng Bến Lức</v>
      </c>
      <c r="C214" s="35" t="str">
        <f ca="1">IFERROR(__xludf.DUMMYFUNCTION("""COMPUTED_VALUE"""),"Võ Hoàng Anh Tiến")</f>
        <v>Võ Hoàng Anh Tiến</v>
      </c>
      <c r="D214" s="35">
        <f ca="1">IFERROR(__xludf.DUMMYFUNCTION("""COMPUTED_VALUE"""),839859849)</f>
        <v>839859849</v>
      </c>
      <c r="E214" s="35" t="str">
        <f ca="1">IFERROR(__xludf.DUMMYFUNCTION("""COMPUTED_VALUE"""),"tienvha.lan@vnpt.vn")</f>
        <v>tienvha.lan@vnpt.vn</v>
      </c>
      <c r="F214" s="540" t="str">
        <f ca="1">IFERROR(__xludf.DUMMYFUNCTION("""COMPUTED_VALUE"""),"Lần 16")</f>
        <v>Lần 16</v>
      </c>
      <c r="G214" s="35"/>
      <c r="H214" s="35"/>
      <c r="I214" s="35"/>
      <c r="J214" s="540"/>
      <c r="K214" s="544"/>
      <c r="M214" s="539">
        <f ca="1">IFERROR(__xludf.DUMMYFUNCTION("""COMPUTED_VALUE"""),0)</f>
        <v>0</v>
      </c>
      <c r="N214" s="539">
        <f ca="1">IFERROR(__xludf.DUMMYFUNCTION("""COMPUTED_VALUE"""),0)</f>
        <v>0</v>
      </c>
      <c r="O214" s="539">
        <f ca="1">IFERROR(__xludf.DUMMYFUNCTION("""COMPUTED_VALUE"""),0)</f>
        <v>0</v>
      </c>
    </row>
    <row r="215" spans="1:15" ht="12.75">
      <c r="A215" s="539">
        <f ca="1"/>
        <v>209</v>
      </c>
      <c r="B215" s="35" t="str">
        <f ca="1">IFERROR(__xludf.DUMMYFUNCTION("""COMPUTED_VALUE"""),"Tổ Hạ tầng Bến Lức")</f>
        <v>Tổ Hạ tầng Bến Lức</v>
      </c>
      <c r="C215" s="35" t="str">
        <f ca="1">IFERROR(__xludf.DUMMYFUNCTION("""COMPUTED_VALUE"""),"Nguyễn Văn Đờ Rét Mười Lăm")</f>
        <v>Nguyễn Văn Đờ Rét Mười Lăm</v>
      </c>
      <c r="D215" s="35">
        <f ca="1">IFERROR(__xludf.DUMMYFUNCTION("""COMPUTED_VALUE"""),916127115)</f>
        <v>916127115</v>
      </c>
      <c r="E215" s="35" t="str">
        <f ca="1">IFERROR(__xludf.DUMMYFUNCTION("""COMPUTED_VALUE"""),"15nvdr.lan@vnpt.vn")</f>
        <v>15nvdr.lan@vnpt.vn</v>
      </c>
      <c r="F215" s="540" t="str">
        <f ca="1">IFERROR(__xludf.DUMMYFUNCTION("""COMPUTED_VALUE"""),"Lần 1")</f>
        <v>Lần 1</v>
      </c>
      <c r="G215" s="278">
        <f ca="1">IFERROR(__xludf.DUMMYFUNCTION("""COMPUTED_VALUE"""),46211)</f>
        <v>46211</v>
      </c>
      <c r="H215" s="35">
        <f ca="1">IFERROR(__xludf.DUMMYFUNCTION("""COMPUTED_VALUE"""),100)</f>
        <v>100</v>
      </c>
      <c r="I215" s="35">
        <f ca="1">IFERROR(__xludf.DUMMYFUNCTION("""COMPUTED_VALUE"""),47.2)</f>
        <v>47.2</v>
      </c>
      <c r="J215" s="35">
        <f ca="1">IFERROR(__xludf.DUMMYFUNCTION("""COMPUTED_VALUE"""),127)</f>
        <v>127</v>
      </c>
      <c r="K215" s="35">
        <f ca="1">IFERROR(__xludf.DUMMYFUNCTION("""COMPUTED_VALUE"""),54.6)</f>
        <v>54.6</v>
      </c>
      <c r="M215" s="539">
        <f ca="1">IFERROR(__xludf.DUMMYFUNCTION("""COMPUTED_VALUE"""),1)</f>
        <v>1</v>
      </c>
      <c r="N215" s="539">
        <f ca="1">IFERROR(__xludf.DUMMYFUNCTION("""COMPUTED_VALUE"""),1)</f>
        <v>1</v>
      </c>
      <c r="O215" s="539">
        <f ca="1">IFERROR(__xludf.DUMMYFUNCTION("""COMPUTED_VALUE"""),0)</f>
        <v>0</v>
      </c>
    </row>
    <row r="216" spans="1:15" ht="12.75">
      <c r="A216" s="539">
        <f ca="1"/>
        <v>210</v>
      </c>
      <c r="B216" s="35" t="str">
        <f ca="1">IFERROR(__xludf.DUMMYFUNCTION("""COMPUTED_VALUE"""),"Tổ Hạ tầng Bến Lức")</f>
        <v>Tổ Hạ tầng Bến Lức</v>
      </c>
      <c r="C216" s="35" t="str">
        <f ca="1">IFERROR(__xludf.DUMMYFUNCTION("""COMPUTED_VALUE"""),"Nguyễn Văn Đờ Rét Mười Lăm")</f>
        <v>Nguyễn Văn Đờ Rét Mười Lăm</v>
      </c>
      <c r="D216" s="35">
        <f ca="1">IFERROR(__xludf.DUMMYFUNCTION("""COMPUTED_VALUE"""),916127115)</f>
        <v>916127115</v>
      </c>
      <c r="E216" s="35" t="str">
        <f ca="1">IFERROR(__xludf.DUMMYFUNCTION("""COMPUTED_VALUE"""),"15nvdr.lan@vnpt.vn")</f>
        <v>15nvdr.lan@vnpt.vn</v>
      </c>
      <c r="F216" s="540" t="str">
        <f ca="1">IFERROR(__xludf.DUMMYFUNCTION("""COMPUTED_VALUE"""),"Lần 2")</f>
        <v>Lần 2</v>
      </c>
      <c r="G216" s="278">
        <f ca="1">IFERROR(__xludf.DUMMYFUNCTION("""COMPUTED_VALUE"""),46211)</f>
        <v>46211</v>
      </c>
      <c r="H216" s="35">
        <f ca="1">IFERROR(__xludf.DUMMYFUNCTION("""COMPUTED_VALUE"""),92.3)</f>
        <v>92.3</v>
      </c>
      <c r="I216" s="35">
        <f ca="1">IFERROR(__xludf.DUMMYFUNCTION("""COMPUTED_VALUE"""),41.4)</f>
        <v>41.4</v>
      </c>
      <c r="J216" s="35">
        <f ca="1">IFERROR(__xludf.DUMMYFUNCTION("""COMPUTED_VALUE"""),96.8)</f>
        <v>96.8</v>
      </c>
      <c r="K216" s="35">
        <f ca="1">IFERROR(__xludf.DUMMYFUNCTION("""COMPUTED_VALUE"""),56)</f>
        <v>56</v>
      </c>
      <c r="M216" s="539">
        <f ca="1">IFERROR(__xludf.DUMMYFUNCTION("""COMPUTED_VALUE"""),1)</f>
        <v>1</v>
      </c>
      <c r="N216" s="539">
        <f ca="1">IFERROR(__xludf.DUMMYFUNCTION("""COMPUTED_VALUE"""),1)</f>
        <v>1</v>
      </c>
      <c r="O216" s="539">
        <f ca="1">IFERROR(__xludf.DUMMYFUNCTION("""COMPUTED_VALUE"""),0)</f>
        <v>0</v>
      </c>
    </row>
    <row r="217" spans="1:15" ht="12.75">
      <c r="A217" s="539">
        <f ca="1"/>
        <v>211</v>
      </c>
      <c r="B217" s="35" t="str">
        <f ca="1">IFERROR(__xludf.DUMMYFUNCTION("""COMPUTED_VALUE"""),"Tổ Hạ tầng Bến Lức")</f>
        <v>Tổ Hạ tầng Bến Lức</v>
      </c>
      <c r="C217" s="35" t="str">
        <f ca="1">IFERROR(__xludf.DUMMYFUNCTION("""COMPUTED_VALUE"""),"Nguyễn Văn Đờ Rét Mười Lăm")</f>
        <v>Nguyễn Văn Đờ Rét Mười Lăm</v>
      </c>
      <c r="D217" s="35">
        <f ca="1">IFERROR(__xludf.DUMMYFUNCTION("""COMPUTED_VALUE"""),916127115)</f>
        <v>916127115</v>
      </c>
      <c r="E217" s="35" t="str">
        <f ca="1">IFERROR(__xludf.DUMMYFUNCTION("""COMPUTED_VALUE"""),"15nvdr.lan@vnpt.vn")</f>
        <v>15nvdr.lan@vnpt.vn</v>
      </c>
      <c r="F217" s="540" t="str">
        <f ca="1">IFERROR(__xludf.DUMMYFUNCTION("""COMPUTED_VALUE"""),"Lần 3")</f>
        <v>Lần 3</v>
      </c>
      <c r="G217" s="278">
        <f ca="1">IFERROR(__xludf.DUMMYFUNCTION("""COMPUTED_VALUE"""),46211)</f>
        <v>46211</v>
      </c>
      <c r="H217" s="35">
        <f ca="1">IFERROR(__xludf.DUMMYFUNCTION("""COMPUTED_VALUE"""),116)</f>
        <v>116</v>
      </c>
      <c r="I217" s="35">
        <f ca="1">IFERROR(__xludf.DUMMYFUNCTION("""COMPUTED_VALUE"""),40.1)</f>
        <v>40.1</v>
      </c>
      <c r="J217" s="35">
        <f ca="1">IFERROR(__xludf.DUMMYFUNCTION("""COMPUTED_VALUE"""),118)</f>
        <v>118</v>
      </c>
      <c r="K217" s="35">
        <f ca="1">IFERROR(__xludf.DUMMYFUNCTION("""COMPUTED_VALUE"""),55.1)</f>
        <v>55.1</v>
      </c>
      <c r="M217" s="539">
        <f ca="1">IFERROR(__xludf.DUMMYFUNCTION("""COMPUTED_VALUE"""),1)</f>
        <v>1</v>
      </c>
      <c r="N217" s="539">
        <f ca="1">IFERROR(__xludf.DUMMYFUNCTION("""COMPUTED_VALUE"""),1)</f>
        <v>1</v>
      </c>
      <c r="O217" s="539">
        <f ca="1">IFERROR(__xludf.DUMMYFUNCTION("""COMPUTED_VALUE"""),0)</f>
        <v>0</v>
      </c>
    </row>
    <row r="218" spans="1:15" ht="12.75">
      <c r="A218" s="539">
        <f ca="1"/>
        <v>212</v>
      </c>
      <c r="B218" s="35" t="str">
        <f ca="1">IFERROR(__xludf.DUMMYFUNCTION("""COMPUTED_VALUE"""),"Tổ Hạ tầng Bến Lức")</f>
        <v>Tổ Hạ tầng Bến Lức</v>
      </c>
      <c r="C218" s="35" t="str">
        <f ca="1">IFERROR(__xludf.DUMMYFUNCTION("""COMPUTED_VALUE"""),"Nguyễn Văn Đờ Rét Mười Lăm")</f>
        <v>Nguyễn Văn Đờ Rét Mười Lăm</v>
      </c>
      <c r="D218" s="35">
        <f ca="1">IFERROR(__xludf.DUMMYFUNCTION("""COMPUTED_VALUE"""),916127115)</f>
        <v>916127115</v>
      </c>
      <c r="E218" s="35" t="str">
        <f ca="1">IFERROR(__xludf.DUMMYFUNCTION("""COMPUTED_VALUE"""),"15nvdr.lan@vnpt.vn")</f>
        <v>15nvdr.lan@vnpt.vn</v>
      </c>
      <c r="F218" s="540" t="str">
        <f ca="1">IFERROR(__xludf.DUMMYFUNCTION("""COMPUTED_VALUE"""),"Lần 4")</f>
        <v>Lần 4</v>
      </c>
      <c r="G218" s="278">
        <f ca="1">IFERROR(__xludf.DUMMYFUNCTION("""COMPUTED_VALUE"""),46211)</f>
        <v>46211</v>
      </c>
      <c r="H218" s="35">
        <f ca="1">IFERROR(__xludf.DUMMYFUNCTION("""COMPUTED_VALUE"""),113)</f>
        <v>113</v>
      </c>
      <c r="I218" s="35">
        <f ca="1">IFERROR(__xludf.DUMMYFUNCTION("""COMPUTED_VALUE"""),38.5)</f>
        <v>38.5</v>
      </c>
      <c r="J218" s="35">
        <f ca="1">IFERROR(__xludf.DUMMYFUNCTION("""COMPUTED_VALUE"""),107)</f>
        <v>107</v>
      </c>
      <c r="K218" s="35">
        <f ca="1">IFERROR(__xludf.DUMMYFUNCTION("""COMPUTED_VALUE"""),57.7)</f>
        <v>57.7</v>
      </c>
      <c r="M218" s="539">
        <f ca="1">IFERROR(__xludf.DUMMYFUNCTION("""COMPUTED_VALUE"""),1)</f>
        <v>1</v>
      </c>
      <c r="N218" s="539">
        <f ca="1">IFERROR(__xludf.DUMMYFUNCTION("""COMPUTED_VALUE"""),1)</f>
        <v>1</v>
      </c>
      <c r="O218" s="539">
        <f ca="1">IFERROR(__xludf.DUMMYFUNCTION("""COMPUTED_VALUE"""),0)</f>
        <v>0</v>
      </c>
    </row>
    <row r="219" spans="1:15" ht="12.75">
      <c r="A219" s="539">
        <f ca="1"/>
        <v>213</v>
      </c>
      <c r="B219" s="35" t="str">
        <f ca="1">IFERROR(__xludf.DUMMYFUNCTION("""COMPUTED_VALUE"""),"Tổ Hạ tầng Bến Lức")</f>
        <v>Tổ Hạ tầng Bến Lức</v>
      </c>
      <c r="C219" s="35" t="str">
        <f ca="1">IFERROR(__xludf.DUMMYFUNCTION("""COMPUTED_VALUE"""),"Nguyễn Văn Đờ Rét Mười Lăm")</f>
        <v>Nguyễn Văn Đờ Rét Mười Lăm</v>
      </c>
      <c r="D219" s="35">
        <f ca="1">IFERROR(__xludf.DUMMYFUNCTION("""COMPUTED_VALUE"""),916127115)</f>
        <v>916127115</v>
      </c>
      <c r="E219" s="35" t="str">
        <f ca="1">IFERROR(__xludf.DUMMYFUNCTION("""COMPUTED_VALUE"""),"15nvdr.lan@vnpt.vn")</f>
        <v>15nvdr.lan@vnpt.vn</v>
      </c>
      <c r="F219" s="540" t="str">
        <f ca="1">IFERROR(__xludf.DUMMYFUNCTION("""COMPUTED_VALUE"""),"Lần 5")</f>
        <v>Lần 5</v>
      </c>
      <c r="G219" s="278">
        <f ca="1">IFERROR(__xludf.DUMMYFUNCTION("""COMPUTED_VALUE"""),46211)</f>
        <v>46211</v>
      </c>
      <c r="H219" s="35">
        <f ca="1">IFERROR(__xludf.DUMMYFUNCTION("""COMPUTED_VALUE"""),124)</f>
        <v>124</v>
      </c>
      <c r="I219" s="35">
        <f ca="1">IFERROR(__xludf.DUMMYFUNCTION("""COMPUTED_VALUE"""),42.4)</f>
        <v>42.4</v>
      </c>
      <c r="J219" s="35">
        <f ca="1">IFERROR(__xludf.DUMMYFUNCTION("""COMPUTED_VALUE"""),104)</f>
        <v>104</v>
      </c>
      <c r="K219" s="35">
        <f ca="1">IFERROR(__xludf.DUMMYFUNCTION("""COMPUTED_VALUE"""),54.6)</f>
        <v>54.6</v>
      </c>
      <c r="M219" s="539">
        <f ca="1">IFERROR(__xludf.DUMMYFUNCTION("""COMPUTED_VALUE"""),1)</f>
        <v>1</v>
      </c>
      <c r="N219" s="539">
        <f ca="1">IFERROR(__xludf.DUMMYFUNCTION("""COMPUTED_VALUE"""),1)</f>
        <v>1</v>
      </c>
      <c r="O219" s="539">
        <f ca="1">IFERROR(__xludf.DUMMYFUNCTION("""COMPUTED_VALUE"""),0)</f>
        <v>0</v>
      </c>
    </row>
    <row r="220" spans="1:15" ht="12.75">
      <c r="A220" s="539">
        <f ca="1"/>
        <v>214</v>
      </c>
      <c r="B220" s="35" t="str">
        <f ca="1">IFERROR(__xludf.DUMMYFUNCTION("""COMPUTED_VALUE"""),"Tổ Hạ tầng Bến Lức")</f>
        <v>Tổ Hạ tầng Bến Lức</v>
      </c>
      <c r="C220" s="35" t="str">
        <f ca="1">IFERROR(__xludf.DUMMYFUNCTION("""COMPUTED_VALUE"""),"Nguyễn Văn Đờ Rét Mười Lăm")</f>
        <v>Nguyễn Văn Đờ Rét Mười Lăm</v>
      </c>
      <c r="D220" s="35">
        <f ca="1">IFERROR(__xludf.DUMMYFUNCTION("""COMPUTED_VALUE"""),916127115)</f>
        <v>916127115</v>
      </c>
      <c r="E220" s="35" t="str">
        <f ca="1">IFERROR(__xludf.DUMMYFUNCTION("""COMPUTED_VALUE"""),"15nvdr.lan@vnpt.vn")</f>
        <v>15nvdr.lan@vnpt.vn</v>
      </c>
      <c r="F220" s="540" t="str">
        <f ca="1">IFERROR(__xludf.DUMMYFUNCTION("""COMPUTED_VALUE"""),"Lần 6")</f>
        <v>Lần 6</v>
      </c>
      <c r="G220" s="278">
        <f ca="1">IFERROR(__xludf.DUMMYFUNCTION("""COMPUTED_VALUE"""),46211)</f>
        <v>46211</v>
      </c>
      <c r="H220" s="35">
        <f ca="1">IFERROR(__xludf.DUMMYFUNCTION("""COMPUTED_VALUE"""),113)</f>
        <v>113</v>
      </c>
      <c r="I220" s="35">
        <f ca="1">IFERROR(__xludf.DUMMYFUNCTION("""COMPUTED_VALUE"""),38.5)</f>
        <v>38.5</v>
      </c>
      <c r="J220" s="35">
        <f ca="1">IFERROR(__xludf.DUMMYFUNCTION("""COMPUTED_VALUE"""),133)</f>
        <v>133</v>
      </c>
      <c r="K220" s="35">
        <f ca="1">IFERROR(__xludf.DUMMYFUNCTION("""COMPUTED_VALUE"""),57.3)</f>
        <v>57.3</v>
      </c>
      <c r="M220" s="539">
        <f ca="1">IFERROR(__xludf.DUMMYFUNCTION("""COMPUTED_VALUE"""),1)</f>
        <v>1</v>
      </c>
      <c r="N220" s="539">
        <f ca="1">IFERROR(__xludf.DUMMYFUNCTION("""COMPUTED_VALUE"""),1)</f>
        <v>1</v>
      </c>
      <c r="O220" s="539">
        <f ca="1">IFERROR(__xludf.DUMMYFUNCTION("""COMPUTED_VALUE"""),0)</f>
        <v>0</v>
      </c>
    </row>
    <row r="221" spans="1:15" ht="12.75">
      <c r="A221" s="539">
        <f ca="1"/>
        <v>215</v>
      </c>
      <c r="B221" s="35" t="str">
        <f ca="1">IFERROR(__xludf.DUMMYFUNCTION("""COMPUTED_VALUE"""),"Tổ Hạ tầng Bến Lức")</f>
        <v>Tổ Hạ tầng Bến Lức</v>
      </c>
      <c r="C221" s="35" t="str">
        <f ca="1">IFERROR(__xludf.DUMMYFUNCTION("""COMPUTED_VALUE"""),"Nguyễn Văn Đờ Rét Mười Lăm")</f>
        <v>Nguyễn Văn Đờ Rét Mười Lăm</v>
      </c>
      <c r="D221" s="35">
        <f ca="1">IFERROR(__xludf.DUMMYFUNCTION("""COMPUTED_VALUE"""),916127115)</f>
        <v>916127115</v>
      </c>
      <c r="E221" s="35" t="str">
        <f ca="1">IFERROR(__xludf.DUMMYFUNCTION("""COMPUTED_VALUE"""),"15nvdr.lan@vnpt.vn")</f>
        <v>15nvdr.lan@vnpt.vn</v>
      </c>
      <c r="F221" s="540" t="str">
        <f ca="1">IFERROR(__xludf.DUMMYFUNCTION("""COMPUTED_VALUE"""),"Lần 7")</f>
        <v>Lần 7</v>
      </c>
      <c r="G221" s="278">
        <f ca="1">IFERROR(__xludf.DUMMYFUNCTION("""COMPUTED_VALUE"""),46211)</f>
        <v>46211</v>
      </c>
      <c r="H221" s="35">
        <f ca="1">IFERROR(__xludf.DUMMYFUNCTION("""COMPUTED_VALUE"""),116)</f>
        <v>116</v>
      </c>
      <c r="I221" s="35">
        <f ca="1">IFERROR(__xludf.DUMMYFUNCTION("""COMPUTED_VALUE"""),37.7)</f>
        <v>37.700000000000003</v>
      </c>
      <c r="J221" s="35">
        <f ca="1">IFERROR(__xludf.DUMMYFUNCTION("""COMPUTED_VALUE"""),120)</f>
        <v>120</v>
      </c>
      <c r="K221" s="35">
        <f ca="1">IFERROR(__xludf.DUMMYFUNCTION("""COMPUTED_VALUE"""),55.7)</f>
        <v>55.7</v>
      </c>
      <c r="M221" s="539">
        <f ca="1">IFERROR(__xludf.DUMMYFUNCTION("""COMPUTED_VALUE"""),1)</f>
        <v>1</v>
      </c>
      <c r="N221" s="539">
        <f ca="1">IFERROR(__xludf.DUMMYFUNCTION("""COMPUTED_VALUE"""),1)</f>
        <v>1</v>
      </c>
      <c r="O221" s="539">
        <f ca="1">IFERROR(__xludf.DUMMYFUNCTION("""COMPUTED_VALUE"""),0)</f>
        <v>0</v>
      </c>
    </row>
    <row r="222" spans="1:15" ht="12.75">
      <c r="A222" s="539">
        <f ca="1"/>
        <v>216</v>
      </c>
      <c r="B222" s="35" t="str">
        <f ca="1">IFERROR(__xludf.DUMMYFUNCTION("""COMPUTED_VALUE"""),"Tổ Hạ tầng Bến Lức")</f>
        <v>Tổ Hạ tầng Bến Lức</v>
      </c>
      <c r="C222" s="35" t="str">
        <f ca="1">IFERROR(__xludf.DUMMYFUNCTION("""COMPUTED_VALUE"""),"Nguyễn Văn Đờ Rét Mười Lăm")</f>
        <v>Nguyễn Văn Đờ Rét Mười Lăm</v>
      </c>
      <c r="D222" s="35">
        <f ca="1">IFERROR(__xludf.DUMMYFUNCTION("""COMPUTED_VALUE"""),916127115)</f>
        <v>916127115</v>
      </c>
      <c r="E222" s="35" t="str">
        <f ca="1">IFERROR(__xludf.DUMMYFUNCTION("""COMPUTED_VALUE"""),"15nvdr.lan@vnpt.vn")</f>
        <v>15nvdr.lan@vnpt.vn</v>
      </c>
      <c r="F222" s="540" t="str">
        <f ca="1">IFERROR(__xludf.DUMMYFUNCTION("""COMPUTED_VALUE"""),"Lần 8")</f>
        <v>Lần 8</v>
      </c>
      <c r="G222" s="278">
        <f ca="1">IFERROR(__xludf.DUMMYFUNCTION("""COMPUTED_VALUE"""),46212)</f>
        <v>46212</v>
      </c>
      <c r="H222" s="35">
        <f ca="1">IFERROR(__xludf.DUMMYFUNCTION("""COMPUTED_VALUE"""),223)</f>
        <v>223</v>
      </c>
      <c r="I222" s="35">
        <f ca="1">IFERROR(__xludf.DUMMYFUNCTION("""COMPUTED_VALUE"""),56)</f>
        <v>56</v>
      </c>
      <c r="J222" s="541">
        <f ca="1">IFERROR(__xludf.DUMMYFUNCTION("""COMPUTED_VALUE"""),335)</f>
        <v>335</v>
      </c>
      <c r="K222" s="541">
        <f ca="1">IFERROR(__xludf.DUMMYFUNCTION("""COMPUTED_VALUE"""),89)</f>
        <v>89</v>
      </c>
      <c r="M222" s="539">
        <f ca="1">IFERROR(__xludf.DUMMYFUNCTION("""COMPUTED_VALUE"""),1)</f>
        <v>1</v>
      </c>
      <c r="N222" s="539">
        <f ca="1">IFERROR(__xludf.DUMMYFUNCTION("""COMPUTED_VALUE"""),1)</f>
        <v>1</v>
      </c>
      <c r="O222" s="539">
        <f ca="1">IFERROR(__xludf.DUMMYFUNCTION("""COMPUTED_VALUE"""),1)</f>
        <v>1</v>
      </c>
    </row>
    <row r="223" spans="1:15" ht="12.75">
      <c r="A223" s="539">
        <f ca="1"/>
        <v>217</v>
      </c>
      <c r="B223" s="35" t="str">
        <f ca="1">IFERROR(__xludf.DUMMYFUNCTION("""COMPUTED_VALUE"""),"Tổ Hạ tầng Bến Lức")</f>
        <v>Tổ Hạ tầng Bến Lức</v>
      </c>
      <c r="C223" s="35" t="str">
        <f ca="1">IFERROR(__xludf.DUMMYFUNCTION("""COMPUTED_VALUE"""),"Nguyễn Văn Đờ Rét Mười Lăm")</f>
        <v>Nguyễn Văn Đờ Rét Mười Lăm</v>
      </c>
      <c r="D223" s="35">
        <f ca="1">IFERROR(__xludf.DUMMYFUNCTION("""COMPUTED_VALUE"""),916127115)</f>
        <v>916127115</v>
      </c>
      <c r="E223" s="35" t="str">
        <f ca="1">IFERROR(__xludf.DUMMYFUNCTION("""COMPUTED_VALUE"""),"15nvdr.lan@vnpt.vn")</f>
        <v>15nvdr.lan@vnpt.vn</v>
      </c>
      <c r="F223" s="540" t="str">
        <f ca="1">IFERROR(__xludf.DUMMYFUNCTION("""COMPUTED_VALUE"""),"Lần 9")</f>
        <v>Lần 9</v>
      </c>
      <c r="G223" s="278">
        <f ca="1">IFERROR(__xludf.DUMMYFUNCTION("""COMPUTED_VALUE"""),46212)</f>
        <v>46212</v>
      </c>
      <c r="H223" s="35">
        <f ca="1">IFERROR(__xludf.DUMMYFUNCTION("""COMPUTED_VALUE"""),242)</f>
        <v>242</v>
      </c>
      <c r="I223" s="35">
        <f ca="1">IFERROR(__xludf.DUMMYFUNCTION("""COMPUTED_VALUE"""),56)</f>
        <v>56</v>
      </c>
      <c r="J223" s="541">
        <f ca="1">IFERROR(__xludf.DUMMYFUNCTION("""COMPUTED_VALUE"""),335)</f>
        <v>335</v>
      </c>
      <c r="K223" s="541">
        <f ca="1">IFERROR(__xludf.DUMMYFUNCTION("""COMPUTED_VALUE"""),87)</f>
        <v>87</v>
      </c>
      <c r="M223" s="539">
        <f ca="1">IFERROR(__xludf.DUMMYFUNCTION("""COMPUTED_VALUE"""),1)</f>
        <v>1</v>
      </c>
      <c r="N223" s="539">
        <f ca="1">IFERROR(__xludf.DUMMYFUNCTION("""COMPUTED_VALUE"""),1)</f>
        <v>1</v>
      </c>
      <c r="O223" s="539">
        <f ca="1">IFERROR(__xludf.DUMMYFUNCTION("""COMPUTED_VALUE"""),1)</f>
        <v>1</v>
      </c>
    </row>
    <row r="224" spans="1:15" ht="12.75">
      <c r="A224" s="539">
        <f ca="1"/>
        <v>218</v>
      </c>
      <c r="B224" s="35" t="str">
        <f ca="1">IFERROR(__xludf.DUMMYFUNCTION("""COMPUTED_VALUE"""),"Tổ Hạ tầng Bến Lức")</f>
        <v>Tổ Hạ tầng Bến Lức</v>
      </c>
      <c r="C224" s="35" t="str">
        <f ca="1">IFERROR(__xludf.DUMMYFUNCTION("""COMPUTED_VALUE"""),"Nguyễn Văn Đờ Rét Mười Lăm")</f>
        <v>Nguyễn Văn Đờ Rét Mười Lăm</v>
      </c>
      <c r="D224" s="35">
        <f ca="1">IFERROR(__xludf.DUMMYFUNCTION("""COMPUTED_VALUE"""),916127115)</f>
        <v>916127115</v>
      </c>
      <c r="E224" s="35" t="str">
        <f ca="1">IFERROR(__xludf.DUMMYFUNCTION("""COMPUTED_VALUE"""),"15nvdr.lan@vnpt.vn")</f>
        <v>15nvdr.lan@vnpt.vn</v>
      </c>
      <c r="F224" s="540" t="str">
        <f ca="1">IFERROR(__xludf.DUMMYFUNCTION("""COMPUTED_VALUE"""),"Lần 10")</f>
        <v>Lần 10</v>
      </c>
      <c r="G224" s="278">
        <f ca="1">IFERROR(__xludf.DUMMYFUNCTION("""COMPUTED_VALUE"""),46212)</f>
        <v>46212</v>
      </c>
      <c r="H224" s="35">
        <f ca="1">IFERROR(__xludf.DUMMYFUNCTION("""COMPUTED_VALUE"""),234)</f>
        <v>234</v>
      </c>
      <c r="I224" s="35">
        <f ca="1">IFERROR(__xludf.DUMMYFUNCTION("""COMPUTED_VALUE"""),57)</f>
        <v>57</v>
      </c>
      <c r="J224" s="35">
        <f ca="1">IFERROR(__xludf.DUMMYFUNCTION("""COMPUTED_VALUE"""),354)</f>
        <v>354</v>
      </c>
      <c r="K224" s="35">
        <f ca="1">IFERROR(__xludf.DUMMYFUNCTION("""COMPUTED_VALUE"""),76)</f>
        <v>76</v>
      </c>
      <c r="M224" s="539">
        <f ca="1">IFERROR(__xludf.DUMMYFUNCTION("""COMPUTED_VALUE"""),1)</f>
        <v>1</v>
      </c>
      <c r="N224" s="539">
        <f ca="1">IFERROR(__xludf.DUMMYFUNCTION("""COMPUTED_VALUE"""),1)</f>
        <v>1</v>
      </c>
      <c r="O224" s="539">
        <f ca="1">IFERROR(__xludf.DUMMYFUNCTION("""COMPUTED_VALUE"""),1)</f>
        <v>1</v>
      </c>
    </row>
    <row r="225" spans="1:15" ht="12.75">
      <c r="A225" s="539">
        <f ca="1"/>
        <v>219</v>
      </c>
      <c r="B225" s="35" t="str">
        <f ca="1">IFERROR(__xludf.DUMMYFUNCTION("""COMPUTED_VALUE"""),"Tổ Hạ tầng Bến Lức")</f>
        <v>Tổ Hạ tầng Bến Lức</v>
      </c>
      <c r="C225" s="35" t="str">
        <f ca="1">IFERROR(__xludf.DUMMYFUNCTION("""COMPUTED_VALUE"""),"Nguyễn Văn Đờ Rét Mười Lăm")</f>
        <v>Nguyễn Văn Đờ Rét Mười Lăm</v>
      </c>
      <c r="D225" s="35">
        <f ca="1">IFERROR(__xludf.DUMMYFUNCTION("""COMPUTED_VALUE"""),916127115)</f>
        <v>916127115</v>
      </c>
      <c r="E225" s="35" t="str">
        <f ca="1">IFERROR(__xludf.DUMMYFUNCTION("""COMPUTED_VALUE"""),"15nvdr.lan@vnpt.vn")</f>
        <v>15nvdr.lan@vnpt.vn</v>
      </c>
      <c r="F225" s="540" t="str">
        <f ca="1">IFERROR(__xludf.DUMMYFUNCTION("""COMPUTED_VALUE"""),"Lần 11")</f>
        <v>Lần 11</v>
      </c>
      <c r="G225" s="278">
        <f ca="1">IFERROR(__xludf.DUMMYFUNCTION("""COMPUTED_VALUE"""),46213)</f>
        <v>46213</v>
      </c>
      <c r="H225" s="35">
        <f ca="1">IFERROR(__xludf.DUMMYFUNCTION("""COMPUTED_VALUE"""),260)</f>
        <v>260</v>
      </c>
      <c r="I225" s="35">
        <f ca="1">IFERROR(__xludf.DUMMYFUNCTION("""COMPUTED_VALUE"""),67.9)</f>
        <v>67.900000000000006</v>
      </c>
      <c r="J225" s="541">
        <f ca="1">IFERROR(__xludf.DUMMYFUNCTION("""COMPUTED_VALUE"""),669)</f>
        <v>669</v>
      </c>
      <c r="K225" s="541">
        <f ca="1">IFERROR(__xludf.DUMMYFUNCTION("""COMPUTED_VALUE"""),67.3)</f>
        <v>67.3</v>
      </c>
      <c r="M225" s="539">
        <f ca="1">IFERROR(__xludf.DUMMYFUNCTION("""COMPUTED_VALUE"""),1)</f>
        <v>1</v>
      </c>
      <c r="N225" s="539">
        <f ca="1">IFERROR(__xludf.DUMMYFUNCTION("""COMPUTED_VALUE"""),1)</f>
        <v>1</v>
      </c>
      <c r="O225" s="539">
        <f ca="1">IFERROR(__xludf.DUMMYFUNCTION("""COMPUTED_VALUE"""),1)</f>
        <v>1</v>
      </c>
    </row>
    <row r="226" spans="1:15" ht="12.75">
      <c r="A226" s="539">
        <f ca="1"/>
        <v>220</v>
      </c>
      <c r="B226" s="35" t="str">
        <f ca="1">IFERROR(__xludf.DUMMYFUNCTION("""COMPUTED_VALUE"""),"Tổ Hạ tầng Bến Lức")</f>
        <v>Tổ Hạ tầng Bến Lức</v>
      </c>
      <c r="C226" s="35" t="str">
        <f ca="1">IFERROR(__xludf.DUMMYFUNCTION("""COMPUTED_VALUE"""),"Nguyễn Văn Đờ Rét Mười Lăm")</f>
        <v>Nguyễn Văn Đờ Rét Mười Lăm</v>
      </c>
      <c r="D226" s="35">
        <f ca="1">IFERROR(__xludf.DUMMYFUNCTION("""COMPUTED_VALUE"""),916127115)</f>
        <v>916127115</v>
      </c>
      <c r="E226" s="35" t="str">
        <f ca="1">IFERROR(__xludf.DUMMYFUNCTION("""COMPUTED_VALUE"""),"15nvdr.lan@vnpt.vn")</f>
        <v>15nvdr.lan@vnpt.vn</v>
      </c>
      <c r="F226" s="540" t="str">
        <f ca="1">IFERROR(__xludf.DUMMYFUNCTION("""COMPUTED_VALUE"""),"Lần 12")</f>
        <v>Lần 12</v>
      </c>
      <c r="G226" s="278">
        <f ca="1">IFERROR(__xludf.DUMMYFUNCTION("""COMPUTED_VALUE"""),46213)</f>
        <v>46213</v>
      </c>
      <c r="H226" s="35">
        <f ca="1">IFERROR(__xludf.DUMMYFUNCTION("""COMPUTED_VALUE"""),268)</f>
        <v>268</v>
      </c>
      <c r="I226" s="35">
        <f ca="1">IFERROR(__xludf.DUMMYFUNCTION("""COMPUTED_VALUE"""),64.8)</f>
        <v>64.8</v>
      </c>
      <c r="J226" s="541">
        <f ca="1">IFERROR(__xludf.DUMMYFUNCTION("""COMPUTED_VALUE"""),623)</f>
        <v>623</v>
      </c>
      <c r="K226" s="541">
        <f ca="1">IFERROR(__xludf.DUMMYFUNCTION("""COMPUTED_VALUE"""),64.7)</f>
        <v>64.7</v>
      </c>
      <c r="M226" s="539">
        <f ca="1">IFERROR(__xludf.DUMMYFUNCTION("""COMPUTED_VALUE"""),1)</f>
        <v>1</v>
      </c>
      <c r="N226" s="539">
        <f ca="1">IFERROR(__xludf.DUMMYFUNCTION("""COMPUTED_VALUE"""),1)</f>
        <v>1</v>
      </c>
      <c r="O226" s="539">
        <f ca="1">IFERROR(__xludf.DUMMYFUNCTION("""COMPUTED_VALUE"""),1)</f>
        <v>1</v>
      </c>
    </row>
    <row r="227" spans="1:15" ht="12.75">
      <c r="A227" s="539">
        <f ca="1"/>
        <v>221</v>
      </c>
      <c r="B227" s="35" t="str">
        <f ca="1">IFERROR(__xludf.DUMMYFUNCTION("""COMPUTED_VALUE"""),"Tổ Hạ tầng Bến Lức")</f>
        <v>Tổ Hạ tầng Bến Lức</v>
      </c>
      <c r="C227" s="35" t="str">
        <f ca="1">IFERROR(__xludf.DUMMYFUNCTION("""COMPUTED_VALUE"""),"Nguyễn Văn Đờ Rét Mười Lăm")</f>
        <v>Nguyễn Văn Đờ Rét Mười Lăm</v>
      </c>
      <c r="D227" s="35">
        <f ca="1">IFERROR(__xludf.DUMMYFUNCTION("""COMPUTED_VALUE"""),916127115)</f>
        <v>916127115</v>
      </c>
      <c r="E227" s="35" t="str">
        <f ca="1">IFERROR(__xludf.DUMMYFUNCTION("""COMPUTED_VALUE"""),"15nvdr.lan@vnpt.vn")</f>
        <v>15nvdr.lan@vnpt.vn</v>
      </c>
      <c r="F227" s="540" t="str">
        <f ca="1">IFERROR(__xludf.DUMMYFUNCTION("""COMPUTED_VALUE"""),"Lần 13")</f>
        <v>Lần 13</v>
      </c>
      <c r="G227" s="278">
        <f ca="1">IFERROR(__xludf.DUMMYFUNCTION("""COMPUTED_VALUE"""),46213)</f>
        <v>46213</v>
      </c>
      <c r="H227" s="35">
        <f ca="1">IFERROR(__xludf.DUMMYFUNCTION("""COMPUTED_VALUE"""),329)</f>
        <v>329</v>
      </c>
      <c r="I227" s="35">
        <f ca="1">IFERROR(__xludf.DUMMYFUNCTION("""COMPUTED_VALUE"""),73)</f>
        <v>73</v>
      </c>
      <c r="J227" s="541">
        <f ca="1">IFERROR(__xludf.DUMMYFUNCTION("""COMPUTED_VALUE"""),594)</f>
        <v>594</v>
      </c>
      <c r="K227" s="541">
        <f ca="1">IFERROR(__xludf.DUMMYFUNCTION("""COMPUTED_VALUE"""),64.6)</f>
        <v>64.599999999999994</v>
      </c>
      <c r="M227" s="539">
        <f ca="1">IFERROR(__xludf.DUMMYFUNCTION("""COMPUTED_VALUE"""),1)</f>
        <v>1</v>
      </c>
      <c r="N227" s="539">
        <f ca="1">IFERROR(__xludf.DUMMYFUNCTION("""COMPUTED_VALUE"""),1)</f>
        <v>1</v>
      </c>
      <c r="O227" s="539">
        <f ca="1">IFERROR(__xludf.DUMMYFUNCTION("""COMPUTED_VALUE"""),1)</f>
        <v>1</v>
      </c>
    </row>
    <row r="228" spans="1:15" ht="12.75">
      <c r="A228" s="539">
        <f ca="1"/>
        <v>222</v>
      </c>
      <c r="B228" s="35" t="str">
        <f ca="1">IFERROR(__xludf.DUMMYFUNCTION("""COMPUTED_VALUE"""),"Tổ Hạ tầng Bến Lức")</f>
        <v>Tổ Hạ tầng Bến Lức</v>
      </c>
      <c r="C228" s="35" t="str">
        <f ca="1">IFERROR(__xludf.DUMMYFUNCTION("""COMPUTED_VALUE"""),"Nguyễn Văn Đờ Rét Mười Lăm")</f>
        <v>Nguyễn Văn Đờ Rét Mười Lăm</v>
      </c>
      <c r="D228" s="35">
        <f ca="1">IFERROR(__xludf.DUMMYFUNCTION("""COMPUTED_VALUE"""),916127115)</f>
        <v>916127115</v>
      </c>
      <c r="E228" s="35" t="str">
        <f ca="1">IFERROR(__xludf.DUMMYFUNCTION("""COMPUTED_VALUE"""),"15nvdr.lan@vnpt.vn")</f>
        <v>15nvdr.lan@vnpt.vn</v>
      </c>
      <c r="F228" s="540" t="str">
        <f ca="1">IFERROR(__xludf.DUMMYFUNCTION("""COMPUTED_VALUE"""),"Lần 14")</f>
        <v>Lần 14</v>
      </c>
      <c r="G228" s="278">
        <f ca="1">IFERROR(__xludf.DUMMYFUNCTION("""COMPUTED_VALUE"""),46213)</f>
        <v>46213</v>
      </c>
      <c r="H228" s="35">
        <f ca="1">IFERROR(__xludf.DUMMYFUNCTION("""COMPUTED_VALUE"""),302)</f>
        <v>302</v>
      </c>
      <c r="I228" s="35">
        <f ca="1">IFERROR(__xludf.DUMMYFUNCTION("""COMPUTED_VALUE"""),63.3)</f>
        <v>63.3</v>
      </c>
      <c r="J228" s="541">
        <f ca="1">IFERROR(__xludf.DUMMYFUNCTION("""COMPUTED_VALUE"""),550)</f>
        <v>550</v>
      </c>
      <c r="K228" s="541">
        <f ca="1">IFERROR(__xludf.DUMMYFUNCTION("""COMPUTED_VALUE"""),63.3)</f>
        <v>63.3</v>
      </c>
      <c r="M228" s="539">
        <f ca="1">IFERROR(__xludf.DUMMYFUNCTION("""COMPUTED_VALUE"""),1)</f>
        <v>1</v>
      </c>
      <c r="N228" s="539">
        <f ca="1">IFERROR(__xludf.DUMMYFUNCTION("""COMPUTED_VALUE"""),1)</f>
        <v>1</v>
      </c>
      <c r="O228" s="539">
        <f ca="1">IFERROR(__xludf.DUMMYFUNCTION("""COMPUTED_VALUE"""),1)</f>
        <v>1</v>
      </c>
    </row>
    <row r="229" spans="1:15" ht="12.75">
      <c r="A229" s="539">
        <f ca="1"/>
        <v>223</v>
      </c>
      <c r="B229" s="35" t="str">
        <f ca="1">IFERROR(__xludf.DUMMYFUNCTION("""COMPUTED_VALUE"""),"Tổ Hạ tầng Bến Lức")</f>
        <v>Tổ Hạ tầng Bến Lức</v>
      </c>
      <c r="C229" s="35" t="str">
        <f ca="1">IFERROR(__xludf.DUMMYFUNCTION("""COMPUTED_VALUE"""),"Nguyễn Văn Đờ Rét Mười Lăm")</f>
        <v>Nguyễn Văn Đờ Rét Mười Lăm</v>
      </c>
      <c r="D229" s="35">
        <f ca="1">IFERROR(__xludf.DUMMYFUNCTION("""COMPUTED_VALUE"""),916127115)</f>
        <v>916127115</v>
      </c>
      <c r="E229" s="35" t="str">
        <f ca="1">IFERROR(__xludf.DUMMYFUNCTION("""COMPUTED_VALUE"""),"15nvdr.lan@vnpt.vn")</f>
        <v>15nvdr.lan@vnpt.vn</v>
      </c>
      <c r="F229" s="540" t="str">
        <f ca="1">IFERROR(__xludf.DUMMYFUNCTION("""COMPUTED_VALUE"""),"Lần 15")</f>
        <v>Lần 15</v>
      </c>
      <c r="G229" s="278">
        <f ca="1">IFERROR(__xludf.DUMMYFUNCTION("""COMPUTED_VALUE"""),46213)</f>
        <v>46213</v>
      </c>
      <c r="H229" s="35">
        <f ca="1">IFERROR(__xludf.DUMMYFUNCTION("""COMPUTED_VALUE"""),240)</f>
        <v>240</v>
      </c>
      <c r="I229" s="35">
        <f ca="1">IFERROR(__xludf.DUMMYFUNCTION("""COMPUTED_VALUE"""),56.2)</f>
        <v>56.2</v>
      </c>
      <c r="J229" s="541">
        <f ca="1">IFERROR(__xludf.DUMMYFUNCTION("""COMPUTED_VALUE"""),464)</f>
        <v>464</v>
      </c>
      <c r="K229" s="541">
        <f ca="1">IFERROR(__xludf.DUMMYFUNCTION("""COMPUTED_VALUE"""),60.4)</f>
        <v>60.4</v>
      </c>
      <c r="M229" s="539">
        <f ca="1">IFERROR(__xludf.DUMMYFUNCTION("""COMPUTED_VALUE"""),1)</f>
        <v>1</v>
      </c>
      <c r="N229" s="539">
        <f ca="1">IFERROR(__xludf.DUMMYFUNCTION("""COMPUTED_VALUE"""),1)</f>
        <v>1</v>
      </c>
      <c r="O229" s="539">
        <f ca="1">IFERROR(__xludf.DUMMYFUNCTION("""COMPUTED_VALUE"""),1)</f>
        <v>1</v>
      </c>
    </row>
    <row r="230" spans="1:15" ht="12.75">
      <c r="A230" s="539">
        <f ca="1"/>
        <v>224</v>
      </c>
      <c r="B230" s="35" t="str">
        <f ca="1">IFERROR(__xludf.DUMMYFUNCTION("""COMPUTED_VALUE"""),"Tổ Hạ tầng Bến Lức")</f>
        <v>Tổ Hạ tầng Bến Lức</v>
      </c>
      <c r="C230" s="35" t="str">
        <f ca="1">IFERROR(__xludf.DUMMYFUNCTION("""COMPUTED_VALUE"""),"Nguyễn Văn Đờ Rét Mười Lăm")</f>
        <v>Nguyễn Văn Đờ Rét Mười Lăm</v>
      </c>
      <c r="D230" s="35">
        <f ca="1">IFERROR(__xludf.DUMMYFUNCTION("""COMPUTED_VALUE"""),916127115)</f>
        <v>916127115</v>
      </c>
      <c r="E230" s="35" t="str">
        <f ca="1">IFERROR(__xludf.DUMMYFUNCTION("""COMPUTED_VALUE"""),"15nvdr.lan@vnpt.vn")</f>
        <v>15nvdr.lan@vnpt.vn</v>
      </c>
      <c r="F230" s="540" t="str">
        <f ca="1">IFERROR(__xludf.DUMMYFUNCTION("""COMPUTED_VALUE"""),"Lần 16")</f>
        <v>Lần 16</v>
      </c>
      <c r="G230" s="278"/>
      <c r="H230" s="35"/>
      <c r="I230" s="35"/>
      <c r="J230" s="541"/>
      <c r="K230" s="541"/>
      <c r="M230" s="539">
        <f ca="1">IFERROR(__xludf.DUMMYFUNCTION("""COMPUTED_VALUE"""),0)</f>
        <v>0</v>
      </c>
      <c r="N230" s="539">
        <f ca="1">IFERROR(__xludf.DUMMYFUNCTION("""COMPUTED_VALUE"""),0)</f>
        <v>0</v>
      </c>
      <c r="O230" s="539">
        <f ca="1">IFERROR(__xludf.DUMMYFUNCTION("""COMPUTED_VALUE"""),0)</f>
        <v>0</v>
      </c>
    </row>
    <row r="231" spans="1:15" ht="12.75">
      <c r="A231" s="539">
        <f ca="1"/>
        <v>225</v>
      </c>
      <c r="B231" s="35" t="str">
        <f ca="1">IFERROR(__xludf.DUMMYFUNCTION("""COMPUTED_VALUE"""),"Tổ Hạ tầng Đức Hòa")</f>
        <v>Tổ Hạ tầng Đức Hòa</v>
      </c>
      <c r="C231" s="35" t="str">
        <f ca="1">IFERROR(__xludf.DUMMYFUNCTION("""COMPUTED_VALUE"""),"Nguyễn Minh Tùng")</f>
        <v>Nguyễn Minh Tùng</v>
      </c>
      <c r="D231" s="35">
        <f ca="1">IFERROR(__xludf.DUMMYFUNCTION("""COMPUTED_VALUE"""),919786039)</f>
        <v>919786039</v>
      </c>
      <c r="E231" s="35" t="str">
        <f ca="1">IFERROR(__xludf.DUMMYFUNCTION("""COMPUTED_VALUE"""),"tungnm.lan@vnpt.vn")</f>
        <v>tungnm.lan@vnpt.vn</v>
      </c>
      <c r="F231" s="540" t="str">
        <f ca="1">IFERROR(__xludf.DUMMYFUNCTION("""COMPUTED_VALUE"""),"Lần 1")</f>
        <v>Lần 1</v>
      </c>
      <c r="G231" s="278"/>
      <c r="H231" s="35"/>
      <c r="I231" s="35"/>
      <c r="J231" s="541"/>
      <c r="K231" s="35"/>
      <c r="M231" s="539">
        <f ca="1">IFERROR(__xludf.DUMMYFUNCTION("""COMPUTED_VALUE"""),0)</f>
        <v>0</v>
      </c>
      <c r="N231" s="539">
        <f ca="1">IFERROR(__xludf.DUMMYFUNCTION("""COMPUTED_VALUE"""),0)</f>
        <v>0</v>
      </c>
      <c r="O231" s="539">
        <f ca="1">IFERROR(__xludf.DUMMYFUNCTION("""COMPUTED_VALUE"""),0)</f>
        <v>0</v>
      </c>
    </row>
    <row r="232" spans="1:15" ht="12.75">
      <c r="A232" s="539">
        <f ca="1"/>
        <v>226</v>
      </c>
      <c r="B232" s="35" t="str">
        <f ca="1">IFERROR(__xludf.DUMMYFUNCTION("""COMPUTED_VALUE"""),"Tổ Hạ tầng Đức Hòa")</f>
        <v>Tổ Hạ tầng Đức Hòa</v>
      </c>
      <c r="C232" s="35" t="str">
        <f ca="1">IFERROR(__xludf.DUMMYFUNCTION("""COMPUTED_VALUE"""),"Nguyễn Minh Tùng")</f>
        <v>Nguyễn Minh Tùng</v>
      </c>
      <c r="D232" s="35">
        <f ca="1">IFERROR(__xludf.DUMMYFUNCTION("""COMPUTED_VALUE"""),919786039)</f>
        <v>919786039</v>
      </c>
      <c r="E232" s="35" t="str">
        <f ca="1">IFERROR(__xludf.DUMMYFUNCTION("""COMPUTED_VALUE"""),"tungnm.lan@vnpt.vn")</f>
        <v>tungnm.lan@vnpt.vn</v>
      </c>
      <c r="F232" s="540" t="str">
        <f ca="1">IFERROR(__xludf.DUMMYFUNCTION("""COMPUTED_VALUE"""),"Lần 2")</f>
        <v>Lần 2</v>
      </c>
      <c r="G232" s="278"/>
      <c r="H232" s="35"/>
      <c r="I232" s="35"/>
      <c r="J232" s="541"/>
      <c r="K232" s="35"/>
      <c r="M232" s="539">
        <f ca="1">IFERROR(__xludf.DUMMYFUNCTION("""COMPUTED_VALUE"""),0)</f>
        <v>0</v>
      </c>
      <c r="N232" s="539">
        <f ca="1">IFERROR(__xludf.DUMMYFUNCTION("""COMPUTED_VALUE"""),0)</f>
        <v>0</v>
      </c>
      <c r="O232" s="539">
        <f ca="1">IFERROR(__xludf.DUMMYFUNCTION("""COMPUTED_VALUE"""),0)</f>
        <v>0</v>
      </c>
    </row>
    <row r="233" spans="1:15" ht="12.75">
      <c r="A233" s="539">
        <f ca="1"/>
        <v>227</v>
      </c>
      <c r="B233" s="35" t="str">
        <f ca="1">IFERROR(__xludf.DUMMYFUNCTION("""COMPUTED_VALUE"""),"Tổ Hạ tầng Đức Hòa")</f>
        <v>Tổ Hạ tầng Đức Hòa</v>
      </c>
      <c r="C233" s="35" t="str">
        <f ca="1">IFERROR(__xludf.DUMMYFUNCTION("""COMPUTED_VALUE"""),"Nguyễn Minh Tùng")</f>
        <v>Nguyễn Minh Tùng</v>
      </c>
      <c r="D233" s="35">
        <f ca="1">IFERROR(__xludf.DUMMYFUNCTION("""COMPUTED_VALUE"""),919786039)</f>
        <v>919786039</v>
      </c>
      <c r="E233" s="35" t="str">
        <f ca="1">IFERROR(__xludf.DUMMYFUNCTION("""COMPUTED_VALUE"""),"tungnm.lan@vnpt.vn")</f>
        <v>tungnm.lan@vnpt.vn</v>
      </c>
      <c r="F233" s="540" t="str">
        <f ca="1">IFERROR(__xludf.DUMMYFUNCTION("""COMPUTED_VALUE"""),"Lần 3")</f>
        <v>Lần 3</v>
      </c>
      <c r="G233" s="278"/>
      <c r="H233" s="35"/>
      <c r="I233" s="35"/>
      <c r="J233" s="541"/>
      <c r="K233" s="35"/>
      <c r="M233" s="539">
        <f ca="1">IFERROR(__xludf.DUMMYFUNCTION("""COMPUTED_VALUE"""),0)</f>
        <v>0</v>
      </c>
      <c r="N233" s="539">
        <f ca="1">IFERROR(__xludf.DUMMYFUNCTION("""COMPUTED_VALUE"""),0)</f>
        <v>0</v>
      </c>
      <c r="O233" s="539">
        <f ca="1">IFERROR(__xludf.DUMMYFUNCTION("""COMPUTED_VALUE"""),0)</f>
        <v>0</v>
      </c>
    </row>
    <row r="234" spans="1:15" ht="12.75">
      <c r="A234" s="539">
        <f ca="1"/>
        <v>228</v>
      </c>
      <c r="B234" s="35" t="str">
        <f ca="1">IFERROR(__xludf.DUMMYFUNCTION("""COMPUTED_VALUE"""),"Tổ Hạ tầng Đức Hòa")</f>
        <v>Tổ Hạ tầng Đức Hòa</v>
      </c>
      <c r="C234" s="35" t="str">
        <f ca="1">IFERROR(__xludf.DUMMYFUNCTION("""COMPUTED_VALUE"""),"Nguyễn Minh Tùng")</f>
        <v>Nguyễn Minh Tùng</v>
      </c>
      <c r="D234" s="35">
        <f ca="1">IFERROR(__xludf.DUMMYFUNCTION("""COMPUTED_VALUE"""),919786039)</f>
        <v>919786039</v>
      </c>
      <c r="E234" s="35" t="str">
        <f ca="1">IFERROR(__xludf.DUMMYFUNCTION("""COMPUTED_VALUE"""),"tungnm.lan@vnpt.vn")</f>
        <v>tungnm.lan@vnpt.vn</v>
      </c>
      <c r="F234" s="540" t="str">
        <f ca="1">IFERROR(__xludf.DUMMYFUNCTION("""COMPUTED_VALUE"""),"Lần 4")</f>
        <v>Lần 4</v>
      </c>
      <c r="G234" s="278"/>
      <c r="H234" s="35"/>
      <c r="I234" s="35"/>
      <c r="J234" s="35"/>
      <c r="K234" s="35"/>
      <c r="M234" s="539">
        <f ca="1">IFERROR(__xludf.DUMMYFUNCTION("""COMPUTED_VALUE"""),0)</f>
        <v>0</v>
      </c>
      <c r="N234" s="539">
        <f ca="1">IFERROR(__xludf.DUMMYFUNCTION("""COMPUTED_VALUE"""),0)</f>
        <v>0</v>
      </c>
      <c r="O234" s="539">
        <f ca="1">IFERROR(__xludf.DUMMYFUNCTION("""COMPUTED_VALUE"""),0)</f>
        <v>0</v>
      </c>
    </row>
    <row r="235" spans="1:15" ht="12.75">
      <c r="A235" s="539">
        <f ca="1"/>
        <v>229</v>
      </c>
      <c r="B235" s="35" t="str">
        <f ca="1">IFERROR(__xludf.DUMMYFUNCTION("""COMPUTED_VALUE"""),"Tổ Hạ tầng Đức Hòa")</f>
        <v>Tổ Hạ tầng Đức Hòa</v>
      </c>
      <c r="C235" s="35" t="str">
        <f ca="1">IFERROR(__xludf.DUMMYFUNCTION("""COMPUTED_VALUE"""),"Nguyễn Minh Tùng")</f>
        <v>Nguyễn Minh Tùng</v>
      </c>
      <c r="D235" s="35">
        <f ca="1">IFERROR(__xludf.DUMMYFUNCTION("""COMPUTED_VALUE"""),919786039)</f>
        <v>919786039</v>
      </c>
      <c r="E235" s="35" t="str">
        <f ca="1">IFERROR(__xludf.DUMMYFUNCTION("""COMPUTED_VALUE"""),"tungnm.lan@vnpt.vn")</f>
        <v>tungnm.lan@vnpt.vn</v>
      </c>
      <c r="F235" s="540" t="str">
        <f ca="1">IFERROR(__xludf.DUMMYFUNCTION("""COMPUTED_VALUE"""),"Lần 5")</f>
        <v>Lần 5</v>
      </c>
      <c r="G235" s="278"/>
      <c r="H235" s="35"/>
      <c r="I235" s="35"/>
      <c r="J235" s="541"/>
      <c r="K235" s="541"/>
      <c r="M235" s="539">
        <f ca="1">IFERROR(__xludf.DUMMYFUNCTION("""COMPUTED_VALUE"""),0)</f>
        <v>0</v>
      </c>
      <c r="N235" s="539">
        <f ca="1">IFERROR(__xludf.DUMMYFUNCTION("""COMPUTED_VALUE"""),0)</f>
        <v>0</v>
      </c>
      <c r="O235" s="539">
        <f ca="1">IFERROR(__xludf.DUMMYFUNCTION("""COMPUTED_VALUE"""),0)</f>
        <v>0</v>
      </c>
    </row>
    <row r="236" spans="1:15" ht="12.75">
      <c r="A236" s="539">
        <f ca="1"/>
        <v>230</v>
      </c>
      <c r="B236" s="35" t="str">
        <f ca="1">IFERROR(__xludf.DUMMYFUNCTION("""COMPUTED_VALUE"""),"Tổ Hạ tầng Đức Hòa")</f>
        <v>Tổ Hạ tầng Đức Hòa</v>
      </c>
      <c r="C236" s="35" t="str">
        <f ca="1">IFERROR(__xludf.DUMMYFUNCTION("""COMPUTED_VALUE"""),"Nguyễn Minh Tùng")</f>
        <v>Nguyễn Minh Tùng</v>
      </c>
      <c r="D236" s="35">
        <f ca="1">IFERROR(__xludf.DUMMYFUNCTION("""COMPUTED_VALUE"""),919786039)</f>
        <v>919786039</v>
      </c>
      <c r="E236" s="35" t="str">
        <f ca="1">IFERROR(__xludf.DUMMYFUNCTION("""COMPUTED_VALUE"""),"tungnm.lan@vnpt.vn")</f>
        <v>tungnm.lan@vnpt.vn</v>
      </c>
      <c r="F236" s="540" t="str">
        <f ca="1">IFERROR(__xludf.DUMMYFUNCTION("""COMPUTED_VALUE"""),"Lần 6")</f>
        <v>Lần 6</v>
      </c>
      <c r="G236" s="278"/>
      <c r="H236" s="35"/>
      <c r="I236" s="35"/>
      <c r="J236" s="541"/>
      <c r="K236" s="541"/>
      <c r="M236" s="539">
        <f ca="1">IFERROR(__xludf.DUMMYFUNCTION("""COMPUTED_VALUE"""),0)</f>
        <v>0</v>
      </c>
      <c r="N236" s="539">
        <f ca="1">IFERROR(__xludf.DUMMYFUNCTION("""COMPUTED_VALUE"""),0)</f>
        <v>0</v>
      </c>
      <c r="O236" s="539">
        <f ca="1">IFERROR(__xludf.DUMMYFUNCTION("""COMPUTED_VALUE"""),0)</f>
        <v>0</v>
      </c>
    </row>
    <row r="237" spans="1:15" ht="12.75">
      <c r="A237" s="539">
        <f ca="1"/>
        <v>231</v>
      </c>
      <c r="B237" s="35" t="str">
        <f ca="1">IFERROR(__xludf.DUMMYFUNCTION("""COMPUTED_VALUE"""),"Tổ Hạ tầng Đức Hòa")</f>
        <v>Tổ Hạ tầng Đức Hòa</v>
      </c>
      <c r="C237" s="35" t="str">
        <f ca="1">IFERROR(__xludf.DUMMYFUNCTION("""COMPUTED_VALUE"""),"Nguyễn Minh Tùng")</f>
        <v>Nguyễn Minh Tùng</v>
      </c>
      <c r="D237" s="35">
        <f ca="1">IFERROR(__xludf.DUMMYFUNCTION("""COMPUTED_VALUE"""),919786039)</f>
        <v>919786039</v>
      </c>
      <c r="E237" s="35" t="str">
        <f ca="1">IFERROR(__xludf.DUMMYFUNCTION("""COMPUTED_VALUE"""),"tungnm.lan@vnpt.vn")</f>
        <v>tungnm.lan@vnpt.vn</v>
      </c>
      <c r="F237" s="540" t="str">
        <f ca="1">IFERROR(__xludf.DUMMYFUNCTION("""COMPUTED_VALUE"""),"Lần 7")</f>
        <v>Lần 7</v>
      </c>
      <c r="G237" s="278"/>
      <c r="H237" s="35"/>
      <c r="I237" s="35"/>
      <c r="J237" s="541"/>
      <c r="K237" s="541"/>
      <c r="M237" s="539">
        <f ca="1">IFERROR(__xludf.DUMMYFUNCTION("""COMPUTED_VALUE"""),0)</f>
        <v>0</v>
      </c>
      <c r="N237" s="539">
        <f ca="1">IFERROR(__xludf.DUMMYFUNCTION("""COMPUTED_VALUE"""),0)</f>
        <v>0</v>
      </c>
      <c r="O237" s="539">
        <f ca="1">IFERROR(__xludf.DUMMYFUNCTION("""COMPUTED_VALUE"""),0)</f>
        <v>0</v>
      </c>
    </row>
    <row r="238" spans="1:15" ht="12.75">
      <c r="A238" s="539">
        <f ca="1"/>
        <v>232</v>
      </c>
      <c r="B238" s="35" t="str">
        <f ca="1">IFERROR(__xludf.DUMMYFUNCTION("""COMPUTED_VALUE"""),"Tổ Hạ tầng Đức Hòa")</f>
        <v>Tổ Hạ tầng Đức Hòa</v>
      </c>
      <c r="C238" s="35" t="str">
        <f ca="1">IFERROR(__xludf.DUMMYFUNCTION("""COMPUTED_VALUE"""),"Nguyễn Minh Tùng")</f>
        <v>Nguyễn Minh Tùng</v>
      </c>
      <c r="D238" s="35">
        <f ca="1">IFERROR(__xludf.DUMMYFUNCTION("""COMPUTED_VALUE"""),919786039)</f>
        <v>919786039</v>
      </c>
      <c r="E238" s="35" t="str">
        <f ca="1">IFERROR(__xludf.DUMMYFUNCTION("""COMPUTED_VALUE"""),"tungnm.lan@vnpt.vn")</f>
        <v>tungnm.lan@vnpt.vn</v>
      </c>
      <c r="F238" s="540" t="str">
        <f ca="1">IFERROR(__xludf.DUMMYFUNCTION("""COMPUTED_VALUE"""),"Lần 8")</f>
        <v>Lần 8</v>
      </c>
      <c r="G238" s="278"/>
      <c r="H238" s="35"/>
      <c r="I238" s="35"/>
      <c r="J238" s="541"/>
      <c r="K238" s="541"/>
      <c r="M238" s="539">
        <f ca="1">IFERROR(__xludf.DUMMYFUNCTION("""COMPUTED_VALUE"""),0)</f>
        <v>0</v>
      </c>
      <c r="N238" s="539">
        <f ca="1">IFERROR(__xludf.DUMMYFUNCTION("""COMPUTED_VALUE"""),0)</f>
        <v>0</v>
      </c>
      <c r="O238" s="539">
        <f ca="1">IFERROR(__xludf.DUMMYFUNCTION("""COMPUTED_VALUE"""),0)</f>
        <v>0</v>
      </c>
    </row>
    <row r="239" spans="1:15" ht="12.75">
      <c r="A239" s="539">
        <f ca="1"/>
        <v>233</v>
      </c>
      <c r="B239" s="35" t="str">
        <f ca="1">IFERROR(__xludf.DUMMYFUNCTION("""COMPUTED_VALUE"""),"Tổ Hạ tầng Đức Hòa")</f>
        <v>Tổ Hạ tầng Đức Hòa</v>
      </c>
      <c r="C239" s="35" t="str">
        <f ca="1">IFERROR(__xludf.DUMMYFUNCTION("""COMPUTED_VALUE"""),"Nguyễn Minh Tùng")</f>
        <v>Nguyễn Minh Tùng</v>
      </c>
      <c r="D239" s="35">
        <f ca="1">IFERROR(__xludf.DUMMYFUNCTION("""COMPUTED_VALUE"""),919786039)</f>
        <v>919786039</v>
      </c>
      <c r="E239" s="35" t="str">
        <f ca="1">IFERROR(__xludf.DUMMYFUNCTION("""COMPUTED_VALUE"""),"tungnm.lan@vnpt.vn")</f>
        <v>tungnm.lan@vnpt.vn</v>
      </c>
      <c r="F239" s="540" t="str">
        <f ca="1">IFERROR(__xludf.DUMMYFUNCTION("""COMPUTED_VALUE"""),"Lần 9")</f>
        <v>Lần 9</v>
      </c>
      <c r="G239" s="278"/>
      <c r="H239" s="35"/>
      <c r="I239" s="35"/>
      <c r="J239" s="541"/>
      <c r="K239" s="541"/>
      <c r="M239" s="539">
        <f ca="1">IFERROR(__xludf.DUMMYFUNCTION("""COMPUTED_VALUE"""),0)</f>
        <v>0</v>
      </c>
      <c r="N239" s="539">
        <f ca="1">IFERROR(__xludf.DUMMYFUNCTION("""COMPUTED_VALUE"""),0)</f>
        <v>0</v>
      </c>
      <c r="O239" s="539">
        <f ca="1">IFERROR(__xludf.DUMMYFUNCTION("""COMPUTED_VALUE"""),0)</f>
        <v>0</v>
      </c>
    </row>
    <row r="240" spans="1:15" ht="12.75">
      <c r="A240" s="539">
        <f ca="1"/>
        <v>234</v>
      </c>
      <c r="B240" s="35" t="str">
        <f ca="1">IFERROR(__xludf.DUMMYFUNCTION("""COMPUTED_VALUE"""),"Tổ Hạ tầng Đức Hòa")</f>
        <v>Tổ Hạ tầng Đức Hòa</v>
      </c>
      <c r="C240" s="35" t="str">
        <f ca="1">IFERROR(__xludf.DUMMYFUNCTION("""COMPUTED_VALUE"""),"Nguyễn Minh Tùng")</f>
        <v>Nguyễn Minh Tùng</v>
      </c>
      <c r="D240" s="35">
        <f ca="1">IFERROR(__xludf.DUMMYFUNCTION("""COMPUTED_VALUE"""),919786039)</f>
        <v>919786039</v>
      </c>
      <c r="E240" s="35" t="str">
        <f ca="1">IFERROR(__xludf.DUMMYFUNCTION("""COMPUTED_VALUE"""),"tungnm.lan@vnpt.vn")</f>
        <v>tungnm.lan@vnpt.vn</v>
      </c>
      <c r="F240" s="540" t="str">
        <f ca="1">IFERROR(__xludf.DUMMYFUNCTION("""COMPUTED_VALUE"""),"Lần 10")</f>
        <v>Lần 10</v>
      </c>
      <c r="G240" s="278"/>
      <c r="H240" s="35"/>
      <c r="I240" s="35"/>
      <c r="J240" s="541"/>
      <c r="K240" s="541"/>
      <c r="M240" s="539">
        <f ca="1">IFERROR(__xludf.DUMMYFUNCTION("""COMPUTED_VALUE"""),0)</f>
        <v>0</v>
      </c>
      <c r="N240" s="539">
        <f ca="1">IFERROR(__xludf.DUMMYFUNCTION("""COMPUTED_VALUE"""),0)</f>
        <v>0</v>
      </c>
      <c r="O240" s="539">
        <f ca="1">IFERROR(__xludf.DUMMYFUNCTION("""COMPUTED_VALUE"""),0)</f>
        <v>0</v>
      </c>
    </row>
    <row r="241" spans="1:15" ht="12.75">
      <c r="A241" s="539">
        <f ca="1"/>
        <v>235</v>
      </c>
      <c r="B241" s="35" t="str">
        <f ca="1">IFERROR(__xludf.DUMMYFUNCTION("""COMPUTED_VALUE"""),"Tổ Hạ tầng Đức Hòa")</f>
        <v>Tổ Hạ tầng Đức Hòa</v>
      </c>
      <c r="C241" s="35" t="str">
        <f ca="1">IFERROR(__xludf.DUMMYFUNCTION("""COMPUTED_VALUE"""),"Nguyễn Minh Tùng")</f>
        <v>Nguyễn Minh Tùng</v>
      </c>
      <c r="D241" s="35">
        <f ca="1">IFERROR(__xludf.DUMMYFUNCTION("""COMPUTED_VALUE"""),919786039)</f>
        <v>919786039</v>
      </c>
      <c r="E241" s="35" t="str">
        <f ca="1">IFERROR(__xludf.DUMMYFUNCTION("""COMPUTED_VALUE"""),"tungnm.lan@vnpt.vn")</f>
        <v>tungnm.lan@vnpt.vn</v>
      </c>
      <c r="F241" s="540" t="str">
        <f ca="1">IFERROR(__xludf.DUMMYFUNCTION("""COMPUTED_VALUE"""),"Lần 11")</f>
        <v>Lần 11</v>
      </c>
      <c r="G241" s="278"/>
      <c r="H241" s="35"/>
      <c r="I241" s="35"/>
      <c r="J241" s="541"/>
      <c r="K241" s="541"/>
      <c r="M241" s="539">
        <f ca="1">IFERROR(__xludf.DUMMYFUNCTION("""COMPUTED_VALUE"""),0)</f>
        <v>0</v>
      </c>
      <c r="N241" s="539">
        <f ca="1">IFERROR(__xludf.DUMMYFUNCTION("""COMPUTED_VALUE"""),0)</f>
        <v>0</v>
      </c>
      <c r="O241" s="539">
        <f ca="1">IFERROR(__xludf.DUMMYFUNCTION("""COMPUTED_VALUE"""),0)</f>
        <v>0</v>
      </c>
    </row>
    <row r="242" spans="1:15" ht="12.75">
      <c r="A242" s="539">
        <f ca="1"/>
        <v>236</v>
      </c>
      <c r="B242" s="35" t="str">
        <f ca="1">IFERROR(__xludf.DUMMYFUNCTION("""COMPUTED_VALUE"""),"Tổ Hạ tầng Đức Hòa")</f>
        <v>Tổ Hạ tầng Đức Hòa</v>
      </c>
      <c r="C242" s="35" t="str">
        <f ca="1">IFERROR(__xludf.DUMMYFUNCTION("""COMPUTED_VALUE"""),"Nguyễn Minh Tùng")</f>
        <v>Nguyễn Minh Tùng</v>
      </c>
      <c r="D242" s="35">
        <f ca="1">IFERROR(__xludf.DUMMYFUNCTION("""COMPUTED_VALUE"""),919786039)</f>
        <v>919786039</v>
      </c>
      <c r="E242" s="35" t="str">
        <f ca="1">IFERROR(__xludf.DUMMYFUNCTION("""COMPUTED_VALUE"""),"tungnm.lan@vnpt.vn")</f>
        <v>tungnm.lan@vnpt.vn</v>
      </c>
      <c r="F242" s="540" t="str">
        <f ca="1">IFERROR(__xludf.DUMMYFUNCTION("""COMPUTED_VALUE"""),"Lần 12")</f>
        <v>Lần 12</v>
      </c>
      <c r="G242" s="278"/>
      <c r="H242" s="35"/>
      <c r="I242" s="35"/>
      <c r="J242" s="541"/>
      <c r="K242" s="35"/>
      <c r="M242" s="539">
        <f ca="1">IFERROR(__xludf.DUMMYFUNCTION("""COMPUTED_VALUE"""),0)</f>
        <v>0</v>
      </c>
      <c r="N242" s="539">
        <f ca="1">IFERROR(__xludf.DUMMYFUNCTION("""COMPUTED_VALUE"""),0)</f>
        <v>0</v>
      </c>
      <c r="O242" s="539">
        <f ca="1">IFERROR(__xludf.DUMMYFUNCTION("""COMPUTED_VALUE"""),0)</f>
        <v>0</v>
      </c>
    </row>
    <row r="243" spans="1:15" ht="12.75">
      <c r="A243" s="539">
        <f ca="1"/>
        <v>237</v>
      </c>
      <c r="B243" s="35" t="str">
        <f ca="1">IFERROR(__xludf.DUMMYFUNCTION("""COMPUTED_VALUE"""),"Tổ Hạ tầng Đức Hòa")</f>
        <v>Tổ Hạ tầng Đức Hòa</v>
      </c>
      <c r="C243" s="35" t="str">
        <f ca="1">IFERROR(__xludf.DUMMYFUNCTION("""COMPUTED_VALUE"""),"Nguyễn Minh Tùng")</f>
        <v>Nguyễn Minh Tùng</v>
      </c>
      <c r="D243" s="35">
        <f ca="1">IFERROR(__xludf.DUMMYFUNCTION("""COMPUTED_VALUE"""),919786039)</f>
        <v>919786039</v>
      </c>
      <c r="E243" s="35" t="str">
        <f ca="1">IFERROR(__xludf.DUMMYFUNCTION("""COMPUTED_VALUE"""),"tungnm.lan@vnpt.vn")</f>
        <v>tungnm.lan@vnpt.vn</v>
      </c>
      <c r="F243" s="540" t="str">
        <f ca="1">IFERROR(__xludf.DUMMYFUNCTION("""COMPUTED_VALUE"""),"Lần 13")</f>
        <v>Lần 13</v>
      </c>
      <c r="G243" s="278"/>
      <c r="H243" s="35"/>
      <c r="I243" s="35"/>
      <c r="J243" s="541"/>
      <c r="K243" s="541"/>
      <c r="M243" s="539">
        <f ca="1">IFERROR(__xludf.DUMMYFUNCTION("""COMPUTED_VALUE"""),0)</f>
        <v>0</v>
      </c>
      <c r="N243" s="539">
        <f ca="1">IFERROR(__xludf.DUMMYFUNCTION("""COMPUTED_VALUE"""),0)</f>
        <v>0</v>
      </c>
      <c r="O243" s="539">
        <f ca="1">IFERROR(__xludf.DUMMYFUNCTION("""COMPUTED_VALUE"""),0)</f>
        <v>0</v>
      </c>
    </row>
    <row r="244" spans="1:15" ht="12.75">
      <c r="A244" s="539">
        <f ca="1"/>
        <v>238</v>
      </c>
      <c r="B244" s="35" t="str">
        <f ca="1">IFERROR(__xludf.DUMMYFUNCTION("""COMPUTED_VALUE"""),"Tổ Hạ tầng Đức Hòa")</f>
        <v>Tổ Hạ tầng Đức Hòa</v>
      </c>
      <c r="C244" s="35" t="str">
        <f ca="1">IFERROR(__xludf.DUMMYFUNCTION("""COMPUTED_VALUE"""),"Nguyễn Minh Tùng")</f>
        <v>Nguyễn Minh Tùng</v>
      </c>
      <c r="D244" s="35">
        <f ca="1">IFERROR(__xludf.DUMMYFUNCTION("""COMPUTED_VALUE"""),919786039)</f>
        <v>919786039</v>
      </c>
      <c r="E244" s="35" t="str">
        <f ca="1">IFERROR(__xludf.DUMMYFUNCTION("""COMPUTED_VALUE"""),"tungnm.lan@vnpt.vn")</f>
        <v>tungnm.lan@vnpt.vn</v>
      </c>
      <c r="F244" s="540" t="str">
        <f ca="1">IFERROR(__xludf.DUMMYFUNCTION("""COMPUTED_VALUE"""),"Lần 14")</f>
        <v>Lần 14</v>
      </c>
      <c r="G244" s="278"/>
      <c r="H244" s="35"/>
      <c r="I244" s="35"/>
      <c r="J244" s="541"/>
      <c r="K244" s="541"/>
      <c r="M244" s="539">
        <f ca="1">IFERROR(__xludf.DUMMYFUNCTION("""COMPUTED_VALUE"""),0)</f>
        <v>0</v>
      </c>
      <c r="N244" s="539">
        <f ca="1">IFERROR(__xludf.DUMMYFUNCTION("""COMPUTED_VALUE"""),0)</f>
        <v>0</v>
      </c>
      <c r="O244" s="539">
        <f ca="1">IFERROR(__xludf.DUMMYFUNCTION("""COMPUTED_VALUE"""),0)</f>
        <v>0</v>
      </c>
    </row>
    <row r="245" spans="1:15" ht="12.75">
      <c r="A245" s="539">
        <f ca="1"/>
        <v>239</v>
      </c>
      <c r="B245" s="35" t="str">
        <f ca="1">IFERROR(__xludf.DUMMYFUNCTION("""COMPUTED_VALUE"""),"Tổ Hạ tầng Đức Hòa")</f>
        <v>Tổ Hạ tầng Đức Hòa</v>
      </c>
      <c r="C245" s="35" t="str">
        <f ca="1">IFERROR(__xludf.DUMMYFUNCTION("""COMPUTED_VALUE"""),"Nguyễn Minh Tùng")</f>
        <v>Nguyễn Minh Tùng</v>
      </c>
      <c r="D245" s="35">
        <f ca="1">IFERROR(__xludf.DUMMYFUNCTION("""COMPUTED_VALUE"""),919786039)</f>
        <v>919786039</v>
      </c>
      <c r="E245" s="35" t="str">
        <f ca="1">IFERROR(__xludf.DUMMYFUNCTION("""COMPUTED_VALUE"""),"tungnm.lan@vnpt.vn")</f>
        <v>tungnm.lan@vnpt.vn</v>
      </c>
      <c r="F245" s="540" t="str">
        <f ca="1">IFERROR(__xludf.DUMMYFUNCTION("""COMPUTED_VALUE"""),"Lần 15")</f>
        <v>Lần 15</v>
      </c>
      <c r="G245" s="278"/>
      <c r="H245" s="35"/>
      <c r="I245" s="35"/>
      <c r="J245" s="541"/>
      <c r="K245" s="541"/>
      <c r="M245" s="539">
        <f ca="1">IFERROR(__xludf.DUMMYFUNCTION("""COMPUTED_VALUE"""),0)</f>
        <v>0</v>
      </c>
      <c r="N245" s="539">
        <f ca="1">IFERROR(__xludf.DUMMYFUNCTION("""COMPUTED_VALUE"""),0)</f>
        <v>0</v>
      </c>
      <c r="O245" s="539">
        <f ca="1">IFERROR(__xludf.DUMMYFUNCTION("""COMPUTED_VALUE"""),0)</f>
        <v>0</v>
      </c>
    </row>
    <row r="246" spans="1:15" ht="12.75">
      <c r="A246" s="539">
        <f ca="1"/>
        <v>240</v>
      </c>
      <c r="B246" s="35" t="str">
        <f ca="1">IFERROR(__xludf.DUMMYFUNCTION("""COMPUTED_VALUE"""),"Tổ Hạ tầng Đức Hòa")</f>
        <v>Tổ Hạ tầng Đức Hòa</v>
      </c>
      <c r="C246" s="35" t="str">
        <f ca="1">IFERROR(__xludf.DUMMYFUNCTION("""COMPUTED_VALUE"""),"Nguyễn Minh Tùng")</f>
        <v>Nguyễn Minh Tùng</v>
      </c>
      <c r="D246" s="35">
        <f ca="1">IFERROR(__xludf.DUMMYFUNCTION("""COMPUTED_VALUE"""),919786039)</f>
        <v>919786039</v>
      </c>
      <c r="E246" s="35" t="str">
        <f ca="1">IFERROR(__xludf.DUMMYFUNCTION("""COMPUTED_VALUE"""),"tungnm.lan@vnpt.vn")</f>
        <v>tungnm.lan@vnpt.vn</v>
      </c>
      <c r="F246" s="540" t="str">
        <f ca="1">IFERROR(__xludf.DUMMYFUNCTION("""COMPUTED_VALUE"""),"Lần 16")</f>
        <v>Lần 16</v>
      </c>
      <c r="G246" s="278"/>
      <c r="H246" s="35"/>
      <c r="I246" s="35"/>
      <c r="J246" s="541"/>
      <c r="K246" s="541"/>
      <c r="M246" s="539">
        <f ca="1">IFERROR(__xludf.DUMMYFUNCTION("""COMPUTED_VALUE"""),0)</f>
        <v>0</v>
      </c>
      <c r="N246" s="539">
        <f ca="1">IFERROR(__xludf.DUMMYFUNCTION("""COMPUTED_VALUE"""),0)</f>
        <v>0</v>
      </c>
      <c r="O246" s="539">
        <f ca="1">IFERROR(__xludf.DUMMYFUNCTION("""COMPUTED_VALUE"""),0)</f>
        <v>0</v>
      </c>
    </row>
    <row r="247" spans="1:15" ht="12.75">
      <c r="A247" s="539">
        <f ca="1"/>
        <v>241</v>
      </c>
      <c r="B247" s="35" t="str">
        <f ca="1">IFERROR(__xludf.DUMMYFUNCTION("""COMPUTED_VALUE"""),"Tổ Hạ tầng Đức Hòa")</f>
        <v>Tổ Hạ tầng Đức Hòa</v>
      </c>
      <c r="C247" s="35" t="str">
        <f ca="1">IFERROR(__xludf.DUMMYFUNCTION("""COMPUTED_VALUE"""),"Nguyễn Công Giang")</f>
        <v>Nguyễn Công Giang</v>
      </c>
      <c r="D247" s="35">
        <f ca="1">IFERROR(__xludf.DUMMYFUNCTION("""COMPUTED_VALUE"""),941254259)</f>
        <v>941254259</v>
      </c>
      <c r="E247" s="35" t="str">
        <f ca="1">IFERROR(__xludf.DUMMYFUNCTION("""COMPUTED_VALUE"""),"giangnc.lan@vnpt.vn")</f>
        <v>giangnc.lan@vnpt.vn</v>
      </c>
      <c r="F247" s="540" t="str">
        <f ca="1">IFERROR(__xludf.DUMMYFUNCTION("""COMPUTED_VALUE"""),"Lần 1")</f>
        <v>Lần 1</v>
      </c>
      <c r="G247" s="278"/>
      <c r="H247" s="35"/>
      <c r="I247" s="35"/>
      <c r="J247" s="541"/>
      <c r="K247" s="541"/>
      <c r="M247" s="539">
        <f ca="1">IFERROR(__xludf.DUMMYFUNCTION("""COMPUTED_VALUE"""),0)</f>
        <v>0</v>
      </c>
      <c r="N247" s="539">
        <f ca="1">IFERROR(__xludf.DUMMYFUNCTION("""COMPUTED_VALUE"""),0)</f>
        <v>0</v>
      </c>
      <c r="O247" s="539">
        <f ca="1">IFERROR(__xludf.DUMMYFUNCTION("""COMPUTED_VALUE"""),0)</f>
        <v>0</v>
      </c>
    </row>
    <row r="248" spans="1:15" ht="12.75">
      <c r="A248" s="539">
        <f ca="1"/>
        <v>242</v>
      </c>
      <c r="B248" s="35" t="str">
        <f ca="1">IFERROR(__xludf.DUMMYFUNCTION("""COMPUTED_VALUE"""),"Tổ Hạ tầng Đức Hòa")</f>
        <v>Tổ Hạ tầng Đức Hòa</v>
      </c>
      <c r="C248" s="35" t="str">
        <f ca="1">IFERROR(__xludf.DUMMYFUNCTION("""COMPUTED_VALUE"""),"Nguyễn Công Giang")</f>
        <v>Nguyễn Công Giang</v>
      </c>
      <c r="D248" s="35">
        <f ca="1">IFERROR(__xludf.DUMMYFUNCTION("""COMPUTED_VALUE"""),941254259)</f>
        <v>941254259</v>
      </c>
      <c r="E248" s="35" t="str">
        <f ca="1">IFERROR(__xludf.DUMMYFUNCTION("""COMPUTED_VALUE"""),"giangnc.lan@vnpt.vn")</f>
        <v>giangnc.lan@vnpt.vn</v>
      </c>
      <c r="F248" s="540" t="str">
        <f ca="1">IFERROR(__xludf.DUMMYFUNCTION("""COMPUTED_VALUE"""),"Lần 2")</f>
        <v>Lần 2</v>
      </c>
      <c r="G248" s="278"/>
      <c r="H248" s="35"/>
      <c r="I248" s="35"/>
      <c r="J248" s="541"/>
      <c r="K248" s="541"/>
      <c r="M248" s="539">
        <f ca="1">IFERROR(__xludf.DUMMYFUNCTION("""COMPUTED_VALUE"""),0)</f>
        <v>0</v>
      </c>
      <c r="N248" s="539">
        <f ca="1">IFERROR(__xludf.DUMMYFUNCTION("""COMPUTED_VALUE"""),0)</f>
        <v>0</v>
      </c>
      <c r="O248" s="539">
        <f ca="1">IFERROR(__xludf.DUMMYFUNCTION("""COMPUTED_VALUE"""),0)</f>
        <v>0</v>
      </c>
    </row>
    <row r="249" spans="1:15" ht="12.75">
      <c r="A249" s="539">
        <f ca="1"/>
        <v>243</v>
      </c>
      <c r="B249" s="35" t="str">
        <f ca="1">IFERROR(__xludf.DUMMYFUNCTION("""COMPUTED_VALUE"""),"Tổ Hạ tầng Đức Hòa")</f>
        <v>Tổ Hạ tầng Đức Hòa</v>
      </c>
      <c r="C249" s="35" t="str">
        <f ca="1">IFERROR(__xludf.DUMMYFUNCTION("""COMPUTED_VALUE"""),"Nguyễn Công Giang")</f>
        <v>Nguyễn Công Giang</v>
      </c>
      <c r="D249" s="35">
        <f ca="1">IFERROR(__xludf.DUMMYFUNCTION("""COMPUTED_VALUE"""),941254259)</f>
        <v>941254259</v>
      </c>
      <c r="E249" s="35" t="str">
        <f ca="1">IFERROR(__xludf.DUMMYFUNCTION("""COMPUTED_VALUE"""),"giangnc.lan@vnpt.vn")</f>
        <v>giangnc.lan@vnpt.vn</v>
      </c>
      <c r="F249" s="540" t="str">
        <f ca="1">IFERROR(__xludf.DUMMYFUNCTION("""COMPUTED_VALUE"""),"Lần 3")</f>
        <v>Lần 3</v>
      </c>
      <c r="G249" s="278"/>
      <c r="H249" s="35"/>
      <c r="I249" s="35"/>
      <c r="J249" s="541"/>
      <c r="K249" s="541"/>
      <c r="M249" s="539">
        <f ca="1">IFERROR(__xludf.DUMMYFUNCTION("""COMPUTED_VALUE"""),0)</f>
        <v>0</v>
      </c>
      <c r="N249" s="539">
        <f ca="1">IFERROR(__xludf.DUMMYFUNCTION("""COMPUTED_VALUE"""),0)</f>
        <v>0</v>
      </c>
      <c r="O249" s="539">
        <f ca="1">IFERROR(__xludf.DUMMYFUNCTION("""COMPUTED_VALUE"""),0)</f>
        <v>0</v>
      </c>
    </row>
    <row r="250" spans="1:15" ht="12.75">
      <c r="A250" s="539">
        <f ca="1"/>
        <v>244</v>
      </c>
      <c r="B250" s="35" t="str">
        <f ca="1">IFERROR(__xludf.DUMMYFUNCTION("""COMPUTED_VALUE"""),"Tổ Hạ tầng Đức Hòa")</f>
        <v>Tổ Hạ tầng Đức Hòa</v>
      </c>
      <c r="C250" s="35" t="str">
        <f ca="1">IFERROR(__xludf.DUMMYFUNCTION("""COMPUTED_VALUE"""),"Nguyễn Công Giang")</f>
        <v>Nguyễn Công Giang</v>
      </c>
      <c r="D250" s="35">
        <f ca="1">IFERROR(__xludf.DUMMYFUNCTION("""COMPUTED_VALUE"""),941254259)</f>
        <v>941254259</v>
      </c>
      <c r="E250" s="35" t="str">
        <f ca="1">IFERROR(__xludf.DUMMYFUNCTION("""COMPUTED_VALUE"""),"giangnc.lan@vnpt.vn")</f>
        <v>giangnc.lan@vnpt.vn</v>
      </c>
      <c r="F250" s="540" t="str">
        <f ca="1">IFERROR(__xludf.DUMMYFUNCTION("""COMPUTED_VALUE"""),"Lần 4")</f>
        <v>Lần 4</v>
      </c>
      <c r="G250" s="278"/>
      <c r="H250" s="35"/>
      <c r="I250" s="35"/>
      <c r="J250" s="541"/>
      <c r="K250" s="541"/>
      <c r="M250" s="539">
        <f ca="1">IFERROR(__xludf.DUMMYFUNCTION("""COMPUTED_VALUE"""),0)</f>
        <v>0</v>
      </c>
      <c r="N250" s="539">
        <f ca="1">IFERROR(__xludf.DUMMYFUNCTION("""COMPUTED_VALUE"""),0)</f>
        <v>0</v>
      </c>
      <c r="O250" s="539">
        <f ca="1">IFERROR(__xludf.DUMMYFUNCTION("""COMPUTED_VALUE"""),0)</f>
        <v>0</v>
      </c>
    </row>
    <row r="251" spans="1:15" ht="12.75">
      <c r="A251" s="539">
        <f ca="1"/>
        <v>245</v>
      </c>
      <c r="B251" s="35" t="str">
        <f ca="1">IFERROR(__xludf.DUMMYFUNCTION("""COMPUTED_VALUE"""),"Tổ Hạ tầng Đức Hòa")</f>
        <v>Tổ Hạ tầng Đức Hòa</v>
      </c>
      <c r="C251" s="35" t="str">
        <f ca="1">IFERROR(__xludf.DUMMYFUNCTION("""COMPUTED_VALUE"""),"Nguyễn Công Giang")</f>
        <v>Nguyễn Công Giang</v>
      </c>
      <c r="D251" s="35">
        <f ca="1">IFERROR(__xludf.DUMMYFUNCTION("""COMPUTED_VALUE"""),941254259)</f>
        <v>941254259</v>
      </c>
      <c r="E251" s="35" t="str">
        <f ca="1">IFERROR(__xludf.DUMMYFUNCTION("""COMPUTED_VALUE"""),"giangnc.lan@vnpt.vn")</f>
        <v>giangnc.lan@vnpt.vn</v>
      </c>
      <c r="F251" s="540" t="str">
        <f ca="1">IFERROR(__xludf.DUMMYFUNCTION("""COMPUTED_VALUE"""),"Lần 5")</f>
        <v>Lần 5</v>
      </c>
      <c r="G251" s="278"/>
      <c r="H251" s="35"/>
      <c r="I251" s="35"/>
      <c r="J251" s="541"/>
      <c r="K251" s="541"/>
      <c r="M251" s="539">
        <f ca="1">IFERROR(__xludf.DUMMYFUNCTION("""COMPUTED_VALUE"""),0)</f>
        <v>0</v>
      </c>
      <c r="N251" s="539">
        <f ca="1">IFERROR(__xludf.DUMMYFUNCTION("""COMPUTED_VALUE"""),0)</f>
        <v>0</v>
      </c>
      <c r="O251" s="539">
        <f ca="1">IFERROR(__xludf.DUMMYFUNCTION("""COMPUTED_VALUE"""),0)</f>
        <v>0</v>
      </c>
    </row>
    <row r="252" spans="1:15" ht="12.75">
      <c r="A252" s="539">
        <f ca="1"/>
        <v>246</v>
      </c>
      <c r="B252" s="35" t="str">
        <f ca="1">IFERROR(__xludf.DUMMYFUNCTION("""COMPUTED_VALUE"""),"Tổ Hạ tầng Đức Hòa")</f>
        <v>Tổ Hạ tầng Đức Hòa</v>
      </c>
      <c r="C252" s="35" t="str">
        <f ca="1">IFERROR(__xludf.DUMMYFUNCTION("""COMPUTED_VALUE"""),"Nguyễn Công Giang")</f>
        <v>Nguyễn Công Giang</v>
      </c>
      <c r="D252" s="35">
        <f ca="1">IFERROR(__xludf.DUMMYFUNCTION("""COMPUTED_VALUE"""),941254259)</f>
        <v>941254259</v>
      </c>
      <c r="E252" s="35" t="str">
        <f ca="1">IFERROR(__xludf.DUMMYFUNCTION("""COMPUTED_VALUE"""),"giangnc.lan@vnpt.vn")</f>
        <v>giangnc.lan@vnpt.vn</v>
      </c>
      <c r="F252" s="540" t="str">
        <f ca="1">IFERROR(__xludf.DUMMYFUNCTION("""COMPUTED_VALUE"""),"Lần 6")</f>
        <v>Lần 6</v>
      </c>
      <c r="G252" s="278"/>
      <c r="H252" s="35"/>
      <c r="I252" s="35"/>
      <c r="J252" s="541"/>
      <c r="K252" s="541"/>
      <c r="M252" s="539">
        <f ca="1">IFERROR(__xludf.DUMMYFUNCTION("""COMPUTED_VALUE"""),0)</f>
        <v>0</v>
      </c>
      <c r="N252" s="539">
        <f ca="1">IFERROR(__xludf.DUMMYFUNCTION("""COMPUTED_VALUE"""),0)</f>
        <v>0</v>
      </c>
      <c r="O252" s="539">
        <f ca="1">IFERROR(__xludf.DUMMYFUNCTION("""COMPUTED_VALUE"""),0)</f>
        <v>0</v>
      </c>
    </row>
    <row r="253" spans="1:15" ht="12.75">
      <c r="A253" s="539">
        <f ca="1"/>
        <v>247</v>
      </c>
      <c r="B253" s="35" t="str">
        <f ca="1">IFERROR(__xludf.DUMMYFUNCTION("""COMPUTED_VALUE"""),"Tổ Hạ tầng Đức Hòa")</f>
        <v>Tổ Hạ tầng Đức Hòa</v>
      </c>
      <c r="C253" s="35" t="str">
        <f ca="1">IFERROR(__xludf.DUMMYFUNCTION("""COMPUTED_VALUE"""),"Nguyễn Công Giang")</f>
        <v>Nguyễn Công Giang</v>
      </c>
      <c r="D253" s="35">
        <f ca="1">IFERROR(__xludf.DUMMYFUNCTION("""COMPUTED_VALUE"""),941254259)</f>
        <v>941254259</v>
      </c>
      <c r="E253" s="35" t="str">
        <f ca="1">IFERROR(__xludf.DUMMYFUNCTION("""COMPUTED_VALUE"""),"giangnc.lan@vnpt.vn")</f>
        <v>giangnc.lan@vnpt.vn</v>
      </c>
      <c r="F253" s="540" t="str">
        <f ca="1">IFERROR(__xludf.DUMMYFUNCTION("""COMPUTED_VALUE"""),"Lần 7")</f>
        <v>Lần 7</v>
      </c>
      <c r="G253" s="278"/>
      <c r="H253" s="35"/>
      <c r="I253" s="35"/>
      <c r="J253" s="541"/>
      <c r="K253" s="541"/>
      <c r="M253" s="539">
        <f ca="1">IFERROR(__xludf.DUMMYFUNCTION("""COMPUTED_VALUE"""),0)</f>
        <v>0</v>
      </c>
      <c r="N253" s="539">
        <f ca="1">IFERROR(__xludf.DUMMYFUNCTION("""COMPUTED_VALUE"""),0)</f>
        <v>0</v>
      </c>
      <c r="O253" s="539">
        <f ca="1">IFERROR(__xludf.DUMMYFUNCTION("""COMPUTED_VALUE"""),0)</f>
        <v>0</v>
      </c>
    </row>
    <row r="254" spans="1:15" ht="12.75">
      <c r="A254" s="539">
        <f ca="1"/>
        <v>248</v>
      </c>
      <c r="B254" s="35" t="str">
        <f ca="1">IFERROR(__xludf.DUMMYFUNCTION("""COMPUTED_VALUE"""),"Tổ Hạ tầng Đức Hòa")</f>
        <v>Tổ Hạ tầng Đức Hòa</v>
      </c>
      <c r="C254" s="35" t="str">
        <f ca="1">IFERROR(__xludf.DUMMYFUNCTION("""COMPUTED_VALUE"""),"Nguyễn Công Giang")</f>
        <v>Nguyễn Công Giang</v>
      </c>
      <c r="D254" s="35">
        <f ca="1">IFERROR(__xludf.DUMMYFUNCTION("""COMPUTED_VALUE"""),941254259)</f>
        <v>941254259</v>
      </c>
      <c r="E254" s="35" t="str">
        <f ca="1">IFERROR(__xludf.DUMMYFUNCTION("""COMPUTED_VALUE"""),"giangnc.lan@vnpt.vn")</f>
        <v>giangnc.lan@vnpt.vn</v>
      </c>
      <c r="F254" s="540" t="str">
        <f ca="1">IFERROR(__xludf.DUMMYFUNCTION("""COMPUTED_VALUE"""),"Lần 8")</f>
        <v>Lần 8</v>
      </c>
      <c r="G254" s="278"/>
      <c r="H254" s="35"/>
      <c r="I254" s="35"/>
      <c r="J254" s="541"/>
      <c r="K254" s="541"/>
      <c r="M254" s="539">
        <f ca="1">IFERROR(__xludf.DUMMYFUNCTION("""COMPUTED_VALUE"""),0)</f>
        <v>0</v>
      </c>
      <c r="N254" s="539">
        <f ca="1">IFERROR(__xludf.DUMMYFUNCTION("""COMPUTED_VALUE"""),0)</f>
        <v>0</v>
      </c>
      <c r="O254" s="539">
        <f ca="1">IFERROR(__xludf.DUMMYFUNCTION("""COMPUTED_VALUE"""),0)</f>
        <v>0</v>
      </c>
    </row>
    <row r="255" spans="1:15" ht="12.75">
      <c r="A255" s="539">
        <f ca="1"/>
        <v>249</v>
      </c>
      <c r="B255" s="35" t="str">
        <f ca="1">IFERROR(__xludf.DUMMYFUNCTION("""COMPUTED_VALUE"""),"Tổ Hạ tầng Đức Hòa")</f>
        <v>Tổ Hạ tầng Đức Hòa</v>
      </c>
      <c r="C255" s="35" t="str">
        <f ca="1">IFERROR(__xludf.DUMMYFUNCTION("""COMPUTED_VALUE"""),"Nguyễn Công Giang")</f>
        <v>Nguyễn Công Giang</v>
      </c>
      <c r="D255" s="35">
        <f ca="1">IFERROR(__xludf.DUMMYFUNCTION("""COMPUTED_VALUE"""),941254259)</f>
        <v>941254259</v>
      </c>
      <c r="E255" s="35" t="str">
        <f ca="1">IFERROR(__xludf.DUMMYFUNCTION("""COMPUTED_VALUE"""),"giangnc.lan@vnpt.vn")</f>
        <v>giangnc.lan@vnpt.vn</v>
      </c>
      <c r="F255" s="540" t="str">
        <f ca="1">IFERROR(__xludf.DUMMYFUNCTION("""COMPUTED_VALUE"""),"Lần 9")</f>
        <v>Lần 9</v>
      </c>
      <c r="G255" s="278"/>
      <c r="H255" s="35"/>
      <c r="I255" s="35"/>
      <c r="J255" s="541"/>
      <c r="K255" s="35"/>
      <c r="M255" s="539">
        <f ca="1">IFERROR(__xludf.DUMMYFUNCTION("""COMPUTED_VALUE"""),0)</f>
        <v>0</v>
      </c>
      <c r="N255" s="539">
        <f ca="1">IFERROR(__xludf.DUMMYFUNCTION("""COMPUTED_VALUE"""),0)</f>
        <v>0</v>
      </c>
      <c r="O255" s="539">
        <f ca="1">IFERROR(__xludf.DUMMYFUNCTION("""COMPUTED_VALUE"""),0)</f>
        <v>0</v>
      </c>
    </row>
    <row r="256" spans="1:15" ht="12.75">
      <c r="A256" s="539">
        <f ca="1"/>
        <v>250</v>
      </c>
      <c r="B256" s="35" t="str">
        <f ca="1">IFERROR(__xludf.DUMMYFUNCTION("""COMPUTED_VALUE"""),"Tổ Hạ tầng Đức Hòa")</f>
        <v>Tổ Hạ tầng Đức Hòa</v>
      </c>
      <c r="C256" s="35" t="str">
        <f ca="1">IFERROR(__xludf.DUMMYFUNCTION("""COMPUTED_VALUE"""),"Nguyễn Công Giang")</f>
        <v>Nguyễn Công Giang</v>
      </c>
      <c r="D256" s="35">
        <f ca="1">IFERROR(__xludf.DUMMYFUNCTION("""COMPUTED_VALUE"""),941254259)</f>
        <v>941254259</v>
      </c>
      <c r="E256" s="35" t="str">
        <f ca="1">IFERROR(__xludf.DUMMYFUNCTION("""COMPUTED_VALUE"""),"giangnc.lan@vnpt.vn")</f>
        <v>giangnc.lan@vnpt.vn</v>
      </c>
      <c r="F256" s="540" t="str">
        <f ca="1">IFERROR(__xludf.DUMMYFUNCTION("""COMPUTED_VALUE"""),"Lần 10")</f>
        <v>Lần 10</v>
      </c>
      <c r="G256" s="278"/>
      <c r="H256" s="35"/>
      <c r="I256" s="35"/>
      <c r="J256" s="541"/>
      <c r="K256" s="541"/>
      <c r="M256" s="539">
        <f ca="1">IFERROR(__xludf.DUMMYFUNCTION("""COMPUTED_VALUE"""),0)</f>
        <v>0</v>
      </c>
      <c r="N256" s="539">
        <f ca="1">IFERROR(__xludf.DUMMYFUNCTION("""COMPUTED_VALUE"""),0)</f>
        <v>0</v>
      </c>
      <c r="O256" s="539">
        <f ca="1">IFERROR(__xludf.DUMMYFUNCTION("""COMPUTED_VALUE"""),0)</f>
        <v>0</v>
      </c>
    </row>
    <row r="257" spans="1:15" ht="12.75">
      <c r="A257" s="539">
        <f ca="1"/>
        <v>251</v>
      </c>
      <c r="B257" s="35" t="str">
        <f ca="1">IFERROR(__xludf.DUMMYFUNCTION("""COMPUTED_VALUE"""),"Tổ Hạ tầng Đức Hòa")</f>
        <v>Tổ Hạ tầng Đức Hòa</v>
      </c>
      <c r="C257" s="35" t="str">
        <f ca="1">IFERROR(__xludf.DUMMYFUNCTION("""COMPUTED_VALUE"""),"Nguyễn Công Giang")</f>
        <v>Nguyễn Công Giang</v>
      </c>
      <c r="D257" s="35">
        <f ca="1">IFERROR(__xludf.DUMMYFUNCTION("""COMPUTED_VALUE"""),941254259)</f>
        <v>941254259</v>
      </c>
      <c r="E257" s="35" t="str">
        <f ca="1">IFERROR(__xludf.DUMMYFUNCTION("""COMPUTED_VALUE"""),"giangnc.lan@vnpt.vn")</f>
        <v>giangnc.lan@vnpt.vn</v>
      </c>
      <c r="F257" s="540" t="str">
        <f ca="1">IFERROR(__xludf.DUMMYFUNCTION("""COMPUTED_VALUE"""),"Lần 11")</f>
        <v>Lần 11</v>
      </c>
      <c r="G257" s="278"/>
      <c r="H257" s="35"/>
      <c r="I257" s="35"/>
      <c r="J257" s="541"/>
      <c r="K257" s="541"/>
      <c r="M257" s="539">
        <f ca="1">IFERROR(__xludf.DUMMYFUNCTION("""COMPUTED_VALUE"""),0)</f>
        <v>0</v>
      </c>
      <c r="N257" s="539">
        <f ca="1">IFERROR(__xludf.DUMMYFUNCTION("""COMPUTED_VALUE"""),0)</f>
        <v>0</v>
      </c>
      <c r="O257" s="539">
        <f ca="1">IFERROR(__xludf.DUMMYFUNCTION("""COMPUTED_VALUE"""),0)</f>
        <v>0</v>
      </c>
    </row>
    <row r="258" spans="1:15" ht="12.75">
      <c r="A258" s="539">
        <f ca="1"/>
        <v>252</v>
      </c>
      <c r="B258" s="35" t="str">
        <f ca="1">IFERROR(__xludf.DUMMYFUNCTION("""COMPUTED_VALUE"""),"Tổ Hạ tầng Đức Hòa")</f>
        <v>Tổ Hạ tầng Đức Hòa</v>
      </c>
      <c r="C258" s="35" t="str">
        <f ca="1">IFERROR(__xludf.DUMMYFUNCTION("""COMPUTED_VALUE"""),"Nguyễn Công Giang")</f>
        <v>Nguyễn Công Giang</v>
      </c>
      <c r="D258" s="35">
        <f ca="1">IFERROR(__xludf.DUMMYFUNCTION("""COMPUTED_VALUE"""),941254259)</f>
        <v>941254259</v>
      </c>
      <c r="E258" s="35" t="str">
        <f ca="1">IFERROR(__xludf.DUMMYFUNCTION("""COMPUTED_VALUE"""),"giangnc.lan@vnpt.vn")</f>
        <v>giangnc.lan@vnpt.vn</v>
      </c>
      <c r="F258" s="540" t="str">
        <f ca="1">IFERROR(__xludf.DUMMYFUNCTION("""COMPUTED_VALUE"""),"Lần 12")</f>
        <v>Lần 12</v>
      </c>
      <c r="G258" s="278"/>
      <c r="H258" s="35"/>
      <c r="I258" s="35"/>
      <c r="J258" s="541"/>
      <c r="K258" s="541"/>
      <c r="M258" s="539">
        <f ca="1">IFERROR(__xludf.DUMMYFUNCTION("""COMPUTED_VALUE"""),0)</f>
        <v>0</v>
      </c>
      <c r="N258" s="539">
        <f ca="1">IFERROR(__xludf.DUMMYFUNCTION("""COMPUTED_VALUE"""),0)</f>
        <v>0</v>
      </c>
      <c r="O258" s="539">
        <f ca="1">IFERROR(__xludf.DUMMYFUNCTION("""COMPUTED_VALUE"""),0)</f>
        <v>0</v>
      </c>
    </row>
    <row r="259" spans="1:15" ht="12.75">
      <c r="A259" s="539">
        <f ca="1"/>
        <v>253</v>
      </c>
      <c r="B259" s="35" t="str">
        <f ca="1">IFERROR(__xludf.DUMMYFUNCTION("""COMPUTED_VALUE"""),"Tổ Hạ tầng Đức Hòa")</f>
        <v>Tổ Hạ tầng Đức Hòa</v>
      </c>
      <c r="C259" s="35" t="str">
        <f ca="1">IFERROR(__xludf.DUMMYFUNCTION("""COMPUTED_VALUE"""),"Nguyễn Công Giang")</f>
        <v>Nguyễn Công Giang</v>
      </c>
      <c r="D259" s="35">
        <f ca="1">IFERROR(__xludf.DUMMYFUNCTION("""COMPUTED_VALUE"""),941254259)</f>
        <v>941254259</v>
      </c>
      <c r="E259" s="35" t="str">
        <f ca="1">IFERROR(__xludf.DUMMYFUNCTION("""COMPUTED_VALUE"""),"giangnc.lan@vnpt.vn")</f>
        <v>giangnc.lan@vnpt.vn</v>
      </c>
      <c r="F259" s="540" t="str">
        <f ca="1">IFERROR(__xludf.DUMMYFUNCTION("""COMPUTED_VALUE"""),"Lần 13")</f>
        <v>Lần 13</v>
      </c>
      <c r="G259" s="278"/>
      <c r="H259" s="35"/>
      <c r="I259" s="35"/>
      <c r="J259" s="541"/>
      <c r="K259" s="35"/>
      <c r="M259" s="539">
        <f ca="1">IFERROR(__xludf.DUMMYFUNCTION("""COMPUTED_VALUE"""),0)</f>
        <v>0</v>
      </c>
      <c r="N259" s="539">
        <f ca="1">IFERROR(__xludf.DUMMYFUNCTION("""COMPUTED_VALUE"""),0)</f>
        <v>0</v>
      </c>
      <c r="O259" s="539">
        <f ca="1">IFERROR(__xludf.DUMMYFUNCTION("""COMPUTED_VALUE"""),0)</f>
        <v>0</v>
      </c>
    </row>
    <row r="260" spans="1:15" ht="12.75">
      <c r="A260" s="539">
        <f ca="1"/>
        <v>254</v>
      </c>
      <c r="B260" s="35" t="str">
        <f ca="1">IFERROR(__xludf.DUMMYFUNCTION("""COMPUTED_VALUE"""),"Tổ Hạ tầng Đức Hòa")</f>
        <v>Tổ Hạ tầng Đức Hòa</v>
      </c>
      <c r="C260" s="35" t="str">
        <f ca="1">IFERROR(__xludf.DUMMYFUNCTION("""COMPUTED_VALUE"""),"Nguyễn Công Giang")</f>
        <v>Nguyễn Công Giang</v>
      </c>
      <c r="D260" s="35">
        <f ca="1">IFERROR(__xludf.DUMMYFUNCTION("""COMPUTED_VALUE"""),941254259)</f>
        <v>941254259</v>
      </c>
      <c r="E260" s="35" t="str">
        <f ca="1">IFERROR(__xludf.DUMMYFUNCTION("""COMPUTED_VALUE"""),"giangnc.lan@vnpt.vn")</f>
        <v>giangnc.lan@vnpt.vn</v>
      </c>
      <c r="F260" s="540" t="str">
        <f ca="1">IFERROR(__xludf.DUMMYFUNCTION("""COMPUTED_VALUE"""),"Lần 14")</f>
        <v>Lần 14</v>
      </c>
      <c r="G260" s="278"/>
      <c r="H260" s="35"/>
      <c r="I260" s="35"/>
      <c r="J260" s="541"/>
      <c r="K260" s="35"/>
      <c r="M260" s="539">
        <f ca="1">IFERROR(__xludf.DUMMYFUNCTION("""COMPUTED_VALUE"""),0)</f>
        <v>0</v>
      </c>
      <c r="N260" s="539">
        <f ca="1">IFERROR(__xludf.DUMMYFUNCTION("""COMPUTED_VALUE"""),0)</f>
        <v>0</v>
      </c>
      <c r="O260" s="539">
        <f ca="1">IFERROR(__xludf.DUMMYFUNCTION("""COMPUTED_VALUE"""),0)</f>
        <v>0</v>
      </c>
    </row>
    <row r="261" spans="1:15" ht="12.75">
      <c r="A261" s="539">
        <f ca="1"/>
        <v>255</v>
      </c>
      <c r="B261" s="35" t="str">
        <f ca="1">IFERROR(__xludf.DUMMYFUNCTION("""COMPUTED_VALUE"""),"Tổ Hạ tầng Đức Hòa")</f>
        <v>Tổ Hạ tầng Đức Hòa</v>
      </c>
      <c r="C261" s="35" t="str">
        <f ca="1">IFERROR(__xludf.DUMMYFUNCTION("""COMPUTED_VALUE"""),"Nguyễn Công Giang")</f>
        <v>Nguyễn Công Giang</v>
      </c>
      <c r="D261" s="35">
        <f ca="1">IFERROR(__xludf.DUMMYFUNCTION("""COMPUTED_VALUE"""),941254259)</f>
        <v>941254259</v>
      </c>
      <c r="E261" s="35" t="str">
        <f ca="1">IFERROR(__xludf.DUMMYFUNCTION("""COMPUTED_VALUE"""),"giangnc.lan@vnpt.vn")</f>
        <v>giangnc.lan@vnpt.vn</v>
      </c>
      <c r="F261" s="540" t="str">
        <f ca="1">IFERROR(__xludf.DUMMYFUNCTION("""COMPUTED_VALUE"""),"Lần 15")</f>
        <v>Lần 15</v>
      </c>
      <c r="G261" s="278"/>
      <c r="H261" s="35"/>
      <c r="I261" s="35"/>
      <c r="J261" s="541"/>
      <c r="K261" s="35"/>
      <c r="M261" s="539">
        <f ca="1">IFERROR(__xludf.DUMMYFUNCTION("""COMPUTED_VALUE"""),0)</f>
        <v>0</v>
      </c>
      <c r="N261" s="539">
        <f ca="1">IFERROR(__xludf.DUMMYFUNCTION("""COMPUTED_VALUE"""),0)</f>
        <v>0</v>
      </c>
      <c r="O261" s="539">
        <f ca="1">IFERROR(__xludf.DUMMYFUNCTION("""COMPUTED_VALUE"""),0)</f>
        <v>0</v>
      </c>
    </row>
    <row r="262" spans="1:15" ht="12.75">
      <c r="A262" s="539">
        <f ca="1"/>
        <v>256</v>
      </c>
      <c r="B262" s="35" t="str">
        <f ca="1">IFERROR(__xludf.DUMMYFUNCTION("""COMPUTED_VALUE"""),"Tổ Hạ tầng Đức Hòa")</f>
        <v>Tổ Hạ tầng Đức Hòa</v>
      </c>
      <c r="C262" s="35" t="str">
        <f ca="1">IFERROR(__xludf.DUMMYFUNCTION("""COMPUTED_VALUE"""),"Nguyễn Công Giang")</f>
        <v>Nguyễn Công Giang</v>
      </c>
      <c r="D262" s="35">
        <f ca="1">IFERROR(__xludf.DUMMYFUNCTION("""COMPUTED_VALUE"""),941254259)</f>
        <v>941254259</v>
      </c>
      <c r="E262" s="35" t="str">
        <f ca="1">IFERROR(__xludf.DUMMYFUNCTION("""COMPUTED_VALUE"""),"giangnc.lan@vnpt.vn")</f>
        <v>giangnc.lan@vnpt.vn</v>
      </c>
      <c r="F262" s="540" t="str">
        <f ca="1">IFERROR(__xludf.DUMMYFUNCTION("""COMPUTED_VALUE"""),"Lần 16")</f>
        <v>Lần 16</v>
      </c>
      <c r="G262" s="278"/>
      <c r="H262" s="35"/>
      <c r="I262" s="35"/>
      <c r="J262" s="541"/>
      <c r="K262" s="35"/>
      <c r="M262" s="539">
        <f ca="1">IFERROR(__xludf.DUMMYFUNCTION("""COMPUTED_VALUE"""),0)</f>
        <v>0</v>
      </c>
      <c r="N262" s="539">
        <f ca="1">IFERROR(__xludf.DUMMYFUNCTION("""COMPUTED_VALUE"""),0)</f>
        <v>0</v>
      </c>
      <c r="O262" s="539">
        <f ca="1">IFERROR(__xludf.DUMMYFUNCTION("""COMPUTED_VALUE"""),0)</f>
        <v>0</v>
      </c>
    </row>
    <row r="263" spans="1:15" ht="12.75">
      <c r="A263" s="539">
        <f ca="1"/>
        <v>257</v>
      </c>
      <c r="B263" s="35" t="str">
        <f ca="1">IFERROR(__xludf.DUMMYFUNCTION("""COMPUTED_VALUE"""),"Tổ Hạ tầng Đức Hòa")</f>
        <v>Tổ Hạ tầng Đức Hòa</v>
      </c>
      <c r="C263" s="35" t="str">
        <f ca="1">IFERROR(__xludf.DUMMYFUNCTION("""COMPUTED_VALUE"""),"Nguyễn Phước Lộc")</f>
        <v>Nguyễn Phước Lộc</v>
      </c>
      <c r="D263" s="35">
        <f ca="1">IFERROR(__xludf.DUMMYFUNCTION("""COMPUTED_VALUE"""),888802064)</f>
        <v>888802064</v>
      </c>
      <c r="E263" s="35" t="str">
        <f ca="1">IFERROR(__xludf.DUMMYFUNCTION("""COMPUTED_VALUE"""),"nploc.lan@vnpt.vn")</f>
        <v>nploc.lan@vnpt.vn</v>
      </c>
      <c r="F263" s="540" t="str">
        <f ca="1">IFERROR(__xludf.DUMMYFUNCTION("""COMPUTED_VALUE"""),"Lần 1")</f>
        <v>Lần 1</v>
      </c>
      <c r="G263" s="278">
        <f ca="1">IFERROR(__xludf.DUMMYFUNCTION("""COMPUTED_VALUE"""),46208)</f>
        <v>46208</v>
      </c>
      <c r="H263" s="35">
        <f ca="1">IFERROR(__xludf.DUMMYFUNCTION("""COMPUTED_VALUE"""),78)</f>
        <v>78</v>
      </c>
      <c r="I263" s="35">
        <f ca="1">IFERROR(__xludf.DUMMYFUNCTION("""COMPUTED_VALUE"""),14)</f>
        <v>14</v>
      </c>
      <c r="J263" s="541">
        <f ca="1">IFERROR(__xludf.DUMMYFUNCTION("""COMPUTED_VALUE"""),73)</f>
        <v>73</v>
      </c>
      <c r="K263" s="35">
        <f ca="1">IFERROR(__xludf.DUMMYFUNCTION("""COMPUTED_VALUE"""),11)</f>
        <v>11</v>
      </c>
      <c r="M263" s="539">
        <f ca="1">IFERROR(__xludf.DUMMYFUNCTION("""COMPUTED_VALUE"""),1)</f>
        <v>1</v>
      </c>
      <c r="N263" s="539">
        <f ca="1">IFERROR(__xludf.DUMMYFUNCTION("""COMPUTED_VALUE"""),1)</f>
        <v>1</v>
      </c>
      <c r="O263" s="539">
        <f ca="1">IFERROR(__xludf.DUMMYFUNCTION("""COMPUTED_VALUE"""),0)</f>
        <v>0</v>
      </c>
    </row>
    <row r="264" spans="1:15" ht="12.75">
      <c r="A264" s="539">
        <f ca="1"/>
        <v>258</v>
      </c>
      <c r="B264" s="35" t="str">
        <f ca="1">IFERROR(__xludf.DUMMYFUNCTION("""COMPUTED_VALUE"""),"Tổ Hạ tầng Đức Hòa")</f>
        <v>Tổ Hạ tầng Đức Hòa</v>
      </c>
      <c r="C264" s="35" t="str">
        <f ca="1">IFERROR(__xludf.DUMMYFUNCTION("""COMPUTED_VALUE"""),"Nguyễn Phước Lộc")</f>
        <v>Nguyễn Phước Lộc</v>
      </c>
      <c r="D264" s="35">
        <f ca="1">IFERROR(__xludf.DUMMYFUNCTION("""COMPUTED_VALUE"""),888802064)</f>
        <v>888802064</v>
      </c>
      <c r="E264" s="35" t="str">
        <f ca="1">IFERROR(__xludf.DUMMYFUNCTION("""COMPUTED_VALUE"""),"nploc.lan@vnpt.vn")</f>
        <v>nploc.lan@vnpt.vn</v>
      </c>
      <c r="F264" s="540" t="str">
        <f ca="1">IFERROR(__xludf.DUMMYFUNCTION("""COMPUTED_VALUE"""),"Lần 2")</f>
        <v>Lần 2</v>
      </c>
      <c r="G264" s="278">
        <f ca="1">IFERROR(__xludf.DUMMYFUNCTION("""COMPUTED_VALUE"""),46209)</f>
        <v>46209</v>
      </c>
      <c r="H264" s="35">
        <f ca="1">IFERROR(__xludf.DUMMYFUNCTION("""COMPUTED_VALUE"""),132)</f>
        <v>132</v>
      </c>
      <c r="I264" s="35">
        <f ca="1">IFERROR(__xludf.DUMMYFUNCTION("""COMPUTED_VALUE"""),21)</f>
        <v>21</v>
      </c>
      <c r="J264" s="541">
        <f ca="1">IFERROR(__xludf.DUMMYFUNCTION("""COMPUTED_VALUE"""),100)</f>
        <v>100</v>
      </c>
      <c r="K264" s="541">
        <f ca="1">IFERROR(__xludf.DUMMYFUNCTION("""COMPUTED_VALUE"""),14)</f>
        <v>14</v>
      </c>
      <c r="M264" s="539">
        <f ca="1">IFERROR(__xludf.DUMMYFUNCTION("""COMPUTED_VALUE"""),1)</f>
        <v>1</v>
      </c>
      <c r="N264" s="539">
        <f ca="1">IFERROR(__xludf.DUMMYFUNCTION("""COMPUTED_VALUE"""),1)</f>
        <v>1</v>
      </c>
      <c r="O264" s="539">
        <f ca="1">IFERROR(__xludf.DUMMYFUNCTION("""COMPUTED_VALUE"""),0)</f>
        <v>0</v>
      </c>
    </row>
    <row r="265" spans="1:15" ht="12.75">
      <c r="A265" s="539">
        <f ca="1"/>
        <v>259</v>
      </c>
      <c r="B265" s="35" t="str">
        <f ca="1">IFERROR(__xludf.DUMMYFUNCTION("""COMPUTED_VALUE"""),"Tổ Hạ tầng Đức Hòa")</f>
        <v>Tổ Hạ tầng Đức Hòa</v>
      </c>
      <c r="C265" s="35" t="str">
        <f ca="1">IFERROR(__xludf.DUMMYFUNCTION("""COMPUTED_VALUE"""),"Nguyễn Phước Lộc")</f>
        <v>Nguyễn Phước Lộc</v>
      </c>
      <c r="D265" s="35">
        <f ca="1">IFERROR(__xludf.DUMMYFUNCTION("""COMPUTED_VALUE"""),888802064)</f>
        <v>888802064</v>
      </c>
      <c r="E265" s="35" t="str">
        <f ca="1">IFERROR(__xludf.DUMMYFUNCTION("""COMPUTED_VALUE"""),"nploc.lan@vnpt.vn")</f>
        <v>nploc.lan@vnpt.vn</v>
      </c>
      <c r="F265" s="540" t="str">
        <f ca="1">IFERROR(__xludf.DUMMYFUNCTION("""COMPUTED_VALUE"""),"Lần 3")</f>
        <v>Lần 3</v>
      </c>
      <c r="G265" s="278">
        <f ca="1">IFERROR(__xludf.DUMMYFUNCTION("""COMPUTED_VALUE"""),46209)</f>
        <v>46209</v>
      </c>
      <c r="H265" s="35">
        <f ca="1">IFERROR(__xludf.DUMMYFUNCTION("""COMPUTED_VALUE"""),107)</f>
        <v>107</v>
      </c>
      <c r="I265" s="35">
        <f ca="1">IFERROR(__xludf.DUMMYFUNCTION("""COMPUTED_VALUE"""),15)</f>
        <v>15</v>
      </c>
      <c r="J265" s="541">
        <f ca="1">IFERROR(__xludf.DUMMYFUNCTION("""COMPUTED_VALUE"""),98)</f>
        <v>98</v>
      </c>
      <c r="K265" s="541">
        <f ca="1">IFERROR(__xludf.DUMMYFUNCTION("""COMPUTED_VALUE"""),21)</f>
        <v>21</v>
      </c>
      <c r="M265" s="539">
        <f ca="1">IFERROR(__xludf.DUMMYFUNCTION("""COMPUTED_VALUE"""),1)</f>
        <v>1</v>
      </c>
      <c r="N265" s="539">
        <f ca="1">IFERROR(__xludf.DUMMYFUNCTION("""COMPUTED_VALUE"""),1)</f>
        <v>1</v>
      </c>
      <c r="O265" s="539">
        <f ca="1">IFERROR(__xludf.DUMMYFUNCTION("""COMPUTED_VALUE"""),0)</f>
        <v>0</v>
      </c>
    </row>
    <row r="266" spans="1:15" ht="12.75">
      <c r="A266" s="539">
        <f ca="1"/>
        <v>260</v>
      </c>
      <c r="B266" s="35" t="str">
        <f ca="1">IFERROR(__xludf.DUMMYFUNCTION("""COMPUTED_VALUE"""),"Tổ Hạ tầng Đức Hòa")</f>
        <v>Tổ Hạ tầng Đức Hòa</v>
      </c>
      <c r="C266" s="35" t="str">
        <f ca="1">IFERROR(__xludf.DUMMYFUNCTION("""COMPUTED_VALUE"""),"Nguyễn Phước Lộc")</f>
        <v>Nguyễn Phước Lộc</v>
      </c>
      <c r="D266" s="35">
        <f ca="1">IFERROR(__xludf.DUMMYFUNCTION("""COMPUTED_VALUE"""),888802064)</f>
        <v>888802064</v>
      </c>
      <c r="E266" s="35" t="str">
        <f ca="1">IFERROR(__xludf.DUMMYFUNCTION("""COMPUTED_VALUE"""),"nploc.lan@vnpt.vn")</f>
        <v>nploc.lan@vnpt.vn</v>
      </c>
      <c r="F266" s="540" t="str">
        <f ca="1">IFERROR(__xludf.DUMMYFUNCTION("""COMPUTED_VALUE"""),"Lần 4")</f>
        <v>Lần 4</v>
      </c>
      <c r="G266" s="278">
        <f ca="1">IFERROR(__xludf.DUMMYFUNCTION("""COMPUTED_VALUE"""),46209)</f>
        <v>46209</v>
      </c>
      <c r="H266" s="35">
        <f ca="1">IFERROR(__xludf.DUMMYFUNCTION("""COMPUTED_VALUE"""),77)</f>
        <v>77</v>
      </c>
      <c r="I266" s="35">
        <f ca="1">IFERROR(__xludf.DUMMYFUNCTION("""COMPUTED_VALUE"""),46)</f>
        <v>46</v>
      </c>
      <c r="J266" s="541">
        <f ca="1">IFERROR(__xludf.DUMMYFUNCTION("""COMPUTED_VALUE"""),82)</f>
        <v>82</v>
      </c>
      <c r="K266" s="541">
        <f ca="1">IFERROR(__xludf.DUMMYFUNCTION("""COMPUTED_VALUE"""),13)</f>
        <v>13</v>
      </c>
      <c r="M266" s="539">
        <f ca="1">IFERROR(__xludf.DUMMYFUNCTION("""COMPUTED_VALUE"""),1)</f>
        <v>1</v>
      </c>
      <c r="N266" s="539">
        <f ca="1">IFERROR(__xludf.DUMMYFUNCTION("""COMPUTED_VALUE"""),1)</f>
        <v>1</v>
      </c>
      <c r="O266" s="539">
        <f ca="1">IFERROR(__xludf.DUMMYFUNCTION("""COMPUTED_VALUE"""),0)</f>
        <v>0</v>
      </c>
    </row>
    <row r="267" spans="1:15" ht="12.75">
      <c r="A267" s="539">
        <f ca="1"/>
        <v>261</v>
      </c>
      <c r="B267" s="35" t="str">
        <f ca="1">IFERROR(__xludf.DUMMYFUNCTION("""COMPUTED_VALUE"""),"Tổ Hạ tầng Đức Hòa")</f>
        <v>Tổ Hạ tầng Đức Hòa</v>
      </c>
      <c r="C267" s="35" t="str">
        <f ca="1">IFERROR(__xludf.DUMMYFUNCTION("""COMPUTED_VALUE"""),"Nguyễn Phước Lộc")</f>
        <v>Nguyễn Phước Lộc</v>
      </c>
      <c r="D267" s="35">
        <f ca="1">IFERROR(__xludf.DUMMYFUNCTION("""COMPUTED_VALUE"""),888802064)</f>
        <v>888802064</v>
      </c>
      <c r="E267" s="35" t="str">
        <f ca="1">IFERROR(__xludf.DUMMYFUNCTION("""COMPUTED_VALUE"""),"nploc.lan@vnpt.vn")</f>
        <v>nploc.lan@vnpt.vn</v>
      </c>
      <c r="F267" s="540" t="str">
        <f ca="1">IFERROR(__xludf.DUMMYFUNCTION("""COMPUTED_VALUE"""),"Lần 5")</f>
        <v>Lần 5</v>
      </c>
      <c r="G267" s="278">
        <f ca="1">IFERROR(__xludf.DUMMYFUNCTION("""COMPUTED_VALUE"""),46209)</f>
        <v>46209</v>
      </c>
      <c r="H267" s="35">
        <f ca="1">IFERROR(__xludf.DUMMYFUNCTION("""COMPUTED_VALUE"""),95)</f>
        <v>95</v>
      </c>
      <c r="I267" s="35">
        <f ca="1">IFERROR(__xludf.DUMMYFUNCTION("""COMPUTED_VALUE"""),53)</f>
        <v>53</v>
      </c>
      <c r="J267" s="541">
        <f ca="1">IFERROR(__xludf.DUMMYFUNCTION("""COMPUTED_VALUE"""),93)</f>
        <v>93</v>
      </c>
      <c r="K267" s="35">
        <f ca="1">IFERROR(__xludf.DUMMYFUNCTION("""COMPUTED_VALUE"""),47)</f>
        <v>47</v>
      </c>
      <c r="M267" s="539">
        <f ca="1">IFERROR(__xludf.DUMMYFUNCTION("""COMPUTED_VALUE"""),1)</f>
        <v>1</v>
      </c>
      <c r="N267" s="539">
        <f ca="1">IFERROR(__xludf.DUMMYFUNCTION("""COMPUTED_VALUE"""),1)</f>
        <v>1</v>
      </c>
      <c r="O267" s="539">
        <f ca="1">IFERROR(__xludf.DUMMYFUNCTION("""COMPUTED_VALUE"""),0)</f>
        <v>0</v>
      </c>
    </row>
    <row r="268" spans="1:15" ht="12.75">
      <c r="A268" s="539">
        <f ca="1"/>
        <v>262</v>
      </c>
      <c r="B268" s="35" t="str">
        <f ca="1">IFERROR(__xludf.DUMMYFUNCTION("""COMPUTED_VALUE"""),"Tổ Hạ tầng Đức Hòa")</f>
        <v>Tổ Hạ tầng Đức Hòa</v>
      </c>
      <c r="C268" s="35" t="str">
        <f ca="1">IFERROR(__xludf.DUMMYFUNCTION("""COMPUTED_VALUE"""),"Nguyễn Phước Lộc")</f>
        <v>Nguyễn Phước Lộc</v>
      </c>
      <c r="D268" s="35">
        <f ca="1">IFERROR(__xludf.DUMMYFUNCTION("""COMPUTED_VALUE"""),888802064)</f>
        <v>888802064</v>
      </c>
      <c r="E268" s="35" t="str">
        <f ca="1">IFERROR(__xludf.DUMMYFUNCTION("""COMPUTED_VALUE"""),"nploc.lan@vnpt.vn")</f>
        <v>nploc.lan@vnpt.vn</v>
      </c>
      <c r="F268" s="540" t="str">
        <f ca="1">IFERROR(__xludf.DUMMYFUNCTION("""COMPUTED_VALUE"""),"Lần 6")</f>
        <v>Lần 6</v>
      </c>
      <c r="G268" s="278">
        <f ca="1">IFERROR(__xludf.DUMMYFUNCTION("""COMPUTED_VALUE"""),46209)</f>
        <v>46209</v>
      </c>
      <c r="H268" s="35">
        <f ca="1">IFERROR(__xludf.DUMMYFUNCTION("""COMPUTED_VALUE"""),135)</f>
        <v>135</v>
      </c>
      <c r="I268" s="35">
        <f ca="1">IFERROR(__xludf.DUMMYFUNCTION("""COMPUTED_VALUE"""),53)</f>
        <v>53</v>
      </c>
      <c r="J268" s="541">
        <f ca="1">IFERROR(__xludf.DUMMYFUNCTION("""COMPUTED_VALUE"""),99)</f>
        <v>99</v>
      </c>
      <c r="K268" s="35">
        <f ca="1">IFERROR(__xludf.DUMMYFUNCTION("""COMPUTED_VALUE"""),51)</f>
        <v>51</v>
      </c>
      <c r="M268" s="539">
        <f ca="1">IFERROR(__xludf.DUMMYFUNCTION("""COMPUTED_VALUE"""),1)</f>
        <v>1</v>
      </c>
      <c r="N268" s="539">
        <f ca="1">IFERROR(__xludf.DUMMYFUNCTION("""COMPUTED_VALUE"""),1)</f>
        <v>1</v>
      </c>
      <c r="O268" s="539">
        <f ca="1">IFERROR(__xludf.DUMMYFUNCTION("""COMPUTED_VALUE"""),0)</f>
        <v>0</v>
      </c>
    </row>
    <row r="269" spans="1:15" ht="12.75">
      <c r="A269" s="539">
        <f ca="1"/>
        <v>263</v>
      </c>
      <c r="B269" s="35" t="str">
        <f ca="1">IFERROR(__xludf.DUMMYFUNCTION("""COMPUTED_VALUE"""),"Tổ Hạ tầng Đức Hòa")</f>
        <v>Tổ Hạ tầng Đức Hòa</v>
      </c>
      <c r="C269" s="35" t="str">
        <f ca="1">IFERROR(__xludf.DUMMYFUNCTION("""COMPUTED_VALUE"""),"Nguyễn Phước Lộc")</f>
        <v>Nguyễn Phước Lộc</v>
      </c>
      <c r="D269" s="35">
        <f ca="1">IFERROR(__xludf.DUMMYFUNCTION("""COMPUTED_VALUE"""),888802064)</f>
        <v>888802064</v>
      </c>
      <c r="E269" s="35" t="str">
        <f ca="1">IFERROR(__xludf.DUMMYFUNCTION("""COMPUTED_VALUE"""),"nploc.lan@vnpt.vn")</f>
        <v>nploc.lan@vnpt.vn</v>
      </c>
      <c r="F269" s="540" t="str">
        <f ca="1">IFERROR(__xludf.DUMMYFUNCTION("""COMPUTED_VALUE"""),"Lần 7")</f>
        <v>Lần 7</v>
      </c>
      <c r="G269" s="278">
        <f ca="1">IFERROR(__xludf.DUMMYFUNCTION("""COMPUTED_VALUE"""),46209)</f>
        <v>46209</v>
      </c>
      <c r="H269" s="35">
        <f ca="1">IFERROR(__xludf.DUMMYFUNCTION("""COMPUTED_VALUE"""),65)</f>
        <v>65</v>
      </c>
      <c r="I269" s="35">
        <f ca="1">IFERROR(__xludf.DUMMYFUNCTION("""COMPUTED_VALUE"""),47)</f>
        <v>47</v>
      </c>
      <c r="J269" s="541"/>
      <c r="K269" s="35"/>
      <c r="M269" s="539">
        <f ca="1">IFERROR(__xludf.DUMMYFUNCTION("""COMPUTED_VALUE"""),1)</f>
        <v>1</v>
      </c>
      <c r="N269" s="539">
        <f ca="1">IFERROR(__xludf.DUMMYFUNCTION("""COMPUTED_VALUE"""),0)</f>
        <v>0</v>
      </c>
      <c r="O269" s="539">
        <f ca="1">IFERROR(__xludf.DUMMYFUNCTION("""COMPUTED_VALUE"""),0)</f>
        <v>0</v>
      </c>
    </row>
    <row r="270" spans="1:15" ht="12.75">
      <c r="A270" s="539">
        <f ca="1"/>
        <v>264</v>
      </c>
      <c r="B270" s="35" t="str">
        <f ca="1">IFERROR(__xludf.DUMMYFUNCTION("""COMPUTED_VALUE"""),"Tổ Hạ tầng Đức Hòa")</f>
        <v>Tổ Hạ tầng Đức Hòa</v>
      </c>
      <c r="C270" s="35" t="str">
        <f ca="1">IFERROR(__xludf.DUMMYFUNCTION("""COMPUTED_VALUE"""),"Nguyễn Phước Lộc")</f>
        <v>Nguyễn Phước Lộc</v>
      </c>
      <c r="D270" s="35">
        <f ca="1">IFERROR(__xludf.DUMMYFUNCTION("""COMPUTED_VALUE"""),888802064)</f>
        <v>888802064</v>
      </c>
      <c r="E270" s="35" t="str">
        <f ca="1">IFERROR(__xludf.DUMMYFUNCTION("""COMPUTED_VALUE"""),"nploc.lan@vnpt.vn")</f>
        <v>nploc.lan@vnpt.vn</v>
      </c>
      <c r="F270" s="540" t="str">
        <f ca="1">IFERROR(__xludf.DUMMYFUNCTION("""COMPUTED_VALUE"""),"Lần 8")</f>
        <v>Lần 8</v>
      </c>
      <c r="G270" s="278">
        <f ca="1">IFERROR(__xludf.DUMMYFUNCTION("""COMPUTED_VALUE"""),46209)</f>
        <v>46209</v>
      </c>
      <c r="H270" s="35">
        <f ca="1">IFERROR(__xludf.DUMMYFUNCTION("""COMPUTED_VALUE"""),101)</f>
        <v>101</v>
      </c>
      <c r="I270" s="35">
        <f ca="1">IFERROR(__xludf.DUMMYFUNCTION("""COMPUTED_VALUE"""),46)</f>
        <v>46</v>
      </c>
      <c r="J270" s="541"/>
      <c r="K270" s="35"/>
      <c r="M270" s="539">
        <f ca="1">IFERROR(__xludf.DUMMYFUNCTION("""COMPUTED_VALUE"""),1)</f>
        <v>1</v>
      </c>
      <c r="N270" s="539">
        <f ca="1">IFERROR(__xludf.DUMMYFUNCTION("""COMPUTED_VALUE"""),0)</f>
        <v>0</v>
      </c>
      <c r="O270" s="539">
        <f ca="1">IFERROR(__xludf.DUMMYFUNCTION("""COMPUTED_VALUE"""),0)</f>
        <v>0</v>
      </c>
    </row>
    <row r="271" spans="1:15" ht="12.75">
      <c r="A271" s="539">
        <f ca="1"/>
        <v>265</v>
      </c>
      <c r="B271" s="35" t="str">
        <f ca="1">IFERROR(__xludf.DUMMYFUNCTION("""COMPUTED_VALUE"""),"Tổ Hạ tầng Đức Hòa")</f>
        <v>Tổ Hạ tầng Đức Hòa</v>
      </c>
      <c r="C271" s="35" t="str">
        <f ca="1">IFERROR(__xludf.DUMMYFUNCTION("""COMPUTED_VALUE"""),"Nguyễn Phước Lộc")</f>
        <v>Nguyễn Phước Lộc</v>
      </c>
      <c r="D271" s="35">
        <f ca="1">IFERROR(__xludf.DUMMYFUNCTION("""COMPUTED_VALUE"""),888802064)</f>
        <v>888802064</v>
      </c>
      <c r="E271" s="35" t="str">
        <f ca="1">IFERROR(__xludf.DUMMYFUNCTION("""COMPUTED_VALUE"""),"nploc.lan@vnpt.vn")</f>
        <v>nploc.lan@vnpt.vn</v>
      </c>
      <c r="F271" s="540" t="str">
        <f ca="1">IFERROR(__xludf.DUMMYFUNCTION("""COMPUTED_VALUE"""),"Lần 9")</f>
        <v>Lần 9</v>
      </c>
      <c r="G271" s="278"/>
      <c r="H271" s="35"/>
      <c r="I271" s="35"/>
      <c r="J271" s="541"/>
      <c r="K271" s="35"/>
      <c r="M271" s="539">
        <f ca="1">IFERROR(__xludf.DUMMYFUNCTION("""COMPUTED_VALUE"""),0)</f>
        <v>0</v>
      </c>
      <c r="N271" s="539">
        <f ca="1">IFERROR(__xludf.DUMMYFUNCTION("""COMPUTED_VALUE"""),0)</f>
        <v>0</v>
      </c>
      <c r="O271" s="539">
        <f ca="1">IFERROR(__xludf.DUMMYFUNCTION("""COMPUTED_VALUE"""),0)</f>
        <v>0</v>
      </c>
    </row>
    <row r="272" spans="1:15" ht="12.75">
      <c r="A272" s="539">
        <f ca="1"/>
        <v>266</v>
      </c>
      <c r="B272" s="35" t="str">
        <f ca="1">IFERROR(__xludf.DUMMYFUNCTION("""COMPUTED_VALUE"""),"Tổ Hạ tầng Đức Hòa")</f>
        <v>Tổ Hạ tầng Đức Hòa</v>
      </c>
      <c r="C272" s="35" t="str">
        <f ca="1">IFERROR(__xludf.DUMMYFUNCTION("""COMPUTED_VALUE"""),"Nguyễn Phước Lộc")</f>
        <v>Nguyễn Phước Lộc</v>
      </c>
      <c r="D272" s="35">
        <f ca="1">IFERROR(__xludf.DUMMYFUNCTION("""COMPUTED_VALUE"""),888802064)</f>
        <v>888802064</v>
      </c>
      <c r="E272" s="35" t="str">
        <f ca="1">IFERROR(__xludf.DUMMYFUNCTION("""COMPUTED_VALUE"""),"nploc.lan@vnpt.vn")</f>
        <v>nploc.lan@vnpt.vn</v>
      </c>
      <c r="F272" s="540" t="str">
        <f ca="1">IFERROR(__xludf.DUMMYFUNCTION("""COMPUTED_VALUE"""),"Lần 10")</f>
        <v>Lần 10</v>
      </c>
      <c r="G272" s="278"/>
      <c r="H272" s="35"/>
      <c r="I272" s="35"/>
      <c r="J272" s="541"/>
      <c r="K272" s="35"/>
      <c r="M272" s="539">
        <f ca="1">IFERROR(__xludf.DUMMYFUNCTION("""COMPUTED_VALUE"""),0)</f>
        <v>0</v>
      </c>
      <c r="N272" s="539">
        <f ca="1">IFERROR(__xludf.DUMMYFUNCTION("""COMPUTED_VALUE"""),0)</f>
        <v>0</v>
      </c>
      <c r="O272" s="539">
        <f ca="1">IFERROR(__xludf.DUMMYFUNCTION("""COMPUTED_VALUE"""),0)</f>
        <v>0</v>
      </c>
    </row>
    <row r="273" spans="1:15" ht="12.75">
      <c r="A273" s="539">
        <f ca="1"/>
        <v>267</v>
      </c>
      <c r="B273" s="35" t="str">
        <f ca="1">IFERROR(__xludf.DUMMYFUNCTION("""COMPUTED_VALUE"""),"Tổ Hạ tầng Đức Hòa")</f>
        <v>Tổ Hạ tầng Đức Hòa</v>
      </c>
      <c r="C273" s="35" t="str">
        <f ca="1">IFERROR(__xludf.DUMMYFUNCTION("""COMPUTED_VALUE"""),"Nguyễn Phước Lộc")</f>
        <v>Nguyễn Phước Lộc</v>
      </c>
      <c r="D273" s="35">
        <f ca="1">IFERROR(__xludf.DUMMYFUNCTION("""COMPUTED_VALUE"""),888802064)</f>
        <v>888802064</v>
      </c>
      <c r="E273" s="35" t="str">
        <f ca="1">IFERROR(__xludf.DUMMYFUNCTION("""COMPUTED_VALUE"""),"nploc.lan@vnpt.vn")</f>
        <v>nploc.lan@vnpt.vn</v>
      </c>
      <c r="F273" s="540" t="str">
        <f ca="1">IFERROR(__xludf.DUMMYFUNCTION("""COMPUTED_VALUE"""),"Lần 11")</f>
        <v>Lần 11</v>
      </c>
      <c r="G273" s="278"/>
      <c r="H273" s="35"/>
      <c r="I273" s="35"/>
      <c r="J273" s="541"/>
      <c r="K273" s="541"/>
      <c r="M273" s="539">
        <f ca="1">IFERROR(__xludf.DUMMYFUNCTION("""COMPUTED_VALUE"""),0)</f>
        <v>0</v>
      </c>
      <c r="N273" s="539">
        <f ca="1">IFERROR(__xludf.DUMMYFUNCTION("""COMPUTED_VALUE"""),0)</f>
        <v>0</v>
      </c>
      <c r="O273" s="539">
        <f ca="1">IFERROR(__xludf.DUMMYFUNCTION("""COMPUTED_VALUE"""),0)</f>
        <v>0</v>
      </c>
    </row>
    <row r="274" spans="1:15" ht="12.75">
      <c r="A274" s="539">
        <f ca="1"/>
        <v>268</v>
      </c>
      <c r="B274" s="35" t="str">
        <f ca="1">IFERROR(__xludf.DUMMYFUNCTION("""COMPUTED_VALUE"""),"Tổ Hạ tầng Đức Hòa")</f>
        <v>Tổ Hạ tầng Đức Hòa</v>
      </c>
      <c r="C274" s="35" t="str">
        <f ca="1">IFERROR(__xludf.DUMMYFUNCTION("""COMPUTED_VALUE"""),"Nguyễn Phước Lộc")</f>
        <v>Nguyễn Phước Lộc</v>
      </c>
      <c r="D274" s="35">
        <f ca="1">IFERROR(__xludf.DUMMYFUNCTION("""COMPUTED_VALUE"""),888802064)</f>
        <v>888802064</v>
      </c>
      <c r="E274" s="35" t="str">
        <f ca="1">IFERROR(__xludf.DUMMYFUNCTION("""COMPUTED_VALUE"""),"nploc.lan@vnpt.vn")</f>
        <v>nploc.lan@vnpt.vn</v>
      </c>
      <c r="F274" s="540" t="str">
        <f ca="1">IFERROR(__xludf.DUMMYFUNCTION("""COMPUTED_VALUE"""),"Lần 12")</f>
        <v>Lần 12</v>
      </c>
      <c r="G274" s="278"/>
      <c r="H274" s="35"/>
      <c r="I274" s="35"/>
      <c r="J274" s="541"/>
      <c r="K274" s="541"/>
      <c r="M274" s="539">
        <f ca="1">IFERROR(__xludf.DUMMYFUNCTION("""COMPUTED_VALUE"""),0)</f>
        <v>0</v>
      </c>
      <c r="N274" s="539">
        <f ca="1">IFERROR(__xludf.DUMMYFUNCTION("""COMPUTED_VALUE"""),0)</f>
        <v>0</v>
      </c>
      <c r="O274" s="539">
        <f ca="1">IFERROR(__xludf.DUMMYFUNCTION("""COMPUTED_VALUE"""),0)</f>
        <v>0</v>
      </c>
    </row>
    <row r="275" spans="1:15" ht="12.75">
      <c r="A275" s="539">
        <f ca="1"/>
        <v>269</v>
      </c>
      <c r="B275" s="35" t="str">
        <f ca="1">IFERROR(__xludf.DUMMYFUNCTION("""COMPUTED_VALUE"""),"Tổ Hạ tầng Đức Hòa")</f>
        <v>Tổ Hạ tầng Đức Hòa</v>
      </c>
      <c r="C275" s="35" t="str">
        <f ca="1">IFERROR(__xludf.DUMMYFUNCTION("""COMPUTED_VALUE"""),"Nguyễn Phước Lộc")</f>
        <v>Nguyễn Phước Lộc</v>
      </c>
      <c r="D275" s="35">
        <f ca="1">IFERROR(__xludf.DUMMYFUNCTION("""COMPUTED_VALUE"""),888802064)</f>
        <v>888802064</v>
      </c>
      <c r="E275" s="35" t="str">
        <f ca="1">IFERROR(__xludf.DUMMYFUNCTION("""COMPUTED_VALUE"""),"nploc.lan@vnpt.vn")</f>
        <v>nploc.lan@vnpt.vn</v>
      </c>
      <c r="F275" s="540" t="str">
        <f ca="1">IFERROR(__xludf.DUMMYFUNCTION("""COMPUTED_VALUE"""),"Lần 13")</f>
        <v>Lần 13</v>
      </c>
      <c r="G275" s="278"/>
      <c r="H275" s="35"/>
      <c r="I275" s="35"/>
      <c r="J275" s="541"/>
      <c r="K275" s="541"/>
      <c r="M275" s="539">
        <f ca="1">IFERROR(__xludf.DUMMYFUNCTION("""COMPUTED_VALUE"""),0)</f>
        <v>0</v>
      </c>
      <c r="N275" s="539">
        <f ca="1">IFERROR(__xludf.DUMMYFUNCTION("""COMPUTED_VALUE"""),0)</f>
        <v>0</v>
      </c>
      <c r="O275" s="539">
        <f ca="1">IFERROR(__xludf.DUMMYFUNCTION("""COMPUTED_VALUE"""),0)</f>
        <v>0</v>
      </c>
    </row>
    <row r="276" spans="1:15" ht="12.75">
      <c r="A276" s="539">
        <f ca="1"/>
        <v>270</v>
      </c>
      <c r="B276" s="35" t="str">
        <f ca="1">IFERROR(__xludf.DUMMYFUNCTION("""COMPUTED_VALUE"""),"Tổ Hạ tầng Đức Hòa")</f>
        <v>Tổ Hạ tầng Đức Hòa</v>
      </c>
      <c r="C276" s="35" t="str">
        <f ca="1">IFERROR(__xludf.DUMMYFUNCTION("""COMPUTED_VALUE"""),"Nguyễn Phước Lộc")</f>
        <v>Nguyễn Phước Lộc</v>
      </c>
      <c r="D276" s="35">
        <f ca="1">IFERROR(__xludf.DUMMYFUNCTION("""COMPUTED_VALUE"""),888802064)</f>
        <v>888802064</v>
      </c>
      <c r="E276" s="35" t="str">
        <f ca="1">IFERROR(__xludf.DUMMYFUNCTION("""COMPUTED_VALUE"""),"nploc.lan@vnpt.vn")</f>
        <v>nploc.lan@vnpt.vn</v>
      </c>
      <c r="F276" s="540" t="str">
        <f ca="1">IFERROR(__xludf.DUMMYFUNCTION("""COMPUTED_VALUE"""),"Lần 14")</f>
        <v>Lần 14</v>
      </c>
      <c r="G276" s="278"/>
      <c r="H276" s="35"/>
      <c r="I276" s="35"/>
      <c r="J276" s="541"/>
      <c r="K276" s="541"/>
      <c r="M276" s="539">
        <f ca="1">IFERROR(__xludf.DUMMYFUNCTION("""COMPUTED_VALUE"""),0)</f>
        <v>0</v>
      </c>
      <c r="N276" s="539">
        <f ca="1">IFERROR(__xludf.DUMMYFUNCTION("""COMPUTED_VALUE"""),0)</f>
        <v>0</v>
      </c>
      <c r="O276" s="539">
        <f ca="1">IFERROR(__xludf.DUMMYFUNCTION("""COMPUTED_VALUE"""),0)</f>
        <v>0</v>
      </c>
    </row>
    <row r="277" spans="1:15" ht="12.75">
      <c r="A277" s="539">
        <f ca="1"/>
        <v>271</v>
      </c>
      <c r="B277" s="35" t="str">
        <f ca="1">IFERROR(__xludf.DUMMYFUNCTION("""COMPUTED_VALUE"""),"Tổ Hạ tầng Đức Hòa")</f>
        <v>Tổ Hạ tầng Đức Hòa</v>
      </c>
      <c r="C277" s="35" t="str">
        <f ca="1">IFERROR(__xludf.DUMMYFUNCTION("""COMPUTED_VALUE"""),"Nguyễn Phước Lộc")</f>
        <v>Nguyễn Phước Lộc</v>
      </c>
      <c r="D277" s="35">
        <f ca="1">IFERROR(__xludf.DUMMYFUNCTION("""COMPUTED_VALUE"""),888802064)</f>
        <v>888802064</v>
      </c>
      <c r="E277" s="35" t="str">
        <f ca="1">IFERROR(__xludf.DUMMYFUNCTION("""COMPUTED_VALUE"""),"nploc.lan@vnpt.vn")</f>
        <v>nploc.lan@vnpt.vn</v>
      </c>
      <c r="F277" s="540" t="str">
        <f ca="1">IFERROR(__xludf.DUMMYFUNCTION("""COMPUTED_VALUE"""),"Lần 15")</f>
        <v>Lần 15</v>
      </c>
      <c r="G277" s="278"/>
      <c r="H277" s="35"/>
      <c r="I277" s="35"/>
      <c r="J277" s="541"/>
      <c r="K277" s="541"/>
      <c r="M277" s="539">
        <f ca="1">IFERROR(__xludf.DUMMYFUNCTION("""COMPUTED_VALUE"""),0)</f>
        <v>0</v>
      </c>
      <c r="N277" s="539">
        <f ca="1">IFERROR(__xludf.DUMMYFUNCTION("""COMPUTED_VALUE"""),0)</f>
        <v>0</v>
      </c>
      <c r="O277" s="539">
        <f ca="1">IFERROR(__xludf.DUMMYFUNCTION("""COMPUTED_VALUE"""),0)</f>
        <v>0</v>
      </c>
    </row>
    <row r="278" spans="1:15" ht="12.75">
      <c r="A278" s="539">
        <f ca="1"/>
        <v>272</v>
      </c>
      <c r="B278" s="35" t="str">
        <f ca="1">IFERROR(__xludf.DUMMYFUNCTION("""COMPUTED_VALUE"""),"Tổ Hạ tầng Đức Hòa")</f>
        <v>Tổ Hạ tầng Đức Hòa</v>
      </c>
      <c r="C278" s="35" t="str">
        <f ca="1">IFERROR(__xludf.DUMMYFUNCTION("""COMPUTED_VALUE"""),"Nguyễn Phước Lộc")</f>
        <v>Nguyễn Phước Lộc</v>
      </c>
      <c r="D278" s="35">
        <f ca="1">IFERROR(__xludf.DUMMYFUNCTION("""COMPUTED_VALUE"""),888802064)</f>
        <v>888802064</v>
      </c>
      <c r="E278" s="35" t="str">
        <f ca="1">IFERROR(__xludf.DUMMYFUNCTION("""COMPUTED_VALUE"""),"nploc.lan@vnpt.vn")</f>
        <v>nploc.lan@vnpt.vn</v>
      </c>
      <c r="F278" s="540" t="str">
        <f ca="1">IFERROR(__xludf.DUMMYFUNCTION("""COMPUTED_VALUE"""),"Lần 16")</f>
        <v>Lần 16</v>
      </c>
      <c r="G278" s="278"/>
      <c r="H278" s="35"/>
      <c r="I278" s="35"/>
      <c r="J278" s="541"/>
      <c r="K278" s="541"/>
      <c r="M278" s="539">
        <f ca="1">IFERROR(__xludf.DUMMYFUNCTION("""COMPUTED_VALUE"""),0)</f>
        <v>0</v>
      </c>
      <c r="N278" s="539">
        <f ca="1">IFERROR(__xludf.DUMMYFUNCTION("""COMPUTED_VALUE"""),0)</f>
        <v>0</v>
      </c>
      <c r="O278" s="539">
        <f ca="1">IFERROR(__xludf.DUMMYFUNCTION("""COMPUTED_VALUE"""),0)</f>
        <v>0</v>
      </c>
    </row>
    <row r="279" spans="1:15" ht="12.75">
      <c r="A279" s="539">
        <f ca="1"/>
        <v>273</v>
      </c>
      <c r="B279" s="35" t="str">
        <f ca="1">IFERROR(__xludf.DUMMYFUNCTION("""COMPUTED_VALUE"""),"Tổ Hạ tầng Đức Hòa")</f>
        <v>Tổ Hạ tầng Đức Hòa</v>
      </c>
      <c r="C279" s="35" t="str">
        <f ca="1">IFERROR(__xludf.DUMMYFUNCTION("""COMPUTED_VALUE"""),"Phạm Tiến Dũng")</f>
        <v>Phạm Tiến Dũng</v>
      </c>
      <c r="D279" s="35">
        <f ca="1">IFERROR(__xludf.DUMMYFUNCTION("""COMPUTED_VALUE"""),915907377)</f>
        <v>915907377</v>
      </c>
      <c r="E279" s="35" t="str">
        <f ca="1">IFERROR(__xludf.DUMMYFUNCTION("""COMPUTED_VALUE"""),"dungpt.lan@vnpt.vn")</f>
        <v>dungpt.lan@vnpt.vn</v>
      </c>
      <c r="F279" s="540" t="str">
        <f ca="1">IFERROR(__xludf.DUMMYFUNCTION("""COMPUTED_VALUE"""),"Lần 1")</f>
        <v>Lần 1</v>
      </c>
      <c r="G279" s="278">
        <f ca="1">IFERROR(__xludf.DUMMYFUNCTION("""COMPUTED_VALUE"""),46208)</f>
        <v>46208</v>
      </c>
      <c r="H279" s="35">
        <f ca="1">IFERROR(__xludf.DUMMYFUNCTION("""COMPUTED_VALUE"""),83)</f>
        <v>83</v>
      </c>
      <c r="I279" s="35">
        <f ca="1">IFERROR(__xludf.DUMMYFUNCTION("""COMPUTED_VALUE"""),37.9)</f>
        <v>37.9</v>
      </c>
      <c r="J279" s="541">
        <f ca="1">IFERROR(__xludf.DUMMYFUNCTION("""COMPUTED_VALUE"""),72)</f>
        <v>72</v>
      </c>
      <c r="K279" s="541">
        <f ca="1">IFERROR(__xludf.DUMMYFUNCTION("""COMPUTED_VALUE"""),37.2)</f>
        <v>37.200000000000003</v>
      </c>
      <c r="M279" s="539">
        <f ca="1">IFERROR(__xludf.DUMMYFUNCTION("""COMPUTED_VALUE"""),1)</f>
        <v>1</v>
      </c>
      <c r="N279" s="539">
        <f ca="1">IFERROR(__xludf.DUMMYFUNCTION("""COMPUTED_VALUE"""),1)</f>
        <v>1</v>
      </c>
      <c r="O279" s="539">
        <f ca="1">IFERROR(__xludf.DUMMYFUNCTION("""COMPUTED_VALUE"""),0)</f>
        <v>0</v>
      </c>
    </row>
    <row r="280" spans="1:15" ht="12.75">
      <c r="A280" s="539">
        <f ca="1"/>
        <v>274</v>
      </c>
      <c r="B280" s="35" t="str">
        <f ca="1">IFERROR(__xludf.DUMMYFUNCTION("""COMPUTED_VALUE"""),"Tổ Hạ tầng Đức Hòa")</f>
        <v>Tổ Hạ tầng Đức Hòa</v>
      </c>
      <c r="C280" s="35" t="str">
        <f ca="1">IFERROR(__xludf.DUMMYFUNCTION("""COMPUTED_VALUE"""),"Phạm Tiến Dũng")</f>
        <v>Phạm Tiến Dũng</v>
      </c>
      <c r="D280" s="35">
        <f ca="1">IFERROR(__xludf.DUMMYFUNCTION("""COMPUTED_VALUE"""),915907377)</f>
        <v>915907377</v>
      </c>
      <c r="E280" s="35" t="str">
        <f ca="1">IFERROR(__xludf.DUMMYFUNCTION("""COMPUTED_VALUE"""),"dungpt.lan@vnpt.vn")</f>
        <v>dungpt.lan@vnpt.vn</v>
      </c>
      <c r="F280" s="540" t="str">
        <f ca="1">IFERROR(__xludf.DUMMYFUNCTION("""COMPUTED_VALUE"""),"Lần 2")</f>
        <v>Lần 2</v>
      </c>
      <c r="G280" s="278">
        <f ca="1">IFERROR(__xludf.DUMMYFUNCTION("""COMPUTED_VALUE"""),46214)</f>
        <v>46214</v>
      </c>
      <c r="H280" s="35">
        <f ca="1">IFERROR(__xludf.DUMMYFUNCTION("""COMPUTED_VALUE"""),81.9)</f>
        <v>81.900000000000006</v>
      </c>
      <c r="I280" s="35">
        <f ca="1">IFERROR(__xludf.DUMMYFUNCTION("""COMPUTED_VALUE"""),44.2)</f>
        <v>44.2</v>
      </c>
      <c r="J280" s="541">
        <f ca="1">IFERROR(__xludf.DUMMYFUNCTION("""COMPUTED_VALUE"""),73.1)</f>
        <v>73.099999999999994</v>
      </c>
      <c r="K280" s="541">
        <f ca="1">IFERROR(__xludf.DUMMYFUNCTION("""COMPUTED_VALUE"""),50)</f>
        <v>50</v>
      </c>
      <c r="M280" s="539">
        <f ca="1">IFERROR(__xludf.DUMMYFUNCTION("""COMPUTED_VALUE"""),1)</f>
        <v>1</v>
      </c>
      <c r="N280" s="539">
        <f ca="1">IFERROR(__xludf.DUMMYFUNCTION("""COMPUTED_VALUE"""),1)</f>
        <v>1</v>
      </c>
      <c r="O280" s="539">
        <f ca="1">IFERROR(__xludf.DUMMYFUNCTION("""COMPUTED_VALUE"""),0)</f>
        <v>0</v>
      </c>
    </row>
    <row r="281" spans="1:15" ht="12.75">
      <c r="A281" s="539">
        <f ca="1"/>
        <v>275</v>
      </c>
      <c r="B281" s="35" t="str">
        <f ca="1">IFERROR(__xludf.DUMMYFUNCTION("""COMPUTED_VALUE"""),"Tổ Hạ tầng Đức Hòa")</f>
        <v>Tổ Hạ tầng Đức Hòa</v>
      </c>
      <c r="C281" s="35" t="str">
        <f ca="1">IFERROR(__xludf.DUMMYFUNCTION("""COMPUTED_VALUE"""),"Phạm Tiến Dũng")</f>
        <v>Phạm Tiến Dũng</v>
      </c>
      <c r="D281" s="35">
        <f ca="1">IFERROR(__xludf.DUMMYFUNCTION("""COMPUTED_VALUE"""),915907377)</f>
        <v>915907377</v>
      </c>
      <c r="E281" s="35" t="str">
        <f ca="1">IFERROR(__xludf.DUMMYFUNCTION("""COMPUTED_VALUE"""),"dungpt.lan@vnpt.vn")</f>
        <v>dungpt.lan@vnpt.vn</v>
      </c>
      <c r="F281" s="540" t="str">
        <f ca="1">IFERROR(__xludf.DUMMYFUNCTION("""COMPUTED_VALUE"""),"Lần 3")</f>
        <v>Lần 3</v>
      </c>
      <c r="G281" s="278">
        <f ca="1">IFERROR(__xludf.DUMMYFUNCTION("""COMPUTED_VALUE"""),46215)</f>
        <v>46215</v>
      </c>
      <c r="H281" s="35">
        <f ca="1">IFERROR(__xludf.DUMMYFUNCTION("""COMPUTED_VALUE"""),79.8)</f>
        <v>79.8</v>
      </c>
      <c r="I281" s="35">
        <f ca="1">IFERROR(__xludf.DUMMYFUNCTION("""COMPUTED_VALUE"""),14.8)</f>
        <v>14.8</v>
      </c>
      <c r="J281" s="541">
        <f ca="1">IFERROR(__xludf.DUMMYFUNCTION("""COMPUTED_VALUE"""),64.4)</f>
        <v>64.400000000000006</v>
      </c>
      <c r="K281" s="541">
        <f ca="1">IFERROR(__xludf.DUMMYFUNCTION("""COMPUTED_VALUE"""),17.7)</f>
        <v>17.7</v>
      </c>
      <c r="M281" s="539">
        <f ca="1">IFERROR(__xludf.DUMMYFUNCTION("""COMPUTED_VALUE"""),1)</f>
        <v>1</v>
      </c>
      <c r="N281" s="539">
        <f ca="1">IFERROR(__xludf.DUMMYFUNCTION("""COMPUTED_VALUE"""),1)</f>
        <v>1</v>
      </c>
      <c r="O281" s="539">
        <f ca="1">IFERROR(__xludf.DUMMYFUNCTION("""COMPUTED_VALUE"""),0)</f>
        <v>0</v>
      </c>
    </row>
    <row r="282" spans="1:15" ht="12.75">
      <c r="A282" s="539">
        <f ca="1"/>
        <v>276</v>
      </c>
      <c r="B282" s="35" t="str">
        <f ca="1">IFERROR(__xludf.DUMMYFUNCTION("""COMPUTED_VALUE"""),"Tổ Hạ tầng Đức Hòa")</f>
        <v>Tổ Hạ tầng Đức Hòa</v>
      </c>
      <c r="C282" s="35" t="str">
        <f ca="1">IFERROR(__xludf.DUMMYFUNCTION("""COMPUTED_VALUE"""),"Phạm Tiến Dũng")</f>
        <v>Phạm Tiến Dũng</v>
      </c>
      <c r="D282" s="35">
        <f ca="1">IFERROR(__xludf.DUMMYFUNCTION("""COMPUTED_VALUE"""),915907377)</f>
        <v>915907377</v>
      </c>
      <c r="E282" s="35" t="str">
        <f ca="1">IFERROR(__xludf.DUMMYFUNCTION("""COMPUTED_VALUE"""),"dungpt.lan@vnpt.vn")</f>
        <v>dungpt.lan@vnpt.vn</v>
      </c>
      <c r="F282" s="540" t="str">
        <f ca="1">IFERROR(__xludf.DUMMYFUNCTION("""COMPUTED_VALUE"""),"Lần 4")</f>
        <v>Lần 4</v>
      </c>
      <c r="G282" s="278">
        <f ca="1">IFERROR(__xludf.DUMMYFUNCTION("""COMPUTED_VALUE"""),46215)</f>
        <v>46215</v>
      </c>
      <c r="H282" s="35">
        <f ca="1">IFERROR(__xludf.DUMMYFUNCTION("""COMPUTED_VALUE"""),237)</f>
        <v>237</v>
      </c>
      <c r="I282" s="35">
        <f ca="1">IFERROR(__xludf.DUMMYFUNCTION("""COMPUTED_VALUE"""),20.4)</f>
        <v>20.399999999999999</v>
      </c>
      <c r="J282" s="541">
        <f ca="1">IFERROR(__xludf.DUMMYFUNCTION("""COMPUTED_VALUE"""),164.4)</f>
        <v>164.4</v>
      </c>
      <c r="K282" s="541">
        <f ca="1">IFERROR(__xludf.DUMMYFUNCTION("""COMPUTED_VALUE"""),31.1)</f>
        <v>31.1</v>
      </c>
      <c r="M282" s="539">
        <f ca="1">IFERROR(__xludf.DUMMYFUNCTION("""COMPUTED_VALUE"""),1)</f>
        <v>1</v>
      </c>
      <c r="N282" s="539">
        <f ca="1">IFERROR(__xludf.DUMMYFUNCTION("""COMPUTED_VALUE"""),1)</f>
        <v>1</v>
      </c>
      <c r="O282" s="539">
        <f ca="1">IFERROR(__xludf.DUMMYFUNCTION("""COMPUTED_VALUE"""),0)</f>
        <v>0</v>
      </c>
    </row>
    <row r="283" spans="1:15" ht="12.75">
      <c r="A283" s="539">
        <f ca="1"/>
        <v>277</v>
      </c>
      <c r="B283" s="35" t="str">
        <f ca="1">IFERROR(__xludf.DUMMYFUNCTION("""COMPUTED_VALUE"""),"Tổ Hạ tầng Đức Hòa")</f>
        <v>Tổ Hạ tầng Đức Hòa</v>
      </c>
      <c r="C283" s="35" t="str">
        <f ca="1">IFERROR(__xludf.DUMMYFUNCTION("""COMPUTED_VALUE"""),"Phạm Tiến Dũng")</f>
        <v>Phạm Tiến Dũng</v>
      </c>
      <c r="D283" s="35">
        <f ca="1">IFERROR(__xludf.DUMMYFUNCTION("""COMPUTED_VALUE"""),915907377)</f>
        <v>915907377</v>
      </c>
      <c r="E283" s="35" t="str">
        <f ca="1">IFERROR(__xludf.DUMMYFUNCTION("""COMPUTED_VALUE"""),"dungpt.lan@vnpt.vn")</f>
        <v>dungpt.lan@vnpt.vn</v>
      </c>
      <c r="F283" s="540" t="str">
        <f ca="1">IFERROR(__xludf.DUMMYFUNCTION("""COMPUTED_VALUE"""),"Lần 5")</f>
        <v>Lần 5</v>
      </c>
      <c r="G283" s="278"/>
      <c r="H283" s="35"/>
      <c r="I283" s="35"/>
      <c r="J283" s="541"/>
      <c r="K283" s="541"/>
      <c r="M283" s="539">
        <f ca="1">IFERROR(__xludf.DUMMYFUNCTION("""COMPUTED_VALUE"""),0)</f>
        <v>0</v>
      </c>
      <c r="N283" s="539">
        <f ca="1">IFERROR(__xludf.DUMMYFUNCTION("""COMPUTED_VALUE"""),0)</f>
        <v>0</v>
      </c>
      <c r="O283" s="539">
        <f ca="1">IFERROR(__xludf.DUMMYFUNCTION("""COMPUTED_VALUE"""),0)</f>
        <v>0</v>
      </c>
    </row>
    <row r="284" spans="1:15" ht="12.75">
      <c r="A284" s="539">
        <f ca="1"/>
        <v>278</v>
      </c>
      <c r="B284" s="35" t="str">
        <f ca="1">IFERROR(__xludf.DUMMYFUNCTION("""COMPUTED_VALUE"""),"Tổ Hạ tầng Đức Hòa")</f>
        <v>Tổ Hạ tầng Đức Hòa</v>
      </c>
      <c r="C284" s="35" t="str">
        <f ca="1">IFERROR(__xludf.DUMMYFUNCTION("""COMPUTED_VALUE"""),"Phạm Tiến Dũng")</f>
        <v>Phạm Tiến Dũng</v>
      </c>
      <c r="D284" s="35">
        <f ca="1">IFERROR(__xludf.DUMMYFUNCTION("""COMPUTED_VALUE"""),915907377)</f>
        <v>915907377</v>
      </c>
      <c r="E284" s="35" t="str">
        <f ca="1">IFERROR(__xludf.DUMMYFUNCTION("""COMPUTED_VALUE"""),"dungpt.lan@vnpt.vn")</f>
        <v>dungpt.lan@vnpt.vn</v>
      </c>
      <c r="F284" s="540" t="str">
        <f ca="1">IFERROR(__xludf.DUMMYFUNCTION("""COMPUTED_VALUE"""),"Lần 6")</f>
        <v>Lần 6</v>
      </c>
      <c r="G284" s="278"/>
      <c r="H284" s="35"/>
      <c r="I284" s="35"/>
      <c r="J284" s="541"/>
      <c r="K284" s="541"/>
      <c r="M284" s="539">
        <f ca="1">IFERROR(__xludf.DUMMYFUNCTION("""COMPUTED_VALUE"""),0)</f>
        <v>0</v>
      </c>
      <c r="N284" s="539">
        <f ca="1">IFERROR(__xludf.DUMMYFUNCTION("""COMPUTED_VALUE"""),0)</f>
        <v>0</v>
      </c>
      <c r="O284" s="539">
        <f ca="1">IFERROR(__xludf.DUMMYFUNCTION("""COMPUTED_VALUE"""),0)</f>
        <v>0</v>
      </c>
    </row>
    <row r="285" spans="1:15" ht="12.75">
      <c r="A285" s="539">
        <f ca="1"/>
        <v>279</v>
      </c>
      <c r="B285" s="35" t="str">
        <f ca="1">IFERROR(__xludf.DUMMYFUNCTION("""COMPUTED_VALUE"""),"Tổ Hạ tầng Đức Hòa")</f>
        <v>Tổ Hạ tầng Đức Hòa</v>
      </c>
      <c r="C285" s="35" t="str">
        <f ca="1">IFERROR(__xludf.DUMMYFUNCTION("""COMPUTED_VALUE"""),"Phạm Tiến Dũng")</f>
        <v>Phạm Tiến Dũng</v>
      </c>
      <c r="D285" s="35">
        <f ca="1">IFERROR(__xludf.DUMMYFUNCTION("""COMPUTED_VALUE"""),915907377)</f>
        <v>915907377</v>
      </c>
      <c r="E285" s="35" t="str">
        <f ca="1">IFERROR(__xludf.DUMMYFUNCTION("""COMPUTED_VALUE"""),"dungpt.lan@vnpt.vn")</f>
        <v>dungpt.lan@vnpt.vn</v>
      </c>
      <c r="F285" s="540" t="str">
        <f ca="1">IFERROR(__xludf.DUMMYFUNCTION("""COMPUTED_VALUE"""),"Lần 7")</f>
        <v>Lần 7</v>
      </c>
      <c r="G285" s="278"/>
      <c r="H285" s="35"/>
      <c r="I285" s="35"/>
      <c r="J285" s="541"/>
      <c r="K285" s="541"/>
      <c r="M285" s="539">
        <f ca="1">IFERROR(__xludf.DUMMYFUNCTION("""COMPUTED_VALUE"""),0)</f>
        <v>0</v>
      </c>
      <c r="N285" s="539">
        <f ca="1">IFERROR(__xludf.DUMMYFUNCTION("""COMPUTED_VALUE"""),0)</f>
        <v>0</v>
      </c>
      <c r="O285" s="539">
        <f ca="1">IFERROR(__xludf.DUMMYFUNCTION("""COMPUTED_VALUE"""),0)</f>
        <v>0</v>
      </c>
    </row>
    <row r="286" spans="1:15" ht="12.75">
      <c r="A286" s="539">
        <f ca="1"/>
        <v>280</v>
      </c>
      <c r="B286" s="35" t="str">
        <f ca="1">IFERROR(__xludf.DUMMYFUNCTION("""COMPUTED_VALUE"""),"Tổ Hạ tầng Đức Hòa")</f>
        <v>Tổ Hạ tầng Đức Hòa</v>
      </c>
      <c r="C286" s="35" t="str">
        <f ca="1">IFERROR(__xludf.DUMMYFUNCTION("""COMPUTED_VALUE"""),"Phạm Tiến Dũng")</f>
        <v>Phạm Tiến Dũng</v>
      </c>
      <c r="D286" s="35">
        <f ca="1">IFERROR(__xludf.DUMMYFUNCTION("""COMPUTED_VALUE"""),915907377)</f>
        <v>915907377</v>
      </c>
      <c r="E286" s="35" t="str">
        <f ca="1">IFERROR(__xludf.DUMMYFUNCTION("""COMPUTED_VALUE"""),"dungpt.lan@vnpt.vn")</f>
        <v>dungpt.lan@vnpt.vn</v>
      </c>
      <c r="F286" s="540" t="str">
        <f ca="1">IFERROR(__xludf.DUMMYFUNCTION("""COMPUTED_VALUE"""),"Lần 8")</f>
        <v>Lần 8</v>
      </c>
      <c r="G286" s="278"/>
      <c r="H286" s="35"/>
      <c r="I286" s="35"/>
      <c r="J286" s="541"/>
      <c r="K286" s="541"/>
      <c r="M286" s="539">
        <f ca="1">IFERROR(__xludf.DUMMYFUNCTION("""COMPUTED_VALUE"""),0)</f>
        <v>0</v>
      </c>
      <c r="N286" s="539">
        <f ca="1">IFERROR(__xludf.DUMMYFUNCTION("""COMPUTED_VALUE"""),0)</f>
        <v>0</v>
      </c>
      <c r="O286" s="539">
        <f ca="1">IFERROR(__xludf.DUMMYFUNCTION("""COMPUTED_VALUE"""),0)</f>
        <v>0</v>
      </c>
    </row>
    <row r="287" spans="1:15" ht="12.75">
      <c r="A287" s="539">
        <f ca="1"/>
        <v>281</v>
      </c>
      <c r="B287" s="35" t="str">
        <f ca="1">IFERROR(__xludf.DUMMYFUNCTION("""COMPUTED_VALUE"""),"Tổ Hạ tầng Đức Hòa")</f>
        <v>Tổ Hạ tầng Đức Hòa</v>
      </c>
      <c r="C287" s="35" t="str">
        <f ca="1">IFERROR(__xludf.DUMMYFUNCTION("""COMPUTED_VALUE"""),"Phạm Tiến Dũng")</f>
        <v>Phạm Tiến Dũng</v>
      </c>
      <c r="D287" s="35">
        <f ca="1">IFERROR(__xludf.DUMMYFUNCTION("""COMPUTED_VALUE"""),915907377)</f>
        <v>915907377</v>
      </c>
      <c r="E287" s="35" t="str">
        <f ca="1">IFERROR(__xludf.DUMMYFUNCTION("""COMPUTED_VALUE"""),"dungpt.lan@vnpt.vn")</f>
        <v>dungpt.lan@vnpt.vn</v>
      </c>
      <c r="F287" s="540" t="str">
        <f ca="1">IFERROR(__xludf.DUMMYFUNCTION("""COMPUTED_VALUE"""),"Lần 9")</f>
        <v>Lần 9</v>
      </c>
      <c r="G287" s="278"/>
      <c r="H287" s="35"/>
      <c r="I287" s="35"/>
      <c r="J287" s="541"/>
      <c r="K287" s="541"/>
      <c r="M287" s="539">
        <f ca="1">IFERROR(__xludf.DUMMYFUNCTION("""COMPUTED_VALUE"""),0)</f>
        <v>0</v>
      </c>
      <c r="N287" s="539">
        <f ca="1">IFERROR(__xludf.DUMMYFUNCTION("""COMPUTED_VALUE"""),0)</f>
        <v>0</v>
      </c>
      <c r="O287" s="539">
        <f ca="1">IFERROR(__xludf.DUMMYFUNCTION("""COMPUTED_VALUE"""),0)</f>
        <v>0</v>
      </c>
    </row>
    <row r="288" spans="1:15" ht="12.75">
      <c r="A288" s="539">
        <f ca="1"/>
        <v>282</v>
      </c>
      <c r="B288" s="35" t="str">
        <f ca="1">IFERROR(__xludf.DUMMYFUNCTION("""COMPUTED_VALUE"""),"Tổ Hạ tầng Đức Hòa")</f>
        <v>Tổ Hạ tầng Đức Hòa</v>
      </c>
      <c r="C288" s="35" t="str">
        <f ca="1">IFERROR(__xludf.DUMMYFUNCTION("""COMPUTED_VALUE"""),"Phạm Tiến Dũng")</f>
        <v>Phạm Tiến Dũng</v>
      </c>
      <c r="D288" s="35">
        <f ca="1">IFERROR(__xludf.DUMMYFUNCTION("""COMPUTED_VALUE"""),915907377)</f>
        <v>915907377</v>
      </c>
      <c r="E288" s="35" t="str">
        <f ca="1">IFERROR(__xludf.DUMMYFUNCTION("""COMPUTED_VALUE"""),"dungpt.lan@vnpt.vn")</f>
        <v>dungpt.lan@vnpt.vn</v>
      </c>
      <c r="F288" s="540" t="str">
        <f ca="1">IFERROR(__xludf.DUMMYFUNCTION("""COMPUTED_VALUE"""),"Lần 10")</f>
        <v>Lần 10</v>
      </c>
      <c r="G288" s="278"/>
      <c r="H288" s="35"/>
      <c r="I288" s="35"/>
      <c r="J288" s="541"/>
      <c r="K288" s="541"/>
      <c r="M288" s="539">
        <f ca="1">IFERROR(__xludf.DUMMYFUNCTION("""COMPUTED_VALUE"""),0)</f>
        <v>0</v>
      </c>
      <c r="N288" s="539">
        <f ca="1">IFERROR(__xludf.DUMMYFUNCTION("""COMPUTED_VALUE"""),0)</f>
        <v>0</v>
      </c>
      <c r="O288" s="539">
        <f ca="1">IFERROR(__xludf.DUMMYFUNCTION("""COMPUTED_VALUE"""),0)</f>
        <v>0</v>
      </c>
    </row>
    <row r="289" spans="1:15" ht="12.75">
      <c r="A289" s="539">
        <f ca="1"/>
        <v>283</v>
      </c>
      <c r="B289" s="35" t="str">
        <f ca="1">IFERROR(__xludf.DUMMYFUNCTION("""COMPUTED_VALUE"""),"Tổ Hạ tầng Đức Hòa")</f>
        <v>Tổ Hạ tầng Đức Hòa</v>
      </c>
      <c r="C289" s="35" t="str">
        <f ca="1">IFERROR(__xludf.DUMMYFUNCTION("""COMPUTED_VALUE"""),"Phạm Tiến Dũng")</f>
        <v>Phạm Tiến Dũng</v>
      </c>
      <c r="D289" s="35">
        <f ca="1">IFERROR(__xludf.DUMMYFUNCTION("""COMPUTED_VALUE"""),915907377)</f>
        <v>915907377</v>
      </c>
      <c r="E289" s="35" t="str">
        <f ca="1">IFERROR(__xludf.DUMMYFUNCTION("""COMPUTED_VALUE"""),"dungpt.lan@vnpt.vn")</f>
        <v>dungpt.lan@vnpt.vn</v>
      </c>
      <c r="F289" s="540" t="str">
        <f ca="1">IFERROR(__xludf.DUMMYFUNCTION("""COMPUTED_VALUE"""),"Lần 11")</f>
        <v>Lần 11</v>
      </c>
      <c r="G289" s="278"/>
      <c r="H289" s="35"/>
      <c r="I289" s="35"/>
      <c r="J289" s="541"/>
      <c r="K289" s="541"/>
      <c r="M289" s="539">
        <f ca="1">IFERROR(__xludf.DUMMYFUNCTION("""COMPUTED_VALUE"""),0)</f>
        <v>0</v>
      </c>
      <c r="N289" s="539">
        <f ca="1">IFERROR(__xludf.DUMMYFUNCTION("""COMPUTED_VALUE"""),0)</f>
        <v>0</v>
      </c>
      <c r="O289" s="539">
        <f ca="1">IFERROR(__xludf.DUMMYFUNCTION("""COMPUTED_VALUE"""),0)</f>
        <v>0</v>
      </c>
    </row>
    <row r="290" spans="1:15" ht="12.75">
      <c r="A290" s="539">
        <f ca="1"/>
        <v>284</v>
      </c>
      <c r="B290" s="35" t="str">
        <f ca="1">IFERROR(__xludf.DUMMYFUNCTION("""COMPUTED_VALUE"""),"Tổ Hạ tầng Đức Hòa")</f>
        <v>Tổ Hạ tầng Đức Hòa</v>
      </c>
      <c r="C290" s="35" t="str">
        <f ca="1">IFERROR(__xludf.DUMMYFUNCTION("""COMPUTED_VALUE"""),"Phạm Tiến Dũng")</f>
        <v>Phạm Tiến Dũng</v>
      </c>
      <c r="D290" s="35">
        <f ca="1">IFERROR(__xludf.DUMMYFUNCTION("""COMPUTED_VALUE"""),915907377)</f>
        <v>915907377</v>
      </c>
      <c r="E290" s="35" t="str">
        <f ca="1">IFERROR(__xludf.DUMMYFUNCTION("""COMPUTED_VALUE"""),"dungpt.lan@vnpt.vn")</f>
        <v>dungpt.lan@vnpt.vn</v>
      </c>
      <c r="F290" s="540" t="str">
        <f ca="1">IFERROR(__xludf.DUMMYFUNCTION("""COMPUTED_VALUE"""),"Lần 12")</f>
        <v>Lần 12</v>
      </c>
      <c r="G290" s="35"/>
      <c r="H290" s="35"/>
      <c r="I290" s="35"/>
      <c r="J290" s="541"/>
      <c r="K290" s="541"/>
      <c r="M290" s="539">
        <f ca="1">IFERROR(__xludf.DUMMYFUNCTION("""COMPUTED_VALUE"""),0)</f>
        <v>0</v>
      </c>
      <c r="N290" s="539">
        <f ca="1">IFERROR(__xludf.DUMMYFUNCTION("""COMPUTED_VALUE"""),0)</f>
        <v>0</v>
      </c>
      <c r="O290" s="539">
        <f ca="1">IFERROR(__xludf.DUMMYFUNCTION("""COMPUTED_VALUE"""),0)</f>
        <v>0</v>
      </c>
    </row>
    <row r="291" spans="1:15" ht="12.75">
      <c r="A291" s="539">
        <f ca="1"/>
        <v>285</v>
      </c>
      <c r="B291" s="35" t="str">
        <f ca="1">IFERROR(__xludf.DUMMYFUNCTION("""COMPUTED_VALUE"""),"Tổ Hạ tầng Đức Hòa")</f>
        <v>Tổ Hạ tầng Đức Hòa</v>
      </c>
      <c r="C291" s="35" t="str">
        <f ca="1">IFERROR(__xludf.DUMMYFUNCTION("""COMPUTED_VALUE"""),"Phạm Tiến Dũng")</f>
        <v>Phạm Tiến Dũng</v>
      </c>
      <c r="D291" s="35">
        <f ca="1">IFERROR(__xludf.DUMMYFUNCTION("""COMPUTED_VALUE"""),915907377)</f>
        <v>915907377</v>
      </c>
      <c r="E291" s="35" t="str">
        <f ca="1">IFERROR(__xludf.DUMMYFUNCTION("""COMPUTED_VALUE"""),"dungpt.lan@vnpt.vn")</f>
        <v>dungpt.lan@vnpt.vn</v>
      </c>
      <c r="F291" s="540" t="str">
        <f ca="1">IFERROR(__xludf.DUMMYFUNCTION("""COMPUTED_VALUE"""),"Lần 13")</f>
        <v>Lần 13</v>
      </c>
      <c r="G291" s="278"/>
      <c r="H291" s="35"/>
      <c r="I291" s="35"/>
      <c r="J291" s="541"/>
      <c r="K291" s="541"/>
      <c r="M291" s="539">
        <f ca="1">IFERROR(__xludf.DUMMYFUNCTION("""COMPUTED_VALUE"""),0)</f>
        <v>0</v>
      </c>
      <c r="N291" s="539">
        <f ca="1">IFERROR(__xludf.DUMMYFUNCTION("""COMPUTED_VALUE"""),0)</f>
        <v>0</v>
      </c>
      <c r="O291" s="539">
        <f ca="1">IFERROR(__xludf.DUMMYFUNCTION("""COMPUTED_VALUE"""),0)</f>
        <v>0</v>
      </c>
    </row>
    <row r="292" spans="1:15" ht="12.75">
      <c r="A292" s="539">
        <f ca="1"/>
        <v>286</v>
      </c>
      <c r="B292" s="35" t="str">
        <f ca="1">IFERROR(__xludf.DUMMYFUNCTION("""COMPUTED_VALUE"""),"Tổ Hạ tầng Đức Hòa")</f>
        <v>Tổ Hạ tầng Đức Hòa</v>
      </c>
      <c r="C292" s="35" t="str">
        <f ca="1">IFERROR(__xludf.DUMMYFUNCTION("""COMPUTED_VALUE"""),"Phạm Tiến Dũng")</f>
        <v>Phạm Tiến Dũng</v>
      </c>
      <c r="D292" s="35">
        <f ca="1">IFERROR(__xludf.DUMMYFUNCTION("""COMPUTED_VALUE"""),915907377)</f>
        <v>915907377</v>
      </c>
      <c r="E292" s="35" t="str">
        <f ca="1">IFERROR(__xludf.DUMMYFUNCTION("""COMPUTED_VALUE"""),"dungpt.lan@vnpt.vn")</f>
        <v>dungpt.lan@vnpt.vn</v>
      </c>
      <c r="F292" s="540" t="str">
        <f ca="1">IFERROR(__xludf.DUMMYFUNCTION("""COMPUTED_VALUE"""),"Lần 14")</f>
        <v>Lần 14</v>
      </c>
      <c r="G292" s="278"/>
      <c r="H292" s="35"/>
      <c r="I292" s="35"/>
      <c r="J292" s="541"/>
      <c r="K292" s="541"/>
      <c r="M292" s="539">
        <f ca="1">IFERROR(__xludf.DUMMYFUNCTION("""COMPUTED_VALUE"""),0)</f>
        <v>0</v>
      </c>
      <c r="N292" s="539">
        <f ca="1">IFERROR(__xludf.DUMMYFUNCTION("""COMPUTED_VALUE"""),0)</f>
        <v>0</v>
      </c>
      <c r="O292" s="539">
        <f ca="1">IFERROR(__xludf.DUMMYFUNCTION("""COMPUTED_VALUE"""),0)</f>
        <v>0</v>
      </c>
    </row>
    <row r="293" spans="1:15" ht="12.75">
      <c r="A293" s="539">
        <f ca="1"/>
        <v>287</v>
      </c>
      <c r="B293" s="35" t="str">
        <f ca="1">IFERROR(__xludf.DUMMYFUNCTION("""COMPUTED_VALUE"""),"Tổ Hạ tầng Đức Hòa")</f>
        <v>Tổ Hạ tầng Đức Hòa</v>
      </c>
      <c r="C293" s="35" t="str">
        <f ca="1">IFERROR(__xludf.DUMMYFUNCTION("""COMPUTED_VALUE"""),"Phạm Tiến Dũng")</f>
        <v>Phạm Tiến Dũng</v>
      </c>
      <c r="D293" s="35">
        <f ca="1">IFERROR(__xludf.DUMMYFUNCTION("""COMPUTED_VALUE"""),915907377)</f>
        <v>915907377</v>
      </c>
      <c r="E293" s="35" t="str">
        <f ca="1">IFERROR(__xludf.DUMMYFUNCTION("""COMPUTED_VALUE"""),"dungpt.lan@vnpt.vn")</f>
        <v>dungpt.lan@vnpt.vn</v>
      </c>
      <c r="F293" s="540" t="str">
        <f ca="1">IFERROR(__xludf.DUMMYFUNCTION("""COMPUTED_VALUE"""),"Lần 15")</f>
        <v>Lần 15</v>
      </c>
      <c r="G293" s="278"/>
      <c r="H293" s="35"/>
      <c r="I293" s="35"/>
      <c r="J293" s="541"/>
      <c r="K293" s="541"/>
      <c r="M293" s="539">
        <f ca="1">IFERROR(__xludf.DUMMYFUNCTION("""COMPUTED_VALUE"""),0)</f>
        <v>0</v>
      </c>
      <c r="N293" s="539">
        <f ca="1">IFERROR(__xludf.DUMMYFUNCTION("""COMPUTED_VALUE"""),0)</f>
        <v>0</v>
      </c>
      <c r="O293" s="539">
        <f ca="1">IFERROR(__xludf.DUMMYFUNCTION("""COMPUTED_VALUE"""),0)</f>
        <v>0</v>
      </c>
    </row>
    <row r="294" spans="1:15" ht="12.75">
      <c r="A294" s="539">
        <f ca="1"/>
        <v>288</v>
      </c>
      <c r="B294" s="35" t="str">
        <f ca="1">IFERROR(__xludf.DUMMYFUNCTION("""COMPUTED_VALUE"""),"Tổ Hạ tầng Đức Hòa")</f>
        <v>Tổ Hạ tầng Đức Hòa</v>
      </c>
      <c r="C294" s="35" t="str">
        <f ca="1">IFERROR(__xludf.DUMMYFUNCTION("""COMPUTED_VALUE"""),"Phạm Tiến Dũng")</f>
        <v>Phạm Tiến Dũng</v>
      </c>
      <c r="D294" s="35">
        <f ca="1">IFERROR(__xludf.DUMMYFUNCTION("""COMPUTED_VALUE"""),915907377)</f>
        <v>915907377</v>
      </c>
      <c r="E294" s="35" t="str">
        <f ca="1">IFERROR(__xludf.DUMMYFUNCTION("""COMPUTED_VALUE"""),"dungpt.lan@vnpt.vn")</f>
        <v>dungpt.lan@vnpt.vn</v>
      </c>
      <c r="F294" s="540" t="str">
        <f ca="1">IFERROR(__xludf.DUMMYFUNCTION("""COMPUTED_VALUE"""),"Lần 16")</f>
        <v>Lần 16</v>
      </c>
      <c r="G294" s="278"/>
      <c r="H294" s="35"/>
      <c r="I294" s="35"/>
      <c r="J294" s="541"/>
      <c r="K294" s="541"/>
      <c r="M294" s="539">
        <f ca="1">IFERROR(__xludf.DUMMYFUNCTION("""COMPUTED_VALUE"""),0)</f>
        <v>0</v>
      </c>
      <c r="N294" s="539">
        <f ca="1">IFERROR(__xludf.DUMMYFUNCTION("""COMPUTED_VALUE"""),0)</f>
        <v>0</v>
      </c>
      <c r="O294" s="539">
        <f ca="1">IFERROR(__xludf.DUMMYFUNCTION("""COMPUTED_VALUE"""),0)</f>
        <v>0</v>
      </c>
    </row>
    <row r="295" spans="1:15" ht="12.75">
      <c r="A295" s="539">
        <f ca="1"/>
        <v>289</v>
      </c>
      <c r="B295" s="35" t="str">
        <f ca="1">IFERROR(__xludf.DUMMYFUNCTION("""COMPUTED_VALUE"""),"Tổ Hạ tầng Đức Hòa")</f>
        <v>Tổ Hạ tầng Đức Hòa</v>
      </c>
      <c r="C295" s="35" t="str">
        <f ca="1">IFERROR(__xludf.DUMMYFUNCTION("""COMPUTED_VALUE"""),"Nguyễn Thanh Hùng")</f>
        <v>Nguyễn Thanh Hùng</v>
      </c>
      <c r="D295" s="35">
        <f ca="1">IFERROR(__xludf.DUMMYFUNCTION("""COMPUTED_VALUE"""),945562692)</f>
        <v>945562692</v>
      </c>
      <c r="E295" s="35" t="str">
        <f ca="1">IFERROR(__xludf.DUMMYFUNCTION("""COMPUTED_VALUE"""),"nthung.lan@vnpt.vn")</f>
        <v>nthung.lan@vnpt.vn</v>
      </c>
      <c r="F295" s="540" t="str">
        <f ca="1">IFERROR(__xludf.DUMMYFUNCTION("""COMPUTED_VALUE"""),"Lần 1")</f>
        <v>Lần 1</v>
      </c>
      <c r="G295" s="278">
        <f ca="1">IFERROR(__xludf.DUMMYFUNCTION("""COMPUTED_VALUE"""),46206)</f>
        <v>46206</v>
      </c>
      <c r="H295" s="35">
        <f ca="1">IFERROR(__xludf.DUMMYFUNCTION("""COMPUTED_VALUE"""),72)</f>
        <v>72</v>
      </c>
      <c r="I295" s="35">
        <f ca="1">IFERROR(__xludf.DUMMYFUNCTION("""COMPUTED_VALUE"""),31)</f>
        <v>31</v>
      </c>
      <c r="J295" s="541">
        <f ca="1">IFERROR(__xludf.DUMMYFUNCTION("""COMPUTED_VALUE"""),81)</f>
        <v>81</v>
      </c>
      <c r="K295" s="541">
        <f ca="1">IFERROR(__xludf.DUMMYFUNCTION("""COMPUTED_VALUE"""),39)</f>
        <v>39</v>
      </c>
      <c r="M295" s="539">
        <f ca="1">IFERROR(__xludf.DUMMYFUNCTION("""COMPUTED_VALUE"""),1)</f>
        <v>1</v>
      </c>
      <c r="N295" s="539">
        <f ca="1">IFERROR(__xludf.DUMMYFUNCTION("""COMPUTED_VALUE"""),1)</f>
        <v>1</v>
      </c>
      <c r="O295" s="539">
        <f ca="1">IFERROR(__xludf.DUMMYFUNCTION("""COMPUTED_VALUE"""),0)</f>
        <v>0</v>
      </c>
    </row>
    <row r="296" spans="1:15" ht="12.75">
      <c r="A296" s="539">
        <f ca="1"/>
        <v>290</v>
      </c>
      <c r="B296" s="35" t="str">
        <f ca="1">IFERROR(__xludf.DUMMYFUNCTION("""COMPUTED_VALUE"""),"Tổ Hạ tầng Đức Hòa")</f>
        <v>Tổ Hạ tầng Đức Hòa</v>
      </c>
      <c r="C296" s="35" t="str">
        <f ca="1">IFERROR(__xludf.DUMMYFUNCTION("""COMPUTED_VALUE"""),"Nguyễn Thanh Hùng")</f>
        <v>Nguyễn Thanh Hùng</v>
      </c>
      <c r="D296" s="35">
        <f ca="1">IFERROR(__xludf.DUMMYFUNCTION("""COMPUTED_VALUE"""),945562692)</f>
        <v>945562692</v>
      </c>
      <c r="E296" s="35" t="str">
        <f ca="1">IFERROR(__xludf.DUMMYFUNCTION("""COMPUTED_VALUE"""),"nthung.lan@vnpt.vn")</f>
        <v>nthung.lan@vnpt.vn</v>
      </c>
      <c r="F296" s="540" t="str">
        <f ca="1">IFERROR(__xludf.DUMMYFUNCTION("""COMPUTED_VALUE"""),"Lần 2")</f>
        <v>Lần 2</v>
      </c>
      <c r="G296" s="278">
        <f ca="1">IFERROR(__xludf.DUMMYFUNCTION("""COMPUTED_VALUE"""),46207)</f>
        <v>46207</v>
      </c>
      <c r="H296" s="35">
        <f ca="1">IFERROR(__xludf.DUMMYFUNCTION("""COMPUTED_VALUE"""),89)</f>
        <v>89</v>
      </c>
      <c r="I296" s="35">
        <f ca="1">IFERROR(__xludf.DUMMYFUNCTION("""COMPUTED_VALUE"""),45)</f>
        <v>45</v>
      </c>
      <c r="J296" s="541">
        <f ca="1">IFERROR(__xludf.DUMMYFUNCTION("""COMPUTED_VALUE"""),89)</f>
        <v>89</v>
      </c>
      <c r="K296" s="541">
        <f ca="1">IFERROR(__xludf.DUMMYFUNCTION("""COMPUTED_VALUE"""),38.5)</f>
        <v>38.5</v>
      </c>
      <c r="M296" s="539">
        <f ca="1">IFERROR(__xludf.DUMMYFUNCTION("""COMPUTED_VALUE"""),1)</f>
        <v>1</v>
      </c>
      <c r="N296" s="539">
        <f ca="1">IFERROR(__xludf.DUMMYFUNCTION("""COMPUTED_VALUE"""),1)</f>
        <v>1</v>
      </c>
      <c r="O296" s="539">
        <f ca="1">IFERROR(__xludf.DUMMYFUNCTION("""COMPUTED_VALUE"""),0)</f>
        <v>0</v>
      </c>
    </row>
    <row r="297" spans="1:15" ht="12.75">
      <c r="A297" s="539">
        <f ca="1"/>
        <v>291</v>
      </c>
      <c r="B297" s="35" t="str">
        <f ca="1">IFERROR(__xludf.DUMMYFUNCTION("""COMPUTED_VALUE"""),"Tổ Hạ tầng Đức Hòa")</f>
        <v>Tổ Hạ tầng Đức Hòa</v>
      </c>
      <c r="C297" s="35" t="str">
        <f ca="1">IFERROR(__xludf.DUMMYFUNCTION("""COMPUTED_VALUE"""),"Nguyễn Thanh Hùng")</f>
        <v>Nguyễn Thanh Hùng</v>
      </c>
      <c r="D297" s="35">
        <f ca="1">IFERROR(__xludf.DUMMYFUNCTION("""COMPUTED_VALUE"""),945562692)</f>
        <v>945562692</v>
      </c>
      <c r="E297" s="35" t="str">
        <f ca="1">IFERROR(__xludf.DUMMYFUNCTION("""COMPUTED_VALUE"""),"nthung.lan@vnpt.vn")</f>
        <v>nthung.lan@vnpt.vn</v>
      </c>
      <c r="F297" s="540" t="str">
        <f ca="1">IFERROR(__xludf.DUMMYFUNCTION("""COMPUTED_VALUE"""),"Lần 3")</f>
        <v>Lần 3</v>
      </c>
      <c r="G297" s="278">
        <f ca="1">IFERROR(__xludf.DUMMYFUNCTION("""COMPUTED_VALUE"""),46209)</f>
        <v>46209</v>
      </c>
      <c r="H297" s="35">
        <f ca="1">IFERROR(__xludf.DUMMYFUNCTION("""COMPUTED_VALUE"""),102)</f>
        <v>102</v>
      </c>
      <c r="I297" s="35">
        <f ca="1">IFERROR(__xludf.DUMMYFUNCTION("""COMPUTED_VALUE"""),37)</f>
        <v>37</v>
      </c>
      <c r="J297" s="541">
        <f ca="1">IFERROR(__xludf.DUMMYFUNCTION("""COMPUTED_VALUE"""),75.8)</f>
        <v>75.8</v>
      </c>
      <c r="K297" s="541">
        <f ca="1">IFERROR(__xludf.DUMMYFUNCTION("""COMPUTED_VALUE"""),34.1)</f>
        <v>34.1</v>
      </c>
      <c r="M297" s="539">
        <f ca="1">IFERROR(__xludf.DUMMYFUNCTION("""COMPUTED_VALUE"""),1)</f>
        <v>1</v>
      </c>
      <c r="N297" s="539">
        <f ca="1">IFERROR(__xludf.DUMMYFUNCTION("""COMPUTED_VALUE"""),1)</f>
        <v>1</v>
      </c>
      <c r="O297" s="539">
        <f ca="1">IFERROR(__xludf.DUMMYFUNCTION("""COMPUTED_VALUE"""),0)</f>
        <v>0</v>
      </c>
    </row>
    <row r="298" spans="1:15" ht="12.75">
      <c r="A298" s="539">
        <f ca="1"/>
        <v>292</v>
      </c>
      <c r="B298" s="35" t="str">
        <f ca="1">IFERROR(__xludf.DUMMYFUNCTION("""COMPUTED_VALUE"""),"Tổ Hạ tầng Đức Hòa")</f>
        <v>Tổ Hạ tầng Đức Hòa</v>
      </c>
      <c r="C298" s="35" t="str">
        <f ca="1">IFERROR(__xludf.DUMMYFUNCTION("""COMPUTED_VALUE"""),"Nguyễn Thanh Hùng")</f>
        <v>Nguyễn Thanh Hùng</v>
      </c>
      <c r="D298" s="35">
        <f ca="1">IFERROR(__xludf.DUMMYFUNCTION("""COMPUTED_VALUE"""),945562692)</f>
        <v>945562692</v>
      </c>
      <c r="E298" s="35" t="str">
        <f ca="1">IFERROR(__xludf.DUMMYFUNCTION("""COMPUTED_VALUE"""),"nthung.lan@vnpt.vn")</f>
        <v>nthung.lan@vnpt.vn</v>
      </c>
      <c r="F298" s="540" t="str">
        <f ca="1">IFERROR(__xludf.DUMMYFUNCTION("""COMPUTED_VALUE"""),"Lần 4")</f>
        <v>Lần 4</v>
      </c>
      <c r="G298" s="278">
        <f ca="1">IFERROR(__xludf.DUMMYFUNCTION("""COMPUTED_VALUE"""),46211)</f>
        <v>46211</v>
      </c>
      <c r="H298" s="35">
        <f ca="1">IFERROR(__xludf.DUMMYFUNCTION("""COMPUTED_VALUE"""),76)</f>
        <v>76</v>
      </c>
      <c r="I298" s="35">
        <f ca="1">IFERROR(__xludf.DUMMYFUNCTION("""COMPUTED_VALUE"""),29)</f>
        <v>29</v>
      </c>
      <c r="J298" s="541">
        <f ca="1">IFERROR(__xludf.DUMMYFUNCTION("""COMPUTED_VALUE"""),112)</f>
        <v>112</v>
      </c>
      <c r="K298" s="541">
        <f ca="1">IFERROR(__xludf.DUMMYFUNCTION("""COMPUTED_VALUE"""),42.4)</f>
        <v>42.4</v>
      </c>
      <c r="M298" s="539">
        <f ca="1">IFERROR(__xludf.DUMMYFUNCTION("""COMPUTED_VALUE"""),1)</f>
        <v>1</v>
      </c>
      <c r="N298" s="539">
        <f ca="1">IFERROR(__xludf.DUMMYFUNCTION("""COMPUTED_VALUE"""),1)</f>
        <v>1</v>
      </c>
      <c r="O298" s="539">
        <f ca="1">IFERROR(__xludf.DUMMYFUNCTION("""COMPUTED_VALUE"""),0)</f>
        <v>0</v>
      </c>
    </row>
    <row r="299" spans="1:15" ht="12.75">
      <c r="A299" s="539">
        <f ca="1"/>
        <v>293</v>
      </c>
      <c r="B299" s="35" t="str">
        <f ca="1">IFERROR(__xludf.DUMMYFUNCTION("""COMPUTED_VALUE"""),"Tổ Hạ tầng Đức Hòa")</f>
        <v>Tổ Hạ tầng Đức Hòa</v>
      </c>
      <c r="C299" s="35" t="str">
        <f ca="1">IFERROR(__xludf.DUMMYFUNCTION("""COMPUTED_VALUE"""),"Nguyễn Thanh Hùng")</f>
        <v>Nguyễn Thanh Hùng</v>
      </c>
      <c r="D299" s="35">
        <f ca="1">IFERROR(__xludf.DUMMYFUNCTION("""COMPUTED_VALUE"""),945562692)</f>
        <v>945562692</v>
      </c>
      <c r="E299" s="35" t="str">
        <f ca="1">IFERROR(__xludf.DUMMYFUNCTION("""COMPUTED_VALUE"""),"nthung.lan@vnpt.vn")</f>
        <v>nthung.lan@vnpt.vn</v>
      </c>
      <c r="F299" s="540" t="str">
        <f ca="1">IFERROR(__xludf.DUMMYFUNCTION("""COMPUTED_VALUE"""),"Lần 5")</f>
        <v>Lần 5</v>
      </c>
      <c r="G299" s="278">
        <f ca="1">IFERROR(__xludf.DUMMYFUNCTION("""COMPUTED_VALUE"""),46212)</f>
        <v>46212</v>
      </c>
      <c r="H299" s="35">
        <f ca="1">IFERROR(__xludf.DUMMYFUNCTION("""COMPUTED_VALUE"""),93)</f>
        <v>93</v>
      </c>
      <c r="I299" s="35">
        <f ca="1">IFERROR(__xludf.DUMMYFUNCTION("""COMPUTED_VALUE"""),39)</f>
        <v>39</v>
      </c>
      <c r="J299" s="541">
        <f ca="1">IFERROR(__xludf.DUMMYFUNCTION("""COMPUTED_VALUE"""),101)</f>
        <v>101</v>
      </c>
      <c r="K299" s="541">
        <f ca="1">IFERROR(__xludf.DUMMYFUNCTION("""COMPUTED_VALUE"""),32.4)</f>
        <v>32.4</v>
      </c>
      <c r="M299" s="539">
        <f ca="1">IFERROR(__xludf.DUMMYFUNCTION("""COMPUTED_VALUE"""),1)</f>
        <v>1</v>
      </c>
      <c r="N299" s="539">
        <f ca="1">IFERROR(__xludf.DUMMYFUNCTION("""COMPUTED_VALUE"""),1)</f>
        <v>1</v>
      </c>
      <c r="O299" s="539">
        <f ca="1">IFERROR(__xludf.DUMMYFUNCTION("""COMPUTED_VALUE"""),0)</f>
        <v>0</v>
      </c>
    </row>
    <row r="300" spans="1:15" ht="12.75">
      <c r="A300" s="539">
        <f ca="1"/>
        <v>294</v>
      </c>
      <c r="B300" s="35" t="str">
        <f ca="1">IFERROR(__xludf.DUMMYFUNCTION("""COMPUTED_VALUE"""),"Tổ Hạ tầng Đức Hòa")</f>
        <v>Tổ Hạ tầng Đức Hòa</v>
      </c>
      <c r="C300" s="35" t="str">
        <f ca="1">IFERROR(__xludf.DUMMYFUNCTION("""COMPUTED_VALUE"""),"Nguyễn Thanh Hùng")</f>
        <v>Nguyễn Thanh Hùng</v>
      </c>
      <c r="D300" s="35">
        <f ca="1">IFERROR(__xludf.DUMMYFUNCTION("""COMPUTED_VALUE"""),945562692)</f>
        <v>945562692</v>
      </c>
      <c r="E300" s="35" t="str">
        <f ca="1">IFERROR(__xludf.DUMMYFUNCTION("""COMPUTED_VALUE"""),"nthung.lan@vnpt.vn")</f>
        <v>nthung.lan@vnpt.vn</v>
      </c>
      <c r="F300" s="540" t="str">
        <f ca="1">IFERROR(__xludf.DUMMYFUNCTION("""COMPUTED_VALUE"""),"Lần 6")</f>
        <v>Lần 6</v>
      </c>
      <c r="G300" s="278"/>
      <c r="H300" s="35"/>
      <c r="I300" s="35"/>
      <c r="J300" s="541"/>
      <c r="K300" s="541"/>
      <c r="M300" s="539">
        <f ca="1">IFERROR(__xludf.DUMMYFUNCTION("""COMPUTED_VALUE"""),0)</f>
        <v>0</v>
      </c>
      <c r="N300" s="539">
        <f ca="1">IFERROR(__xludf.DUMMYFUNCTION("""COMPUTED_VALUE"""),0)</f>
        <v>0</v>
      </c>
      <c r="O300" s="539">
        <f ca="1">IFERROR(__xludf.DUMMYFUNCTION("""COMPUTED_VALUE"""),0)</f>
        <v>0</v>
      </c>
    </row>
    <row r="301" spans="1:15" ht="12.75">
      <c r="A301" s="539">
        <f ca="1"/>
        <v>295</v>
      </c>
      <c r="B301" s="35" t="str">
        <f ca="1">IFERROR(__xludf.DUMMYFUNCTION("""COMPUTED_VALUE"""),"Tổ Hạ tầng Đức Hòa")</f>
        <v>Tổ Hạ tầng Đức Hòa</v>
      </c>
      <c r="C301" s="35" t="str">
        <f ca="1">IFERROR(__xludf.DUMMYFUNCTION("""COMPUTED_VALUE"""),"Nguyễn Thanh Hùng")</f>
        <v>Nguyễn Thanh Hùng</v>
      </c>
      <c r="D301" s="35">
        <f ca="1">IFERROR(__xludf.DUMMYFUNCTION("""COMPUTED_VALUE"""),945562692)</f>
        <v>945562692</v>
      </c>
      <c r="E301" s="35" t="str">
        <f ca="1">IFERROR(__xludf.DUMMYFUNCTION("""COMPUTED_VALUE"""),"nthung.lan@vnpt.vn")</f>
        <v>nthung.lan@vnpt.vn</v>
      </c>
      <c r="F301" s="540" t="str">
        <f ca="1">IFERROR(__xludf.DUMMYFUNCTION("""COMPUTED_VALUE"""),"Lần 7")</f>
        <v>Lần 7</v>
      </c>
      <c r="G301" s="278"/>
      <c r="H301" s="35"/>
      <c r="I301" s="35"/>
      <c r="J301" s="541"/>
      <c r="K301" s="541"/>
      <c r="M301" s="539">
        <f ca="1">IFERROR(__xludf.DUMMYFUNCTION("""COMPUTED_VALUE"""),0)</f>
        <v>0</v>
      </c>
      <c r="N301" s="539">
        <f ca="1">IFERROR(__xludf.DUMMYFUNCTION("""COMPUTED_VALUE"""),0)</f>
        <v>0</v>
      </c>
      <c r="O301" s="539">
        <f ca="1">IFERROR(__xludf.DUMMYFUNCTION("""COMPUTED_VALUE"""),0)</f>
        <v>0</v>
      </c>
    </row>
    <row r="302" spans="1:15" ht="12.75">
      <c r="A302" s="539">
        <f ca="1"/>
        <v>296</v>
      </c>
      <c r="B302" s="35" t="str">
        <f ca="1">IFERROR(__xludf.DUMMYFUNCTION("""COMPUTED_VALUE"""),"Tổ Hạ tầng Đức Hòa")</f>
        <v>Tổ Hạ tầng Đức Hòa</v>
      </c>
      <c r="C302" s="35" t="str">
        <f ca="1">IFERROR(__xludf.DUMMYFUNCTION("""COMPUTED_VALUE"""),"Nguyễn Thanh Hùng")</f>
        <v>Nguyễn Thanh Hùng</v>
      </c>
      <c r="D302" s="35">
        <f ca="1">IFERROR(__xludf.DUMMYFUNCTION("""COMPUTED_VALUE"""),945562692)</f>
        <v>945562692</v>
      </c>
      <c r="E302" s="35" t="str">
        <f ca="1">IFERROR(__xludf.DUMMYFUNCTION("""COMPUTED_VALUE"""),"nthung.lan@vnpt.vn")</f>
        <v>nthung.lan@vnpt.vn</v>
      </c>
      <c r="F302" s="540" t="str">
        <f ca="1">IFERROR(__xludf.DUMMYFUNCTION("""COMPUTED_VALUE"""),"Lần 8")</f>
        <v>Lần 8</v>
      </c>
      <c r="G302" s="278"/>
      <c r="H302" s="35"/>
      <c r="I302" s="35"/>
      <c r="J302" s="541"/>
      <c r="K302" s="541"/>
      <c r="M302" s="539">
        <f ca="1">IFERROR(__xludf.DUMMYFUNCTION("""COMPUTED_VALUE"""),0)</f>
        <v>0</v>
      </c>
      <c r="N302" s="539">
        <f ca="1">IFERROR(__xludf.DUMMYFUNCTION("""COMPUTED_VALUE"""),0)</f>
        <v>0</v>
      </c>
      <c r="O302" s="539">
        <f ca="1">IFERROR(__xludf.DUMMYFUNCTION("""COMPUTED_VALUE"""),0)</f>
        <v>0</v>
      </c>
    </row>
    <row r="303" spans="1:15" ht="12.75">
      <c r="A303" s="539">
        <f ca="1"/>
        <v>297</v>
      </c>
      <c r="B303" s="35" t="str">
        <f ca="1">IFERROR(__xludf.DUMMYFUNCTION("""COMPUTED_VALUE"""),"Tổ Hạ tầng Đức Hòa")</f>
        <v>Tổ Hạ tầng Đức Hòa</v>
      </c>
      <c r="C303" s="35" t="str">
        <f ca="1">IFERROR(__xludf.DUMMYFUNCTION("""COMPUTED_VALUE"""),"Nguyễn Thanh Hùng")</f>
        <v>Nguyễn Thanh Hùng</v>
      </c>
      <c r="D303" s="35">
        <f ca="1">IFERROR(__xludf.DUMMYFUNCTION("""COMPUTED_VALUE"""),945562692)</f>
        <v>945562692</v>
      </c>
      <c r="E303" s="35" t="str">
        <f ca="1">IFERROR(__xludf.DUMMYFUNCTION("""COMPUTED_VALUE"""),"nthung.lan@vnpt.vn")</f>
        <v>nthung.lan@vnpt.vn</v>
      </c>
      <c r="F303" s="540" t="str">
        <f ca="1">IFERROR(__xludf.DUMMYFUNCTION("""COMPUTED_VALUE"""),"Lần 9")</f>
        <v>Lần 9</v>
      </c>
      <c r="G303" s="278"/>
      <c r="H303" s="35"/>
      <c r="I303" s="35"/>
      <c r="J303" s="541"/>
      <c r="K303" s="541"/>
      <c r="M303" s="539">
        <f ca="1">IFERROR(__xludf.DUMMYFUNCTION("""COMPUTED_VALUE"""),0)</f>
        <v>0</v>
      </c>
      <c r="N303" s="539">
        <f ca="1">IFERROR(__xludf.DUMMYFUNCTION("""COMPUTED_VALUE"""),0)</f>
        <v>0</v>
      </c>
      <c r="O303" s="539">
        <f ca="1">IFERROR(__xludf.DUMMYFUNCTION("""COMPUTED_VALUE"""),0)</f>
        <v>0</v>
      </c>
    </row>
    <row r="304" spans="1:15" ht="12.75">
      <c r="A304" s="539">
        <f ca="1"/>
        <v>298</v>
      </c>
      <c r="B304" s="35" t="str">
        <f ca="1">IFERROR(__xludf.DUMMYFUNCTION("""COMPUTED_VALUE"""),"Tổ Hạ tầng Đức Hòa")</f>
        <v>Tổ Hạ tầng Đức Hòa</v>
      </c>
      <c r="C304" s="35" t="str">
        <f ca="1">IFERROR(__xludf.DUMMYFUNCTION("""COMPUTED_VALUE"""),"Nguyễn Thanh Hùng")</f>
        <v>Nguyễn Thanh Hùng</v>
      </c>
      <c r="D304" s="35">
        <f ca="1">IFERROR(__xludf.DUMMYFUNCTION("""COMPUTED_VALUE"""),945562692)</f>
        <v>945562692</v>
      </c>
      <c r="E304" s="35" t="str">
        <f ca="1">IFERROR(__xludf.DUMMYFUNCTION("""COMPUTED_VALUE"""),"nthung.lan@vnpt.vn")</f>
        <v>nthung.lan@vnpt.vn</v>
      </c>
      <c r="F304" s="540" t="str">
        <f ca="1">IFERROR(__xludf.DUMMYFUNCTION("""COMPUTED_VALUE"""),"Lần 10")</f>
        <v>Lần 10</v>
      </c>
      <c r="G304" s="278"/>
      <c r="H304" s="35"/>
      <c r="I304" s="35"/>
      <c r="J304" s="541"/>
      <c r="K304" s="541"/>
      <c r="M304" s="539">
        <f ca="1">IFERROR(__xludf.DUMMYFUNCTION("""COMPUTED_VALUE"""),0)</f>
        <v>0</v>
      </c>
      <c r="N304" s="539">
        <f ca="1">IFERROR(__xludf.DUMMYFUNCTION("""COMPUTED_VALUE"""),0)</f>
        <v>0</v>
      </c>
      <c r="O304" s="539">
        <f ca="1">IFERROR(__xludf.DUMMYFUNCTION("""COMPUTED_VALUE"""),0)</f>
        <v>0</v>
      </c>
    </row>
    <row r="305" spans="1:15" ht="12.75">
      <c r="A305" s="539">
        <f ca="1"/>
        <v>299</v>
      </c>
      <c r="B305" s="35" t="str">
        <f ca="1">IFERROR(__xludf.DUMMYFUNCTION("""COMPUTED_VALUE"""),"Tổ Hạ tầng Đức Hòa")</f>
        <v>Tổ Hạ tầng Đức Hòa</v>
      </c>
      <c r="C305" s="35" t="str">
        <f ca="1">IFERROR(__xludf.DUMMYFUNCTION("""COMPUTED_VALUE"""),"Nguyễn Thanh Hùng")</f>
        <v>Nguyễn Thanh Hùng</v>
      </c>
      <c r="D305" s="35">
        <f ca="1">IFERROR(__xludf.DUMMYFUNCTION("""COMPUTED_VALUE"""),945562692)</f>
        <v>945562692</v>
      </c>
      <c r="E305" s="35" t="str">
        <f ca="1">IFERROR(__xludf.DUMMYFUNCTION("""COMPUTED_VALUE"""),"nthung.lan@vnpt.vn")</f>
        <v>nthung.lan@vnpt.vn</v>
      </c>
      <c r="F305" s="540" t="str">
        <f ca="1">IFERROR(__xludf.DUMMYFUNCTION("""COMPUTED_VALUE"""),"Lần 11")</f>
        <v>Lần 11</v>
      </c>
      <c r="G305" s="278"/>
      <c r="H305" s="35"/>
      <c r="I305" s="35"/>
      <c r="J305" s="541"/>
      <c r="K305" s="541"/>
      <c r="M305" s="539">
        <f ca="1">IFERROR(__xludf.DUMMYFUNCTION("""COMPUTED_VALUE"""),0)</f>
        <v>0</v>
      </c>
      <c r="N305" s="539">
        <f ca="1">IFERROR(__xludf.DUMMYFUNCTION("""COMPUTED_VALUE"""),0)</f>
        <v>0</v>
      </c>
      <c r="O305" s="539">
        <f ca="1">IFERROR(__xludf.DUMMYFUNCTION("""COMPUTED_VALUE"""),0)</f>
        <v>0</v>
      </c>
    </row>
    <row r="306" spans="1:15" ht="12.75">
      <c r="A306" s="539">
        <f ca="1"/>
        <v>300</v>
      </c>
      <c r="B306" s="35" t="str">
        <f ca="1">IFERROR(__xludf.DUMMYFUNCTION("""COMPUTED_VALUE"""),"Tổ Hạ tầng Đức Hòa")</f>
        <v>Tổ Hạ tầng Đức Hòa</v>
      </c>
      <c r="C306" s="35" t="str">
        <f ca="1">IFERROR(__xludf.DUMMYFUNCTION("""COMPUTED_VALUE"""),"Nguyễn Thanh Hùng")</f>
        <v>Nguyễn Thanh Hùng</v>
      </c>
      <c r="D306" s="35">
        <f ca="1">IFERROR(__xludf.DUMMYFUNCTION("""COMPUTED_VALUE"""),945562692)</f>
        <v>945562692</v>
      </c>
      <c r="E306" s="35" t="str">
        <f ca="1">IFERROR(__xludf.DUMMYFUNCTION("""COMPUTED_VALUE"""),"nthung.lan@vnpt.vn")</f>
        <v>nthung.lan@vnpt.vn</v>
      </c>
      <c r="F306" s="540" t="str">
        <f ca="1">IFERROR(__xludf.DUMMYFUNCTION("""COMPUTED_VALUE"""),"Lần 12")</f>
        <v>Lần 12</v>
      </c>
      <c r="G306" s="278"/>
      <c r="H306" s="35"/>
      <c r="I306" s="35"/>
      <c r="J306" s="541"/>
      <c r="K306" s="541"/>
      <c r="M306" s="539">
        <f ca="1">IFERROR(__xludf.DUMMYFUNCTION("""COMPUTED_VALUE"""),0)</f>
        <v>0</v>
      </c>
      <c r="N306" s="539">
        <f ca="1">IFERROR(__xludf.DUMMYFUNCTION("""COMPUTED_VALUE"""),0)</f>
        <v>0</v>
      </c>
      <c r="O306" s="539">
        <f ca="1">IFERROR(__xludf.DUMMYFUNCTION("""COMPUTED_VALUE"""),0)</f>
        <v>0</v>
      </c>
    </row>
    <row r="307" spans="1:15" ht="12.75">
      <c r="A307" s="539">
        <f ca="1"/>
        <v>301</v>
      </c>
      <c r="B307" s="35" t="str">
        <f ca="1">IFERROR(__xludf.DUMMYFUNCTION("""COMPUTED_VALUE"""),"Tổ Hạ tầng Đức Hòa")</f>
        <v>Tổ Hạ tầng Đức Hòa</v>
      </c>
      <c r="C307" s="35" t="str">
        <f ca="1">IFERROR(__xludf.DUMMYFUNCTION("""COMPUTED_VALUE"""),"Nguyễn Thanh Hùng")</f>
        <v>Nguyễn Thanh Hùng</v>
      </c>
      <c r="D307" s="35">
        <f ca="1">IFERROR(__xludf.DUMMYFUNCTION("""COMPUTED_VALUE"""),945562692)</f>
        <v>945562692</v>
      </c>
      <c r="E307" s="35" t="str">
        <f ca="1">IFERROR(__xludf.DUMMYFUNCTION("""COMPUTED_VALUE"""),"nthung.lan@vnpt.vn")</f>
        <v>nthung.lan@vnpt.vn</v>
      </c>
      <c r="F307" s="540" t="str">
        <f ca="1">IFERROR(__xludf.DUMMYFUNCTION("""COMPUTED_VALUE"""),"Lần 13")</f>
        <v>Lần 13</v>
      </c>
      <c r="G307" s="278"/>
      <c r="H307" s="35"/>
      <c r="I307" s="35"/>
      <c r="J307" s="35"/>
      <c r="K307" s="35"/>
      <c r="M307" s="539">
        <f ca="1">IFERROR(__xludf.DUMMYFUNCTION("""COMPUTED_VALUE"""),0)</f>
        <v>0</v>
      </c>
      <c r="N307" s="539">
        <f ca="1">IFERROR(__xludf.DUMMYFUNCTION("""COMPUTED_VALUE"""),0)</f>
        <v>0</v>
      </c>
      <c r="O307" s="539">
        <f ca="1">IFERROR(__xludf.DUMMYFUNCTION("""COMPUTED_VALUE"""),0)</f>
        <v>0</v>
      </c>
    </row>
    <row r="308" spans="1:15" ht="12.75">
      <c r="A308" s="539">
        <f ca="1"/>
        <v>302</v>
      </c>
      <c r="B308" s="35" t="str">
        <f ca="1">IFERROR(__xludf.DUMMYFUNCTION("""COMPUTED_VALUE"""),"Tổ Hạ tầng Đức Hòa")</f>
        <v>Tổ Hạ tầng Đức Hòa</v>
      </c>
      <c r="C308" s="35" t="str">
        <f ca="1">IFERROR(__xludf.DUMMYFUNCTION("""COMPUTED_VALUE"""),"Nguyễn Thanh Hùng")</f>
        <v>Nguyễn Thanh Hùng</v>
      </c>
      <c r="D308" s="35">
        <f ca="1">IFERROR(__xludf.DUMMYFUNCTION("""COMPUTED_VALUE"""),945562692)</f>
        <v>945562692</v>
      </c>
      <c r="E308" s="35" t="str">
        <f ca="1">IFERROR(__xludf.DUMMYFUNCTION("""COMPUTED_VALUE"""),"nthung.lan@vnpt.vn")</f>
        <v>nthung.lan@vnpt.vn</v>
      </c>
      <c r="F308" s="540" t="str">
        <f ca="1">IFERROR(__xludf.DUMMYFUNCTION("""COMPUTED_VALUE"""),"Lần 14")</f>
        <v>Lần 14</v>
      </c>
      <c r="G308" s="278"/>
      <c r="H308" s="35"/>
      <c r="I308" s="35"/>
      <c r="J308" s="541"/>
      <c r="K308" s="541"/>
      <c r="M308" s="539">
        <f ca="1">IFERROR(__xludf.DUMMYFUNCTION("""COMPUTED_VALUE"""),0)</f>
        <v>0</v>
      </c>
      <c r="N308" s="539">
        <f ca="1">IFERROR(__xludf.DUMMYFUNCTION("""COMPUTED_VALUE"""),0)</f>
        <v>0</v>
      </c>
      <c r="O308" s="539">
        <f ca="1">IFERROR(__xludf.DUMMYFUNCTION("""COMPUTED_VALUE"""),0)</f>
        <v>0</v>
      </c>
    </row>
    <row r="309" spans="1:15" ht="12.75">
      <c r="A309" s="539">
        <f ca="1"/>
        <v>303</v>
      </c>
      <c r="B309" s="35" t="str">
        <f ca="1">IFERROR(__xludf.DUMMYFUNCTION("""COMPUTED_VALUE"""),"Tổ Hạ tầng Đức Hòa")</f>
        <v>Tổ Hạ tầng Đức Hòa</v>
      </c>
      <c r="C309" s="35" t="str">
        <f ca="1">IFERROR(__xludf.DUMMYFUNCTION("""COMPUTED_VALUE"""),"Nguyễn Thanh Hùng")</f>
        <v>Nguyễn Thanh Hùng</v>
      </c>
      <c r="D309" s="35">
        <f ca="1">IFERROR(__xludf.DUMMYFUNCTION("""COMPUTED_VALUE"""),945562692)</f>
        <v>945562692</v>
      </c>
      <c r="E309" s="35" t="str">
        <f ca="1">IFERROR(__xludf.DUMMYFUNCTION("""COMPUTED_VALUE"""),"nthung.lan@vnpt.vn")</f>
        <v>nthung.lan@vnpt.vn</v>
      </c>
      <c r="F309" s="540" t="str">
        <f ca="1">IFERROR(__xludf.DUMMYFUNCTION("""COMPUTED_VALUE"""),"Lần 15")</f>
        <v>Lần 15</v>
      </c>
      <c r="G309" s="278"/>
      <c r="H309" s="35"/>
      <c r="I309" s="35"/>
      <c r="J309" s="541"/>
      <c r="K309" s="541"/>
      <c r="M309" s="539">
        <f ca="1">IFERROR(__xludf.DUMMYFUNCTION("""COMPUTED_VALUE"""),0)</f>
        <v>0</v>
      </c>
      <c r="N309" s="539">
        <f ca="1">IFERROR(__xludf.DUMMYFUNCTION("""COMPUTED_VALUE"""),0)</f>
        <v>0</v>
      </c>
      <c r="O309" s="539">
        <f ca="1">IFERROR(__xludf.DUMMYFUNCTION("""COMPUTED_VALUE"""),0)</f>
        <v>0</v>
      </c>
    </row>
    <row r="310" spans="1:15" ht="12.75">
      <c r="A310" s="539">
        <f ca="1"/>
        <v>304</v>
      </c>
      <c r="B310" s="35" t="str">
        <f ca="1">IFERROR(__xludf.DUMMYFUNCTION("""COMPUTED_VALUE"""),"Tổ Hạ tầng Đức Hòa")</f>
        <v>Tổ Hạ tầng Đức Hòa</v>
      </c>
      <c r="C310" s="35" t="str">
        <f ca="1">IFERROR(__xludf.DUMMYFUNCTION("""COMPUTED_VALUE"""),"Nguyễn Thanh Hùng")</f>
        <v>Nguyễn Thanh Hùng</v>
      </c>
      <c r="D310" s="35">
        <f ca="1">IFERROR(__xludf.DUMMYFUNCTION("""COMPUTED_VALUE"""),945562692)</f>
        <v>945562692</v>
      </c>
      <c r="E310" s="35" t="str">
        <f ca="1">IFERROR(__xludf.DUMMYFUNCTION("""COMPUTED_VALUE"""),"nthung.lan@vnpt.vn")</f>
        <v>nthung.lan@vnpt.vn</v>
      </c>
      <c r="F310" s="540" t="str">
        <f ca="1">IFERROR(__xludf.DUMMYFUNCTION("""COMPUTED_VALUE"""),"Lần 16")</f>
        <v>Lần 16</v>
      </c>
      <c r="G310" s="278"/>
      <c r="H310" s="35"/>
      <c r="I310" s="35"/>
      <c r="J310" s="541"/>
      <c r="K310" s="541"/>
      <c r="M310" s="539">
        <f ca="1">IFERROR(__xludf.DUMMYFUNCTION("""COMPUTED_VALUE"""),0)</f>
        <v>0</v>
      </c>
      <c r="N310" s="539">
        <f ca="1">IFERROR(__xludf.DUMMYFUNCTION("""COMPUTED_VALUE"""),0)</f>
        <v>0</v>
      </c>
      <c r="O310" s="539">
        <f ca="1">IFERROR(__xludf.DUMMYFUNCTION("""COMPUTED_VALUE"""),0)</f>
        <v>0</v>
      </c>
    </row>
    <row r="311" spans="1:15" ht="12.75">
      <c r="A311" s="539">
        <f ca="1"/>
        <v>305</v>
      </c>
      <c r="B311" s="35" t="str">
        <f ca="1">IFERROR(__xludf.DUMMYFUNCTION("""COMPUTED_VALUE"""),"Tổ Hạ tầng Đức Hòa")</f>
        <v>Tổ Hạ tầng Đức Hòa</v>
      </c>
      <c r="C311" s="35" t="str">
        <f ca="1">IFERROR(__xludf.DUMMYFUNCTION("""COMPUTED_VALUE"""),"Hứa Kế Tường")</f>
        <v>Hứa Kế Tường</v>
      </c>
      <c r="D311" s="35">
        <f ca="1">IFERROR(__xludf.DUMMYFUNCTION("""COMPUTED_VALUE"""),911917719)</f>
        <v>911917719</v>
      </c>
      <c r="E311" s="35" t="str">
        <f ca="1">IFERROR(__xludf.DUMMYFUNCTION("""COMPUTED_VALUE"""),"tuonghk.lan@vnpt.vn")</f>
        <v>tuonghk.lan@vnpt.vn</v>
      </c>
      <c r="F311" s="540" t="str">
        <f ca="1">IFERROR(__xludf.DUMMYFUNCTION("""COMPUTED_VALUE"""),"Lần 1")</f>
        <v>Lần 1</v>
      </c>
      <c r="G311" s="278"/>
      <c r="H311" s="35"/>
      <c r="I311" s="35"/>
      <c r="J311" s="541"/>
      <c r="K311" s="35"/>
      <c r="M311" s="539">
        <f ca="1">IFERROR(__xludf.DUMMYFUNCTION("""COMPUTED_VALUE"""),0)</f>
        <v>0</v>
      </c>
      <c r="N311" s="539">
        <f ca="1">IFERROR(__xludf.DUMMYFUNCTION("""COMPUTED_VALUE"""),0)</f>
        <v>0</v>
      </c>
      <c r="O311" s="539">
        <f ca="1">IFERROR(__xludf.DUMMYFUNCTION("""COMPUTED_VALUE"""),0)</f>
        <v>0</v>
      </c>
    </row>
    <row r="312" spans="1:15" ht="12.75">
      <c r="A312" s="539">
        <f ca="1"/>
        <v>306</v>
      </c>
      <c r="B312" s="35" t="str">
        <f ca="1">IFERROR(__xludf.DUMMYFUNCTION("""COMPUTED_VALUE"""),"Tổ Hạ tầng Đức Hòa")</f>
        <v>Tổ Hạ tầng Đức Hòa</v>
      </c>
      <c r="C312" s="35" t="str">
        <f ca="1">IFERROR(__xludf.DUMMYFUNCTION("""COMPUTED_VALUE"""),"Hứa Kế Tường")</f>
        <v>Hứa Kế Tường</v>
      </c>
      <c r="D312" s="35">
        <f ca="1">IFERROR(__xludf.DUMMYFUNCTION("""COMPUTED_VALUE"""),911917719)</f>
        <v>911917719</v>
      </c>
      <c r="E312" s="35" t="str">
        <f ca="1">IFERROR(__xludf.DUMMYFUNCTION("""COMPUTED_VALUE"""),"tuonghk.lan@vnpt.vn")</f>
        <v>tuonghk.lan@vnpt.vn</v>
      </c>
      <c r="F312" s="540" t="str">
        <f ca="1">IFERROR(__xludf.DUMMYFUNCTION("""COMPUTED_VALUE"""),"Lần 2")</f>
        <v>Lần 2</v>
      </c>
      <c r="G312" s="278"/>
      <c r="H312" s="35"/>
      <c r="I312" s="35"/>
      <c r="J312" s="541"/>
      <c r="K312" s="541"/>
      <c r="M312" s="539">
        <f ca="1">IFERROR(__xludf.DUMMYFUNCTION("""COMPUTED_VALUE"""),0)</f>
        <v>0</v>
      </c>
      <c r="N312" s="539">
        <f ca="1">IFERROR(__xludf.DUMMYFUNCTION("""COMPUTED_VALUE"""),0)</f>
        <v>0</v>
      </c>
      <c r="O312" s="539">
        <f ca="1">IFERROR(__xludf.DUMMYFUNCTION("""COMPUTED_VALUE"""),0)</f>
        <v>0</v>
      </c>
    </row>
    <row r="313" spans="1:15" ht="12.75">
      <c r="A313" s="539">
        <f ca="1"/>
        <v>307</v>
      </c>
      <c r="B313" s="35" t="str">
        <f ca="1">IFERROR(__xludf.DUMMYFUNCTION("""COMPUTED_VALUE"""),"Tổ Hạ tầng Đức Hòa")</f>
        <v>Tổ Hạ tầng Đức Hòa</v>
      </c>
      <c r="C313" s="35" t="str">
        <f ca="1">IFERROR(__xludf.DUMMYFUNCTION("""COMPUTED_VALUE"""),"Hứa Kế Tường")</f>
        <v>Hứa Kế Tường</v>
      </c>
      <c r="D313" s="35">
        <f ca="1">IFERROR(__xludf.DUMMYFUNCTION("""COMPUTED_VALUE"""),911917719)</f>
        <v>911917719</v>
      </c>
      <c r="E313" s="35" t="str">
        <f ca="1">IFERROR(__xludf.DUMMYFUNCTION("""COMPUTED_VALUE"""),"tuonghk.lan@vnpt.vn")</f>
        <v>tuonghk.lan@vnpt.vn</v>
      </c>
      <c r="F313" s="540" t="str">
        <f ca="1">IFERROR(__xludf.DUMMYFUNCTION("""COMPUTED_VALUE"""),"Lần 3")</f>
        <v>Lần 3</v>
      </c>
      <c r="G313" s="278"/>
      <c r="H313" s="35"/>
      <c r="I313" s="35"/>
      <c r="J313" s="541"/>
      <c r="K313" s="35"/>
      <c r="M313" s="539">
        <f ca="1">IFERROR(__xludf.DUMMYFUNCTION("""COMPUTED_VALUE"""),0)</f>
        <v>0</v>
      </c>
      <c r="N313" s="539">
        <f ca="1">IFERROR(__xludf.DUMMYFUNCTION("""COMPUTED_VALUE"""),0)</f>
        <v>0</v>
      </c>
      <c r="O313" s="539">
        <f ca="1">IFERROR(__xludf.DUMMYFUNCTION("""COMPUTED_VALUE"""),0)</f>
        <v>0</v>
      </c>
    </row>
    <row r="314" spans="1:15" ht="12.75">
      <c r="A314" s="539">
        <f ca="1"/>
        <v>308</v>
      </c>
      <c r="B314" s="35" t="str">
        <f ca="1">IFERROR(__xludf.DUMMYFUNCTION("""COMPUTED_VALUE"""),"Tổ Hạ tầng Đức Hòa")</f>
        <v>Tổ Hạ tầng Đức Hòa</v>
      </c>
      <c r="C314" s="35" t="str">
        <f ca="1">IFERROR(__xludf.DUMMYFUNCTION("""COMPUTED_VALUE"""),"Hứa Kế Tường")</f>
        <v>Hứa Kế Tường</v>
      </c>
      <c r="D314" s="35">
        <f ca="1">IFERROR(__xludf.DUMMYFUNCTION("""COMPUTED_VALUE"""),911917719)</f>
        <v>911917719</v>
      </c>
      <c r="E314" s="35" t="str">
        <f ca="1">IFERROR(__xludf.DUMMYFUNCTION("""COMPUTED_VALUE"""),"tuonghk.lan@vnpt.vn")</f>
        <v>tuonghk.lan@vnpt.vn</v>
      </c>
      <c r="F314" s="540" t="str">
        <f ca="1">IFERROR(__xludf.DUMMYFUNCTION("""COMPUTED_VALUE"""),"Lần 4")</f>
        <v>Lần 4</v>
      </c>
      <c r="G314" s="278"/>
      <c r="H314" s="35"/>
      <c r="I314" s="35"/>
      <c r="J314" s="541"/>
      <c r="K314" s="541"/>
      <c r="M314" s="539">
        <f ca="1">IFERROR(__xludf.DUMMYFUNCTION("""COMPUTED_VALUE"""),0)</f>
        <v>0</v>
      </c>
      <c r="N314" s="539">
        <f ca="1">IFERROR(__xludf.DUMMYFUNCTION("""COMPUTED_VALUE"""),0)</f>
        <v>0</v>
      </c>
      <c r="O314" s="539">
        <f ca="1">IFERROR(__xludf.DUMMYFUNCTION("""COMPUTED_VALUE"""),0)</f>
        <v>0</v>
      </c>
    </row>
    <row r="315" spans="1:15" ht="12.75">
      <c r="A315" s="539">
        <f ca="1"/>
        <v>309</v>
      </c>
      <c r="B315" s="35" t="str">
        <f ca="1">IFERROR(__xludf.DUMMYFUNCTION("""COMPUTED_VALUE"""),"Tổ Hạ tầng Đức Hòa")</f>
        <v>Tổ Hạ tầng Đức Hòa</v>
      </c>
      <c r="C315" s="35" t="str">
        <f ca="1">IFERROR(__xludf.DUMMYFUNCTION("""COMPUTED_VALUE"""),"Hứa Kế Tường")</f>
        <v>Hứa Kế Tường</v>
      </c>
      <c r="D315" s="35">
        <f ca="1">IFERROR(__xludf.DUMMYFUNCTION("""COMPUTED_VALUE"""),911917719)</f>
        <v>911917719</v>
      </c>
      <c r="E315" s="35" t="str">
        <f ca="1">IFERROR(__xludf.DUMMYFUNCTION("""COMPUTED_VALUE"""),"tuonghk.lan@vnpt.vn")</f>
        <v>tuonghk.lan@vnpt.vn</v>
      </c>
      <c r="F315" s="540" t="str">
        <f ca="1">IFERROR(__xludf.DUMMYFUNCTION("""COMPUTED_VALUE"""),"Lần 5")</f>
        <v>Lần 5</v>
      </c>
      <c r="G315" s="278"/>
      <c r="H315" s="35"/>
      <c r="I315" s="35"/>
      <c r="J315" s="541"/>
      <c r="K315" s="35"/>
      <c r="M315" s="539">
        <f ca="1">IFERROR(__xludf.DUMMYFUNCTION("""COMPUTED_VALUE"""),0)</f>
        <v>0</v>
      </c>
      <c r="N315" s="539">
        <f ca="1">IFERROR(__xludf.DUMMYFUNCTION("""COMPUTED_VALUE"""),0)</f>
        <v>0</v>
      </c>
      <c r="O315" s="539">
        <f ca="1">IFERROR(__xludf.DUMMYFUNCTION("""COMPUTED_VALUE"""),0)</f>
        <v>0</v>
      </c>
    </row>
    <row r="316" spans="1:15" ht="12.75">
      <c r="A316" s="539">
        <f ca="1"/>
        <v>310</v>
      </c>
      <c r="B316" s="35" t="str">
        <f ca="1">IFERROR(__xludf.DUMMYFUNCTION("""COMPUTED_VALUE"""),"Tổ Hạ tầng Đức Hòa")</f>
        <v>Tổ Hạ tầng Đức Hòa</v>
      </c>
      <c r="C316" s="35" t="str">
        <f ca="1">IFERROR(__xludf.DUMMYFUNCTION("""COMPUTED_VALUE"""),"Hứa Kế Tường")</f>
        <v>Hứa Kế Tường</v>
      </c>
      <c r="D316" s="35">
        <f ca="1">IFERROR(__xludf.DUMMYFUNCTION("""COMPUTED_VALUE"""),911917719)</f>
        <v>911917719</v>
      </c>
      <c r="E316" s="35" t="str">
        <f ca="1">IFERROR(__xludf.DUMMYFUNCTION("""COMPUTED_VALUE"""),"tuonghk.lan@vnpt.vn")</f>
        <v>tuonghk.lan@vnpt.vn</v>
      </c>
      <c r="F316" s="540" t="str">
        <f ca="1">IFERROR(__xludf.DUMMYFUNCTION("""COMPUTED_VALUE"""),"Lần 6")</f>
        <v>Lần 6</v>
      </c>
      <c r="G316" s="278"/>
      <c r="H316" s="35"/>
      <c r="I316" s="35"/>
      <c r="J316" s="541"/>
      <c r="K316" s="541"/>
      <c r="M316" s="539">
        <f ca="1">IFERROR(__xludf.DUMMYFUNCTION("""COMPUTED_VALUE"""),0)</f>
        <v>0</v>
      </c>
      <c r="N316" s="539">
        <f ca="1">IFERROR(__xludf.DUMMYFUNCTION("""COMPUTED_VALUE"""),0)</f>
        <v>0</v>
      </c>
      <c r="O316" s="539">
        <f ca="1">IFERROR(__xludf.DUMMYFUNCTION("""COMPUTED_VALUE"""),0)</f>
        <v>0</v>
      </c>
    </row>
    <row r="317" spans="1:15" ht="12.75">
      <c r="A317" s="539">
        <f ca="1"/>
        <v>311</v>
      </c>
      <c r="B317" s="35" t="str">
        <f ca="1">IFERROR(__xludf.DUMMYFUNCTION("""COMPUTED_VALUE"""),"Tổ Hạ tầng Đức Hòa")</f>
        <v>Tổ Hạ tầng Đức Hòa</v>
      </c>
      <c r="C317" s="35" t="str">
        <f ca="1">IFERROR(__xludf.DUMMYFUNCTION("""COMPUTED_VALUE"""),"Hứa Kế Tường")</f>
        <v>Hứa Kế Tường</v>
      </c>
      <c r="D317" s="35">
        <f ca="1">IFERROR(__xludf.DUMMYFUNCTION("""COMPUTED_VALUE"""),911917719)</f>
        <v>911917719</v>
      </c>
      <c r="E317" s="35" t="str">
        <f ca="1">IFERROR(__xludf.DUMMYFUNCTION("""COMPUTED_VALUE"""),"tuonghk.lan@vnpt.vn")</f>
        <v>tuonghk.lan@vnpt.vn</v>
      </c>
      <c r="F317" s="540" t="str">
        <f ca="1">IFERROR(__xludf.DUMMYFUNCTION("""COMPUTED_VALUE"""),"Lần 7")</f>
        <v>Lần 7</v>
      </c>
      <c r="G317" s="278"/>
      <c r="H317" s="35"/>
      <c r="I317" s="35"/>
      <c r="J317" s="541"/>
      <c r="K317" s="541"/>
      <c r="M317" s="539">
        <f ca="1">IFERROR(__xludf.DUMMYFUNCTION("""COMPUTED_VALUE"""),0)</f>
        <v>0</v>
      </c>
      <c r="N317" s="539">
        <f ca="1">IFERROR(__xludf.DUMMYFUNCTION("""COMPUTED_VALUE"""),0)</f>
        <v>0</v>
      </c>
      <c r="O317" s="539">
        <f ca="1">IFERROR(__xludf.DUMMYFUNCTION("""COMPUTED_VALUE"""),0)</f>
        <v>0</v>
      </c>
    </row>
    <row r="318" spans="1:15" ht="12.75">
      <c r="A318" s="539">
        <f ca="1"/>
        <v>312</v>
      </c>
      <c r="B318" s="35" t="str">
        <f ca="1">IFERROR(__xludf.DUMMYFUNCTION("""COMPUTED_VALUE"""),"Tổ Hạ tầng Đức Hòa")</f>
        <v>Tổ Hạ tầng Đức Hòa</v>
      </c>
      <c r="C318" s="35" t="str">
        <f ca="1">IFERROR(__xludf.DUMMYFUNCTION("""COMPUTED_VALUE"""),"Hứa Kế Tường")</f>
        <v>Hứa Kế Tường</v>
      </c>
      <c r="D318" s="35">
        <f ca="1">IFERROR(__xludf.DUMMYFUNCTION("""COMPUTED_VALUE"""),911917719)</f>
        <v>911917719</v>
      </c>
      <c r="E318" s="35" t="str">
        <f ca="1">IFERROR(__xludf.DUMMYFUNCTION("""COMPUTED_VALUE"""),"tuonghk.lan@vnpt.vn")</f>
        <v>tuonghk.lan@vnpt.vn</v>
      </c>
      <c r="F318" s="540" t="str">
        <f ca="1">IFERROR(__xludf.DUMMYFUNCTION("""COMPUTED_VALUE"""),"Lần 8")</f>
        <v>Lần 8</v>
      </c>
      <c r="G318" s="278"/>
      <c r="H318" s="35"/>
      <c r="I318" s="35"/>
      <c r="J318" s="541"/>
      <c r="K318" s="541"/>
      <c r="M318" s="539">
        <f ca="1">IFERROR(__xludf.DUMMYFUNCTION("""COMPUTED_VALUE"""),0)</f>
        <v>0</v>
      </c>
      <c r="N318" s="539">
        <f ca="1">IFERROR(__xludf.DUMMYFUNCTION("""COMPUTED_VALUE"""),0)</f>
        <v>0</v>
      </c>
      <c r="O318" s="539">
        <f ca="1">IFERROR(__xludf.DUMMYFUNCTION("""COMPUTED_VALUE"""),0)</f>
        <v>0</v>
      </c>
    </row>
    <row r="319" spans="1:15" ht="12.75">
      <c r="A319" s="539">
        <f ca="1"/>
        <v>313</v>
      </c>
      <c r="B319" s="35" t="str">
        <f ca="1">IFERROR(__xludf.DUMMYFUNCTION("""COMPUTED_VALUE"""),"Tổ Hạ tầng Đức Hòa")</f>
        <v>Tổ Hạ tầng Đức Hòa</v>
      </c>
      <c r="C319" s="35" t="str">
        <f ca="1">IFERROR(__xludf.DUMMYFUNCTION("""COMPUTED_VALUE"""),"Hứa Kế Tường")</f>
        <v>Hứa Kế Tường</v>
      </c>
      <c r="D319" s="35">
        <f ca="1">IFERROR(__xludf.DUMMYFUNCTION("""COMPUTED_VALUE"""),911917719)</f>
        <v>911917719</v>
      </c>
      <c r="E319" s="35" t="str">
        <f ca="1">IFERROR(__xludf.DUMMYFUNCTION("""COMPUTED_VALUE"""),"tuonghk.lan@vnpt.vn")</f>
        <v>tuonghk.lan@vnpt.vn</v>
      </c>
      <c r="F319" s="540" t="str">
        <f ca="1">IFERROR(__xludf.DUMMYFUNCTION("""COMPUTED_VALUE"""),"Lần 9")</f>
        <v>Lần 9</v>
      </c>
      <c r="G319" s="278"/>
      <c r="H319" s="35"/>
      <c r="I319" s="35"/>
      <c r="J319" s="541"/>
      <c r="K319" s="541"/>
      <c r="M319" s="539">
        <f ca="1">IFERROR(__xludf.DUMMYFUNCTION("""COMPUTED_VALUE"""),0)</f>
        <v>0</v>
      </c>
      <c r="N319" s="539">
        <f ca="1">IFERROR(__xludf.DUMMYFUNCTION("""COMPUTED_VALUE"""),0)</f>
        <v>0</v>
      </c>
      <c r="O319" s="539">
        <f ca="1">IFERROR(__xludf.DUMMYFUNCTION("""COMPUTED_VALUE"""),0)</f>
        <v>0</v>
      </c>
    </row>
    <row r="320" spans="1:15" ht="12.75">
      <c r="A320" s="539">
        <f ca="1"/>
        <v>314</v>
      </c>
      <c r="B320" s="35" t="str">
        <f ca="1">IFERROR(__xludf.DUMMYFUNCTION("""COMPUTED_VALUE"""),"Tổ Hạ tầng Đức Hòa")</f>
        <v>Tổ Hạ tầng Đức Hòa</v>
      </c>
      <c r="C320" s="35" t="str">
        <f ca="1">IFERROR(__xludf.DUMMYFUNCTION("""COMPUTED_VALUE"""),"Hứa Kế Tường")</f>
        <v>Hứa Kế Tường</v>
      </c>
      <c r="D320" s="35">
        <f ca="1">IFERROR(__xludf.DUMMYFUNCTION("""COMPUTED_VALUE"""),911917719)</f>
        <v>911917719</v>
      </c>
      <c r="E320" s="35" t="str">
        <f ca="1">IFERROR(__xludf.DUMMYFUNCTION("""COMPUTED_VALUE"""),"tuonghk.lan@vnpt.vn")</f>
        <v>tuonghk.lan@vnpt.vn</v>
      </c>
      <c r="F320" s="540" t="str">
        <f ca="1">IFERROR(__xludf.DUMMYFUNCTION("""COMPUTED_VALUE"""),"Lần 10")</f>
        <v>Lần 10</v>
      </c>
      <c r="G320" s="278"/>
      <c r="H320" s="35"/>
      <c r="I320" s="35"/>
      <c r="J320" s="541"/>
      <c r="K320" s="541"/>
      <c r="M320" s="539">
        <f ca="1">IFERROR(__xludf.DUMMYFUNCTION("""COMPUTED_VALUE"""),0)</f>
        <v>0</v>
      </c>
      <c r="N320" s="539">
        <f ca="1">IFERROR(__xludf.DUMMYFUNCTION("""COMPUTED_VALUE"""),0)</f>
        <v>0</v>
      </c>
      <c r="O320" s="539">
        <f ca="1">IFERROR(__xludf.DUMMYFUNCTION("""COMPUTED_VALUE"""),0)</f>
        <v>0</v>
      </c>
    </row>
    <row r="321" spans="1:15" ht="12.75">
      <c r="A321" s="539">
        <f ca="1"/>
        <v>315</v>
      </c>
      <c r="B321" s="35" t="str">
        <f ca="1">IFERROR(__xludf.DUMMYFUNCTION("""COMPUTED_VALUE"""),"Tổ Hạ tầng Đức Hòa")</f>
        <v>Tổ Hạ tầng Đức Hòa</v>
      </c>
      <c r="C321" s="35" t="str">
        <f ca="1">IFERROR(__xludf.DUMMYFUNCTION("""COMPUTED_VALUE"""),"Hứa Kế Tường")</f>
        <v>Hứa Kế Tường</v>
      </c>
      <c r="D321" s="35">
        <f ca="1">IFERROR(__xludf.DUMMYFUNCTION("""COMPUTED_VALUE"""),911917719)</f>
        <v>911917719</v>
      </c>
      <c r="E321" s="35" t="str">
        <f ca="1">IFERROR(__xludf.DUMMYFUNCTION("""COMPUTED_VALUE"""),"tuonghk.lan@vnpt.vn")</f>
        <v>tuonghk.lan@vnpt.vn</v>
      </c>
      <c r="F321" s="540" t="str">
        <f ca="1">IFERROR(__xludf.DUMMYFUNCTION("""COMPUTED_VALUE"""),"Lần 11")</f>
        <v>Lần 11</v>
      </c>
      <c r="G321" s="278"/>
      <c r="H321" s="35"/>
      <c r="I321" s="35"/>
      <c r="J321" s="541"/>
      <c r="K321" s="541"/>
      <c r="M321" s="539">
        <f ca="1">IFERROR(__xludf.DUMMYFUNCTION("""COMPUTED_VALUE"""),0)</f>
        <v>0</v>
      </c>
      <c r="N321" s="539">
        <f ca="1">IFERROR(__xludf.DUMMYFUNCTION("""COMPUTED_VALUE"""),0)</f>
        <v>0</v>
      </c>
      <c r="O321" s="539">
        <f ca="1">IFERROR(__xludf.DUMMYFUNCTION("""COMPUTED_VALUE"""),0)</f>
        <v>0</v>
      </c>
    </row>
    <row r="322" spans="1:15" ht="12.75">
      <c r="A322" s="539">
        <f ca="1"/>
        <v>316</v>
      </c>
      <c r="B322" s="35" t="str">
        <f ca="1">IFERROR(__xludf.DUMMYFUNCTION("""COMPUTED_VALUE"""),"Tổ Hạ tầng Đức Hòa")</f>
        <v>Tổ Hạ tầng Đức Hòa</v>
      </c>
      <c r="C322" s="35" t="str">
        <f ca="1">IFERROR(__xludf.DUMMYFUNCTION("""COMPUTED_VALUE"""),"Hứa Kế Tường")</f>
        <v>Hứa Kế Tường</v>
      </c>
      <c r="D322" s="35">
        <f ca="1">IFERROR(__xludf.DUMMYFUNCTION("""COMPUTED_VALUE"""),911917719)</f>
        <v>911917719</v>
      </c>
      <c r="E322" s="35" t="str">
        <f ca="1">IFERROR(__xludf.DUMMYFUNCTION("""COMPUTED_VALUE"""),"tuonghk.lan@vnpt.vn")</f>
        <v>tuonghk.lan@vnpt.vn</v>
      </c>
      <c r="F322" s="540" t="str">
        <f ca="1">IFERROR(__xludf.DUMMYFUNCTION("""COMPUTED_VALUE"""),"Lần 12")</f>
        <v>Lần 12</v>
      </c>
      <c r="G322" s="278"/>
      <c r="H322" s="35"/>
      <c r="I322" s="35"/>
      <c r="J322" s="541"/>
      <c r="K322" s="541"/>
      <c r="M322" s="539">
        <f ca="1">IFERROR(__xludf.DUMMYFUNCTION("""COMPUTED_VALUE"""),0)</f>
        <v>0</v>
      </c>
      <c r="N322" s="539">
        <f ca="1">IFERROR(__xludf.DUMMYFUNCTION("""COMPUTED_VALUE"""),0)</f>
        <v>0</v>
      </c>
      <c r="O322" s="539">
        <f ca="1">IFERROR(__xludf.DUMMYFUNCTION("""COMPUTED_VALUE"""),0)</f>
        <v>0</v>
      </c>
    </row>
    <row r="323" spans="1:15" ht="12.75">
      <c r="A323" s="539">
        <f ca="1"/>
        <v>317</v>
      </c>
      <c r="B323" s="35" t="str">
        <f ca="1">IFERROR(__xludf.DUMMYFUNCTION("""COMPUTED_VALUE"""),"Tổ Hạ tầng Đức Hòa")</f>
        <v>Tổ Hạ tầng Đức Hòa</v>
      </c>
      <c r="C323" s="35" t="str">
        <f ca="1">IFERROR(__xludf.DUMMYFUNCTION("""COMPUTED_VALUE"""),"Hứa Kế Tường")</f>
        <v>Hứa Kế Tường</v>
      </c>
      <c r="D323" s="35">
        <f ca="1">IFERROR(__xludf.DUMMYFUNCTION("""COMPUTED_VALUE"""),911917719)</f>
        <v>911917719</v>
      </c>
      <c r="E323" s="35" t="str">
        <f ca="1">IFERROR(__xludf.DUMMYFUNCTION("""COMPUTED_VALUE"""),"tuonghk.lan@vnpt.vn")</f>
        <v>tuonghk.lan@vnpt.vn</v>
      </c>
      <c r="F323" s="540" t="str">
        <f ca="1">IFERROR(__xludf.DUMMYFUNCTION("""COMPUTED_VALUE"""),"Lần 13")</f>
        <v>Lần 13</v>
      </c>
      <c r="G323" s="278"/>
      <c r="H323" s="35"/>
      <c r="I323" s="35"/>
      <c r="J323" s="541"/>
      <c r="K323" s="35"/>
      <c r="M323" s="539">
        <f ca="1">IFERROR(__xludf.DUMMYFUNCTION("""COMPUTED_VALUE"""),0)</f>
        <v>0</v>
      </c>
      <c r="N323" s="539">
        <f ca="1">IFERROR(__xludf.DUMMYFUNCTION("""COMPUTED_VALUE"""),0)</f>
        <v>0</v>
      </c>
      <c r="O323" s="539">
        <f ca="1">IFERROR(__xludf.DUMMYFUNCTION("""COMPUTED_VALUE"""),0)</f>
        <v>0</v>
      </c>
    </row>
    <row r="324" spans="1:15" ht="12.75">
      <c r="A324" s="539">
        <f ca="1"/>
        <v>318</v>
      </c>
      <c r="B324" s="35" t="str">
        <f ca="1">IFERROR(__xludf.DUMMYFUNCTION("""COMPUTED_VALUE"""),"Tổ Hạ tầng Đức Hòa")</f>
        <v>Tổ Hạ tầng Đức Hòa</v>
      </c>
      <c r="C324" s="35" t="str">
        <f ca="1">IFERROR(__xludf.DUMMYFUNCTION("""COMPUTED_VALUE"""),"Hứa Kế Tường")</f>
        <v>Hứa Kế Tường</v>
      </c>
      <c r="D324" s="35">
        <f ca="1">IFERROR(__xludf.DUMMYFUNCTION("""COMPUTED_VALUE"""),911917719)</f>
        <v>911917719</v>
      </c>
      <c r="E324" s="35" t="str">
        <f ca="1">IFERROR(__xludf.DUMMYFUNCTION("""COMPUTED_VALUE"""),"tuonghk.lan@vnpt.vn")</f>
        <v>tuonghk.lan@vnpt.vn</v>
      </c>
      <c r="F324" s="540" t="str">
        <f ca="1">IFERROR(__xludf.DUMMYFUNCTION("""COMPUTED_VALUE"""),"Lần 14")</f>
        <v>Lần 14</v>
      </c>
      <c r="G324" s="278"/>
      <c r="H324" s="35"/>
      <c r="I324" s="35"/>
      <c r="J324" s="541"/>
      <c r="K324" s="541"/>
      <c r="M324" s="539">
        <f ca="1">IFERROR(__xludf.DUMMYFUNCTION("""COMPUTED_VALUE"""),0)</f>
        <v>0</v>
      </c>
      <c r="N324" s="539">
        <f ca="1">IFERROR(__xludf.DUMMYFUNCTION("""COMPUTED_VALUE"""),0)</f>
        <v>0</v>
      </c>
      <c r="O324" s="539">
        <f ca="1">IFERROR(__xludf.DUMMYFUNCTION("""COMPUTED_VALUE"""),0)</f>
        <v>0</v>
      </c>
    </row>
    <row r="325" spans="1:15" ht="12.75">
      <c r="A325" s="539">
        <f ca="1"/>
        <v>319</v>
      </c>
      <c r="B325" s="35" t="str">
        <f ca="1">IFERROR(__xludf.DUMMYFUNCTION("""COMPUTED_VALUE"""),"Tổ Hạ tầng Đức Hòa")</f>
        <v>Tổ Hạ tầng Đức Hòa</v>
      </c>
      <c r="C325" s="35" t="str">
        <f ca="1">IFERROR(__xludf.DUMMYFUNCTION("""COMPUTED_VALUE"""),"Hứa Kế Tường")</f>
        <v>Hứa Kế Tường</v>
      </c>
      <c r="D325" s="35">
        <f ca="1">IFERROR(__xludf.DUMMYFUNCTION("""COMPUTED_VALUE"""),911917719)</f>
        <v>911917719</v>
      </c>
      <c r="E325" s="35" t="str">
        <f ca="1">IFERROR(__xludf.DUMMYFUNCTION("""COMPUTED_VALUE"""),"tuonghk.lan@vnpt.vn")</f>
        <v>tuonghk.lan@vnpt.vn</v>
      </c>
      <c r="F325" s="540" t="str">
        <f ca="1">IFERROR(__xludf.DUMMYFUNCTION("""COMPUTED_VALUE"""),"Lần 15")</f>
        <v>Lần 15</v>
      </c>
      <c r="G325" s="278"/>
      <c r="H325" s="35"/>
      <c r="I325" s="35"/>
      <c r="J325" s="541"/>
      <c r="K325" s="541"/>
      <c r="M325" s="539">
        <f ca="1">IFERROR(__xludf.DUMMYFUNCTION("""COMPUTED_VALUE"""),0)</f>
        <v>0</v>
      </c>
      <c r="N325" s="539">
        <f ca="1">IFERROR(__xludf.DUMMYFUNCTION("""COMPUTED_VALUE"""),0)</f>
        <v>0</v>
      </c>
      <c r="O325" s="539">
        <f ca="1">IFERROR(__xludf.DUMMYFUNCTION("""COMPUTED_VALUE"""),0)</f>
        <v>0</v>
      </c>
    </row>
    <row r="326" spans="1:15" ht="12.75">
      <c r="A326" s="539">
        <f ca="1"/>
        <v>320</v>
      </c>
      <c r="B326" s="35" t="str">
        <f ca="1">IFERROR(__xludf.DUMMYFUNCTION("""COMPUTED_VALUE"""),"Tổ Hạ tầng Đức Hòa")</f>
        <v>Tổ Hạ tầng Đức Hòa</v>
      </c>
      <c r="C326" s="35" t="str">
        <f ca="1">IFERROR(__xludf.DUMMYFUNCTION("""COMPUTED_VALUE"""),"Hứa Kế Tường")</f>
        <v>Hứa Kế Tường</v>
      </c>
      <c r="D326" s="35">
        <f ca="1">IFERROR(__xludf.DUMMYFUNCTION("""COMPUTED_VALUE"""),911917719)</f>
        <v>911917719</v>
      </c>
      <c r="E326" s="35" t="str">
        <f ca="1">IFERROR(__xludf.DUMMYFUNCTION("""COMPUTED_VALUE"""),"tuonghk.lan@vnpt.vn")</f>
        <v>tuonghk.lan@vnpt.vn</v>
      </c>
      <c r="F326" s="540" t="str">
        <f ca="1">IFERROR(__xludf.DUMMYFUNCTION("""COMPUTED_VALUE"""),"Lần 16")</f>
        <v>Lần 16</v>
      </c>
      <c r="G326" s="278"/>
      <c r="H326" s="35"/>
      <c r="I326" s="35"/>
      <c r="J326" s="35"/>
      <c r="K326" s="541"/>
      <c r="M326" s="539">
        <f ca="1">IFERROR(__xludf.DUMMYFUNCTION("""COMPUTED_VALUE"""),0)</f>
        <v>0</v>
      </c>
      <c r="N326" s="539">
        <f ca="1">IFERROR(__xludf.DUMMYFUNCTION("""COMPUTED_VALUE"""),0)</f>
        <v>0</v>
      </c>
      <c r="O326" s="539">
        <f ca="1">IFERROR(__xludf.DUMMYFUNCTION("""COMPUTED_VALUE"""),0)</f>
        <v>0</v>
      </c>
    </row>
    <row r="327" spans="1:15" ht="12.75">
      <c r="A327" s="539">
        <f ca="1"/>
        <v>321</v>
      </c>
      <c r="B327" s="35" t="str">
        <f ca="1">IFERROR(__xludf.DUMMYFUNCTION("""COMPUTED_VALUE"""),"Tổ Hạ tầng Đức Hòa")</f>
        <v>Tổ Hạ tầng Đức Hòa</v>
      </c>
      <c r="C327" s="35" t="str">
        <f ca="1">IFERROR(__xludf.DUMMYFUNCTION("""COMPUTED_VALUE"""),"Lại Quang Vinh")</f>
        <v>Lại Quang Vinh</v>
      </c>
      <c r="D327" s="35">
        <f ca="1">IFERROR(__xludf.DUMMYFUNCTION("""COMPUTED_VALUE"""),912223973)</f>
        <v>912223973</v>
      </c>
      <c r="E327" s="35" t="str">
        <f ca="1">IFERROR(__xludf.DUMMYFUNCTION("""COMPUTED_VALUE"""),"vinhlq.lan@vnpt.vn")</f>
        <v>vinhlq.lan@vnpt.vn</v>
      </c>
      <c r="F327" s="540" t="str">
        <f ca="1">IFERROR(__xludf.DUMMYFUNCTION("""COMPUTED_VALUE"""),"Lần 1")</f>
        <v>Lần 1</v>
      </c>
      <c r="G327" s="278"/>
      <c r="H327" s="541"/>
      <c r="I327" s="541"/>
      <c r="J327" s="541"/>
      <c r="K327" s="541"/>
      <c r="M327" s="539">
        <f ca="1">IFERROR(__xludf.DUMMYFUNCTION("""COMPUTED_VALUE"""),0)</f>
        <v>0</v>
      </c>
      <c r="N327" s="539">
        <f ca="1">IFERROR(__xludf.DUMMYFUNCTION("""COMPUTED_VALUE"""),0)</f>
        <v>0</v>
      </c>
      <c r="O327" s="539">
        <f ca="1">IFERROR(__xludf.DUMMYFUNCTION("""COMPUTED_VALUE"""),0)</f>
        <v>0</v>
      </c>
    </row>
    <row r="328" spans="1:15" ht="12.75">
      <c r="A328" s="539">
        <f ca="1"/>
        <v>322</v>
      </c>
      <c r="B328" s="35" t="str">
        <f ca="1">IFERROR(__xludf.DUMMYFUNCTION("""COMPUTED_VALUE"""),"Tổ Hạ tầng Đức Hòa")</f>
        <v>Tổ Hạ tầng Đức Hòa</v>
      </c>
      <c r="C328" s="35" t="str">
        <f ca="1">IFERROR(__xludf.DUMMYFUNCTION("""COMPUTED_VALUE"""),"Lại Quang Vinh")</f>
        <v>Lại Quang Vinh</v>
      </c>
      <c r="D328" s="35">
        <f ca="1">IFERROR(__xludf.DUMMYFUNCTION("""COMPUTED_VALUE"""),912223973)</f>
        <v>912223973</v>
      </c>
      <c r="E328" s="35" t="str">
        <f ca="1">IFERROR(__xludf.DUMMYFUNCTION("""COMPUTED_VALUE"""),"vinhlq.lan@vnpt.vn")</f>
        <v>vinhlq.lan@vnpt.vn</v>
      </c>
      <c r="F328" s="540" t="str">
        <f ca="1">IFERROR(__xludf.DUMMYFUNCTION("""COMPUTED_VALUE"""),"Lần 2")</f>
        <v>Lần 2</v>
      </c>
      <c r="G328" s="278"/>
      <c r="H328" s="541"/>
      <c r="I328" s="541"/>
      <c r="J328" s="541"/>
      <c r="K328" s="541"/>
      <c r="M328" s="539">
        <f ca="1">IFERROR(__xludf.DUMMYFUNCTION("""COMPUTED_VALUE"""),0)</f>
        <v>0</v>
      </c>
      <c r="N328" s="539">
        <f ca="1">IFERROR(__xludf.DUMMYFUNCTION("""COMPUTED_VALUE"""),0)</f>
        <v>0</v>
      </c>
      <c r="O328" s="539">
        <f ca="1">IFERROR(__xludf.DUMMYFUNCTION("""COMPUTED_VALUE"""),0)</f>
        <v>0</v>
      </c>
    </row>
    <row r="329" spans="1:15" ht="12.75">
      <c r="A329" s="539">
        <f ca="1"/>
        <v>323</v>
      </c>
      <c r="B329" s="35" t="str">
        <f ca="1">IFERROR(__xludf.DUMMYFUNCTION("""COMPUTED_VALUE"""),"Tổ Hạ tầng Đức Hòa")</f>
        <v>Tổ Hạ tầng Đức Hòa</v>
      </c>
      <c r="C329" s="35" t="str">
        <f ca="1">IFERROR(__xludf.DUMMYFUNCTION("""COMPUTED_VALUE"""),"Lại Quang Vinh")</f>
        <v>Lại Quang Vinh</v>
      </c>
      <c r="D329" s="35">
        <f ca="1">IFERROR(__xludf.DUMMYFUNCTION("""COMPUTED_VALUE"""),912223973)</f>
        <v>912223973</v>
      </c>
      <c r="E329" s="35" t="str">
        <f ca="1">IFERROR(__xludf.DUMMYFUNCTION("""COMPUTED_VALUE"""),"vinhlq.lan@vnpt.vn")</f>
        <v>vinhlq.lan@vnpt.vn</v>
      </c>
      <c r="F329" s="540" t="str">
        <f ca="1">IFERROR(__xludf.DUMMYFUNCTION("""COMPUTED_VALUE"""),"Lần 3")</f>
        <v>Lần 3</v>
      </c>
      <c r="G329" s="278"/>
      <c r="H329" s="541"/>
      <c r="I329" s="541"/>
      <c r="J329" s="541"/>
      <c r="K329" s="541"/>
      <c r="M329" s="539">
        <f ca="1">IFERROR(__xludf.DUMMYFUNCTION("""COMPUTED_VALUE"""),0)</f>
        <v>0</v>
      </c>
      <c r="N329" s="539">
        <f ca="1">IFERROR(__xludf.DUMMYFUNCTION("""COMPUTED_VALUE"""),0)</f>
        <v>0</v>
      </c>
      <c r="O329" s="539">
        <f ca="1">IFERROR(__xludf.DUMMYFUNCTION("""COMPUTED_VALUE"""),0)</f>
        <v>0</v>
      </c>
    </row>
    <row r="330" spans="1:15" ht="12.75">
      <c r="A330" s="539">
        <f ca="1"/>
        <v>324</v>
      </c>
      <c r="B330" s="35" t="str">
        <f ca="1">IFERROR(__xludf.DUMMYFUNCTION("""COMPUTED_VALUE"""),"Tổ Hạ tầng Đức Hòa")</f>
        <v>Tổ Hạ tầng Đức Hòa</v>
      </c>
      <c r="C330" s="35" t="str">
        <f ca="1">IFERROR(__xludf.DUMMYFUNCTION("""COMPUTED_VALUE"""),"Lại Quang Vinh")</f>
        <v>Lại Quang Vinh</v>
      </c>
      <c r="D330" s="35">
        <f ca="1">IFERROR(__xludf.DUMMYFUNCTION("""COMPUTED_VALUE"""),912223973)</f>
        <v>912223973</v>
      </c>
      <c r="E330" s="35" t="str">
        <f ca="1">IFERROR(__xludf.DUMMYFUNCTION("""COMPUTED_VALUE"""),"vinhlq.lan@vnpt.vn")</f>
        <v>vinhlq.lan@vnpt.vn</v>
      </c>
      <c r="F330" s="540" t="str">
        <f ca="1">IFERROR(__xludf.DUMMYFUNCTION("""COMPUTED_VALUE"""),"Lần 4")</f>
        <v>Lần 4</v>
      </c>
      <c r="G330" s="278"/>
      <c r="H330" s="541"/>
      <c r="I330" s="541"/>
      <c r="J330" s="541"/>
      <c r="K330" s="541"/>
      <c r="M330" s="539">
        <f ca="1">IFERROR(__xludf.DUMMYFUNCTION("""COMPUTED_VALUE"""),0)</f>
        <v>0</v>
      </c>
      <c r="N330" s="539">
        <f ca="1">IFERROR(__xludf.DUMMYFUNCTION("""COMPUTED_VALUE"""),0)</f>
        <v>0</v>
      </c>
      <c r="O330" s="539">
        <f ca="1">IFERROR(__xludf.DUMMYFUNCTION("""COMPUTED_VALUE"""),0)</f>
        <v>0</v>
      </c>
    </row>
    <row r="331" spans="1:15" ht="12.75">
      <c r="A331" s="539">
        <f ca="1"/>
        <v>325</v>
      </c>
      <c r="B331" s="35" t="str">
        <f ca="1">IFERROR(__xludf.DUMMYFUNCTION("""COMPUTED_VALUE"""),"Tổ Hạ tầng Đức Hòa")</f>
        <v>Tổ Hạ tầng Đức Hòa</v>
      </c>
      <c r="C331" s="35" t="str">
        <f ca="1">IFERROR(__xludf.DUMMYFUNCTION("""COMPUTED_VALUE"""),"Lại Quang Vinh")</f>
        <v>Lại Quang Vinh</v>
      </c>
      <c r="D331" s="35">
        <f ca="1">IFERROR(__xludf.DUMMYFUNCTION("""COMPUTED_VALUE"""),912223973)</f>
        <v>912223973</v>
      </c>
      <c r="E331" s="35" t="str">
        <f ca="1">IFERROR(__xludf.DUMMYFUNCTION("""COMPUTED_VALUE"""),"vinhlq.lan@vnpt.vn")</f>
        <v>vinhlq.lan@vnpt.vn</v>
      </c>
      <c r="F331" s="540" t="str">
        <f ca="1">IFERROR(__xludf.DUMMYFUNCTION("""COMPUTED_VALUE"""),"Lần 5")</f>
        <v>Lần 5</v>
      </c>
      <c r="G331" s="278"/>
      <c r="H331" s="541"/>
      <c r="I331" s="541"/>
      <c r="J331" s="541"/>
      <c r="K331" s="541"/>
      <c r="M331" s="539">
        <f ca="1">IFERROR(__xludf.DUMMYFUNCTION("""COMPUTED_VALUE"""),0)</f>
        <v>0</v>
      </c>
      <c r="N331" s="539">
        <f ca="1">IFERROR(__xludf.DUMMYFUNCTION("""COMPUTED_VALUE"""),0)</f>
        <v>0</v>
      </c>
      <c r="O331" s="539">
        <f ca="1">IFERROR(__xludf.DUMMYFUNCTION("""COMPUTED_VALUE"""),0)</f>
        <v>0</v>
      </c>
    </row>
    <row r="332" spans="1:15" ht="12.75">
      <c r="A332" s="539">
        <f ca="1"/>
        <v>326</v>
      </c>
      <c r="B332" s="35" t="str">
        <f ca="1">IFERROR(__xludf.DUMMYFUNCTION("""COMPUTED_VALUE"""),"Tổ Hạ tầng Đức Hòa")</f>
        <v>Tổ Hạ tầng Đức Hòa</v>
      </c>
      <c r="C332" s="35" t="str">
        <f ca="1">IFERROR(__xludf.DUMMYFUNCTION("""COMPUTED_VALUE"""),"Lại Quang Vinh")</f>
        <v>Lại Quang Vinh</v>
      </c>
      <c r="D332" s="35">
        <f ca="1">IFERROR(__xludf.DUMMYFUNCTION("""COMPUTED_VALUE"""),912223973)</f>
        <v>912223973</v>
      </c>
      <c r="E332" s="35" t="str">
        <f ca="1">IFERROR(__xludf.DUMMYFUNCTION("""COMPUTED_VALUE"""),"vinhlq.lan@vnpt.vn")</f>
        <v>vinhlq.lan@vnpt.vn</v>
      </c>
      <c r="F332" s="540" t="str">
        <f ca="1">IFERROR(__xludf.DUMMYFUNCTION("""COMPUTED_VALUE"""),"Lần 6")</f>
        <v>Lần 6</v>
      </c>
      <c r="G332" s="278"/>
      <c r="H332" s="541"/>
      <c r="I332" s="541"/>
      <c r="J332" s="541"/>
      <c r="K332" s="541"/>
      <c r="M332" s="539">
        <f ca="1">IFERROR(__xludf.DUMMYFUNCTION("""COMPUTED_VALUE"""),0)</f>
        <v>0</v>
      </c>
      <c r="N332" s="539">
        <f ca="1">IFERROR(__xludf.DUMMYFUNCTION("""COMPUTED_VALUE"""),0)</f>
        <v>0</v>
      </c>
      <c r="O332" s="539">
        <f ca="1">IFERROR(__xludf.DUMMYFUNCTION("""COMPUTED_VALUE"""),0)</f>
        <v>0</v>
      </c>
    </row>
    <row r="333" spans="1:15" ht="12.75">
      <c r="A333" s="539">
        <f ca="1"/>
        <v>327</v>
      </c>
      <c r="B333" s="35" t="str">
        <f ca="1">IFERROR(__xludf.DUMMYFUNCTION("""COMPUTED_VALUE"""),"Tổ Hạ tầng Đức Hòa")</f>
        <v>Tổ Hạ tầng Đức Hòa</v>
      </c>
      <c r="C333" s="35" t="str">
        <f ca="1">IFERROR(__xludf.DUMMYFUNCTION("""COMPUTED_VALUE"""),"Lại Quang Vinh")</f>
        <v>Lại Quang Vinh</v>
      </c>
      <c r="D333" s="35">
        <f ca="1">IFERROR(__xludf.DUMMYFUNCTION("""COMPUTED_VALUE"""),912223973)</f>
        <v>912223973</v>
      </c>
      <c r="E333" s="35" t="str">
        <f ca="1">IFERROR(__xludf.DUMMYFUNCTION("""COMPUTED_VALUE"""),"vinhlq.lan@vnpt.vn")</f>
        <v>vinhlq.lan@vnpt.vn</v>
      </c>
      <c r="F333" s="540" t="str">
        <f ca="1">IFERROR(__xludf.DUMMYFUNCTION("""COMPUTED_VALUE"""),"Lần 7")</f>
        <v>Lần 7</v>
      </c>
      <c r="G333" s="278"/>
      <c r="H333" s="541"/>
      <c r="I333" s="541"/>
      <c r="J333" s="541"/>
      <c r="K333" s="541"/>
      <c r="M333" s="539">
        <f ca="1">IFERROR(__xludf.DUMMYFUNCTION("""COMPUTED_VALUE"""),0)</f>
        <v>0</v>
      </c>
      <c r="N333" s="539">
        <f ca="1">IFERROR(__xludf.DUMMYFUNCTION("""COMPUTED_VALUE"""),0)</f>
        <v>0</v>
      </c>
      <c r="O333" s="539">
        <f ca="1">IFERROR(__xludf.DUMMYFUNCTION("""COMPUTED_VALUE"""),0)</f>
        <v>0</v>
      </c>
    </row>
    <row r="334" spans="1:15" ht="12.75">
      <c r="A334" s="539">
        <f ca="1"/>
        <v>328</v>
      </c>
      <c r="B334" s="35" t="str">
        <f ca="1">IFERROR(__xludf.DUMMYFUNCTION("""COMPUTED_VALUE"""),"Tổ Hạ tầng Đức Hòa")</f>
        <v>Tổ Hạ tầng Đức Hòa</v>
      </c>
      <c r="C334" s="35" t="str">
        <f ca="1">IFERROR(__xludf.DUMMYFUNCTION("""COMPUTED_VALUE"""),"Lại Quang Vinh")</f>
        <v>Lại Quang Vinh</v>
      </c>
      <c r="D334" s="35">
        <f ca="1">IFERROR(__xludf.DUMMYFUNCTION("""COMPUTED_VALUE"""),912223973)</f>
        <v>912223973</v>
      </c>
      <c r="E334" s="35" t="str">
        <f ca="1">IFERROR(__xludf.DUMMYFUNCTION("""COMPUTED_VALUE"""),"vinhlq.lan@vnpt.vn")</f>
        <v>vinhlq.lan@vnpt.vn</v>
      </c>
      <c r="F334" s="540" t="str">
        <f ca="1">IFERROR(__xludf.DUMMYFUNCTION("""COMPUTED_VALUE"""),"Lần 8")</f>
        <v>Lần 8</v>
      </c>
      <c r="G334" s="278"/>
      <c r="H334" s="35"/>
      <c r="I334" s="541"/>
      <c r="J334" s="35"/>
      <c r="K334" s="541"/>
      <c r="M334" s="539">
        <f ca="1">IFERROR(__xludf.DUMMYFUNCTION("""COMPUTED_VALUE"""),0)</f>
        <v>0</v>
      </c>
      <c r="N334" s="539">
        <f ca="1">IFERROR(__xludf.DUMMYFUNCTION("""COMPUTED_VALUE"""),0)</f>
        <v>0</v>
      </c>
      <c r="O334" s="539">
        <f ca="1">IFERROR(__xludf.DUMMYFUNCTION("""COMPUTED_VALUE"""),0)</f>
        <v>0</v>
      </c>
    </row>
    <row r="335" spans="1:15" ht="12.75">
      <c r="A335" s="539">
        <f ca="1"/>
        <v>329</v>
      </c>
      <c r="B335" s="35" t="str">
        <f ca="1">IFERROR(__xludf.DUMMYFUNCTION("""COMPUTED_VALUE"""),"Tổ Hạ tầng Đức Hòa")</f>
        <v>Tổ Hạ tầng Đức Hòa</v>
      </c>
      <c r="C335" s="35" t="str">
        <f ca="1">IFERROR(__xludf.DUMMYFUNCTION("""COMPUTED_VALUE"""),"Lại Quang Vinh")</f>
        <v>Lại Quang Vinh</v>
      </c>
      <c r="D335" s="35">
        <f ca="1">IFERROR(__xludf.DUMMYFUNCTION("""COMPUTED_VALUE"""),912223973)</f>
        <v>912223973</v>
      </c>
      <c r="E335" s="35" t="str">
        <f ca="1">IFERROR(__xludf.DUMMYFUNCTION("""COMPUTED_VALUE"""),"vinhlq.lan@vnpt.vn")</f>
        <v>vinhlq.lan@vnpt.vn</v>
      </c>
      <c r="F335" s="540" t="str">
        <f ca="1">IFERROR(__xludf.DUMMYFUNCTION("""COMPUTED_VALUE"""),"Lần 9")</f>
        <v>Lần 9</v>
      </c>
      <c r="G335" s="278"/>
      <c r="H335" s="541"/>
      <c r="I335" s="541"/>
      <c r="J335" s="541"/>
      <c r="K335" s="541"/>
      <c r="M335" s="539">
        <f ca="1">IFERROR(__xludf.DUMMYFUNCTION("""COMPUTED_VALUE"""),0)</f>
        <v>0</v>
      </c>
      <c r="N335" s="539">
        <f ca="1">IFERROR(__xludf.DUMMYFUNCTION("""COMPUTED_VALUE"""),0)</f>
        <v>0</v>
      </c>
      <c r="O335" s="539">
        <f ca="1">IFERROR(__xludf.DUMMYFUNCTION("""COMPUTED_VALUE"""),0)</f>
        <v>0</v>
      </c>
    </row>
    <row r="336" spans="1:15" ht="12.75">
      <c r="A336" s="539">
        <f ca="1"/>
        <v>330</v>
      </c>
      <c r="B336" s="35" t="str">
        <f ca="1">IFERROR(__xludf.DUMMYFUNCTION("""COMPUTED_VALUE"""),"Tổ Hạ tầng Đức Hòa")</f>
        <v>Tổ Hạ tầng Đức Hòa</v>
      </c>
      <c r="C336" s="35" t="str">
        <f ca="1">IFERROR(__xludf.DUMMYFUNCTION("""COMPUTED_VALUE"""),"Lại Quang Vinh")</f>
        <v>Lại Quang Vinh</v>
      </c>
      <c r="D336" s="35">
        <f ca="1">IFERROR(__xludf.DUMMYFUNCTION("""COMPUTED_VALUE"""),912223973)</f>
        <v>912223973</v>
      </c>
      <c r="E336" s="35" t="str">
        <f ca="1">IFERROR(__xludf.DUMMYFUNCTION("""COMPUTED_VALUE"""),"vinhlq.lan@vnpt.vn")</f>
        <v>vinhlq.lan@vnpt.vn</v>
      </c>
      <c r="F336" s="540" t="str">
        <f ca="1">IFERROR(__xludf.DUMMYFUNCTION("""COMPUTED_VALUE"""),"Lần 10")</f>
        <v>Lần 10</v>
      </c>
      <c r="G336" s="278"/>
      <c r="H336" s="541"/>
      <c r="I336" s="541"/>
      <c r="J336" s="541"/>
      <c r="K336" s="541"/>
      <c r="M336" s="539">
        <f ca="1">IFERROR(__xludf.DUMMYFUNCTION("""COMPUTED_VALUE"""),0)</f>
        <v>0</v>
      </c>
      <c r="N336" s="539">
        <f ca="1">IFERROR(__xludf.DUMMYFUNCTION("""COMPUTED_VALUE"""),0)</f>
        <v>0</v>
      </c>
      <c r="O336" s="539">
        <f ca="1">IFERROR(__xludf.DUMMYFUNCTION("""COMPUTED_VALUE"""),0)</f>
        <v>0</v>
      </c>
    </row>
    <row r="337" spans="1:15" ht="12.75">
      <c r="A337" s="539">
        <f ca="1"/>
        <v>331</v>
      </c>
      <c r="B337" s="35" t="str">
        <f ca="1">IFERROR(__xludf.DUMMYFUNCTION("""COMPUTED_VALUE"""),"Tổ Hạ tầng Đức Hòa")</f>
        <v>Tổ Hạ tầng Đức Hòa</v>
      </c>
      <c r="C337" s="35" t="str">
        <f ca="1">IFERROR(__xludf.DUMMYFUNCTION("""COMPUTED_VALUE"""),"Lại Quang Vinh")</f>
        <v>Lại Quang Vinh</v>
      </c>
      <c r="D337" s="35">
        <f ca="1">IFERROR(__xludf.DUMMYFUNCTION("""COMPUTED_VALUE"""),912223973)</f>
        <v>912223973</v>
      </c>
      <c r="E337" s="35" t="str">
        <f ca="1">IFERROR(__xludf.DUMMYFUNCTION("""COMPUTED_VALUE"""),"vinhlq.lan@vnpt.vn")</f>
        <v>vinhlq.lan@vnpt.vn</v>
      </c>
      <c r="F337" s="540" t="str">
        <f ca="1">IFERROR(__xludf.DUMMYFUNCTION("""COMPUTED_VALUE"""),"Lần 11")</f>
        <v>Lần 11</v>
      </c>
      <c r="G337" s="278"/>
      <c r="H337" s="541"/>
      <c r="I337" s="541"/>
      <c r="J337" s="541"/>
      <c r="K337" s="541"/>
      <c r="M337" s="539">
        <f ca="1">IFERROR(__xludf.DUMMYFUNCTION("""COMPUTED_VALUE"""),0)</f>
        <v>0</v>
      </c>
      <c r="N337" s="539">
        <f ca="1">IFERROR(__xludf.DUMMYFUNCTION("""COMPUTED_VALUE"""),0)</f>
        <v>0</v>
      </c>
      <c r="O337" s="539">
        <f ca="1">IFERROR(__xludf.DUMMYFUNCTION("""COMPUTED_VALUE"""),0)</f>
        <v>0</v>
      </c>
    </row>
    <row r="338" spans="1:15" ht="12.75">
      <c r="A338" s="539">
        <f ca="1"/>
        <v>332</v>
      </c>
      <c r="B338" s="35" t="str">
        <f ca="1">IFERROR(__xludf.DUMMYFUNCTION("""COMPUTED_VALUE"""),"Tổ Hạ tầng Đức Hòa")</f>
        <v>Tổ Hạ tầng Đức Hòa</v>
      </c>
      <c r="C338" s="35" t="str">
        <f ca="1">IFERROR(__xludf.DUMMYFUNCTION("""COMPUTED_VALUE"""),"Lại Quang Vinh")</f>
        <v>Lại Quang Vinh</v>
      </c>
      <c r="D338" s="35">
        <f ca="1">IFERROR(__xludf.DUMMYFUNCTION("""COMPUTED_VALUE"""),912223973)</f>
        <v>912223973</v>
      </c>
      <c r="E338" s="35" t="str">
        <f ca="1">IFERROR(__xludf.DUMMYFUNCTION("""COMPUTED_VALUE"""),"vinhlq.lan@vnpt.vn")</f>
        <v>vinhlq.lan@vnpt.vn</v>
      </c>
      <c r="F338" s="540" t="str">
        <f ca="1">IFERROR(__xludf.DUMMYFUNCTION("""COMPUTED_VALUE"""),"Lần 12")</f>
        <v>Lần 12</v>
      </c>
      <c r="G338" s="278"/>
      <c r="H338" s="541"/>
      <c r="I338" s="541"/>
      <c r="J338" s="541"/>
      <c r="K338" s="541"/>
      <c r="M338" s="539">
        <f ca="1">IFERROR(__xludf.DUMMYFUNCTION("""COMPUTED_VALUE"""),0)</f>
        <v>0</v>
      </c>
      <c r="N338" s="539">
        <f ca="1">IFERROR(__xludf.DUMMYFUNCTION("""COMPUTED_VALUE"""),0)</f>
        <v>0</v>
      </c>
      <c r="O338" s="539">
        <f ca="1">IFERROR(__xludf.DUMMYFUNCTION("""COMPUTED_VALUE"""),0)</f>
        <v>0</v>
      </c>
    </row>
    <row r="339" spans="1:15" ht="12.75">
      <c r="A339" s="539">
        <f ca="1"/>
        <v>333</v>
      </c>
      <c r="B339" s="35" t="str">
        <f ca="1">IFERROR(__xludf.DUMMYFUNCTION("""COMPUTED_VALUE"""),"Tổ Hạ tầng Đức Hòa")</f>
        <v>Tổ Hạ tầng Đức Hòa</v>
      </c>
      <c r="C339" s="35" t="str">
        <f ca="1">IFERROR(__xludf.DUMMYFUNCTION("""COMPUTED_VALUE"""),"Lại Quang Vinh")</f>
        <v>Lại Quang Vinh</v>
      </c>
      <c r="D339" s="35">
        <f ca="1">IFERROR(__xludf.DUMMYFUNCTION("""COMPUTED_VALUE"""),912223973)</f>
        <v>912223973</v>
      </c>
      <c r="E339" s="35" t="str">
        <f ca="1">IFERROR(__xludf.DUMMYFUNCTION("""COMPUTED_VALUE"""),"vinhlq.lan@vnpt.vn")</f>
        <v>vinhlq.lan@vnpt.vn</v>
      </c>
      <c r="F339" s="540" t="str">
        <f ca="1">IFERROR(__xludf.DUMMYFUNCTION("""COMPUTED_VALUE"""),"Lần 13")</f>
        <v>Lần 13</v>
      </c>
      <c r="G339" s="278"/>
      <c r="H339" s="541"/>
      <c r="I339" s="541"/>
      <c r="J339" s="541"/>
      <c r="K339" s="541"/>
      <c r="M339" s="539">
        <f ca="1">IFERROR(__xludf.DUMMYFUNCTION("""COMPUTED_VALUE"""),0)</f>
        <v>0</v>
      </c>
      <c r="N339" s="539">
        <f ca="1">IFERROR(__xludf.DUMMYFUNCTION("""COMPUTED_VALUE"""),0)</f>
        <v>0</v>
      </c>
      <c r="O339" s="539">
        <f ca="1">IFERROR(__xludf.DUMMYFUNCTION("""COMPUTED_VALUE"""),0)</f>
        <v>0</v>
      </c>
    </row>
    <row r="340" spans="1:15" ht="12.75">
      <c r="A340" s="539">
        <f ca="1"/>
        <v>334</v>
      </c>
      <c r="B340" s="35" t="str">
        <f ca="1">IFERROR(__xludf.DUMMYFUNCTION("""COMPUTED_VALUE"""),"Tổ Hạ tầng Đức Hòa")</f>
        <v>Tổ Hạ tầng Đức Hòa</v>
      </c>
      <c r="C340" s="35" t="str">
        <f ca="1">IFERROR(__xludf.DUMMYFUNCTION("""COMPUTED_VALUE"""),"Lại Quang Vinh")</f>
        <v>Lại Quang Vinh</v>
      </c>
      <c r="D340" s="35">
        <f ca="1">IFERROR(__xludf.DUMMYFUNCTION("""COMPUTED_VALUE"""),912223973)</f>
        <v>912223973</v>
      </c>
      <c r="E340" s="35" t="str">
        <f ca="1">IFERROR(__xludf.DUMMYFUNCTION("""COMPUTED_VALUE"""),"vinhlq.lan@vnpt.vn")</f>
        <v>vinhlq.lan@vnpt.vn</v>
      </c>
      <c r="F340" s="540" t="str">
        <f ca="1">IFERROR(__xludf.DUMMYFUNCTION("""COMPUTED_VALUE"""),"Lần 14")</f>
        <v>Lần 14</v>
      </c>
      <c r="G340" s="278"/>
      <c r="H340" s="541"/>
      <c r="I340" s="541"/>
      <c r="J340" s="541"/>
      <c r="K340" s="541"/>
      <c r="M340" s="539">
        <f ca="1">IFERROR(__xludf.DUMMYFUNCTION("""COMPUTED_VALUE"""),0)</f>
        <v>0</v>
      </c>
      <c r="N340" s="539">
        <f ca="1">IFERROR(__xludf.DUMMYFUNCTION("""COMPUTED_VALUE"""),0)</f>
        <v>0</v>
      </c>
      <c r="O340" s="539">
        <f ca="1">IFERROR(__xludf.DUMMYFUNCTION("""COMPUTED_VALUE"""),0)</f>
        <v>0</v>
      </c>
    </row>
    <row r="341" spans="1:15" ht="12.75">
      <c r="A341" s="539">
        <f ca="1"/>
        <v>335</v>
      </c>
      <c r="B341" s="35" t="str">
        <f ca="1">IFERROR(__xludf.DUMMYFUNCTION("""COMPUTED_VALUE"""),"Tổ Hạ tầng Đức Hòa")</f>
        <v>Tổ Hạ tầng Đức Hòa</v>
      </c>
      <c r="C341" s="35" t="str">
        <f ca="1">IFERROR(__xludf.DUMMYFUNCTION("""COMPUTED_VALUE"""),"Lại Quang Vinh")</f>
        <v>Lại Quang Vinh</v>
      </c>
      <c r="D341" s="35">
        <f ca="1">IFERROR(__xludf.DUMMYFUNCTION("""COMPUTED_VALUE"""),912223973)</f>
        <v>912223973</v>
      </c>
      <c r="E341" s="35" t="str">
        <f ca="1">IFERROR(__xludf.DUMMYFUNCTION("""COMPUTED_VALUE"""),"vinhlq.lan@vnpt.vn")</f>
        <v>vinhlq.lan@vnpt.vn</v>
      </c>
      <c r="F341" s="540" t="str">
        <f ca="1">IFERROR(__xludf.DUMMYFUNCTION("""COMPUTED_VALUE"""),"Lần 15")</f>
        <v>Lần 15</v>
      </c>
      <c r="G341" s="278"/>
      <c r="H341" s="541"/>
      <c r="I341" s="541"/>
      <c r="J341" s="541"/>
      <c r="K341" s="541"/>
      <c r="M341" s="539">
        <f ca="1">IFERROR(__xludf.DUMMYFUNCTION("""COMPUTED_VALUE"""),0)</f>
        <v>0</v>
      </c>
      <c r="N341" s="539">
        <f ca="1">IFERROR(__xludf.DUMMYFUNCTION("""COMPUTED_VALUE"""),0)</f>
        <v>0</v>
      </c>
      <c r="O341" s="539">
        <f ca="1">IFERROR(__xludf.DUMMYFUNCTION("""COMPUTED_VALUE"""),0)</f>
        <v>0</v>
      </c>
    </row>
    <row r="342" spans="1:15" ht="12.75">
      <c r="A342" s="539">
        <f ca="1"/>
        <v>336</v>
      </c>
      <c r="B342" s="35" t="str">
        <f ca="1">IFERROR(__xludf.DUMMYFUNCTION("""COMPUTED_VALUE"""),"Tổ Hạ tầng Đức Hòa")</f>
        <v>Tổ Hạ tầng Đức Hòa</v>
      </c>
      <c r="C342" s="35" t="str">
        <f ca="1">IFERROR(__xludf.DUMMYFUNCTION("""COMPUTED_VALUE"""),"Lại Quang Vinh")</f>
        <v>Lại Quang Vinh</v>
      </c>
      <c r="D342" s="35">
        <f ca="1">IFERROR(__xludf.DUMMYFUNCTION("""COMPUTED_VALUE"""),912223973)</f>
        <v>912223973</v>
      </c>
      <c r="E342" s="35" t="str">
        <f ca="1">IFERROR(__xludf.DUMMYFUNCTION("""COMPUTED_VALUE"""),"vinhlq.lan@vnpt.vn")</f>
        <v>vinhlq.lan@vnpt.vn</v>
      </c>
      <c r="F342" s="540" t="str">
        <f ca="1">IFERROR(__xludf.DUMMYFUNCTION("""COMPUTED_VALUE"""),"Lần 16")</f>
        <v>Lần 16</v>
      </c>
      <c r="G342" s="278"/>
      <c r="H342" s="541"/>
      <c r="I342" s="541"/>
      <c r="J342" s="541"/>
      <c r="K342" s="541"/>
      <c r="M342" s="539">
        <f ca="1">IFERROR(__xludf.DUMMYFUNCTION("""COMPUTED_VALUE"""),0)</f>
        <v>0</v>
      </c>
      <c r="N342" s="539">
        <f ca="1">IFERROR(__xludf.DUMMYFUNCTION("""COMPUTED_VALUE"""),0)</f>
        <v>0</v>
      </c>
      <c r="O342" s="539">
        <f ca="1">IFERROR(__xludf.DUMMYFUNCTION("""COMPUTED_VALUE"""),0)</f>
        <v>0</v>
      </c>
    </row>
    <row r="343" spans="1:15" ht="12.75">
      <c r="A343" s="539">
        <f ca="1"/>
        <v>337</v>
      </c>
      <c r="B343" s="35" t="str">
        <f ca="1">IFERROR(__xludf.DUMMYFUNCTION("""COMPUTED_VALUE"""),"Tổ Hạ tầng Đức Hòa")</f>
        <v>Tổ Hạ tầng Đức Hòa</v>
      </c>
      <c r="C343" s="35" t="str">
        <f ca="1">IFERROR(__xludf.DUMMYFUNCTION("""COMPUTED_VALUE"""),"Thái Duy Lâm")</f>
        <v>Thái Duy Lâm</v>
      </c>
      <c r="D343" s="543" t="str">
        <f ca="1">IFERROR(__xludf.DUMMYFUNCTION("""COMPUTED_VALUE"""),"0837821860")</f>
        <v>0837821860</v>
      </c>
      <c r="E343" s="35" t="str">
        <f ca="1">IFERROR(__xludf.DUMMYFUNCTION("""COMPUTED_VALUE"""),"lamdt.lan@vnpt.vn")</f>
        <v>lamdt.lan@vnpt.vn</v>
      </c>
      <c r="F343" s="540" t="str">
        <f ca="1">IFERROR(__xludf.DUMMYFUNCTION("""COMPUTED_VALUE"""),"Lần 1")</f>
        <v>Lần 1</v>
      </c>
      <c r="G343" s="278"/>
      <c r="H343" s="35"/>
      <c r="I343" s="35"/>
      <c r="J343" s="541"/>
      <c r="K343" s="541"/>
      <c r="M343" s="539">
        <f ca="1">IFERROR(__xludf.DUMMYFUNCTION("""COMPUTED_VALUE"""),0)</f>
        <v>0</v>
      </c>
      <c r="N343" s="539">
        <f ca="1">IFERROR(__xludf.DUMMYFUNCTION("""COMPUTED_VALUE"""),0)</f>
        <v>0</v>
      </c>
      <c r="O343" s="539">
        <f ca="1">IFERROR(__xludf.DUMMYFUNCTION("""COMPUTED_VALUE"""),0)</f>
        <v>0</v>
      </c>
    </row>
    <row r="344" spans="1:15" ht="12.75">
      <c r="A344" s="539">
        <f ca="1"/>
        <v>338</v>
      </c>
      <c r="B344" s="35" t="str">
        <f ca="1">IFERROR(__xludf.DUMMYFUNCTION("""COMPUTED_VALUE"""),"Tổ Hạ tầng Đức Hòa")</f>
        <v>Tổ Hạ tầng Đức Hòa</v>
      </c>
      <c r="C344" s="35" t="str">
        <f ca="1">IFERROR(__xludf.DUMMYFUNCTION("""COMPUTED_VALUE"""),"Thái Duy Lâm")</f>
        <v>Thái Duy Lâm</v>
      </c>
      <c r="D344" s="543" t="str">
        <f ca="1">IFERROR(__xludf.DUMMYFUNCTION("""COMPUTED_VALUE"""),"0837821860")</f>
        <v>0837821860</v>
      </c>
      <c r="E344" s="35" t="str">
        <f ca="1">IFERROR(__xludf.DUMMYFUNCTION("""COMPUTED_VALUE"""),"lamdt.lan@vnpt.vn")</f>
        <v>lamdt.lan@vnpt.vn</v>
      </c>
      <c r="F344" s="540" t="str">
        <f ca="1">IFERROR(__xludf.DUMMYFUNCTION("""COMPUTED_VALUE"""),"Lần 2")</f>
        <v>Lần 2</v>
      </c>
      <c r="G344" s="278"/>
      <c r="H344" s="35"/>
      <c r="I344" s="35"/>
      <c r="J344" s="541"/>
      <c r="K344" s="541"/>
      <c r="M344" s="539">
        <f ca="1">IFERROR(__xludf.DUMMYFUNCTION("""COMPUTED_VALUE"""),0)</f>
        <v>0</v>
      </c>
      <c r="N344" s="539">
        <f ca="1">IFERROR(__xludf.DUMMYFUNCTION("""COMPUTED_VALUE"""),0)</f>
        <v>0</v>
      </c>
      <c r="O344" s="539">
        <f ca="1">IFERROR(__xludf.DUMMYFUNCTION("""COMPUTED_VALUE"""),0)</f>
        <v>0</v>
      </c>
    </row>
    <row r="345" spans="1:15" ht="12.75">
      <c r="A345" s="539">
        <f ca="1"/>
        <v>339</v>
      </c>
      <c r="B345" s="35" t="str">
        <f ca="1">IFERROR(__xludf.DUMMYFUNCTION("""COMPUTED_VALUE"""),"Tổ Hạ tầng Đức Hòa")</f>
        <v>Tổ Hạ tầng Đức Hòa</v>
      </c>
      <c r="C345" s="35" t="str">
        <f ca="1">IFERROR(__xludf.DUMMYFUNCTION("""COMPUTED_VALUE"""),"Thái Duy Lâm")</f>
        <v>Thái Duy Lâm</v>
      </c>
      <c r="D345" s="543" t="str">
        <f ca="1">IFERROR(__xludf.DUMMYFUNCTION("""COMPUTED_VALUE"""),"0837821860")</f>
        <v>0837821860</v>
      </c>
      <c r="E345" s="35" t="str">
        <f ca="1">IFERROR(__xludf.DUMMYFUNCTION("""COMPUTED_VALUE"""),"lamdt.lan@vnpt.vn")</f>
        <v>lamdt.lan@vnpt.vn</v>
      </c>
      <c r="F345" s="540" t="str">
        <f ca="1">IFERROR(__xludf.DUMMYFUNCTION("""COMPUTED_VALUE"""),"Lần 3")</f>
        <v>Lần 3</v>
      </c>
      <c r="G345" s="278"/>
      <c r="H345" s="35"/>
      <c r="I345" s="35"/>
      <c r="J345" s="541"/>
      <c r="K345" s="541"/>
      <c r="M345" s="539">
        <f ca="1">IFERROR(__xludf.DUMMYFUNCTION("""COMPUTED_VALUE"""),0)</f>
        <v>0</v>
      </c>
      <c r="N345" s="539">
        <f ca="1">IFERROR(__xludf.DUMMYFUNCTION("""COMPUTED_VALUE"""),0)</f>
        <v>0</v>
      </c>
      <c r="O345" s="539">
        <f ca="1">IFERROR(__xludf.DUMMYFUNCTION("""COMPUTED_VALUE"""),0)</f>
        <v>0</v>
      </c>
    </row>
    <row r="346" spans="1:15" ht="12.75">
      <c r="A346" s="539">
        <f ca="1"/>
        <v>340</v>
      </c>
      <c r="B346" s="35" t="str">
        <f ca="1">IFERROR(__xludf.DUMMYFUNCTION("""COMPUTED_VALUE"""),"Tổ Hạ tầng Đức Hòa")</f>
        <v>Tổ Hạ tầng Đức Hòa</v>
      </c>
      <c r="C346" s="35" t="str">
        <f ca="1">IFERROR(__xludf.DUMMYFUNCTION("""COMPUTED_VALUE"""),"Thái Duy Lâm")</f>
        <v>Thái Duy Lâm</v>
      </c>
      <c r="D346" s="543" t="str">
        <f ca="1">IFERROR(__xludf.DUMMYFUNCTION("""COMPUTED_VALUE"""),"0837821860")</f>
        <v>0837821860</v>
      </c>
      <c r="E346" s="35" t="str">
        <f ca="1">IFERROR(__xludf.DUMMYFUNCTION("""COMPUTED_VALUE"""),"lamdt.lan@vnpt.vn")</f>
        <v>lamdt.lan@vnpt.vn</v>
      </c>
      <c r="F346" s="540" t="str">
        <f ca="1">IFERROR(__xludf.DUMMYFUNCTION("""COMPUTED_VALUE"""),"Lần 4")</f>
        <v>Lần 4</v>
      </c>
      <c r="G346" s="278"/>
      <c r="H346" s="35"/>
      <c r="I346" s="35"/>
      <c r="J346" s="541"/>
      <c r="K346" s="541"/>
      <c r="M346" s="539">
        <f ca="1">IFERROR(__xludf.DUMMYFUNCTION("""COMPUTED_VALUE"""),0)</f>
        <v>0</v>
      </c>
      <c r="N346" s="539">
        <f ca="1">IFERROR(__xludf.DUMMYFUNCTION("""COMPUTED_VALUE"""),0)</f>
        <v>0</v>
      </c>
      <c r="O346" s="539">
        <f ca="1">IFERROR(__xludf.DUMMYFUNCTION("""COMPUTED_VALUE"""),0)</f>
        <v>0</v>
      </c>
    </row>
    <row r="347" spans="1:15" ht="12.75">
      <c r="A347" s="539">
        <f ca="1"/>
        <v>341</v>
      </c>
      <c r="B347" s="35" t="str">
        <f ca="1">IFERROR(__xludf.DUMMYFUNCTION("""COMPUTED_VALUE"""),"Tổ Hạ tầng Đức Hòa")</f>
        <v>Tổ Hạ tầng Đức Hòa</v>
      </c>
      <c r="C347" s="35" t="str">
        <f ca="1">IFERROR(__xludf.DUMMYFUNCTION("""COMPUTED_VALUE"""),"Thái Duy Lâm")</f>
        <v>Thái Duy Lâm</v>
      </c>
      <c r="D347" s="543" t="str">
        <f ca="1">IFERROR(__xludf.DUMMYFUNCTION("""COMPUTED_VALUE"""),"0837821860")</f>
        <v>0837821860</v>
      </c>
      <c r="E347" s="35" t="str">
        <f ca="1">IFERROR(__xludf.DUMMYFUNCTION("""COMPUTED_VALUE"""),"lamdt.lan@vnpt.vn")</f>
        <v>lamdt.lan@vnpt.vn</v>
      </c>
      <c r="F347" s="540" t="str">
        <f ca="1">IFERROR(__xludf.DUMMYFUNCTION("""COMPUTED_VALUE"""),"Lần 5")</f>
        <v>Lần 5</v>
      </c>
      <c r="G347" s="278"/>
      <c r="H347" s="35"/>
      <c r="I347" s="35"/>
      <c r="J347" s="541"/>
      <c r="K347" s="35"/>
      <c r="M347" s="539">
        <f ca="1">IFERROR(__xludf.DUMMYFUNCTION("""COMPUTED_VALUE"""),0)</f>
        <v>0</v>
      </c>
      <c r="N347" s="539">
        <f ca="1">IFERROR(__xludf.DUMMYFUNCTION("""COMPUTED_VALUE"""),0)</f>
        <v>0</v>
      </c>
      <c r="O347" s="539">
        <f ca="1">IFERROR(__xludf.DUMMYFUNCTION("""COMPUTED_VALUE"""),0)</f>
        <v>0</v>
      </c>
    </row>
    <row r="348" spans="1:15" ht="12.75">
      <c r="A348" s="539">
        <f ca="1"/>
        <v>342</v>
      </c>
      <c r="B348" s="35" t="str">
        <f ca="1">IFERROR(__xludf.DUMMYFUNCTION("""COMPUTED_VALUE"""),"Tổ Hạ tầng Đức Hòa")</f>
        <v>Tổ Hạ tầng Đức Hòa</v>
      </c>
      <c r="C348" s="35" t="str">
        <f ca="1">IFERROR(__xludf.DUMMYFUNCTION("""COMPUTED_VALUE"""),"Thái Duy Lâm")</f>
        <v>Thái Duy Lâm</v>
      </c>
      <c r="D348" s="543" t="str">
        <f ca="1">IFERROR(__xludf.DUMMYFUNCTION("""COMPUTED_VALUE"""),"0837821860")</f>
        <v>0837821860</v>
      </c>
      <c r="E348" s="35" t="str">
        <f ca="1">IFERROR(__xludf.DUMMYFUNCTION("""COMPUTED_VALUE"""),"lamdt.lan@vnpt.vn")</f>
        <v>lamdt.lan@vnpt.vn</v>
      </c>
      <c r="F348" s="540" t="str">
        <f ca="1">IFERROR(__xludf.DUMMYFUNCTION("""COMPUTED_VALUE"""),"Lần 6")</f>
        <v>Lần 6</v>
      </c>
      <c r="G348" s="278"/>
      <c r="H348" s="35"/>
      <c r="I348" s="35"/>
      <c r="J348" s="541"/>
      <c r="K348" s="541"/>
      <c r="M348" s="539">
        <f ca="1">IFERROR(__xludf.DUMMYFUNCTION("""COMPUTED_VALUE"""),0)</f>
        <v>0</v>
      </c>
      <c r="N348" s="539">
        <f ca="1">IFERROR(__xludf.DUMMYFUNCTION("""COMPUTED_VALUE"""),0)</f>
        <v>0</v>
      </c>
      <c r="O348" s="539">
        <f ca="1">IFERROR(__xludf.DUMMYFUNCTION("""COMPUTED_VALUE"""),0)</f>
        <v>0</v>
      </c>
    </row>
    <row r="349" spans="1:15" ht="12.75">
      <c r="A349" s="539">
        <f ca="1"/>
        <v>343</v>
      </c>
      <c r="B349" s="35" t="str">
        <f ca="1">IFERROR(__xludf.DUMMYFUNCTION("""COMPUTED_VALUE"""),"Tổ Hạ tầng Đức Hòa")</f>
        <v>Tổ Hạ tầng Đức Hòa</v>
      </c>
      <c r="C349" s="35" t="str">
        <f ca="1">IFERROR(__xludf.DUMMYFUNCTION("""COMPUTED_VALUE"""),"Thái Duy Lâm")</f>
        <v>Thái Duy Lâm</v>
      </c>
      <c r="D349" s="543" t="str">
        <f ca="1">IFERROR(__xludf.DUMMYFUNCTION("""COMPUTED_VALUE"""),"0837821860")</f>
        <v>0837821860</v>
      </c>
      <c r="E349" s="35" t="str">
        <f ca="1">IFERROR(__xludf.DUMMYFUNCTION("""COMPUTED_VALUE"""),"lamdt.lan@vnpt.vn")</f>
        <v>lamdt.lan@vnpt.vn</v>
      </c>
      <c r="F349" s="540" t="str">
        <f ca="1">IFERROR(__xludf.DUMMYFUNCTION("""COMPUTED_VALUE"""),"Lần 7")</f>
        <v>Lần 7</v>
      </c>
      <c r="G349" s="278"/>
      <c r="H349" s="35"/>
      <c r="I349" s="35"/>
      <c r="J349" s="541"/>
      <c r="K349" s="541"/>
      <c r="M349" s="539">
        <f ca="1">IFERROR(__xludf.DUMMYFUNCTION("""COMPUTED_VALUE"""),0)</f>
        <v>0</v>
      </c>
      <c r="N349" s="539">
        <f ca="1">IFERROR(__xludf.DUMMYFUNCTION("""COMPUTED_VALUE"""),0)</f>
        <v>0</v>
      </c>
      <c r="O349" s="539">
        <f ca="1">IFERROR(__xludf.DUMMYFUNCTION("""COMPUTED_VALUE"""),0)</f>
        <v>0</v>
      </c>
    </row>
    <row r="350" spans="1:15" ht="12.75">
      <c r="A350" s="539">
        <f ca="1"/>
        <v>344</v>
      </c>
      <c r="B350" s="35" t="str">
        <f ca="1">IFERROR(__xludf.DUMMYFUNCTION("""COMPUTED_VALUE"""),"Tổ Hạ tầng Đức Hòa")</f>
        <v>Tổ Hạ tầng Đức Hòa</v>
      </c>
      <c r="C350" s="35" t="str">
        <f ca="1">IFERROR(__xludf.DUMMYFUNCTION("""COMPUTED_VALUE"""),"Thái Duy Lâm")</f>
        <v>Thái Duy Lâm</v>
      </c>
      <c r="D350" s="543" t="str">
        <f ca="1">IFERROR(__xludf.DUMMYFUNCTION("""COMPUTED_VALUE"""),"0837821860")</f>
        <v>0837821860</v>
      </c>
      <c r="E350" s="35" t="str">
        <f ca="1">IFERROR(__xludf.DUMMYFUNCTION("""COMPUTED_VALUE"""),"lamdt.lan@vnpt.vn")</f>
        <v>lamdt.lan@vnpt.vn</v>
      </c>
      <c r="F350" s="540" t="str">
        <f ca="1">IFERROR(__xludf.DUMMYFUNCTION("""COMPUTED_VALUE"""),"Lần 8")</f>
        <v>Lần 8</v>
      </c>
      <c r="G350" s="278"/>
      <c r="H350" s="35"/>
      <c r="I350" s="35"/>
      <c r="J350" s="541"/>
      <c r="K350" s="541"/>
      <c r="M350" s="539">
        <f ca="1">IFERROR(__xludf.DUMMYFUNCTION("""COMPUTED_VALUE"""),0)</f>
        <v>0</v>
      </c>
      <c r="N350" s="539">
        <f ca="1">IFERROR(__xludf.DUMMYFUNCTION("""COMPUTED_VALUE"""),0)</f>
        <v>0</v>
      </c>
      <c r="O350" s="539">
        <f ca="1">IFERROR(__xludf.DUMMYFUNCTION("""COMPUTED_VALUE"""),0)</f>
        <v>0</v>
      </c>
    </row>
    <row r="351" spans="1:15" ht="12.75">
      <c r="A351" s="539">
        <f ca="1"/>
        <v>345</v>
      </c>
      <c r="B351" s="35" t="str">
        <f ca="1">IFERROR(__xludf.DUMMYFUNCTION("""COMPUTED_VALUE"""),"Tổ Hạ tầng Đức Hòa")</f>
        <v>Tổ Hạ tầng Đức Hòa</v>
      </c>
      <c r="C351" s="35" t="str">
        <f ca="1">IFERROR(__xludf.DUMMYFUNCTION("""COMPUTED_VALUE"""),"Thái Duy Lâm")</f>
        <v>Thái Duy Lâm</v>
      </c>
      <c r="D351" s="543" t="str">
        <f ca="1">IFERROR(__xludf.DUMMYFUNCTION("""COMPUTED_VALUE"""),"0837821860")</f>
        <v>0837821860</v>
      </c>
      <c r="E351" s="35" t="str">
        <f ca="1">IFERROR(__xludf.DUMMYFUNCTION("""COMPUTED_VALUE"""),"lamdt.lan@vnpt.vn")</f>
        <v>lamdt.lan@vnpt.vn</v>
      </c>
      <c r="F351" s="540" t="str">
        <f ca="1">IFERROR(__xludf.DUMMYFUNCTION("""COMPUTED_VALUE"""),"Lần 9")</f>
        <v>Lần 9</v>
      </c>
      <c r="G351" s="278"/>
      <c r="H351" s="35"/>
      <c r="I351" s="35"/>
      <c r="J351" s="541"/>
      <c r="K351" s="541"/>
      <c r="M351" s="539">
        <f ca="1">IFERROR(__xludf.DUMMYFUNCTION("""COMPUTED_VALUE"""),0)</f>
        <v>0</v>
      </c>
      <c r="N351" s="539">
        <f ca="1">IFERROR(__xludf.DUMMYFUNCTION("""COMPUTED_VALUE"""),0)</f>
        <v>0</v>
      </c>
      <c r="O351" s="539">
        <f ca="1">IFERROR(__xludf.DUMMYFUNCTION("""COMPUTED_VALUE"""),0)</f>
        <v>0</v>
      </c>
    </row>
    <row r="352" spans="1:15" ht="12.75">
      <c r="A352" s="539">
        <f ca="1"/>
        <v>346</v>
      </c>
      <c r="B352" s="35" t="str">
        <f ca="1">IFERROR(__xludf.DUMMYFUNCTION("""COMPUTED_VALUE"""),"Tổ Hạ tầng Đức Hòa")</f>
        <v>Tổ Hạ tầng Đức Hòa</v>
      </c>
      <c r="C352" s="35" t="str">
        <f ca="1">IFERROR(__xludf.DUMMYFUNCTION("""COMPUTED_VALUE"""),"Thái Duy Lâm")</f>
        <v>Thái Duy Lâm</v>
      </c>
      <c r="D352" s="543" t="str">
        <f ca="1">IFERROR(__xludf.DUMMYFUNCTION("""COMPUTED_VALUE"""),"0837821860")</f>
        <v>0837821860</v>
      </c>
      <c r="E352" s="35" t="str">
        <f ca="1">IFERROR(__xludf.DUMMYFUNCTION("""COMPUTED_VALUE"""),"lamdt.lan@vnpt.vn")</f>
        <v>lamdt.lan@vnpt.vn</v>
      </c>
      <c r="F352" s="540" t="str">
        <f ca="1">IFERROR(__xludf.DUMMYFUNCTION("""COMPUTED_VALUE"""),"Lần 10")</f>
        <v>Lần 10</v>
      </c>
      <c r="G352" s="278"/>
      <c r="H352" s="35"/>
      <c r="I352" s="35"/>
      <c r="J352" s="541"/>
      <c r="K352" s="35"/>
      <c r="M352" s="539">
        <f ca="1">IFERROR(__xludf.DUMMYFUNCTION("""COMPUTED_VALUE"""),0)</f>
        <v>0</v>
      </c>
      <c r="N352" s="539">
        <f ca="1">IFERROR(__xludf.DUMMYFUNCTION("""COMPUTED_VALUE"""),0)</f>
        <v>0</v>
      </c>
      <c r="O352" s="539">
        <f ca="1">IFERROR(__xludf.DUMMYFUNCTION("""COMPUTED_VALUE"""),0)</f>
        <v>0</v>
      </c>
    </row>
    <row r="353" spans="1:15" ht="12.75">
      <c r="A353" s="539">
        <f ca="1"/>
        <v>347</v>
      </c>
      <c r="B353" s="35" t="str">
        <f ca="1">IFERROR(__xludf.DUMMYFUNCTION("""COMPUTED_VALUE"""),"Tổ Hạ tầng Đức Hòa")</f>
        <v>Tổ Hạ tầng Đức Hòa</v>
      </c>
      <c r="C353" s="35" t="str">
        <f ca="1">IFERROR(__xludf.DUMMYFUNCTION("""COMPUTED_VALUE"""),"Thái Duy Lâm")</f>
        <v>Thái Duy Lâm</v>
      </c>
      <c r="D353" s="543" t="str">
        <f ca="1">IFERROR(__xludf.DUMMYFUNCTION("""COMPUTED_VALUE"""),"0837821860")</f>
        <v>0837821860</v>
      </c>
      <c r="E353" s="35" t="str">
        <f ca="1">IFERROR(__xludf.DUMMYFUNCTION("""COMPUTED_VALUE"""),"lamdt.lan@vnpt.vn")</f>
        <v>lamdt.lan@vnpt.vn</v>
      </c>
      <c r="F353" s="540" t="str">
        <f ca="1">IFERROR(__xludf.DUMMYFUNCTION("""COMPUTED_VALUE"""),"Lần 11")</f>
        <v>Lần 11</v>
      </c>
      <c r="G353" s="278"/>
      <c r="H353" s="35"/>
      <c r="I353" s="542"/>
      <c r="J353" s="541"/>
      <c r="K353" s="541"/>
      <c r="M353" s="539">
        <f ca="1">IFERROR(__xludf.DUMMYFUNCTION("""COMPUTED_VALUE"""),0)</f>
        <v>0</v>
      </c>
      <c r="N353" s="539">
        <f ca="1">IFERROR(__xludf.DUMMYFUNCTION("""COMPUTED_VALUE"""),0)</f>
        <v>0</v>
      </c>
      <c r="O353" s="539">
        <f ca="1">IFERROR(__xludf.DUMMYFUNCTION("""COMPUTED_VALUE"""),0)</f>
        <v>0</v>
      </c>
    </row>
    <row r="354" spans="1:15" ht="12.75">
      <c r="A354" s="539">
        <f ca="1"/>
        <v>348</v>
      </c>
      <c r="B354" s="35" t="str">
        <f ca="1">IFERROR(__xludf.DUMMYFUNCTION("""COMPUTED_VALUE"""),"Tổ Hạ tầng Đức Hòa")</f>
        <v>Tổ Hạ tầng Đức Hòa</v>
      </c>
      <c r="C354" s="35" t="str">
        <f ca="1">IFERROR(__xludf.DUMMYFUNCTION("""COMPUTED_VALUE"""),"Thái Duy Lâm")</f>
        <v>Thái Duy Lâm</v>
      </c>
      <c r="D354" s="543" t="str">
        <f ca="1">IFERROR(__xludf.DUMMYFUNCTION("""COMPUTED_VALUE"""),"0837821860")</f>
        <v>0837821860</v>
      </c>
      <c r="E354" s="35" t="str">
        <f ca="1">IFERROR(__xludf.DUMMYFUNCTION("""COMPUTED_VALUE"""),"lamdt.lan@vnpt.vn")</f>
        <v>lamdt.lan@vnpt.vn</v>
      </c>
      <c r="F354" s="540" t="str">
        <f ca="1">IFERROR(__xludf.DUMMYFUNCTION("""COMPUTED_VALUE"""),"Lần 12")</f>
        <v>Lần 12</v>
      </c>
      <c r="G354" s="278"/>
      <c r="H354" s="35"/>
      <c r="I354" s="35"/>
      <c r="J354" s="541"/>
      <c r="K354" s="541"/>
      <c r="M354" s="539">
        <f ca="1">IFERROR(__xludf.DUMMYFUNCTION("""COMPUTED_VALUE"""),0)</f>
        <v>0</v>
      </c>
      <c r="N354" s="539">
        <f ca="1">IFERROR(__xludf.DUMMYFUNCTION("""COMPUTED_VALUE"""),0)</f>
        <v>0</v>
      </c>
      <c r="O354" s="539">
        <f ca="1">IFERROR(__xludf.DUMMYFUNCTION("""COMPUTED_VALUE"""),0)</f>
        <v>0</v>
      </c>
    </row>
    <row r="355" spans="1:15" ht="12.75">
      <c r="A355" s="539">
        <f ca="1"/>
        <v>349</v>
      </c>
      <c r="B355" s="35" t="str">
        <f ca="1">IFERROR(__xludf.DUMMYFUNCTION("""COMPUTED_VALUE"""),"Tổ Hạ tầng Đức Hòa")</f>
        <v>Tổ Hạ tầng Đức Hòa</v>
      </c>
      <c r="C355" s="35" t="str">
        <f ca="1">IFERROR(__xludf.DUMMYFUNCTION("""COMPUTED_VALUE"""),"Thái Duy Lâm")</f>
        <v>Thái Duy Lâm</v>
      </c>
      <c r="D355" s="543" t="str">
        <f ca="1">IFERROR(__xludf.DUMMYFUNCTION("""COMPUTED_VALUE"""),"0837821860")</f>
        <v>0837821860</v>
      </c>
      <c r="E355" s="35" t="str">
        <f ca="1">IFERROR(__xludf.DUMMYFUNCTION("""COMPUTED_VALUE"""),"lamdt.lan@vnpt.vn")</f>
        <v>lamdt.lan@vnpt.vn</v>
      </c>
      <c r="F355" s="540" t="str">
        <f ca="1">IFERROR(__xludf.DUMMYFUNCTION("""COMPUTED_VALUE"""),"Lần 13")</f>
        <v>Lần 13</v>
      </c>
      <c r="G355" s="278"/>
      <c r="H355" s="35"/>
      <c r="I355" s="35"/>
      <c r="J355" s="541"/>
      <c r="K355" s="541"/>
      <c r="M355" s="539">
        <f ca="1">IFERROR(__xludf.DUMMYFUNCTION("""COMPUTED_VALUE"""),0)</f>
        <v>0</v>
      </c>
      <c r="N355" s="539">
        <f ca="1">IFERROR(__xludf.DUMMYFUNCTION("""COMPUTED_VALUE"""),0)</f>
        <v>0</v>
      </c>
      <c r="O355" s="539">
        <f ca="1">IFERROR(__xludf.DUMMYFUNCTION("""COMPUTED_VALUE"""),0)</f>
        <v>0</v>
      </c>
    </row>
    <row r="356" spans="1:15" ht="12.75">
      <c r="A356" s="539">
        <f ca="1"/>
        <v>350</v>
      </c>
      <c r="B356" s="35" t="str">
        <f ca="1">IFERROR(__xludf.DUMMYFUNCTION("""COMPUTED_VALUE"""),"Tổ Hạ tầng Đức Hòa")</f>
        <v>Tổ Hạ tầng Đức Hòa</v>
      </c>
      <c r="C356" s="35" t="str">
        <f ca="1">IFERROR(__xludf.DUMMYFUNCTION("""COMPUTED_VALUE"""),"Thái Duy Lâm")</f>
        <v>Thái Duy Lâm</v>
      </c>
      <c r="D356" s="543" t="str">
        <f ca="1">IFERROR(__xludf.DUMMYFUNCTION("""COMPUTED_VALUE"""),"0837821860")</f>
        <v>0837821860</v>
      </c>
      <c r="E356" s="35" t="str">
        <f ca="1">IFERROR(__xludf.DUMMYFUNCTION("""COMPUTED_VALUE"""),"lamdt.lan@vnpt.vn")</f>
        <v>lamdt.lan@vnpt.vn</v>
      </c>
      <c r="F356" s="540" t="str">
        <f ca="1">IFERROR(__xludf.DUMMYFUNCTION("""COMPUTED_VALUE"""),"Lần 14")</f>
        <v>Lần 14</v>
      </c>
      <c r="G356" s="278"/>
      <c r="H356" s="35"/>
      <c r="I356" s="35"/>
      <c r="J356" s="541"/>
      <c r="K356" s="541"/>
      <c r="M356" s="539">
        <f ca="1">IFERROR(__xludf.DUMMYFUNCTION("""COMPUTED_VALUE"""),0)</f>
        <v>0</v>
      </c>
      <c r="N356" s="539">
        <f ca="1">IFERROR(__xludf.DUMMYFUNCTION("""COMPUTED_VALUE"""),0)</f>
        <v>0</v>
      </c>
      <c r="O356" s="539">
        <f ca="1">IFERROR(__xludf.DUMMYFUNCTION("""COMPUTED_VALUE"""),0)</f>
        <v>0</v>
      </c>
    </row>
    <row r="357" spans="1:15" ht="12.75">
      <c r="A357" s="539">
        <f ca="1"/>
        <v>351</v>
      </c>
      <c r="B357" s="35" t="str">
        <f ca="1">IFERROR(__xludf.DUMMYFUNCTION("""COMPUTED_VALUE"""),"Tổ Hạ tầng Đức Hòa")</f>
        <v>Tổ Hạ tầng Đức Hòa</v>
      </c>
      <c r="C357" s="35" t="str">
        <f ca="1">IFERROR(__xludf.DUMMYFUNCTION("""COMPUTED_VALUE"""),"Thái Duy Lâm")</f>
        <v>Thái Duy Lâm</v>
      </c>
      <c r="D357" s="543" t="str">
        <f ca="1">IFERROR(__xludf.DUMMYFUNCTION("""COMPUTED_VALUE"""),"0837821860")</f>
        <v>0837821860</v>
      </c>
      <c r="E357" s="35" t="str">
        <f ca="1">IFERROR(__xludf.DUMMYFUNCTION("""COMPUTED_VALUE"""),"lamdt.lan@vnpt.vn")</f>
        <v>lamdt.lan@vnpt.vn</v>
      </c>
      <c r="F357" s="540" t="str">
        <f ca="1">IFERROR(__xludf.DUMMYFUNCTION("""COMPUTED_VALUE"""),"Lần 15")</f>
        <v>Lần 15</v>
      </c>
      <c r="G357" s="278"/>
      <c r="H357" s="35"/>
      <c r="I357" s="35"/>
      <c r="J357" s="541"/>
      <c r="K357" s="541"/>
      <c r="M357" s="539">
        <f ca="1">IFERROR(__xludf.DUMMYFUNCTION("""COMPUTED_VALUE"""),0)</f>
        <v>0</v>
      </c>
      <c r="N357" s="539">
        <f ca="1">IFERROR(__xludf.DUMMYFUNCTION("""COMPUTED_VALUE"""),0)</f>
        <v>0</v>
      </c>
      <c r="O357" s="539">
        <f ca="1">IFERROR(__xludf.DUMMYFUNCTION("""COMPUTED_VALUE"""),0)</f>
        <v>0</v>
      </c>
    </row>
    <row r="358" spans="1:15" ht="12.75">
      <c r="A358" s="539">
        <f ca="1"/>
        <v>352</v>
      </c>
      <c r="B358" s="35" t="str">
        <f ca="1">IFERROR(__xludf.DUMMYFUNCTION("""COMPUTED_VALUE"""),"Tổ Hạ tầng Đức Hòa")</f>
        <v>Tổ Hạ tầng Đức Hòa</v>
      </c>
      <c r="C358" s="35" t="str">
        <f ca="1">IFERROR(__xludf.DUMMYFUNCTION("""COMPUTED_VALUE"""),"Thái Duy Lâm")</f>
        <v>Thái Duy Lâm</v>
      </c>
      <c r="D358" s="543" t="str">
        <f ca="1">IFERROR(__xludf.DUMMYFUNCTION("""COMPUTED_VALUE"""),"0837821860")</f>
        <v>0837821860</v>
      </c>
      <c r="E358" s="35" t="str">
        <f ca="1">IFERROR(__xludf.DUMMYFUNCTION("""COMPUTED_VALUE"""),"lamdt.lan@vnpt.vn")</f>
        <v>lamdt.lan@vnpt.vn</v>
      </c>
      <c r="F358" s="540" t="str">
        <f ca="1">IFERROR(__xludf.DUMMYFUNCTION("""COMPUTED_VALUE"""),"Lần 16")</f>
        <v>Lần 16</v>
      </c>
      <c r="G358" s="278"/>
      <c r="H358" s="35"/>
      <c r="I358" s="35"/>
      <c r="J358" s="541"/>
      <c r="K358" s="541"/>
      <c r="M358" s="539">
        <f ca="1">IFERROR(__xludf.DUMMYFUNCTION("""COMPUTED_VALUE"""),0)</f>
        <v>0</v>
      </c>
      <c r="N358" s="539">
        <f ca="1">IFERROR(__xludf.DUMMYFUNCTION("""COMPUTED_VALUE"""),0)</f>
        <v>0</v>
      </c>
      <c r="O358" s="539">
        <f ca="1">IFERROR(__xludf.DUMMYFUNCTION("""COMPUTED_VALUE"""),0)</f>
        <v>0</v>
      </c>
    </row>
    <row r="359" spans="1:15" ht="12.75">
      <c r="A359" s="539">
        <f ca="1"/>
        <v>353</v>
      </c>
      <c r="B359" s="35" t="str">
        <f ca="1">IFERROR(__xludf.DUMMYFUNCTION("""COMPUTED_VALUE"""),"Tổ Hạ tầng Đức Hòa")</f>
        <v>Tổ Hạ tầng Đức Hòa</v>
      </c>
      <c r="C359" s="35" t="str">
        <f ca="1">IFERROR(__xludf.DUMMYFUNCTION("""COMPUTED_VALUE"""),"Nguyễn Hải Đăng")</f>
        <v>Nguyễn Hải Đăng</v>
      </c>
      <c r="D359" s="35">
        <f ca="1">IFERROR(__xludf.DUMMYFUNCTION("""COMPUTED_VALUE"""),945796839)</f>
        <v>945796839</v>
      </c>
      <c r="E359" s="35" t="str">
        <f ca="1">IFERROR(__xludf.DUMMYFUNCTION("""COMPUTED_VALUE"""),"dangnh.lan@vnpt.vn")</f>
        <v>dangnh.lan@vnpt.vn</v>
      </c>
      <c r="F359" s="540" t="str">
        <f ca="1">IFERROR(__xludf.DUMMYFUNCTION("""COMPUTED_VALUE"""),"Lần 1")</f>
        <v>Lần 1</v>
      </c>
      <c r="G359" s="278"/>
      <c r="H359" s="35"/>
      <c r="I359" s="35"/>
      <c r="J359" s="541"/>
      <c r="K359" s="541"/>
      <c r="M359" s="539">
        <f ca="1">IFERROR(__xludf.DUMMYFUNCTION("""COMPUTED_VALUE"""),0)</f>
        <v>0</v>
      </c>
      <c r="N359" s="539">
        <f ca="1">IFERROR(__xludf.DUMMYFUNCTION("""COMPUTED_VALUE"""),0)</f>
        <v>0</v>
      </c>
      <c r="O359" s="539">
        <f ca="1">IFERROR(__xludf.DUMMYFUNCTION("""COMPUTED_VALUE"""),0)</f>
        <v>0</v>
      </c>
    </row>
    <row r="360" spans="1:15" ht="12.75">
      <c r="A360" s="539">
        <f ca="1"/>
        <v>354</v>
      </c>
      <c r="B360" s="35" t="str">
        <f ca="1">IFERROR(__xludf.DUMMYFUNCTION("""COMPUTED_VALUE"""),"Tổ Hạ tầng Đức Hòa")</f>
        <v>Tổ Hạ tầng Đức Hòa</v>
      </c>
      <c r="C360" s="35" t="str">
        <f ca="1">IFERROR(__xludf.DUMMYFUNCTION("""COMPUTED_VALUE"""),"Nguyễn Hải Đăng")</f>
        <v>Nguyễn Hải Đăng</v>
      </c>
      <c r="D360" s="35">
        <f ca="1">IFERROR(__xludf.DUMMYFUNCTION("""COMPUTED_VALUE"""),945796839)</f>
        <v>945796839</v>
      </c>
      <c r="E360" s="35" t="str">
        <f ca="1">IFERROR(__xludf.DUMMYFUNCTION("""COMPUTED_VALUE"""),"dangnh.lan@vnpt.vn")</f>
        <v>dangnh.lan@vnpt.vn</v>
      </c>
      <c r="F360" s="540" t="str">
        <f ca="1">IFERROR(__xludf.DUMMYFUNCTION("""COMPUTED_VALUE"""),"Lần 2")</f>
        <v>Lần 2</v>
      </c>
      <c r="G360" s="278"/>
      <c r="H360" s="35"/>
      <c r="I360" s="35"/>
      <c r="J360" s="541"/>
      <c r="K360" s="541"/>
      <c r="M360" s="539">
        <f ca="1">IFERROR(__xludf.DUMMYFUNCTION("""COMPUTED_VALUE"""),0)</f>
        <v>0</v>
      </c>
      <c r="N360" s="539">
        <f ca="1">IFERROR(__xludf.DUMMYFUNCTION("""COMPUTED_VALUE"""),0)</f>
        <v>0</v>
      </c>
      <c r="O360" s="539">
        <f ca="1">IFERROR(__xludf.DUMMYFUNCTION("""COMPUTED_VALUE"""),0)</f>
        <v>0</v>
      </c>
    </row>
    <row r="361" spans="1:15" ht="12.75">
      <c r="A361" s="539">
        <f ca="1"/>
        <v>355</v>
      </c>
      <c r="B361" s="35" t="str">
        <f ca="1">IFERROR(__xludf.DUMMYFUNCTION("""COMPUTED_VALUE"""),"Tổ Hạ tầng Đức Hòa")</f>
        <v>Tổ Hạ tầng Đức Hòa</v>
      </c>
      <c r="C361" s="35" t="str">
        <f ca="1">IFERROR(__xludf.DUMMYFUNCTION("""COMPUTED_VALUE"""),"Nguyễn Hải Đăng")</f>
        <v>Nguyễn Hải Đăng</v>
      </c>
      <c r="D361" s="35">
        <f ca="1">IFERROR(__xludf.DUMMYFUNCTION("""COMPUTED_VALUE"""),945796839)</f>
        <v>945796839</v>
      </c>
      <c r="E361" s="35" t="str">
        <f ca="1">IFERROR(__xludf.DUMMYFUNCTION("""COMPUTED_VALUE"""),"dangnh.lan@vnpt.vn")</f>
        <v>dangnh.lan@vnpt.vn</v>
      </c>
      <c r="F361" s="540" t="str">
        <f ca="1">IFERROR(__xludf.DUMMYFUNCTION("""COMPUTED_VALUE"""),"Lần 3")</f>
        <v>Lần 3</v>
      </c>
      <c r="G361" s="278"/>
      <c r="H361" s="35"/>
      <c r="I361" s="35"/>
      <c r="J361" s="541"/>
      <c r="K361" s="541"/>
      <c r="M361" s="539">
        <f ca="1">IFERROR(__xludf.DUMMYFUNCTION("""COMPUTED_VALUE"""),0)</f>
        <v>0</v>
      </c>
      <c r="N361" s="539">
        <f ca="1">IFERROR(__xludf.DUMMYFUNCTION("""COMPUTED_VALUE"""),0)</f>
        <v>0</v>
      </c>
      <c r="O361" s="539">
        <f ca="1">IFERROR(__xludf.DUMMYFUNCTION("""COMPUTED_VALUE"""),0)</f>
        <v>0</v>
      </c>
    </row>
    <row r="362" spans="1:15" ht="12.75">
      <c r="A362" s="539">
        <f ca="1"/>
        <v>356</v>
      </c>
      <c r="B362" s="35" t="str">
        <f ca="1">IFERROR(__xludf.DUMMYFUNCTION("""COMPUTED_VALUE"""),"Tổ Hạ tầng Đức Hòa")</f>
        <v>Tổ Hạ tầng Đức Hòa</v>
      </c>
      <c r="C362" s="35" t="str">
        <f ca="1">IFERROR(__xludf.DUMMYFUNCTION("""COMPUTED_VALUE"""),"Nguyễn Hải Đăng")</f>
        <v>Nguyễn Hải Đăng</v>
      </c>
      <c r="D362" s="35">
        <f ca="1">IFERROR(__xludf.DUMMYFUNCTION("""COMPUTED_VALUE"""),945796839)</f>
        <v>945796839</v>
      </c>
      <c r="E362" s="35" t="str">
        <f ca="1">IFERROR(__xludf.DUMMYFUNCTION("""COMPUTED_VALUE"""),"dangnh.lan@vnpt.vn")</f>
        <v>dangnh.lan@vnpt.vn</v>
      </c>
      <c r="F362" s="540" t="str">
        <f ca="1">IFERROR(__xludf.DUMMYFUNCTION("""COMPUTED_VALUE"""),"Lần 4")</f>
        <v>Lần 4</v>
      </c>
      <c r="G362" s="278"/>
      <c r="H362" s="35"/>
      <c r="I362" s="35"/>
      <c r="J362" s="541"/>
      <c r="K362" s="541"/>
      <c r="M362" s="539">
        <f ca="1">IFERROR(__xludf.DUMMYFUNCTION("""COMPUTED_VALUE"""),0)</f>
        <v>0</v>
      </c>
      <c r="N362" s="539">
        <f ca="1">IFERROR(__xludf.DUMMYFUNCTION("""COMPUTED_VALUE"""),0)</f>
        <v>0</v>
      </c>
      <c r="O362" s="539">
        <f ca="1">IFERROR(__xludf.DUMMYFUNCTION("""COMPUTED_VALUE"""),0)</f>
        <v>0</v>
      </c>
    </row>
    <row r="363" spans="1:15" ht="12.75">
      <c r="A363" s="539">
        <f ca="1"/>
        <v>357</v>
      </c>
      <c r="B363" s="35" t="str">
        <f ca="1">IFERROR(__xludf.DUMMYFUNCTION("""COMPUTED_VALUE"""),"Tổ Hạ tầng Đức Hòa")</f>
        <v>Tổ Hạ tầng Đức Hòa</v>
      </c>
      <c r="C363" s="35" t="str">
        <f ca="1">IFERROR(__xludf.DUMMYFUNCTION("""COMPUTED_VALUE"""),"Nguyễn Hải Đăng")</f>
        <v>Nguyễn Hải Đăng</v>
      </c>
      <c r="D363" s="35">
        <f ca="1">IFERROR(__xludf.DUMMYFUNCTION("""COMPUTED_VALUE"""),945796839)</f>
        <v>945796839</v>
      </c>
      <c r="E363" s="35" t="str">
        <f ca="1">IFERROR(__xludf.DUMMYFUNCTION("""COMPUTED_VALUE"""),"dangnh.lan@vnpt.vn")</f>
        <v>dangnh.lan@vnpt.vn</v>
      </c>
      <c r="F363" s="540" t="str">
        <f ca="1">IFERROR(__xludf.DUMMYFUNCTION("""COMPUTED_VALUE"""),"Lần 5")</f>
        <v>Lần 5</v>
      </c>
      <c r="G363" s="278"/>
      <c r="H363" s="35"/>
      <c r="I363" s="35"/>
      <c r="J363" s="541"/>
      <c r="K363" s="541"/>
      <c r="M363" s="539">
        <f ca="1">IFERROR(__xludf.DUMMYFUNCTION("""COMPUTED_VALUE"""),0)</f>
        <v>0</v>
      </c>
      <c r="N363" s="539">
        <f ca="1">IFERROR(__xludf.DUMMYFUNCTION("""COMPUTED_VALUE"""),0)</f>
        <v>0</v>
      </c>
      <c r="O363" s="539">
        <f ca="1">IFERROR(__xludf.DUMMYFUNCTION("""COMPUTED_VALUE"""),0)</f>
        <v>0</v>
      </c>
    </row>
    <row r="364" spans="1:15" ht="12.75">
      <c r="A364" s="539">
        <f ca="1"/>
        <v>358</v>
      </c>
      <c r="B364" s="35" t="str">
        <f ca="1">IFERROR(__xludf.DUMMYFUNCTION("""COMPUTED_VALUE"""),"Tổ Hạ tầng Đức Hòa")</f>
        <v>Tổ Hạ tầng Đức Hòa</v>
      </c>
      <c r="C364" s="35" t="str">
        <f ca="1">IFERROR(__xludf.DUMMYFUNCTION("""COMPUTED_VALUE"""),"Nguyễn Hải Đăng")</f>
        <v>Nguyễn Hải Đăng</v>
      </c>
      <c r="D364" s="35">
        <f ca="1">IFERROR(__xludf.DUMMYFUNCTION("""COMPUTED_VALUE"""),945796839)</f>
        <v>945796839</v>
      </c>
      <c r="E364" s="35" t="str">
        <f ca="1">IFERROR(__xludf.DUMMYFUNCTION("""COMPUTED_VALUE"""),"dangnh.lan@vnpt.vn")</f>
        <v>dangnh.lan@vnpt.vn</v>
      </c>
      <c r="F364" s="540" t="str">
        <f ca="1">IFERROR(__xludf.DUMMYFUNCTION("""COMPUTED_VALUE"""),"Lần 6")</f>
        <v>Lần 6</v>
      </c>
      <c r="G364" s="278"/>
      <c r="H364" s="35"/>
      <c r="I364" s="35"/>
      <c r="J364" s="541"/>
      <c r="K364" s="35"/>
      <c r="M364" s="539">
        <f ca="1">IFERROR(__xludf.DUMMYFUNCTION("""COMPUTED_VALUE"""),0)</f>
        <v>0</v>
      </c>
      <c r="N364" s="539">
        <f ca="1">IFERROR(__xludf.DUMMYFUNCTION("""COMPUTED_VALUE"""),0)</f>
        <v>0</v>
      </c>
      <c r="O364" s="539">
        <f ca="1">IFERROR(__xludf.DUMMYFUNCTION("""COMPUTED_VALUE"""),0)</f>
        <v>0</v>
      </c>
    </row>
    <row r="365" spans="1:15" ht="12.75">
      <c r="A365" s="539">
        <f ca="1"/>
        <v>359</v>
      </c>
      <c r="B365" s="35" t="str">
        <f ca="1">IFERROR(__xludf.DUMMYFUNCTION("""COMPUTED_VALUE"""),"Tổ Hạ tầng Đức Hòa")</f>
        <v>Tổ Hạ tầng Đức Hòa</v>
      </c>
      <c r="C365" s="35" t="str">
        <f ca="1">IFERROR(__xludf.DUMMYFUNCTION("""COMPUTED_VALUE"""),"Nguyễn Hải Đăng")</f>
        <v>Nguyễn Hải Đăng</v>
      </c>
      <c r="D365" s="35">
        <f ca="1">IFERROR(__xludf.DUMMYFUNCTION("""COMPUTED_VALUE"""),945796839)</f>
        <v>945796839</v>
      </c>
      <c r="E365" s="35" t="str">
        <f ca="1">IFERROR(__xludf.DUMMYFUNCTION("""COMPUTED_VALUE"""),"dangnh.lan@vnpt.vn")</f>
        <v>dangnh.lan@vnpt.vn</v>
      </c>
      <c r="F365" s="540" t="str">
        <f ca="1">IFERROR(__xludf.DUMMYFUNCTION("""COMPUTED_VALUE"""),"Lần 7")</f>
        <v>Lần 7</v>
      </c>
      <c r="G365" s="278"/>
      <c r="H365" s="35"/>
      <c r="I365" s="35"/>
      <c r="J365" s="541"/>
      <c r="K365" s="541"/>
      <c r="M365" s="539">
        <f ca="1">IFERROR(__xludf.DUMMYFUNCTION("""COMPUTED_VALUE"""),0)</f>
        <v>0</v>
      </c>
      <c r="N365" s="539">
        <f ca="1">IFERROR(__xludf.DUMMYFUNCTION("""COMPUTED_VALUE"""),0)</f>
        <v>0</v>
      </c>
      <c r="O365" s="539">
        <f ca="1">IFERROR(__xludf.DUMMYFUNCTION("""COMPUTED_VALUE"""),0)</f>
        <v>0</v>
      </c>
    </row>
    <row r="366" spans="1:15" ht="12.75">
      <c r="A366" s="539">
        <f ca="1"/>
        <v>360</v>
      </c>
      <c r="B366" s="35" t="str">
        <f ca="1">IFERROR(__xludf.DUMMYFUNCTION("""COMPUTED_VALUE"""),"Tổ Hạ tầng Đức Hòa")</f>
        <v>Tổ Hạ tầng Đức Hòa</v>
      </c>
      <c r="C366" s="35" t="str">
        <f ca="1">IFERROR(__xludf.DUMMYFUNCTION("""COMPUTED_VALUE"""),"Nguyễn Hải Đăng")</f>
        <v>Nguyễn Hải Đăng</v>
      </c>
      <c r="D366" s="35">
        <f ca="1">IFERROR(__xludf.DUMMYFUNCTION("""COMPUTED_VALUE"""),945796839)</f>
        <v>945796839</v>
      </c>
      <c r="E366" s="35" t="str">
        <f ca="1">IFERROR(__xludf.DUMMYFUNCTION("""COMPUTED_VALUE"""),"dangnh.lan@vnpt.vn")</f>
        <v>dangnh.lan@vnpt.vn</v>
      </c>
      <c r="F366" s="540" t="str">
        <f ca="1">IFERROR(__xludf.DUMMYFUNCTION("""COMPUTED_VALUE"""),"Lần 8")</f>
        <v>Lần 8</v>
      </c>
      <c r="G366" s="278"/>
      <c r="H366" s="35"/>
      <c r="I366" s="35"/>
      <c r="J366" s="541"/>
      <c r="K366" s="541"/>
      <c r="M366" s="539">
        <f ca="1">IFERROR(__xludf.DUMMYFUNCTION("""COMPUTED_VALUE"""),0)</f>
        <v>0</v>
      </c>
      <c r="N366" s="539">
        <f ca="1">IFERROR(__xludf.DUMMYFUNCTION("""COMPUTED_VALUE"""),0)</f>
        <v>0</v>
      </c>
      <c r="O366" s="539">
        <f ca="1">IFERROR(__xludf.DUMMYFUNCTION("""COMPUTED_VALUE"""),0)</f>
        <v>0</v>
      </c>
    </row>
    <row r="367" spans="1:15" ht="12.75">
      <c r="A367" s="539">
        <f ca="1"/>
        <v>361</v>
      </c>
      <c r="B367" s="35" t="str">
        <f ca="1">IFERROR(__xludf.DUMMYFUNCTION("""COMPUTED_VALUE"""),"Tổ Hạ tầng Đức Hòa")</f>
        <v>Tổ Hạ tầng Đức Hòa</v>
      </c>
      <c r="C367" s="35" t="str">
        <f ca="1">IFERROR(__xludf.DUMMYFUNCTION("""COMPUTED_VALUE"""),"Nguyễn Hải Đăng")</f>
        <v>Nguyễn Hải Đăng</v>
      </c>
      <c r="D367" s="35">
        <f ca="1">IFERROR(__xludf.DUMMYFUNCTION("""COMPUTED_VALUE"""),945796839)</f>
        <v>945796839</v>
      </c>
      <c r="E367" s="35" t="str">
        <f ca="1">IFERROR(__xludf.DUMMYFUNCTION("""COMPUTED_VALUE"""),"dangnh.lan@vnpt.vn")</f>
        <v>dangnh.lan@vnpt.vn</v>
      </c>
      <c r="F367" s="540" t="str">
        <f ca="1">IFERROR(__xludf.DUMMYFUNCTION("""COMPUTED_VALUE"""),"Lần 9")</f>
        <v>Lần 9</v>
      </c>
      <c r="G367" s="278"/>
      <c r="H367" s="35"/>
      <c r="I367" s="35"/>
      <c r="J367" s="541"/>
      <c r="K367" s="541"/>
      <c r="M367" s="539">
        <f ca="1">IFERROR(__xludf.DUMMYFUNCTION("""COMPUTED_VALUE"""),0)</f>
        <v>0</v>
      </c>
      <c r="N367" s="539">
        <f ca="1">IFERROR(__xludf.DUMMYFUNCTION("""COMPUTED_VALUE"""),0)</f>
        <v>0</v>
      </c>
      <c r="O367" s="539">
        <f ca="1">IFERROR(__xludf.DUMMYFUNCTION("""COMPUTED_VALUE"""),0)</f>
        <v>0</v>
      </c>
    </row>
    <row r="368" spans="1:15" ht="12.75">
      <c r="A368" s="539">
        <f ca="1"/>
        <v>362</v>
      </c>
      <c r="B368" s="35" t="str">
        <f ca="1">IFERROR(__xludf.DUMMYFUNCTION("""COMPUTED_VALUE"""),"Tổ Hạ tầng Đức Hòa")</f>
        <v>Tổ Hạ tầng Đức Hòa</v>
      </c>
      <c r="C368" s="35" t="str">
        <f ca="1">IFERROR(__xludf.DUMMYFUNCTION("""COMPUTED_VALUE"""),"Nguyễn Hải Đăng")</f>
        <v>Nguyễn Hải Đăng</v>
      </c>
      <c r="D368" s="35">
        <f ca="1">IFERROR(__xludf.DUMMYFUNCTION("""COMPUTED_VALUE"""),945796839)</f>
        <v>945796839</v>
      </c>
      <c r="E368" s="35" t="str">
        <f ca="1">IFERROR(__xludf.DUMMYFUNCTION("""COMPUTED_VALUE"""),"dangnh.lan@vnpt.vn")</f>
        <v>dangnh.lan@vnpt.vn</v>
      </c>
      <c r="F368" s="540" t="str">
        <f ca="1">IFERROR(__xludf.DUMMYFUNCTION("""COMPUTED_VALUE"""),"Lần 10")</f>
        <v>Lần 10</v>
      </c>
      <c r="G368" s="278"/>
      <c r="H368" s="35"/>
      <c r="I368" s="35"/>
      <c r="J368" s="541"/>
      <c r="K368" s="541"/>
      <c r="M368" s="539">
        <f ca="1">IFERROR(__xludf.DUMMYFUNCTION("""COMPUTED_VALUE"""),0)</f>
        <v>0</v>
      </c>
      <c r="N368" s="539">
        <f ca="1">IFERROR(__xludf.DUMMYFUNCTION("""COMPUTED_VALUE"""),0)</f>
        <v>0</v>
      </c>
      <c r="O368" s="539">
        <f ca="1">IFERROR(__xludf.DUMMYFUNCTION("""COMPUTED_VALUE"""),0)</f>
        <v>0</v>
      </c>
    </row>
    <row r="369" spans="1:15" ht="12.75">
      <c r="A369" s="539">
        <f ca="1"/>
        <v>363</v>
      </c>
      <c r="B369" s="35" t="str">
        <f ca="1">IFERROR(__xludf.DUMMYFUNCTION("""COMPUTED_VALUE"""),"Tổ Hạ tầng Đức Hòa")</f>
        <v>Tổ Hạ tầng Đức Hòa</v>
      </c>
      <c r="C369" s="35" t="str">
        <f ca="1">IFERROR(__xludf.DUMMYFUNCTION("""COMPUTED_VALUE"""),"Nguyễn Hải Đăng")</f>
        <v>Nguyễn Hải Đăng</v>
      </c>
      <c r="D369" s="35">
        <f ca="1">IFERROR(__xludf.DUMMYFUNCTION("""COMPUTED_VALUE"""),945796839)</f>
        <v>945796839</v>
      </c>
      <c r="E369" s="35" t="str">
        <f ca="1">IFERROR(__xludf.DUMMYFUNCTION("""COMPUTED_VALUE"""),"dangnh.lan@vnpt.vn")</f>
        <v>dangnh.lan@vnpt.vn</v>
      </c>
      <c r="F369" s="540" t="str">
        <f ca="1">IFERROR(__xludf.DUMMYFUNCTION("""COMPUTED_VALUE"""),"Lần 11")</f>
        <v>Lần 11</v>
      </c>
      <c r="G369" s="278"/>
      <c r="H369" s="35"/>
      <c r="I369" s="35"/>
      <c r="J369" s="541"/>
      <c r="K369" s="35"/>
      <c r="M369" s="539">
        <f ca="1">IFERROR(__xludf.DUMMYFUNCTION("""COMPUTED_VALUE"""),0)</f>
        <v>0</v>
      </c>
      <c r="N369" s="539">
        <f ca="1">IFERROR(__xludf.DUMMYFUNCTION("""COMPUTED_VALUE"""),0)</f>
        <v>0</v>
      </c>
      <c r="O369" s="539">
        <f ca="1">IFERROR(__xludf.DUMMYFUNCTION("""COMPUTED_VALUE"""),0)</f>
        <v>0</v>
      </c>
    </row>
    <row r="370" spans="1:15" ht="12.75">
      <c r="A370" s="539">
        <f ca="1"/>
        <v>364</v>
      </c>
      <c r="B370" s="35" t="str">
        <f ca="1">IFERROR(__xludf.DUMMYFUNCTION("""COMPUTED_VALUE"""),"Tổ Hạ tầng Đức Hòa")</f>
        <v>Tổ Hạ tầng Đức Hòa</v>
      </c>
      <c r="C370" s="35" t="str">
        <f ca="1">IFERROR(__xludf.DUMMYFUNCTION("""COMPUTED_VALUE"""),"Nguyễn Hải Đăng")</f>
        <v>Nguyễn Hải Đăng</v>
      </c>
      <c r="D370" s="35">
        <f ca="1">IFERROR(__xludf.DUMMYFUNCTION("""COMPUTED_VALUE"""),945796839)</f>
        <v>945796839</v>
      </c>
      <c r="E370" s="35" t="str">
        <f ca="1">IFERROR(__xludf.DUMMYFUNCTION("""COMPUTED_VALUE"""),"dangnh.lan@vnpt.vn")</f>
        <v>dangnh.lan@vnpt.vn</v>
      </c>
      <c r="F370" s="540" t="str">
        <f ca="1">IFERROR(__xludf.DUMMYFUNCTION("""COMPUTED_VALUE"""),"Lần 12")</f>
        <v>Lần 12</v>
      </c>
      <c r="G370" s="278"/>
      <c r="H370" s="35"/>
      <c r="I370" s="35"/>
      <c r="J370" s="541"/>
      <c r="K370" s="541"/>
      <c r="M370" s="539">
        <f ca="1">IFERROR(__xludf.DUMMYFUNCTION("""COMPUTED_VALUE"""),0)</f>
        <v>0</v>
      </c>
      <c r="N370" s="539">
        <f ca="1">IFERROR(__xludf.DUMMYFUNCTION("""COMPUTED_VALUE"""),0)</f>
        <v>0</v>
      </c>
      <c r="O370" s="539">
        <f ca="1">IFERROR(__xludf.DUMMYFUNCTION("""COMPUTED_VALUE"""),0)</f>
        <v>0</v>
      </c>
    </row>
    <row r="371" spans="1:15" ht="12.75">
      <c r="A371" s="539">
        <f ca="1"/>
        <v>365</v>
      </c>
      <c r="B371" s="35" t="str">
        <f ca="1">IFERROR(__xludf.DUMMYFUNCTION("""COMPUTED_VALUE"""),"Tổ Hạ tầng Đức Hòa")</f>
        <v>Tổ Hạ tầng Đức Hòa</v>
      </c>
      <c r="C371" s="35" t="str">
        <f ca="1">IFERROR(__xludf.DUMMYFUNCTION("""COMPUTED_VALUE"""),"Nguyễn Hải Đăng")</f>
        <v>Nguyễn Hải Đăng</v>
      </c>
      <c r="D371" s="35">
        <f ca="1">IFERROR(__xludf.DUMMYFUNCTION("""COMPUTED_VALUE"""),945796839)</f>
        <v>945796839</v>
      </c>
      <c r="E371" s="35" t="str">
        <f ca="1">IFERROR(__xludf.DUMMYFUNCTION("""COMPUTED_VALUE"""),"dangnh.lan@vnpt.vn")</f>
        <v>dangnh.lan@vnpt.vn</v>
      </c>
      <c r="F371" s="540" t="str">
        <f ca="1">IFERROR(__xludf.DUMMYFUNCTION("""COMPUTED_VALUE"""),"Lần 13")</f>
        <v>Lần 13</v>
      </c>
      <c r="G371" s="278"/>
      <c r="H371" s="35"/>
      <c r="I371" s="542"/>
      <c r="J371" s="541"/>
      <c r="K371" s="541"/>
      <c r="M371" s="539">
        <f ca="1">IFERROR(__xludf.DUMMYFUNCTION("""COMPUTED_VALUE"""),0)</f>
        <v>0</v>
      </c>
      <c r="N371" s="539">
        <f ca="1">IFERROR(__xludf.DUMMYFUNCTION("""COMPUTED_VALUE"""),0)</f>
        <v>0</v>
      </c>
      <c r="O371" s="539">
        <f ca="1">IFERROR(__xludf.DUMMYFUNCTION("""COMPUTED_VALUE"""),0)</f>
        <v>0</v>
      </c>
    </row>
    <row r="372" spans="1:15" ht="12.75">
      <c r="A372" s="539">
        <f ca="1"/>
        <v>366</v>
      </c>
      <c r="B372" s="35" t="str">
        <f ca="1">IFERROR(__xludf.DUMMYFUNCTION("""COMPUTED_VALUE"""),"Tổ Hạ tầng Đức Hòa")</f>
        <v>Tổ Hạ tầng Đức Hòa</v>
      </c>
      <c r="C372" s="35" t="str">
        <f ca="1">IFERROR(__xludf.DUMMYFUNCTION("""COMPUTED_VALUE"""),"Nguyễn Hải Đăng")</f>
        <v>Nguyễn Hải Đăng</v>
      </c>
      <c r="D372" s="35">
        <f ca="1">IFERROR(__xludf.DUMMYFUNCTION("""COMPUTED_VALUE"""),945796839)</f>
        <v>945796839</v>
      </c>
      <c r="E372" s="35" t="str">
        <f ca="1">IFERROR(__xludf.DUMMYFUNCTION("""COMPUTED_VALUE"""),"dangnh.lan@vnpt.vn")</f>
        <v>dangnh.lan@vnpt.vn</v>
      </c>
      <c r="F372" s="540" t="str">
        <f ca="1">IFERROR(__xludf.DUMMYFUNCTION("""COMPUTED_VALUE"""),"Lần 14")</f>
        <v>Lần 14</v>
      </c>
      <c r="G372" s="278"/>
      <c r="H372" s="35"/>
      <c r="I372" s="35"/>
      <c r="J372" s="541"/>
      <c r="K372" s="541"/>
      <c r="M372" s="539">
        <f ca="1">IFERROR(__xludf.DUMMYFUNCTION("""COMPUTED_VALUE"""),0)</f>
        <v>0</v>
      </c>
      <c r="N372" s="539">
        <f ca="1">IFERROR(__xludf.DUMMYFUNCTION("""COMPUTED_VALUE"""),0)</f>
        <v>0</v>
      </c>
      <c r="O372" s="539">
        <f ca="1">IFERROR(__xludf.DUMMYFUNCTION("""COMPUTED_VALUE"""),0)</f>
        <v>0</v>
      </c>
    </row>
    <row r="373" spans="1:15" ht="12.75">
      <c r="A373" s="539">
        <f ca="1"/>
        <v>367</v>
      </c>
      <c r="B373" s="35" t="str">
        <f ca="1">IFERROR(__xludf.DUMMYFUNCTION("""COMPUTED_VALUE"""),"Tổ Hạ tầng Đức Hòa")</f>
        <v>Tổ Hạ tầng Đức Hòa</v>
      </c>
      <c r="C373" s="35" t="str">
        <f ca="1">IFERROR(__xludf.DUMMYFUNCTION("""COMPUTED_VALUE"""),"Nguyễn Hải Đăng")</f>
        <v>Nguyễn Hải Đăng</v>
      </c>
      <c r="D373" s="35">
        <f ca="1">IFERROR(__xludf.DUMMYFUNCTION("""COMPUTED_VALUE"""),945796839)</f>
        <v>945796839</v>
      </c>
      <c r="E373" s="35" t="str">
        <f ca="1">IFERROR(__xludf.DUMMYFUNCTION("""COMPUTED_VALUE"""),"dangnh.lan@vnpt.vn")</f>
        <v>dangnh.lan@vnpt.vn</v>
      </c>
      <c r="F373" s="540" t="str">
        <f ca="1">IFERROR(__xludf.DUMMYFUNCTION("""COMPUTED_VALUE"""),"Lần 15")</f>
        <v>Lần 15</v>
      </c>
      <c r="G373" s="278"/>
      <c r="H373" s="35"/>
      <c r="I373" s="35"/>
      <c r="J373" s="541"/>
      <c r="K373" s="541"/>
      <c r="M373" s="539">
        <f ca="1">IFERROR(__xludf.DUMMYFUNCTION("""COMPUTED_VALUE"""),0)</f>
        <v>0</v>
      </c>
      <c r="N373" s="539">
        <f ca="1">IFERROR(__xludf.DUMMYFUNCTION("""COMPUTED_VALUE"""),0)</f>
        <v>0</v>
      </c>
      <c r="O373" s="539">
        <f ca="1">IFERROR(__xludf.DUMMYFUNCTION("""COMPUTED_VALUE"""),0)</f>
        <v>0</v>
      </c>
    </row>
    <row r="374" spans="1:15" ht="12.75">
      <c r="A374" s="539">
        <f ca="1"/>
        <v>368</v>
      </c>
      <c r="B374" s="35" t="str">
        <f ca="1">IFERROR(__xludf.DUMMYFUNCTION("""COMPUTED_VALUE"""),"Tổ Hạ tầng Đức Hòa")</f>
        <v>Tổ Hạ tầng Đức Hòa</v>
      </c>
      <c r="C374" s="35" t="str">
        <f ca="1">IFERROR(__xludf.DUMMYFUNCTION("""COMPUTED_VALUE"""),"Nguyễn Hải Đăng")</f>
        <v>Nguyễn Hải Đăng</v>
      </c>
      <c r="D374" s="35">
        <f ca="1">IFERROR(__xludf.DUMMYFUNCTION("""COMPUTED_VALUE"""),945796839)</f>
        <v>945796839</v>
      </c>
      <c r="E374" s="35" t="str">
        <f ca="1">IFERROR(__xludf.DUMMYFUNCTION("""COMPUTED_VALUE"""),"dangnh.lan@vnpt.vn")</f>
        <v>dangnh.lan@vnpt.vn</v>
      </c>
      <c r="F374" s="540" t="str">
        <f ca="1">IFERROR(__xludf.DUMMYFUNCTION("""COMPUTED_VALUE"""),"Lần 16")</f>
        <v>Lần 16</v>
      </c>
      <c r="G374" s="278"/>
      <c r="H374" s="35"/>
      <c r="I374" s="35"/>
      <c r="J374" s="541"/>
      <c r="K374" s="35"/>
      <c r="M374" s="539">
        <f ca="1">IFERROR(__xludf.DUMMYFUNCTION("""COMPUTED_VALUE"""),0)</f>
        <v>0</v>
      </c>
      <c r="N374" s="539">
        <f ca="1">IFERROR(__xludf.DUMMYFUNCTION("""COMPUTED_VALUE"""),0)</f>
        <v>0</v>
      </c>
      <c r="O374" s="539">
        <f ca="1">IFERROR(__xludf.DUMMYFUNCTION("""COMPUTED_VALUE"""),0)</f>
        <v>0</v>
      </c>
    </row>
    <row r="375" spans="1:15" ht="12.75">
      <c r="A375" s="539">
        <f ca="1"/>
        <v>369</v>
      </c>
      <c r="B375" s="35" t="str">
        <f ca="1">IFERROR(__xludf.DUMMYFUNCTION("""COMPUTED_VALUE"""),"Tổ Hạ tầng Đức Hòa")</f>
        <v>Tổ Hạ tầng Đức Hòa</v>
      </c>
      <c r="C375" s="35" t="str">
        <f ca="1">IFERROR(__xludf.DUMMYFUNCTION("""COMPUTED_VALUE"""),"Hồ Chí Linh")</f>
        <v>Hồ Chí Linh</v>
      </c>
      <c r="D375" s="35">
        <f ca="1">IFERROR(__xludf.DUMMYFUNCTION("""COMPUTED_VALUE"""),916245738)</f>
        <v>916245738</v>
      </c>
      <c r="E375" s="35" t="str">
        <f ca="1">IFERROR(__xludf.DUMMYFUNCTION("""COMPUTED_VALUE"""),"linhhc.lan@vnpt.vn")</f>
        <v>linhhc.lan@vnpt.vn</v>
      </c>
      <c r="F375" s="540" t="str">
        <f ca="1">IFERROR(__xludf.DUMMYFUNCTION("""COMPUTED_VALUE"""),"Lần 1")</f>
        <v>Lần 1</v>
      </c>
      <c r="G375" s="278"/>
      <c r="H375" s="35"/>
      <c r="I375" s="35"/>
      <c r="J375" s="541"/>
      <c r="K375" s="541"/>
      <c r="M375" s="539">
        <f ca="1">IFERROR(__xludf.DUMMYFUNCTION("""COMPUTED_VALUE"""),0)</f>
        <v>0</v>
      </c>
      <c r="N375" s="539">
        <f ca="1">IFERROR(__xludf.DUMMYFUNCTION("""COMPUTED_VALUE"""),0)</f>
        <v>0</v>
      </c>
      <c r="O375" s="539">
        <f ca="1">IFERROR(__xludf.DUMMYFUNCTION("""COMPUTED_VALUE"""),0)</f>
        <v>0</v>
      </c>
    </row>
    <row r="376" spans="1:15" ht="12.75">
      <c r="A376" s="539">
        <f ca="1"/>
        <v>370</v>
      </c>
      <c r="B376" s="35" t="str">
        <f ca="1">IFERROR(__xludf.DUMMYFUNCTION("""COMPUTED_VALUE"""),"Tổ Hạ tầng Đức Hòa")</f>
        <v>Tổ Hạ tầng Đức Hòa</v>
      </c>
      <c r="C376" s="35" t="str">
        <f ca="1">IFERROR(__xludf.DUMMYFUNCTION("""COMPUTED_VALUE"""),"Hồ Chí Linh")</f>
        <v>Hồ Chí Linh</v>
      </c>
      <c r="D376" s="35">
        <f ca="1">IFERROR(__xludf.DUMMYFUNCTION("""COMPUTED_VALUE"""),916245738)</f>
        <v>916245738</v>
      </c>
      <c r="E376" s="35" t="str">
        <f ca="1">IFERROR(__xludf.DUMMYFUNCTION("""COMPUTED_VALUE"""),"linhhc.lan@vnpt.vn")</f>
        <v>linhhc.lan@vnpt.vn</v>
      </c>
      <c r="F376" s="540" t="str">
        <f ca="1">IFERROR(__xludf.DUMMYFUNCTION("""COMPUTED_VALUE"""),"Lần 2")</f>
        <v>Lần 2</v>
      </c>
      <c r="G376" s="278"/>
      <c r="H376" s="35"/>
      <c r="I376" s="35"/>
      <c r="J376" s="541"/>
      <c r="K376" s="35"/>
      <c r="M376" s="539">
        <f ca="1">IFERROR(__xludf.DUMMYFUNCTION("""COMPUTED_VALUE"""),0)</f>
        <v>0</v>
      </c>
      <c r="N376" s="539">
        <f ca="1">IFERROR(__xludf.DUMMYFUNCTION("""COMPUTED_VALUE"""),0)</f>
        <v>0</v>
      </c>
      <c r="O376" s="539">
        <f ca="1">IFERROR(__xludf.DUMMYFUNCTION("""COMPUTED_VALUE"""),0)</f>
        <v>0</v>
      </c>
    </row>
    <row r="377" spans="1:15" ht="12.75">
      <c r="A377" s="539">
        <f ca="1"/>
        <v>371</v>
      </c>
      <c r="B377" s="35" t="str">
        <f ca="1">IFERROR(__xludf.DUMMYFUNCTION("""COMPUTED_VALUE"""),"Tổ Hạ tầng Đức Hòa")</f>
        <v>Tổ Hạ tầng Đức Hòa</v>
      </c>
      <c r="C377" s="35" t="str">
        <f ca="1">IFERROR(__xludf.DUMMYFUNCTION("""COMPUTED_VALUE"""),"Hồ Chí Linh")</f>
        <v>Hồ Chí Linh</v>
      </c>
      <c r="D377" s="35">
        <f ca="1">IFERROR(__xludf.DUMMYFUNCTION("""COMPUTED_VALUE"""),916245738)</f>
        <v>916245738</v>
      </c>
      <c r="E377" s="35" t="str">
        <f ca="1">IFERROR(__xludf.DUMMYFUNCTION("""COMPUTED_VALUE"""),"linhhc.lan@vnpt.vn")</f>
        <v>linhhc.lan@vnpt.vn</v>
      </c>
      <c r="F377" s="540" t="str">
        <f ca="1">IFERROR(__xludf.DUMMYFUNCTION("""COMPUTED_VALUE"""),"Lần 3")</f>
        <v>Lần 3</v>
      </c>
      <c r="G377" s="278"/>
      <c r="H377" s="35"/>
      <c r="I377" s="35"/>
      <c r="J377" s="541"/>
      <c r="K377" s="541"/>
      <c r="M377" s="539">
        <f ca="1">IFERROR(__xludf.DUMMYFUNCTION("""COMPUTED_VALUE"""),0)</f>
        <v>0</v>
      </c>
      <c r="N377" s="539">
        <f ca="1">IFERROR(__xludf.DUMMYFUNCTION("""COMPUTED_VALUE"""),0)</f>
        <v>0</v>
      </c>
      <c r="O377" s="539">
        <f ca="1">IFERROR(__xludf.DUMMYFUNCTION("""COMPUTED_VALUE"""),0)</f>
        <v>0</v>
      </c>
    </row>
    <row r="378" spans="1:15" ht="12.75">
      <c r="A378" s="539">
        <f ca="1"/>
        <v>372</v>
      </c>
      <c r="B378" s="35" t="str">
        <f ca="1">IFERROR(__xludf.DUMMYFUNCTION("""COMPUTED_VALUE"""),"Tổ Hạ tầng Đức Hòa")</f>
        <v>Tổ Hạ tầng Đức Hòa</v>
      </c>
      <c r="C378" s="35" t="str">
        <f ca="1">IFERROR(__xludf.DUMMYFUNCTION("""COMPUTED_VALUE"""),"Hồ Chí Linh")</f>
        <v>Hồ Chí Linh</v>
      </c>
      <c r="D378" s="35">
        <f ca="1">IFERROR(__xludf.DUMMYFUNCTION("""COMPUTED_VALUE"""),916245738)</f>
        <v>916245738</v>
      </c>
      <c r="E378" s="35" t="str">
        <f ca="1">IFERROR(__xludf.DUMMYFUNCTION("""COMPUTED_VALUE"""),"linhhc.lan@vnpt.vn")</f>
        <v>linhhc.lan@vnpt.vn</v>
      </c>
      <c r="F378" s="540" t="str">
        <f ca="1">IFERROR(__xludf.DUMMYFUNCTION("""COMPUTED_VALUE"""),"Lần 4")</f>
        <v>Lần 4</v>
      </c>
      <c r="G378" s="278"/>
      <c r="H378" s="35"/>
      <c r="I378" s="35"/>
      <c r="J378" s="541"/>
      <c r="K378" s="35"/>
      <c r="M378" s="539">
        <f ca="1">IFERROR(__xludf.DUMMYFUNCTION("""COMPUTED_VALUE"""),0)</f>
        <v>0</v>
      </c>
      <c r="N378" s="539">
        <f ca="1">IFERROR(__xludf.DUMMYFUNCTION("""COMPUTED_VALUE"""),0)</f>
        <v>0</v>
      </c>
      <c r="O378" s="539">
        <f ca="1">IFERROR(__xludf.DUMMYFUNCTION("""COMPUTED_VALUE"""),0)</f>
        <v>0</v>
      </c>
    </row>
    <row r="379" spans="1:15" ht="12.75">
      <c r="A379" s="539">
        <f ca="1"/>
        <v>373</v>
      </c>
      <c r="B379" s="35" t="str">
        <f ca="1">IFERROR(__xludf.DUMMYFUNCTION("""COMPUTED_VALUE"""),"Tổ Hạ tầng Đức Hòa")</f>
        <v>Tổ Hạ tầng Đức Hòa</v>
      </c>
      <c r="C379" s="35" t="str">
        <f ca="1">IFERROR(__xludf.DUMMYFUNCTION("""COMPUTED_VALUE"""),"Hồ Chí Linh")</f>
        <v>Hồ Chí Linh</v>
      </c>
      <c r="D379" s="35">
        <f ca="1">IFERROR(__xludf.DUMMYFUNCTION("""COMPUTED_VALUE"""),916245738)</f>
        <v>916245738</v>
      </c>
      <c r="E379" s="35" t="str">
        <f ca="1">IFERROR(__xludf.DUMMYFUNCTION("""COMPUTED_VALUE"""),"linhhc.lan@vnpt.vn")</f>
        <v>linhhc.lan@vnpt.vn</v>
      </c>
      <c r="F379" s="540" t="str">
        <f ca="1">IFERROR(__xludf.DUMMYFUNCTION("""COMPUTED_VALUE"""),"Lần 5")</f>
        <v>Lần 5</v>
      </c>
      <c r="G379" s="278"/>
      <c r="H379" s="35"/>
      <c r="I379" s="35"/>
      <c r="J379" s="541"/>
      <c r="K379" s="541"/>
      <c r="M379" s="539">
        <f ca="1">IFERROR(__xludf.DUMMYFUNCTION("""COMPUTED_VALUE"""),0)</f>
        <v>0</v>
      </c>
      <c r="N379" s="539">
        <f ca="1">IFERROR(__xludf.DUMMYFUNCTION("""COMPUTED_VALUE"""),0)</f>
        <v>0</v>
      </c>
      <c r="O379" s="539">
        <f ca="1">IFERROR(__xludf.DUMMYFUNCTION("""COMPUTED_VALUE"""),0)</f>
        <v>0</v>
      </c>
    </row>
    <row r="380" spans="1:15" ht="12.75">
      <c r="A380" s="539">
        <f ca="1"/>
        <v>374</v>
      </c>
      <c r="B380" s="35" t="str">
        <f ca="1">IFERROR(__xludf.DUMMYFUNCTION("""COMPUTED_VALUE"""),"Tổ Hạ tầng Đức Hòa")</f>
        <v>Tổ Hạ tầng Đức Hòa</v>
      </c>
      <c r="C380" s="35" t="str">
        <f ca="1">IFERROR(__xludf.DUMMYFUNCTION("""COMPUTED_VALUE"""),"Hồ Chí Linh")</f>
        <v>Hồ Chí Linh</v>
      </c>
      <c r="D380" s="35">
        <f ca="1">IFERROR(__xludf.DUMMYFUNCTION("""COMPUTED_VALUE"""),916245738)</f>
        <v>916245738</v>
      </c>
      <c r="E380" s="35" t="str">
        <f ca="1">IFERROR(__xludf.DUMMYFUNCTION("""COMPUTED_VALUE"""),"linhhc.lan@vnpt.vn")</f>
        <v>linhhc.lan@vnpt.vn</v>
      </c>
      <c r="F380" s="540" t="str">
        <f ca="1">IFERROR(__xludf.DUMMYFUNCTION("""COMPUTED_VALUE"""),"Lần 6")</f>
        <v>Lần 6</v>
      </c>
      <c r="G380" s="278"/>
      <c r="H380" s="35"/>
      <c r="I380" s="35"/>
      <c r="J380" s="541"/>
      <c r="K380" s="541"/>
      <c r="M380" s="539">
        <f ca="1">IFERROR(__xludf.DUMMYFUNCTION("""COMPUTED_VALUE"""),0)</f>
        <v>0</v>
      </c>
      <c r="N380" s="539">
        <f ca="1">IFERROR(__xludf.DUMMYFUNCTION("""COMPUTED_VALUE"""),0)</f>
        <v>0</v>
      </c>
      <c r="O380" s="539">
        <f ca="1">IFERROR(__xludf.DUMMYFUNCTION("""COMPUTED_VALUE"""),0)</f>
        <v>0</v>
      </c>
    </row>
    <row r="381" spans="1:15" ht="12.75">
      <c r="A381" s="539">
        <f ca="1"/>
        <v>375</v>
      </c>
      <c r="B381" s="35" t="str">
        <f ca="1">IFERROR(__xludf.DUMMYFUNCTION("""COMPUTED_VALUE"""),"Tổ Hạ tầng Đức Hòa")</f>
        <v>Tổ Hạ tầng Đức Hòa</v>
      </c>
      <c r="C381" s="35" t="str">
        <f ca="1">IFERROR(__xludf.DUMMYFUNCTION("""COMPUTED_VALUE"""),"Hồ Chí Linh")</f>
        <v>Hồ Chí Linh</v>
      </c>
      <c r="D381" s="35">
        <f ca="1">IFERROR(__xludf.DUMMYFUNCTION("""COMPUTED_VALUE"""),916245738)</f>
        <v>916245738</v>
      </c>
      <c r="E381" s="35" t="str">
        <f ca="1">IFERROR(__xludf.DUMMYFUNCTION("""COMPUTED_VALUE"""),"linhhc.lan@vnpt.vn")</f>
        <v>linhhc.lan@vnpt.vn</v>
      </c>
      <c r="F381" s="540" t="str">
        <f ca="1">IFERROR(__xludf.DUMMYFUNCTION("""COMPUTED_VALUE"""),"Lần 7")</f>
        <v>Lần 7</v>
      </c>
      <c r="G381" s="278"/>
      <c r="H381" s="35"/>
      <c r="I381" s="35"/>
      <c r="J381" s="541"/>
      <c r="K381" s="541"/>
      <c r="M381" s="539">
        <f ca="1">IFERROR(__xludf.DUMMYFUNCTION("""COMPUTED_VALUE"""),0)</f>
        <v>0</v>
      </c>
      <c r="N381" s="539">
        <f ca="1">IFERROR(__xludf.DUMMYFUNCTION("""COMPUTED_VALUE"""),0)</f>
        <v>0</v>
      </c>
      <c r="O381" s="539">
        <f ca="1">IFERROR(__xludf.DUMMYFUNCTION("""COMPUTED_VALUE"""),0)</f>
        <v>0</v>
      </c>
    </row>
    <row r="382" spans="1:15" ht="12.75">
      <c r="A382" s="539">
        <f ca="1"/>
        <v>376</v>
      </c>
      <c r="B382" s="35" t="str">
        <f ca="1">IFERROR(__xludf.DUMMYFUNCTION("""COMPUTED_VALUE"""),"Tổ Hạ tầng Đức Hòa")</f>
        <v>Tổ Hạ tầng Đức Hòa</v>
      </c>
      <c r="C382" s="35" t="str">
        <f ca="1">IFERROR(__xludf.DUMMYFUNCTION("""COMPUTED_VALUE"""),"Hồ Chí Linh")</f>
        <v>Hồ Chí Linh</v>
      </c>
      <c r="D382" s="35">
        <f ca="1">IFERROR(__xludf.DUMMYFUNCTION("""COMPUTED_VALUE"""),916245738)</f>
        <v>916245738</v>
      </c>
      <c r="E382" s="35" t="str">
        <f ca="1">IFERROR(__xludf.DUMMYFUNCTION("""COMPUTED_VALUE"""),"linhhc.lan@vnpt.vn")</f>
        <v>linhhc.lan@vnpt.vn</v>
      </c>
      <c r="F382" s="540" t="str">
        <f ca="1">IFERROR(__xludf.DUMMYFUNCTION("""COMPUTED_VALUE"""),"Lần 8")</f>
        <v>Lần 8</v>
      </c>
      <c r="G382" s="278"/>
      <c r="H382" s="35"/>
      <c r="I382" s="35"/>
      <c r="J382" s="541"/>
      <c r="K382" s="541"/>
      <c r="M382" s="539">
        <f ca="1">IFERROR(__xludf.DUMMYFUNCTION("""COMPUTED_VALUE"""),0)</f>
        <v>0</v>
      </c>
      <c r="N382" s="539">
        <f ca="1">IFERROR(__xludf.DUMMYFUNCTION("""COMPUTED_VALUE"""),0)</f>
        <v>0</v>
      </c>
      <c r="O382" s="539">
        <f ca="1">IFERROR(__xludf.DUMMYFUNCTION("""COMPUTED_VALUE"""),0)</f>
        <v>0</v>
      </c>
    </row>
    <row r="383" spans="1:15" ht="12.75">
      <c r="A383" s="539">
        <f ca="1"/>
        <v>377</v>
      </c>
      <c r="B383" s="35" t="str">
        <f ca="1">IFERROR(__xludf.DUMMYFUNCTION("""COMPUTED_VALUE"""),"Tổ Hạ tầng Đức Hòa")</f>
        <v>Tổ Hạ tầng Đức Hòa</v>
      </c>
      <c r="C383" s="35" t="str">
        <f ca="1">IFERROR(__xludf.DUMMYFUNCTION("""COMPUTED_VALUE"""),"Hồ Chí Linh")</f>
        <v>Hồ Chí Linh</v>
      </c>
      <c r="D383" s="35">
        <f ca="1">IFERROR(__xludf.DUMMYFUNCTION("""COMPUTED_VALUE"""),916245738)</f>
        <v>916245738</v>
      </c>
      <c r="E383" s="35" t="str">
        <f ca="1">IFERROR(__xludf.DUMMYFUNCTION("""COMPUTED_VALUE"""),"linhhc.lan@vnpt.vn")</f>
        <v>linhhc.lan@vnpt.vn</v>
      </c>
      <c r="F383" s="540" t="str">
        <f ca="1">IFERROR(__xludf.DUMMYFUNCTION("""COMPUTED_VALUE"""),"Lần 9")</f>
        <v>Lần 9</v>
      </c>
      <c r="G383" s="278"/>
      <c r="H383" s="35"/>
      <c r="I383" s="35"/>
      <c r="J383" s="541"/>
      <c r="K383" s="541"/>
      <c r="M383" s="539">
        <f ca="1">IFERROR(__xludf.DUMMYFUNCTION("""COMPUTED_VALUE"""),0)</f>
        <v>0</v>
      </c>
      <c r="N383" s="539">
        <f ca="1">IFERROR(__xludf.DUMMYFUNCTION("""COMPUTED_VALUE"""),0)</f>
        <v>0</v>
      </c>
      <c r="O383" s="539">
        <f ca="1">IFERROR(__xludf.DUMMYFUNCTION("""COMPUTED_VALUE"""),0)</f>
        <v>0</v>
      </c>
    </row>
    <row r="384" spans="1:15" ht="12.75">
      <c r="A384" s="539">
        <f ca="1"/>
        <v>378</v>
      </c>
      <c r="B384" s="35" t="str">
        <f ca="1">IFERROR(__xludf.DUMMYFUNCTION("""COMPUTED_VALUE"""),"Tổ Hạ tầng Đức Hòa")</f>
        <v>Tổ Hạ tầng Đức Hòa</v>
      </c>
      <c r="C384" s="35" t="str">
        <f ca="1">IFERROR(__xludf.DUMMYFUNCTION("""COMPUTED_VALUE"""),"Hồ Chí Linh")</f>
        <v>Hồ Chí Linh</v>
      </c>
      <c r="D384" s="35">
        <f ca="1">IFERROR(__xludf.DUMMYFUNCTION("""COMPUTED_VALUE"""),916245738)</f>
        <v>916245738</v>
      </c>
      <c r="E384" s="35" t="str">
        <f ca="1">IFERROR(__xludf.DUMMYFUNCTION("""COMPUTED_VALUE"""),"linhhc.lan@vnpt.vn")</f>
        <v>linhhc.lan@vnpt.vn</v>
      </c>
      <c r="F384" s="540" t="str">
        <f ca="1">IFERROR(__xludf.DUMMYFUNCTION("""COMPUTED_VALUE"""),"Lần 10")</f>
        <v>Lần 10</v>
      </c>
      <c r="G384" s="278"/>
      <c r="H384" s="35"/>
      <c r="I384" s="35"/>
      <c r="J384" s="541"/>
      <c r="K384" s="541"/>
      <c r="M384" s="539">
        <f ca="1">IFERROR(__xludf.DUMMYFUNCTION("""COMPUTED_VALUE"""),0)</f>
        <v>0</v>
      </c>
      <c r="N384" s="539">
        <f ca="1">IFERROR(__xludf.DUMMYFUNCTION("""COMPUTED_VALUE"""),0)</f>
        <v>0</v>
      </c>
      <c r="O384" s="539">
        <f ca="1">IFERROR(__xludf.DUMMYFUNCTION("""COMPUTED_VALUE"""),0)</f>
        <v>0</v>
      </c>
    </row>
    <row r="385" spans="1:15" ht="12.75">
      <c r="A385" s="539">
        <f ca="1"/>
        <v>379</v>
      </c>
      <c r="B385" s="35" t="str">
        <f ca="1">IFERROR(__xludf.DUMMYFUNCTION("""COMPUTED_VALUE"""),"Tổ Hạ tầng Đức Hòa")</f>
        <v>Tổ Hạ tầng Đức Hòa</v>
      </c>
      <c r="C385" s="35" t="str">
        <f ca="1">IFERROR(__xludf.DUMMYFUNCTION("""COMPUTED_VALUE"""),"Hồ Chí Linh")</f>
        <v>Hồ Chí Linh</v>
      </c>
      <c r="D385" s="35">
        <f ca="1">IFERROR(__xludf.DUMMYFUNCTION("""COMPUTED_VALUE"""),916245738)</f>
        <v>916245738</v>
      </c>
      <c r="E385" s="35" t="str">
        <f ca="1">IFERROR(__xludf.DUMMYFUNCTION("""COMPUTED_VALUE"""),"linhhc.lan@vnpt.vn")</f>
        <v>linhhc.lan@vnpt.vn</v>
      </c>
      <c r="F385" s="540" t="str">
        <f ca="1">IFERROR(__xludf.DUMMYFUNCTION("""COMPUTED_VALUE"""),"Lần 11")</f>
        <v>Lần 11</v>
      </c>
      <c r="G385" s="278"/>
      <c r="H385" s="35"/>
      <c r="I385" s="35"/>
      <c r="J385" s="541"/>
      <c r="K385" s="541"/>
      <c r="M385" s="539">
        <f ca="1">IFERROR(__xludf.DUMMYFUNCTION("""COMPUTED_VALUE"""),0)</f>
        <v>0</v>
      </c>
      <c r="N385" s="539">
        <f ca="1">IFERROR(__xludf.DUMMYFUNCTION("""COMPUTED_VALUE"""),0)</f>
        <v>0</v>
      </c>
      <c r="O385" s="539">
        <f ca="1">IFERROR(__xludf.DUMMYFUNCTION("""COMPUTED_VALUE"""),0)</f>
        <v>0</v>
      </c>
    </row>
    <row r="386" spans="1:15" ht="12.75">
      <c r="A386" s="539">
        <f ca="1"/>
        <v>380</v>
      </c>
      <c r="B386" s="35" t="str">
        <f ca="1">IFERROR(__xludf.DUMMYFUNCTION("""COMPUTED_VALUE"""),"Tổ Hạ tầng Đức Hòa")</f>
        <v>Tổ Hạ tầng Đức Hòa</v>
      </c>
      <c r="C386" s="35" t="str">
        <f ca="1">IFERROR(__xludf.DUMMYFUNCTION("""COMPUTED_VALUE"""),"Hồ Chí Linh")</f>
        <v>Hồ Chí Linh</v>
      </c>
      <c r="D386" s="35">
        <f ca="1">IFERROR(__xludf.DUMMYFUNCTION("""COMPUTED_VALUE"""),916245738)</f>
        <v>916245738</v>
      </c>
      <c r="E386" s="35" t="str">
        <f ca="1">IFERROR(__xludf.DUMMYFUNCTION("""COMPUTED_VALUE"""),"linhhc.lan@vnpt.vn")</f>
        <v>linhhc.lan@vnpt.vn</v>
      </c>
      <c r="F386" s="540" t="str">
        <f ca="1">IFERROR(__xludf.DUMMYFUNCTION("""COMPUTED_VALUE"""),"Lần 12")</f>
        <v>Lần 12</v>
      </c>
      <c r="G386" s="278"/>
      <c r="H386" s="35"/>
      <c r="I386" s="35"/>
      <c r="J386" s="541"/>
      <c r="K386" s="35"/>
      <c r="M386" s="539">
        <f ca="1">IFERROR(__xludf.DUMMYFUNCTION("""COMPUTED_VALUE"""),0)</f>
        <v>0</v>
      </c>
      <c r="N386" s="539">
        <f ca="1">IFERROR(__xludf.DUMMYFUNCTION("""COMPUTED_VALUE"""),0)</f>
        <v>0</v>
      </c>
      <c r="O386" s="539">
        <f ca="1">IFERROR(__xludf.DUMMYFUNCTION("""COMPUTED_VALUE"""),0)</f>
        <v>0</v>
      </c>
    </row>
    <row r="387" spans="1:15" ht="12.75">
      <c r="A387" s="539">
        <f ca="1"/>
        <v>381</v>
      </c>
      <c r="B387" s="35" t="str">
        <f ca="1">IFERROR(__xludf.DUMMYFUNCTION("""COMPUTED_VALUE"""),"Tổ Hạ tầng Đức Hòa")</f>
        <v>Tổ Hạ tầng Đức Hòa</v>
      </c>
      <c r="C387" s="35" t="str">
        <f ca="1">IFERROR(__xludf.DUMMYFUNCTION("""COMPUTED_VALUE"""),"Hồ Chí Linh")</f>
        <v>Hồ Chí Linh</v>
      </c>
      <c r="D387" s="35">
        <f ca="1">IFERROR(__xludf.DUMMYFUNCTION("""COMPUTED_VALUE"""),916245738)</f>
        <v>916245738</v>
      </c>
      <c r="E387" s="35" t="str">
        <f ca="1">IFERROR(__xludf.DUMMYFUNCTION("""COMPUTED_VALUE"""),"linhhc.lan@vnpt.vn")</f>
        <v>linhhc.lan@vnpt.vn</v>
      </c>
      <c r="F387" s="540" t="str">
        <f ca="1">IFERROR(__xludf.DUMMYFUNCTION("""COMPUTED_VALUE"""),"Lần 13")</f>
        <v>Lần 13</v>
      </c>
      <c r="G387" s="278"/>
      <c r="H387" s="35"/>
      <c r="I387" s="35"/>
      <c r="J387" s="541"/>
      <c r="K387" s="541"/>
      <c r="M387" s="539">
        <f ca="1">IFERROR(__xludf.DUMMYFUNCTION("""COMPUTED_VALUE"""),0)</f>
        <v>0</v>
      </c>
      <c r="N387" s="539">
        <f ca="1">IFERROR(__xludf.DUMMYFUNCTION("""COMPUTED_VALUE"""),0)</f>
        <v>0</v>
      </c>
      <c r="O387" s="539">
        <f ca="1">IFERROR(__xludf.DUMMYFUNCTION("""COMPUTED_VALUE"""),0)</f>
        <v>0</v>
      </c>
    </row>
    <row r="388" spans="1:15" ht="12.75">
      <c r="A388" s="539">
        <f ca="1"/>
        <v>382</v>
      </c>
      <c r="B388" s="35" t="str">
        <f ca="1">IFERROR(__xludf.DUMMYFUNCTION("""COMPUTED_VALUE"""),"Tổ Hạ tầng Đức Hòa")</f>
        <v>Tổ Hạ tầng Đức Hòa</v>
      </c>
      <c r="C388" s="35" t="str">
        <f ca="1">IFERROR(__xludf.DUMMYFUNCTION("""COMPUTED_VALUE"""),"Hồ Chí Linh")</f>
        <v>Hồ Chí Linh</v>
      </c>
      <c r="D388" s="35">
        <f ca="1">IFERROR(__xludf.DUMMYFUNCTION("""COMPUTED_VALUE"""),916245738)</f>
        <v>916245738</v>
      </c>
      <c r="E388" s="35" t="str">
        <f ca="1">IFERROR(__xludf.DUMMYFUNCTION("""COMPUTED_VALUE"""),"linhhc.lan@vnpt.vn")</f>
        <v>linhhc.lan@vnpt.vn</v>
      </c>
      <c r="F388" s="540" t="str">
        <f ca="1">IFERROR(__xludf.DUMMYFUNCTION("""COMPUTED_VALUE"""),"Lần 14")</f>
        <v>Lần 14</v>
      </c>
      <c r="G388" s="278"/>
      <c r="H388" s="35"/>
      <c r="I388" s="35"/>
      <c r="J388" s="541"/>
      <c r="K388" s="541"/>
      <c r="M388" s="539">
        <f ca="1">IFERROR(__xludf.DUMMYFUNCTION("""COMPUTED_VALUE"""),0)</f>
        <v>0</v>
      </c>
      <c r="N388" s="539">
        <f ca="1">IFERROR(__xludf.DUMMYFUNCTION("""COMPUTED_VALUE"""),0)</f>
        <v>0</v>
      </c>
      <c r="O388" s="539">
        <f ca="1">IFERROR(__xludf.DUMMYFUNCTION("""COMPUTED_VALUE"""),0)</f>
        <v>0</v>
      </c>
    </row>
    <row r="389" spans="1:15" ht="12.75">
      <c r="A389" s="539">
        <f ca="1"/>
        <v>383</v>
      </c>
      <c r="B389" s="35" t="str">
        <f ca="1">IFERROR(__xludf.DUMMYFUNCTION("""COMPUTED_VALUE"""),"Tổ Hạ tầng Đức Hòa")</f>
        <v>Tổ Hạ tầng Đức Hòa</v>
      </c>
      <c r="C389" s="35" t="str">
        <f ca="1">IFERROR(__xludf.DUMMYFUNCTION("""COMPUTED_VALUE"""),"Hồ Chí Linh")</f>
        <v>Hồ Chí Linh</v>
      </c>
      <c r="D389" s="35">
        <f ca="1">IFERROR(__xludf.DUMMYFUNCTION("""COMPUTED_VALUE"""),916245738)</f>
        <v>916245738</v>
      </c>
      <c r="E389" s="35" t="str">
        <f ca="1">IFERROR(__xludf.DUMMYFUNCTION("""COMPUTED_VALUE"""),"linhhc.lan@vnpt.vn")</f>
        <v>linhhc.lan@vnpt.vn</v>
      </c>
      <c r="F389" s="540" t="str">
        <f ca="1">IFERROR(__xludf.DUMMYFUNCTION("""COMPUTED_VALUE"""),"Lần 15")</f>
        <v>Lần 15</v>
      </c>
      <c r="G389" s="278"/>
      <c r="H389" s="35"/>
      <c r="I389" s="35"/>
      <c r="J389" s="541"/>
      <c r="K389" s="541"/>
      <c r="M389" s="539">
        <f ca="1">IFERROR(__xludf.DUMMYFUNCTION("""COMPUTED_VALUE"""),0)</f>
        <v>0</v>
      </c>
      <c r="N389" s="539">
        <f ca="1">IFERROR(__xludf.DUMMYFUNCTION("""COMPUTED_VALUE"""),0)</f>
        <v>0</v>
      </c>
      <c r="O389" s="539">
        <f ca="1">IFERROR(__xludf.DUMMYFUNCTION("""COMPUTED_VALUE"""),0)</f>
        <v>0</v>
      </c>
    </row>
    <row r="390" spans="1:15" ht="12.75">
      <c r="A390" s="539">
        <f ca="1"/>
        <v>384</v>
      </c>
      <c r="B390" s="35" t="str">
        <f ca="1">IFERROR(__xludf.DUMMYFUNCTION("""COMPUTED_VALUE"""),"Tổ Hạ tầng Đức Hòa")</f>
        <v>Tổ Hạ tầng Đức Hòa</v>
      </c>
      <c r="C390" s="35" t="str">
        <f ca="1">IFERROR(__xludf.DUMMYFUNCTION("""COMPUTED_VALUE"""),"Hồ Chí Linh")</f>
        <v>Hồ Chí Linh</v>
      </c>
      <c r="D390" s="35">
        <f ca="1">IFERROR(__xludf.DUMMYFUNCTION("""COMPUTED_VALUE"""),916245738)</f>
        <v>916245738</v>
      </c>
      <c r="E390" s="35" t="str">
        <f ca="1">IFERROR(__xludf.DUMMYFUNCTION("""COMPUTED_VALUE"""),"linhhc.lan@vnpt.vn")</f>
        <v>linhhc.lan@vnpt.vn</v>
      </c>
      <c r="F390" s="540" t="str">
        <f ca="1">IFERROR(__xludf.DUMMYFUNCTION("""COMPUTED_VALUE"""),"Lần 16")</f>
        <v>Lần 16</v>
      </c>
      <c r="G390" s="278"/>
      <c r="H390" s="35"/>
      <c r="I390" s="35"/>
      <c r="J390" s="35"/>
      <c r="K390" s="35"/>
      <c r="M390" s="539">
        <f ca="1">IFERROR(__xludf.DUMMYFUNCTION("""COMPUTED_VALUE"""),0)</f>
        <v>0</v>
      </c>
      <c r="N390" s="539">
        <f ca="1">IFERROR(__xludf.DUMMYFUNCTION("""COMPUTED_VALUE"""),0)</f>
        <v>0</v>
      </c>
      <c r="O390" s="539">
        <f ca="1">IFERROR(__xludf.DUMMYFUNCTION("""COMPUTED_VALUE"""),0)</f>
        <v>0</v>
      </c>
    </row>
    <row r="391" spans="1:15" ht="12.75">
      <c r="A391" s="539">
        <f ca="1"/>
        <v>385</v>
      </c>
      <c r="B391" s="35" t="str">
        <f ca="1">IFERROR(__xludf.DUMMYFUNCTION("""COMPUTED_VALUE"""),"Tổ Hạ tầng Đức Hòa")</f>
        <v>Tổ Hạ tầng Đức Hòa</v>
      </c>
      <c r="C391" s="35" t="str">
        <f ca="1">IFERROR(__xludf.DUMMYFUNCTION("""COMPUTED_VALUE"""),"Lê Ân Tình")</f>
        <v>Lê Ân Tình</v>
      </c>
      <c r="D391" s="35">
        <f ca="1">IFERROR(__xludf.DUMMYFUNCTION("""COMPUTED_VALUE"""),941202345)</f>
        <v>941202345</v>
      </c>
      <c r="E391" s="35" t="str">
        <f ca="1">IFERROR(__xludf.DUMMYFUNCTION("""COMPUTED_VALUE"""),"tinhla.lan@vnpt.vn")</f>
        <v>tinhla.lan@vnpt.vn</v>
      </c>
      <c r="F391" s="540" t="str">
        <f ca="1">IFERROR(__xludf.DUMMYFUNCTION("""COMPUTED_VALUE"""),"Lần 1")</f>
        <v>Lần 1</v>
      </c>
      <c r="G391" s="278">
        <f ca="1">IFERROR(__xludf.DUMMYFUNCTION("""COMPUTED_VALUE"""),46205)</f>
        <v>46205</v>
      </c>
      <c r="H391" s="35">
        <f ca="1">IFERROR(__xludf.DUMMYFUNCTION("""COMPUTED_VALUE"""),90)</f>
        <v>90</v>
      </c>
      <c r="I391" s="35">
        <f ca="1">IFERROR(__xludf.DUMMYFUNCTION("""COMPUTED_VALUE"""),40)</f>
        <v>40</v>
      </c>
      <c r="J391" s="541">
        <f ca="1">IFERROR(__xludf.DUMMYFUNCTION("""COMPUTED_VALUE"""),98)</f>
        <v>98</v>
      </c>
      <c r="K391" s="35">
        <f ca="1">IFERROR(__xludf.DUMMYFUNCTION("""COMPUTED_VALUE"""),49)</f>
        <v>49</v>
      </c>
      <c r="M391" s="539">
        <f ca="1">IFERROR(__xludf.DUMMYFUNCTION("""COMPUTED_VALUE"""),1)</f>
        <v>1</v>
      </c>
      <c r="N391" s="539">
        <f ca="1">IFERROR(__xludf.DUMMYFUNCTION("""COMPUTED_VALUE"""),1)</f>
        <v>1</v>
      </c>
      <c r="O391" s="539">
        <f ca="1">IFERROR(__xludf.DUMMYFUNCTION("""COMPUTED_VALUE"""),0)</f>
        <v>0</v>
      </c>
    </row>
    <row r="392" spans="1:15" ht="12.75">
      <c r="A392" s="539">
        <f ca="1"/>
        <v>386</v>
      </c>
      <c r="B392" s="35" t="str">
        <f ca="1">IFERROR(__xludf.DUMMYFUNCTION("""COMPUTED_VALUE"""),"Tổ Hạ tầng Đức Hòa")</f>
        <v>Tổ Hạ tầng Đức Hòa</v>
      </c>
      <c r="C392" s="35" t="str">
        <f ca="1">IFERROR(__xludf.DUMMYFUNCTION("""COMPUTED_VALUE"""),"Lê Ân Tình")</f>
        <v>Lê Ân Tình</v>
      </c>
      <c r="D392" s="35">
        <f ca="1">IFERROR(__xludf.DUMMYFUNCTION("""COMPUTED_VALUE"""),941202345)</f>
        <v>941202345</v>
      </c>
      <c r="E392" s="35" t="str">
        <f ca="1">IFERROR(__xludf.DUMMYFUNCTION("""COMPUTED_VALUE"""),"tinhla.lan@vnpt.vn")</f>
        <v>tinhla.lan@vnpt.vn</v>
      </c>
      <c r="F392" s="540" t="str">
        <f ca="1">IFERROR(__xludf.DUMMYFUNCTION("""COMPUTED_VALUE"""),"Lần 2")</f>
        <v>Lần 2</v>
      </c>
      <c r="G392" s="278">
        <f ca="1">IFERROR(__xludf.DUMMYFUNCTION("""COMPUTED_VALUE"""),46206)</f>
        <v>46206</v>
      </c>
      <c r="H392" s="35">
        <f ca="1">IFERROR(__xludf.DUMMYFUNCTION("""COMPUTED_VALUE"""),700)</f>
        <v>700</v>
      </c>
      <c r="I392" s="35">
        <f ca="1">IFERROR(__xludf.DUMMYFUNCTION("""COMPUTED_VALUE"""),60)</f>
        <v>60</v>
      </c>
      <c r="J392" s="541">
        <f ca="1">IFERROR(__xludf.DUMMYFUNCTION("""COMPUTED_VALUE"""),750)</f>
        <v>750</v>
      </c>
      <c r="K392" s="541">
        <f ca="1">IFERROR(__xludf.DUMMYFUNCTION("""COMPUTED_VALUE"""),69)</f>
        <v>69</v>
      </c>
      <c r="M392" s="539">
        <f ca="1">IFERROR(__xludf.DUMMYFUNCTION("""COMPUTED_VALUE"""),1)</f>
        <v>1</v>
      </c>
      <c r="N392" s="539">
        <f ca="1">IFERROR(__xludf.DUMMYFUNCTION("""COMPUTED_VALUE"""),1)</f>
        <v>1</v>
      </c>
      <c r="O392" s="539">
        <f ca="1">IFERROR(__xludf.DUMMYFUNCTION("""COMPUTED_VALUE"""),1)</f>
        <v>1</v>
      </c>
    </row>
    <row r="393" spans="1:15" ht="12.75">
      <c r="A393" s="539">
        <f ca="1"/>
        <v>387</v>
      </c>
      <c r="B393" s="35" t="str">
        <f ca="1">IFERROR(__xludf.DUMMYFUNCTION("""COMPUTED_VALUE"""),"Tổ Hạ tầng Đức Hòa")</f>
        <v>Tổ Hạ tầng Đức Hòa</v>
      </c>
      <c r="C393" s="35" t="str">
        <f ca="1">IFERROR(__xludf.DUMMYFUNCTION("""COMPUTED_VALUE"""),"Lê Ân Tình")</f>
        <v>Lê Ân Tình</v>
      </c>
      <c r="D393" s="35">
        <f ca="1">IFERROR(__xludf.DUMMYFUNCTION("""COMPUTED_VALUE"""),941202345)</f>
        <v>941202345</v>
      </c>
      <c r="E393" s="35" t="str">
        <f ca="1">IFERROR(__xludf.DUMMYFUNCTION("""COMPUTED_VALUE"""),"tinhla.lan@vnpt.vn")</f>
        <v>tinhla.lan@vnpt.vn</v>
      </c>
      <c r="F393" s="540" t="str">
        <f ca="1">IFERROR(__xludf.DUMMYFUNCTION("""COMPUTED_VALUE"""),"Lần 3")</f>
        <v>Lần 3</v>
      </c>
      <c r="G393" s="278">
        <f ca="1">IFERROR(__xludf.DUMMYFUNCTION("""COMPUTED_VALUE"""),46206)</f>
        <v>46206</v>
      </c>
      <c r="H393" s="35">
        <f ca="1">IFERROR(__xludf.DUMMYFUNCTION("""COMPUTED_VALUE"""),750)</f>
        <v>750</v>
      </c>
      <c r="I393" s="35">
        <f ca="1">IFERROR(__xludf.DUMMYFUNCTION("""COMPUTED_VALUE"""),58)</f>
        <v>58</v>
      </c>
      <c r="J393" s="35">
        <f ca="1">IFERROR(__xludf.DUMMYFUNCTION("""COMPUTED_VALUE"""),769)</f>
        <v>769</v>
      </c>
      <c r="K393" s="541">
        <f ca="1">IFERROR(__xludf.DUMMYFUNCTION("""COMPUTED_VALUE"""),77)</f>
        <v>77</v>
      </c>
      <c r="M393" s="539">
        <f ca="1">IFERROR(__xludf.DUMMYFUNCTION("""COMPUTED_VALUE"""),1)</f>
        <v>1</v>
      </c>
      <c r="N393" s="539">
        <f ca="1">IFERROR(__xludf.DUMMYFUNCTION("""COMPUTED_VALUE"""),1)</f>
        <v>1</v>
      </c>
      <c r="O393" s="539">
        <f ca="1">IFERROR(__xludf.DUMMYFUNCTION("""COMPUTED_VALUE"""),1)</f>
        <v>1</v>
      </c>
    </row>
    <row r="394" spans="1:15" ht="12.75">
      <c r="A394" s="539">
        <f ca="1"/>
        <v>388</v>
      </c>
      <c r="B394" s="35" t="str">
        <f ca="1">IFERROR(__xludf.DUMMYFUNCTION("""COMPUTED_VALUE"""),"Tổ Hạ tầng Đức Hòa")</f>
        <v>Tổ Hạ tầng Đức Hòa</v>
      </c>
      <c r="C394" s="35" t="str">
        <f ca="1">IFERROR(__xludf.DUMMYFUNCTION("""COMPUTED_VALUE"""),"Lê Ân Tình")</f>
        <v>Lê Ân Tình</v>
      </c>
      <c r="D394" s="35">
        <f ca="1">IFERROR(__xludf.DUMMYFUNCTION("""COMPUTED_VALUE"""),941202345)</f>
        <v>941202345</v>
      </c>
      <c r="E394" s="35" t="str">
        <f ca="1">IFERROR(__xludf.DUMMYFUNCTION("""COMPUTED_VALUE"""),"tinhla.lan@vnpt.vn")</f>
        <v>tinhla.lan@vnpt.vn</v>
      </c>
      <c r="F394" s="540" t="str">
        <f ca="1">IFERROR(__xludf.DUMMYFUNCTION("""COMPUTED_VALUE"""),"Lần 4")</f>
        <v>Lần 4</v>
      </c>
      <c r="G394" s="278">
        <f ca="1">IFERROR(__xludf.DUMMYFUNCTION("""COMPUTED_VALUE"""),46208)</f>
        <v>46208</v>
      </c>
      <c r="H394" s="35">
        <f ca="1">IFERROR(__xludf.DUMMYFUNCTION("""COMPUTED_VALUE"""),220)</f>
        <v>220</v>
      </c>
      <c r="I394" s="35">
        <f ca="1">IFERROR(__xludf.DUMMYFUNCTION("""COMPUTED_VALUE"""),49)</f>
        <v>49</v>
      </c>
      <c r="J394" s="35">
        <f ca="1">IFERROR(__xludf.DUMMYFUNCTION("""COMPUTED_VALUE"""),250)</f>
        <v>250</v>
      </c>
      <c r="K394" s="35">
        <f ca="1">IFERROR(__xludf.DUMMYFUNCTION("""COMPUTED_VALUE"""),70)</f>
        <v>70</v>
      </c>
      <c r="M394" s="539">
        <f ca="1">IFERROR(__xludf.DUMMYFUNCTION("""COMPUTED_VALUE"""),1)</f>
        <v>1</v>
      </c>
      <c r="N394" s="539">
        <f ca="1">IFERROR(__xludf.DUMMYFUNCTION("""COMPUTED_VALUE"""),1)</f>
        <v>1</v>
      </c>
      <c r="O394" s="539">
        <f ca="1">IFERROR(__xludf.DUMMYFUNCTION("""COMPUTED_VALUE"""),1)</f>
        <v>1</v>
      </c>
    </row>
    <row r="395" spans="1:15" ht="12.75">
      <c r="A395" s="539">
        <f ca="1"/>
        <v>389</v>
      </c>
      <c r="B395" s="35" t="str">
        <f ca="1">IFERROR(__xludf.DUMMYFUNCTION("""COMPUTED_VALUE"""),"Tổ Hạ tầng Đức Hòa")</f>
        <v>Tổ Hạ tầng Đức Hòa</v>
      </c>
      <c r="C395" s="35" t="str">
        <f ca="1">IFERROR(__xludf.DUMMYFUNCTION("""COMPUTED_VALUE"""),"Lê Ân Tình")</f>
        <v>Lê Ân Tình</v>
      </c>
      <c r="D395" s="35">
        <f ca="1">IFERROR(__xludf.DUMMYFUNCTION("""COMPUTED_VALUE"""),941202345)</f>
        <v>941202345</v>
      </c>
      <c r="E395" s="35" t="str">
        <f ca="1">IFERROR(__xludf.DUMMYFUNCTION("""COMPUTED_VALUE"""),"tinhla.lan@vnpt.vn")</f>
        <v>tinhla.lan@vnpt.vn</v>
      </c>
      <c r="F395" s="540" t="str">
        <f ca="1">IFERROR(__xludf.DUMMYFUNCTION("""COMPUTED_VALUE"""),"Lần 5")</f>
        <v>Lần 5</v>
      </c>
      <c r="G395" s="278">
        <f ca="1">IFERROR(__xludf.DUMMYFUNCTION("""COMPUTED_VALUE"""),46211)</f>
        <v>46211</v>
      </c>
      <c r="H395" s="35">
        <f ca="1">IFERROR(__xludf.DUMMYFUNCTION("""COMPUTED_VALUE"""),667)</f>
        <v>667</v>
      </c>
      <c r="I395" s="35">
        <f ca="1">IFERROR(__xludf.DUMMYFUNCTION("""COMPUTED_VALUE"""),55)</f>
        <v>55</v>
      </c>
      <c r="J395" s="541">
        <f ca="1">IFERROR(__xludf.DUMMYFUNCTION("""COMPUTED_VALUE"""),701)</f>
        <v>701</v>
      </c>
      <c r="K395" s="35">
        <f ca="1">IFERROR(__xludf.DUMMYFUNCTION("""COMPUTED_VALUE"""),54)</f>
        <v>54</v>
      </c>
      <c r="M395" s="539">
        <f ca="1">IFERROR(__xludf.DUMMYFUNCTION("""COMPUTED_VALUE"""),1)</f>
        <v>1</v>
      </c>
      <c r="N395" s="539">
        <f ca="1">IFERROR(__xludf.DUMMYFUNCTION("""COMPUTED_VALUE"""),1)</f>
        <v>1</v>
      </c>
      <c r="O395" s="539">
        <f ca="1">IFERROR(__xludf.DUMMYFUNCTION("""COMPUTED_VALUE"""),1)</f>
        <v>1</v>
      </c>
    </row>
    <row r="396" spans="1:15" ht="12.75">
      <c r="A396" s="539">
        <f ca="1"/>
        <v>390</v>
      </c>
      <c r="B396" s="35" t="str">
        <f ca="1">IFERROR(__xludf.DUMMYFUNCTION("""COMPUTED_VALUE"""),"Tổ Hạ tầng Đức Hòa")</f>
        <v>Tổ Hạ tầng Đức Hòa</v>
      </c>
      <c r="C396" s="35" t="str">
        <f ca="1">IFERROR(__xludf.DUMMYFUNCTION("""COMPUTED_VALUE"""),"Lê Ân Tình")</f>
        <v>Lê Ân Tình</v>
      </c>
      <c r="D396" s="35">
        <f ca="1">IFERROR(__xludf.DUMMYFUNCTION("""COMPUTED_VALUE"""),941202345)</f>
        <v>941202345</v>
      </c>
      <c r="E396" s="35" t="str">
        <f ca="1">IFERROR(__xludf.DUMMYFUNCTION("""COMPUTED_VALUE"""),"tinhla.lan@vnpt.vn")</f>
        <v>tinhla.lan@vnpt.vn</v>
      </c>
      <c r="F396" s="540" t="str">
        <f ca="1">IFERROR(__xludf.DUMMYFUNCTION("""COMPUTED_VALUE"""),"Lần 6")</f>
        <v>Lần 6</v>
      </c>
      <c r="G396" s="278">
        <f ca="1">IFERROR(__xludf.DUMMYFUNCTION("""COMPUTED_VALUE"""),46212)</f>
        <v>46212</v>
      </c>
      <c r="H396" s="35">
        <f ca="1">IFERROR(__xludf.DUMMYFUNCTION("""COMPUTED_VALUE"""),804)</f>
        <v>804</v>
      </c>
      <c r="I396" s="35">
        <f ca="1">IFERROR(__xludf.DUMMYFUNCTION("""COMPUTED_VALUE"""),56)</f>
        <v>56</v>
      </c>
      <c r="J396" s="35">
        <f ca="1">IFERROR(__xludf.DUMMYFUNCTION("""COMPUTED_VALUE"""),810)</f>
        <v>810</v>
      </c>
      <c r="K396" s="35">
        <f ca="1">IFERROR(__xludf.DUMMYFUNCTION("""COMPUTED_VALUE"""),43)</f>
        <v>43</v>
      </c>
      <c r="M396" s="539">
        <f ca="1">IFERROR(__xludf.DUMMYFUNCTION("""COMPUTED_VALUE"""),1)</f>
        <v>1</v>
      </c>
      <c r="N396" s="539">
        <f ca="1">IFERROR(__xludf.DUMMYFUNCTION("""COMPUTED_VALUE"""),1)</f>
        <v>1</v>
      </c>
      <c r="O396" s="539">
        <f ca="1">IFERROR(__xludf.DUMMYFUNCTION("""COMPUTED_VALUE"""),1)</f>
        <v>1</v>
      </c>
    </row>
    <row r="397" spans="1:15" ht="12.75">
      <c r="A397" s="539">
        <f ca="1"/>
        <v>391</v>
      </c>
      <c r="B397" s="35" t="str">
        <f ca="1">IFERROR(__xludf.DUMMYFUNCTION("""COMPUTED_VALUE"""),"Tổ Hạ tầng Đức Hòa")</f>
        <v>Tổ Hạ tầng Đức Hòa</v>
      </c>
      <c r="C397" s="35" t="str">
        <f ca="1">IFERROR(__xludf.DUMMYFUNCTION("""COMPUTED_VALUE"""),"Lê Ân Tình")</f>
        <v>Lê Ân Tình</v>
      </c>
      <c r="D397" s="35">
        <f ca="1">IFERROR(__xludf.DUMMYFUNCTION("""COMPUTED_VALUE"""),941202345)</f>
        <v>941202345</v>
      </c>
      <c r="E397" s="35" t="str">
        <f ca="1">IFERROR(__xludf.DUMMYFUNCTION("""COMPUTED_VALUE"""),"tinhla.lan@vnpt.vn")</f>
        <v>tinhla.lan@vnpt.vn</v>
      </c>
      <c r="F397" s="540" t="str">
        <f ca="1">IFERROR(__xludf.DUMMYFUNCTION("""COMPUTED_VALUE"""),"Lần 7")</f>
        <v>Lần 7</v>
      </c>
      <c r="G397" s="278"/>
      <c r="H397" s="35"/>
      <c r="I397" s="35"/>
      <c r="J397" s="35"/>
      <c r="K397" s="35"/>
      <c r="M397" s="539">
        <f ca="1">IFERROR(__xludf.DUMMYFUNCTION("""COMPUTED_VALUE"""),0)</f>
        <v>0</v>
      </c>
      <c r="N397" s="539">
        <f ca="1">IFERROR(__xludf.DUMMYFUNCTION("""COMPUTED_VALUE"""),0)</f>
        <v>0</v>
      </c>
      <c r="O397" s="539">
        <f ca="1">IFERROR(__xludf.DUMMYFUNCTION("""COMPUTED_VALUE"""),0)</f>
        <v>0</v>
      </c>
    </row>
    <row r="398" spans="1:15" ht="12.75">
      <c r="A398" s="539">
        <f ca="1"/>
        <v>392</v>
      </c>
      <c r="B398" s="35" t="str">
        <f ca="1">IFERROR(__xludf.DUMMYFUNCTION("""COMPUTED_VALUE"""),"Tổ Hạ tầng Đức Hòa")</f>
        <v>Tổ Hạ tầng Đức Hòa</v>
      </c>
      <c r="C398" s="35" t="str">
        <f ca="1">IFERROR(__xludf.DUMMYFUNCTION("""COMPUTED_VALUE"""),"Lê Ân Tình")</f>
        <v>Lê Ân Tình</v>
      </c>
      <c r="D398" s="35">
        <f ca="1">IFERROR(__xludf.DUMMYFUNCTION("""COMPUTED_VALUE"""),941202345)</f>
        <v>941202345</v>
      </c>
      <c r="E398" s="35" t="str">
        <f ca="1">IFERROR(__xludf.DUMMYFUNCTION("""COMPUTED_VALUE"""),"tinhla.lan@vnpt.vn")</f>
        <v>tinhla.lan@vnpt.vn</v>
      </c>
      <c r="F398" s="540" t="str">
        <f ca="1">IFERROR(__xludf.DUMMYFUNCTION("""COMPUTED_VALUE"""),"Lần 8")</f>
        <v>Lần 8</v>
      </c>
      <c r="G398" s="278"/>
      <c r="H398" s="35"/>
      <c r="I398" s="35"/>
      <c r="J398" s="541"/>
      <c r="K398" s="541"/>
      <c r="M398" s="539">
        <f ca="1">IFERROR(__xludf.DUMMYFUNCTION("""COMPUTED_VALUE"""),0)</f>
        <v>0</v>
      </c>
      <c r="N398" s="539">
        <f ca="1">IFERROR(__xludf.DUMMYFUNCTION("""COMPUTED_VALUE"""),0)</f>
        <v>0</v>
      </c>
      <c r="O398" s="539">
        <f ca="1">IFERROR(__xludf.DUMMYFUNCTION("""COMPUTED_VALUE"""),0)</f>
        <v>0</v>
      </c>
    </row>
    <row r="399" spans="1:15" ht="12.75">
      <c r="A399" s="539">
        <f ca="1"/>
        <v>393</v>
      </c>
      <c r="B399" s="35" t="str">
        <f ca="1">IFERROR(__xludf.DUMMYFUNCTION("""COMPUTED_VALUE"""),"Tổ Hạ tầng Đức Hòa")</f>
        <v>Tổ Hạ tầng Đức Hòa</v>
      </c>
      <c r="C399" s="35" t="str">
        <f ca="1">IFERROR(__xludf.DUMMYFUNCTION("""COMPUTED_VALUE"""),"Lê Ân Tình")</f>
        <v>Lê Ân Tình</v>
      </c>
      <c r="D399" s="35">
        <f ca="1">IFERROR(__xludf.DUMMYFUNCTION("""COMPUTED_VALUE"""),941202345)</f>
        <v>941202345</v>
      </c>
      <c r="E399" s="35" t="str">
        <f ca="1">IFERROR(__xludf.DUMMYFUNCTION("""COMPUTED_VALUE"""),"tinhla.lan@vnpt.vn")</f>
        <v>tinhla.lan@vnpt.vn</v>
      </c>
      <c r="F399" s="540" t="str">
        <f ca="1">IFERROR(__xludf.DUMMYFUNCTION("""COMPUTED_VALUE"""),"Lần 9")</f>
        <v>Lần 9</v>
      </c>
      <c r="G399" s="278"/>
      <c r="H399" s="35"/>
      <c r="I399" s="35"/>
      <c r="J399" s="541"/>
      <c r="K399" s="35"/>
      <c r="M399" s="539">
        <f ca="1">IFERROR(__xludf.DUMMYFUNCTION("""COMPUTED_VALUE"""),0)</f>
        <v>0</v>
      </c>
      <c r="N399" s="539">
        <f ca="1">IFERROR(__xludf.DUMMYFUNCTION("""COMPUTED_VALUE"""),0)</f>
        <v>0</v>
      </c>
      <c r="O399" s="539">
        <f ca="1">IFERROR(__xludf.DUMMYFUNCTION("""COMPUTED_VALUE"""),0)</f>
        <v>0</v>
      </c>
    </row>
    <row r="400" spans="1:15" ht="12.75">
      <c r="A400" s="539">
        <f ca="1"/>
        <v>394</v>
      </c>
      <c r="B400" s="35" t="str">
        <f ca="1">IFERROR(__xludf.DUMMYFUNCTION("""COMPUTED_VALUE"""),"Tổ Hạ tầng Đức Hòa")</f>
        <v>Tổ Hạ tầng Đức Hòa</v>
      </c>
      <c r="C400" s="35" t="str">
        <f ca="1">IFERROR(__xludf.DUMMYFUNCTION("""COMPUTED_VALUE"""),"Lê Ân Tình")</f>
        <v>Lê Ân Tình</v>
      </c>
      <c r="D400" s="35">
        <f ca="1">IFERROR(__xludf.DUMMYFUNCTION("""COMPUTED_VALUE"""),941202345)</f>
        <v>941202345</v>
      </c>
      <c r="E400" s="35" t="str">
        <f ca="1">IFERROR(__xludf.DUMMYFUNCTION("""COMPUTED_VALUE"""),"tinhla.lan@vnpt.vn")</f>
        <v>tinhla.lan@vnpt.vn</v>
      </c>
      <c r="F400" s="540" t="str">
        <f ca="1">IFERROR(__xludf.DUMMYFUNCTION("""COMPUTED_VALUE"""),"Lần 10")</f>
        <v>Lần 10</v>
      </c>
      <c r="G400" s="278"/>
      <c r="H400" s="35"/>
      <c r="I400" s="35"/>
      <c r="J400" s="541"/>
      <c r="K400" s="35"/>
      <c r="M400" s="539">
        <f ca="1">IFERROR(__xludf.DUMMYFUNCTION("""COMPUTED_VALUE"""),0)</f>
        <v>0</v>
      </c>
      <c r="N400" s="539">
        <f ca="1">IFERROR(__xludf.DUMMYFUNCTION("""COMPUTED_VALUE"""),0)</f>
        <v>0</v>
      </c>
      <c r="O400" s="539">
        <f ca="1">IFERROR(__xludf.DUMMYFUNCTION("""COMPUTED_VALUE"""),0)</f>
        <v>0</v>
      </c>
    </row>
    <row r="401" spans="1:15" ht="12.75">
      <c r="A401" s="539">
        <f ca="1"/>
        <v>395</v>
      </c>
      <c r="B401" s="35" t="str">
        <f ca="1">IFERROR(__xludf.DUMMYFUNCTION("""COMPUTED_VALUE"""),"Tổ Hạ tầng Đức Hòa")</f>
        <v>Tổ Hạ tầng Đức Hòa</v>
      </c>
      <c r="C401" s="35" t="str">
        <f ca="1">IFERROR(__xludf.DUMMYFUNCTION("""COMPUTED_VALUE"""),"Lê Ân Tình")</f>
        <v>Lê Ân Tình</v>
      </c>
      <c r="D401" s="35">
        <f ca="1">IFERROR(__xludf.DUMMYFUNCTION("""COMPUTED_VALUE"""),941202345)</f>
        <v>941202345</v>
      </c>
      <c r="E401" s="35" t="str">
        <f ca="1">IFERROR(__xludf.DUMMYFUNCTION("""COMPUTED_VALUE"""),"tinhla.lan@vnpt.vn")</f>
        <v>tinhla.lan@vnpt.vn</v>
      </c>
      <c r="F401" s="540" t="str">
        <f ca="1">IFERROR(__xludf.DUMMYFUNCTION("""COMPUTED_VALUE"""),"Lần 11")</f>
        <v>Lần 11</v>
      </c>
      <c r="G401" s="278"/>
      <c r="H401" s="35"/>
      <c r="I401" s="35"/>
      <c r="J401" s="541"/>
      <c r="K401" s="541"/>
      <c r="M401" s="539">
        <f ca="1">IFERROR(__xludf.DUMMYFUNCTION("""COMPUTED_VALUE"""),0)</f>
        <v>0</v>
      </c>
      <c r="N401" s="539">
        <f ca="1">IFERROR(__xludf.DUMMYFUNCTION("""COMPUTED_VALUE"""),0)</f>
        <v>0</v>
      </c>
      <c r="O401" s="539">
        <f ca="1">IFERROR(__xludf.DUMMYFUNCTION("""COMPUTED_VALUE"""),0)</f>
        <v>0</v>
      </c>
    </row>
    <row r="402" spans="1:15" ht="12.75">
      <c r="A402" s="539">
        <f ca="1"/>
        <v>396</v>
      </c>
      <c r="B402" s="35" t="str">
        <f ca="1">IFERROR(__xludf.DUMMYFUNCTION("""COMPUTED_VALUE"""),"Tổ Hạ tầng Đức Hòa")</f>
        <v>Tổ Hạ tầng Đức Hòa</v>
      </c>
      <c r="C402" s="35" t="str">
        <f ca="1">IFERROR(__xludf.DUMMYFUNCTION("""COMPUTED_VALUE"""),"Lê Ân Tình")</f>
        <v>Lê Ân Tình</v>
      </c>
      <c r="D402" s="35">
        <f ca="1">IFERROR(__xludf.DUMMYFUNCTION("""COMPUTED_VALUE"""),941202345)</f>
        <v>941202345</v>
      </c>
      <c r="E402" s="35" t="str">
        <f ca="1">IFERROR(__xludf.DUMMYFUNCTION("""COMPUTED_VALUE"""),"tinhla.lan@vnpt.vn")</f>
        <v>tinhla.lan@vnpt.vn</v>
      </c>
      <c r="F402" s="540" t="str">
        <f ca="1">IFERROR(__xludf.DUMMYFUNCTION("""COMPUTED_VALUE"""),"Lần 12")</f>
        <v>Lần 12</v>
      </c>
      <c r="G402" s="278"/>
      <c r="H402" s="35"/>
      <c r="I402" s="35"/>
      <c r="J402" s="541"/>
      <c r="K402" s="541"/>
      <c r="M402" s="539">
        <f ca="1">IFERROR(__xludf.DUMMYFUNCTION("""COMPUTED_VALUE"""),0)</f>
        <v>0</v>
      </c>
      <c r="N402" s="539">
        <f ca="1">IFERROR(__xludf.DUMMYFUNCTION("""COMPUTED_VALUE"""),0)</f>
        <v>0</v>
      </c>
      <c r="O402" s="539">
        <f ca="1">IFERROR(__xludf.DUMMYFUNCTION("""COMPUTED_VALUE"""),0)</f>
        <v>0</v>
      </c>
    </row>
    <row r="403" spans="1:15" ht="12.75">
      <c r="A403" s="539">
        <f ca="1"/>
        <v>397</v>
      </c>
      <c r="B403" s="35" t="str">
        <f ca="1">IFERROR(__xludf.DUMMYFUNCTION("""COMPUTED_VALUE"""),"Tổ Hạ tầng Đức Hòa")</f>
        <v>Tổ Hạ tầng Đức Hòa</v>
      </c>
      <c r="C403" s="35" t="str">
        <f ca="1">IFERROR(__xludf.DUMMYFUNCTION("""COMPUTED_VALUE"""),"Lê Ân Tình")</f>
        <v>Lê Ân Tình</v>
      </c>
      <c r="D403" s="35">
        <f ca="1">IFERROR(__xludf.DUMMYFUNCTION("""COMPUTED_VALUE"""),941202345)</f>
        <v>941202345</v>
      </c>
      <c r="E403" s="35" t="str">
        <f ca="1">IFERROR(__xludf.DUMMYFUNCTION("""COMPUTED_VALUE"""),"tinhla.lan@vnpt.vn")</f>
        <v>tinhla.lan@vnpt.vn</v>
      </c>
      <c r="F403" s="540" t="str">
        <f ca="1">IFERROR(__xludf.DUMMYFUNCTION("""COMPUTED_VALUE"""),"Lần 13")</f>
        <v>Lần 13</v>
      </c>
      <c r="G403" s="278"/>
      <c r="H403" s="35"/>
      <c r="I403" s="35"/>
      <c r="J403" s="541"/>
      <c r="K403" s="541"/>
      <c r="M403" s="539">
        <f ca="1">IFERROR(__xludf.DUMMYFUNCTION("""COMPUTED_VALUE"""),0)</f>
        <v>0</v>
      </c>
      <c r="N403" s="539">
        <f ca="1">IFERROR(__xludf.DUMMYFUNCTION("""COMPUTED_VALUE"""),0)</f>
        <v>0</v>
      </c>
      <c r="O403" s="539">
        <f ca="1">IFERROR(__xludf.DUMMYFUNCTION("""COMPUTED_VALUE"""),0)</f>
        <v>0</v>
      </c>
    </row>
    <row r="404" spans="1:15" ht="12.75">
      <c r="A404" s="539">
        <f ca="1"/>
        <v>398</v>
      </c>
      <c r="B404" s="35" t="str">
        <f ca="1">IFERROR(__xludf.DUMMYFUNCTION("""COMPUTED_VALUE"""),"Tổ Hạ tầng Đức Hòa")</f>
        <v>Tổ Hạ tầng Đức Hòa</v>
      </c>
      <c r="C404" s="35" t="str">
        <f ca="1">IFERROR(__xludf.DUMMYFUNCTION("""COMPUTED_VALUE"""),"Lê Ân Tình")</f>
        <v>Lê Ân Tình</v>
      </c>
      <c r="D404" s="35">
        <f ca="1">IFERROR(__xludf.DUMMYFUNCTION("""COMPUTED_VALUE"""),941202345)</f>
        <v>941202345</v>
      </c>
      <c r="E404" s="35" t="str">
        <f ca="1">IFERROR(__xludf.DUMMYFUNCTION("""COMPUTED_VALUE"""),"tinhla.lan@vnpt.vn")</f>
        <v>tinhla.lan@vnpt.vn</v>
      </c>
      <c r="F404" s="540" t="str">
        <f ca="1">IFERROR(__xludf.DUMMYFUNCTION("""COMPUTED_VALUE"""),"Lần 14")</f>
        <v>Lần 14</v>
      </c>
      <c r="G404" s="278"/>
      <c r="H404" s="35"/>
      <c r="I404" s="35"/>
      <c r="J404" s="541"/>
      <c r="K404" s="35"/>
      <c r="M404" s="539">
        <f ca="1">IFERROR(__xludf.DUMMYFUNCTION("""COMPUTED_VALUE"""),0)</f>
        <v>0</v>
      </c>
      <c r="N404" s="539">
        <f ca="1">IFERROR(__xludf.DUMMYFUNCTION("""COMPUTED_VALUE"""),0)</f>
        <v>0</v>
      </c>
      <c r="O404" s="539">
        <f ca="1">IFERROR(__xludf.DUMMYFUNCTION("""COMPUTED_VALUE"""),0)</f>
        <v>0</v>
      </c>
    </row>
    <row r="405" spans="1:15" ht="12.75">
      <c r="A405" s="539">
        <f ca="1"/>
        <v>399</v>
      </c>
      <c r="B405" s="35" t="str">
        <f ca="1">IFERROR(__xludf.DUMMYFUNCTION("""COMPUTED_VALUE"""),"Tổ Hạ tầng Đức Hòa")</f>
        <v>Tổ Hạ tầng Đức Hòa</v>
      </c>
      <c r="C405" s="35" t="str">
        <f ca="1">IFERROR(__xludf.DUMMYFUNCTION("""COMPUTED_VALUE"""),"Lê Ân Tình")</f>
        <v>Lê Ân Tình</v>
      </c>
      <c r="D405" s="35">
        <f ca="1">IFERROR(__xludf.DUMMYFUNCTION("""COMPUTED_VALUE"""),941202345)</f>
        <v>941202345</v>
      </c>
      <c r="E405" s="35" t="str">
        <f ca="1">IFERROR(__xludf.DUMMYFUNCTION("""COMPUTED_VALUE"""),"tinhla.lan@vnpt.vn")</f>
        <v>tinhla.lan@vnpt.vn</v>
      </c>
      <c r="F405" s="540" t="str">
        <f ca="1">IFERROR(__xludf.DUMMYFUNCTION("""COMPUTED_VALUE"""),"Lần 15")</f>
        <v>Lần 15</v>
      </c>
      <c r="G405" s="278"/>
      <c r="H405" s="35"/>
      <c r="I405" s="35"/>
      <c r="J405" s="35"/>
      <c r="K405" s="541"/>
      <c r="M405" s="539">
        <f ca="1">IFERROR(__xludf.DUMMYFUNCTION("""COMPUTED_VALUE"""),0)</f>
        <v>0</v>
      </c>
      <c r="N405" s="539">
        <f ca="1">IFERROR(__xludf.DUMMYFUNCTION("""COMPUTED_VALUE"""),0)</f>
        <v>0</v>
      </c>
      <c r="O405" s="539">
        <f ca="1">IFERROR(__xludf.DUMMYFUNCTION("""COMPUTED_VALUE"""),0)</f>
        <v>0</v>
      </c>
    </row>
    <row r="406" spans="1:15" ht="12.75">
      <c r="A406" s="539">
        <f ca="1"/>
        <v>400</v>
      </c>
      <c r="B406" s="35" t="str">
        <f ca="1">IFERROR(__xludf.DUMMYFUNCTION("""COMPUTED_VALUE"""),"Tổ Hạ tầng Đức Hòa")</f>
        <v>Tổ Hạ tầng Đức Hòa</v>
      </c>
      <c r="C406" s="35" t="str">
        <f ca="1">IFERROR(__xludf.DUMMYFUNCTION("""COMPUTED_VALUE"""),"Lê Ân Tình")</f>
        <v>Lê Ân Tình</v>
      </c>
      <c r="D406" s="35">
        <f ca="1">IFERROR(__xludf.DUMMYFUNCTION("""COMPUTED_VALUE"""),941202345)</f>
        <v>941202345</v>
      </c>
      <c r="E406" s="35" t="str">
        <f ca="1">IFERROR(__xludf.DUMMYFUNCTION("""COMPUTED_VALUE"""),"tinhla.lan@vnpt.vn")</f>
        <v>tinhla.lan@vnpt.vn</v>
      </c>
      <c r="F406" s="540" t="str">
        <f ca="1">IFERROR(__xludf.DUMMYFUNCTION("""COMPUTED_VALUE"""),"Lần 16")</f>
        <v>Lần 16</v>
      </c>
      <c r="G406" s="278"/>
      <c r="H406" s="35"/>
      <c r="I406" s="35"/>
      <c r="J406" s="541"/>
      <c r="K406" s="541"/>
      <c r="M406" s="539">
        <f ca="1">IFERROR(__xludf.DUMMYFUNCTION("""COMPUTED_VALUE"""),0)</f>
        <v>0</v>
      </c>
      <c r="N406" s="539">
        <f ca="1">IFERROR(__xludf.DUMMYFUNCTION("""COMPUTED_VALUE"""),0)</f>
        <v>0</v>
      </c>
      <c r="O406" s="539">
        <f ca="1">IFERROR(__xludf.DUMMYFUNCTION("""COMPUTED_VALUE"""),0)</f>
        <v>0</v>
      </c>
    </row>
    <row r="407" spans="1:15" ht="12.75">
      <c r="A407" s="539">
        <f ca="1"/>
        <v>401</v>
      </c>
      <c r="B407" s="35" t="str">
        <f ca="1">IFERROR(__xludf.DUMMYFUNCTION("""COMPUTED_VALUE"""),"Tổ Hạ tầng Đức Hòa")</f>
        <v>Tổ Hạ tầng Đức Hòa</v>
      </c>
      <c r="C407" s="35" t="str">
        <f ca="1">IFERROR(__xludf.DUMMYFUNCTION("""COMPUTED_VALUE"""),"Trần Thanh Chương")</f>
        <v>Trần Thanh Chương</v>
      </c>
      <c r="D407" s="35">
        <f ca="1">IFERROR(__xludf.DUMMYFUNCTION("""COMPUTED_VALUE"""),819577699)</f>
        <v>819577699</v>
      </c>
      <c r="E407" s="35"/>
      <c r="F407" s="540" t="str">
        <f ca="1">IFERROR(__xludf.DUMMYFUNCTION("""COMPUTED_VALUE"""),"Lần 1")</f>
        <v>Lần 1</v>
      </c>
      <c r="G407" s="278"/>
      <c r="H407" s="35"/>
      <c r="I407" s="35"/>
      <c r="J407" s="541"/>
      <c r="K407" s="541"/>
      <c r="M407" s="539">
        <f ca="1">IFERROR(__xludf.DUMMYFUNCTION("""COMPUTED_VALUE"""),0)</f>
        <v>0</v>
      </c>
      <c r="N407" s="539">
        <f ca="1">IFERROR(__xludf.DUMMYFUNCTION("""COMPUTED_VALUE"""),0)</f>
        <v>0</v>
      </c>
      <c r="O407" s="539">
        <f ca="1">IFERROR(__xludf.DUMMYFUNCTION("""COMPUTED_VALUE"""),0)</f>
        <v>0</v>
      </c>
    </row>
    <row r="408" spans="1:15" ht="12.75">
      <c r="A408" s="539">
        <f ca="1"/>
        <v>402</v>
      </c>
      <c r="B408" s="35" t="str">
        <f ca="1">IFERROR(__xludf.DUMMYFUNCTION("""COMPUTED_VALUE"""),"Tổ Hạ tầng Đức Hòa")</f>
        <v>Tổ Hạ tầng Đức Hòa</v>
      </c>
      <c r="C408" s="35" t="str">
        <f ca="1">IFERROR(__xludf.DUMMYFUNCTION("""COMPUTED_VALUE"""),"Trần Thanh Chương")</f>
        <v>Trần Thanh Chương</v>
      </c>
      <c r="D408" s="35">
        <f ca="1">IFERROR(__xludf.DUMMYFUNCTION("""COMPUTED_VALUE"""),819577699)</f>
        <v>819577699</v>
      </c>
      <c r="E408" s="35"/>
      <c r="F408" s="540" t="str">
        <f ca="1">IFERROR(__xludf.DUMMYFUNCTION("""COMPUTED_VALUE"""),"Lần 2")</f>
        <v>Lần 2</v>
      </c>
      <c r="G408" s="278"/>
      <c r="H408" s="35"/>
      <c r="I408" s="35"/>
      <c r="J408" s="541"/>
      <c r="K408" s="541"/>
      <c r="M408" s="539">
        <f ca="1">IFERROR(__xludf.DUMMYFUNCTION("""COMPUTED_VALUE"""),0)</f>
        <v>0</v>
      </c>
      <c r="N408" s="539">
        <f ca="1">IFERROR(__xludf.DUMMYFUNCTION("""COMPUTED_VALUE"""),0)</f>
        <v>0</v>
      </c>
      <c r="O408" s="539">
        <f ca="1">IFERROR(__xludf.DUMMYFUNCTION("""COMPUTED_VALUE"""),0)</f>
        <v>0</v>
      </c>
    </row>
    <row r="409" spans="1:15" ht="12.75">
      <c r="A409" s="539">
        <f ca="1"/>
        <v>403</v>
      </c>
      <c r="B409" s="35" t="str">
        <f ca="1">IFERROR(__xludf.DUMMYFUNCTION("""COMPUTED_VALUE"""),"Tổ Hạ tầng Đức Hòa")</f>
        <v>Tổ Hạ tầng Đức Hòa</v>
      </c>
      <c r="C409" s="35" t="str">
        <f ca="1">IFERROR(__xludf.DUMMYFUNCTION("""COMPUTED_VALUE"""),"Trần Thanh Chương")</f>
        <v>Trần Thanh Chương</v>
      </c>
      <c r="D409" s="35">
        <f ca="1">IFERROR(__xludf.DUMMYFUNCTION("""COMPUTED_VALUE"""),819577699)</f>
        <v>819577699</v>
      </c>
      <c r="E409" s="35"/>
      <c r="F409" s="540" t="str">
        <f ca="1">IFERROR(__xludf.DUMMYFUNCTION("""COMPUTED_VALUE"""),"Lần 3")</f>
        <v>Lần 3</v>
      </c>
      <c r="G409" s="278"/>
      <c r="H409" s="35"/>
      <c r="I409" s="35"/>
      <c r="J409" s="541"/>
      <c r="K409" s="541"/>
      <c r="M409" s="539">
        <f ca="1">IFERROR(__xludf.DUMMYFUNCTION("""COMPUTED_VALUE"""),0)</f>
        <v>0</v>
      </c>
      <c r="N409" s="539">
        <f ca="1">IFERROR(__xludf.DUMMYFUNCTION("""COMPUTED_VALUE"""),0)</f>
        <v>0</v>
      </c>
      <c r="O409" s="539">
        <f ca="1">IFERROR(__xludf.DUMMYFUNCTION("""COMPUTED_VALUE"""),0)</f>
        <v>0</v>
      </c>
    </row>
    <row r="410" spans="1:15" ht="12.75">
      <c r="A410" s="539">
        <f ca="1"/>
        <v>404</v>
      </c>
      <c r="B410" s="35" t="str">
        <f ca="1">IFERROR(__xludf.DUMMYFUNCTION("""COMPUTED_VALUE"""),"Tổ Hạ tầng Đức Hòa")</f>
        <v>Tổ Hạ tầng Đức Hòa</v>
      </c>
      <c r="C410" s="35" t="str">
        <f ca="1">IFERROR(__xludf.DUMMYFUNCTION("""COMPUTED_VALUE"""),"Trần Thanh Chương")</f>
        <v>Trần Thanh Chương</v>
      </c>
      <c r="D410" s="35">
        <f ca="1">IFERROR(__xludf.DUMMYFUNCTION("""COMPUTED_VALUE"""),819577699)</f>
        <v>819577699</v>
      </c>
      <c r="E410" s="35"/>
      <c r="F410" s="540" t="str">
        <f ca="1">IFERROR(__xludf.DUMMYFUNCTION("""COMPUTED_VALUE"""),"Lần 4")</f>
        <v>Lần 4</v>
      </c>
      <c r="G410" s="278"/>
      <c r="H410" s="35"/>
      <c r="I410" s="35"/>
      <c r="J410" s="541"/>
      <c r="K410" s="541"/>
      <c r="M410" s="539">
        <f ca="1">IFERROR(__xludf.DUMMYFUNCTION("""COMPUTED_VALUE"""),0)</f>
        <v>0</v>
      </c>
      <c r="N410" s="539">
        <f ca="1">IFERROR(__xludf.DUMMYFUNCTION("""COMPUTED_VALUE"""),0)</f>
        <v>0</v>
      </c>
      <c r="O410" s="539">
        <f ca="1">IFERROR(__xludf.DUMMYFUNCTION("""COMPUTED_VALUE"""),0)</f>
        <v>0</v>
      </c>
    </row>
    <row r="411" spans="1:15" ht="12.75">
      <c r="A411" s="539">
        <f ca="1"/>
        <v>405</v>
      </c>
      <c r="B411" s="35" t="str">
        <f ca="1">IFERROR(__xludf.DUMMYFUNCTION("""COMPUTED_VALUE"""),"Tổ Hạ tầng Đức Hòa")</f>
        <v>Tổ Hạ tầng Đức Hòa</v>
      </c>
      <c r="C411" s="35" t="str">
        <f ca="1">IFERROR(__xludf.DUMMYFUNCTION("""COMPUTED_VALUE"""),"Trần Thanh Chương")</f>
        <v>Trần Thanh Chương</v>
      </c>
      <c r="D411" s="35">
        <f ca="1">IFERROR(__xludf.DUMMYFUNCTION("""COMPUTED_VALUE"""),819577699)</f>
        <v>819577699</v>
      </c>
      <c r="E411" s="35"/>
      <c r="F411" s="540" t="str">
        <f ca="1">IFERROR(__xludf.DUMMYFUNCTION("""COMPUTED_VALUE"""),"Lần 5")</f>
        <v>Lần 5</v>
      </c>
      <c r="G411" s="278"/>
      <c r="H411" s="35"/>
      <c r="I411" s="35"/>
      <c r="J411" s="541"/>
      <c r="K411" s="541"/>
      <c r="M411" s="539">
        <f ca="1">IFERROR(__xludf.DUMMYFUNCTION("""COMPUTED_VALUE"""),0)</f>
        <v>0</v>
      </c>
      <c r="N411" s="539">
        <f ca="1">IFERROR(__xludf.DUMMYFUNCTION("""COMPUTED_VALUE"""),0)</f>
        <v>0</v>
      </c>
      <c r="O411" s="539">
        <f ca="1">IFERROR(__xludf.DUMMYFUNCTION("""COMPUTED_VALUE"""),0)</f>
        <v>0</v>
      </c>
    </row>
    <row r="412" spans="1:15" ht="12.75">
      <c r="A412" s="539">
        <f ca="1"/>
        <v>406</v>
      </c>
      <c r="B412" s="35" t="str">
        <f ca="1">IFERROR(__xludf.DUMMYFUNCTION("""COMPUTED_VALUE"""),"Tổ Hạ tầng Đức Hòa")</f>
        <v>Tổ Hạ tầng Đức Hòa</v>
      </c>
      <c r="C412" s="35" t="str">
        <f ca="1">IFERROR(__xludf.DUMMYFUNCTION("""COMPUTED_VALUE"""),"Trần Thanh Chương")</f>
        <v>Trần Thanh Chương</v>
      </c>
      <c r="D412" s="35">
        <f ca="1">IFERROR(__xludf.DUMMYFUNCTION("""COMPUTED_VALUE"""),819577699)</f>
        <v>819577699</v>
      </c>
      <c r="E412" s="35"/>
      <c r="F412" s="540" t="str">
        <f ca="1">IFERROR(__xludf.DUMMYFUNCTION("""COMPUTED_VALUE"""),"Lần 6")</f>
        <v>Lần 6</v>
      </c>
      <c r="G412" s="278"/>
      <c r="H412" s="35"/>
      <c r="I412" s="35"/>
      <c r="J412" s="541"/>
      <c r="K412" s="541"/>
      <c r="M412" s="539">
        <f ca="1">IFERROR(__xludf.DUMMYFUNCTION("""COMPUTED_VALUE"""),0)</f>
        <v>0</v>
      </c>
      <c r="N412" s="539">
        <f ca="1">IFERROR(__xludf.DUMMYFUNCTION("""COMPUTED_VALUE"""),0)</f>
        <v>0</v>
      </c>
      <c r="O412" s="539">
        <f ca="1">IFERROR(__xludf.DUMMYFUNCTION("""COMPUTED_VALUE"""),0)</f>
        <v>0</v>
      </c>
    </row>
    <row r="413" spans="1:15" ht="12.75">
      <c r="A413" s="539">
        <f ca="1"/>
        <v>407</v>
      </c>
      <c r="B413" s="35" t="str">
        <f ca="1">IFERROR(__xludf.DUMMYFUNCTION("""COMPUTED_VALUE"""),"Tổ Hạ tầng Đức Hòa")</f>
        <v>Tổ Hạ tầng Đức Hòa</v>
      </c>
      <c r="C413" s="35" t="str">
        <f ca="1">IFERROR(__xludf.DUMMYFUNCTION("""COMPUTED_VALUE"""),"Trần Thanh Chương")</f>
        <v>Trần Thanh Chương</v>
      </c>
      <c r="D413" s="35">
        <f ca="1">IFERROR(__xludf.DUMMYFUNCTION("""COMPUTED_VALUE"""),819577699)</f>
        <v>819577699</v>
      </c>
      <c r="E413" s="35"/>
      <c r="F413" s="540" t="str">
        <f ca="1">IFERROR(__xludf.DUMMYFUNCTION("""COMPUTED_VALUE"""),"Lần 7")</f>
        <v>Lần 7</v>
      </c>
      <c r="G413" s="278"/>
      <c r="H413" s="35"/>
      <c r="I413" s="35"/>
      <c r="J413" s="541"/>
      <c r="K413" s="541"/>
      <c r="M413" s="539">
        <f ca="1">IFERROR(__xludf.DUMMYFUNCTION("""COMPUTED_VALUE"""),0)</f>
        <v>0</v>
      </c>
      <c r="N413" s="539">
        <f ca="1">IFERROR(__xludf.DUMMYFUNCTION("""COMPUTED_VALUE"""),0)</f>
        <v>0</v>
      </c>
      <c r="O413" s="539">
        <f ca="1">IFERROR(__xludf.DUMMYFUNCTION("""COMPUTED_VALUE"""),0)</f>
        <v>0</v>
      </c>
    </row>
    <row r="414" spans="1:15" ht="12.75">
      <c r="A414" s="539">
        <f ca="1"/>
        <v>408</v>
      </c>
      <c r="B414" s="35" t="str">
        <f ca="1">IFERROR(__xludf.DUMMYFUNCTION("""COMPUTED_VALUE"""),"Tổ Hạ tầng Đức Hòa")</f>
        <v>Tổ Hạ tầng Đức Hòa</v>
      </c>
      <c r="C414" s="35" t="str">
        <f ca="1">IFERROR(__xludf.DUMMYFUNCTION("""COMPUTED_VALUE"""),"Trần Thanh Chương")</f>
        <v>Trần Thanh Chương</v>
      </c>
      <c r="D414" s="35">
        <f ca="1">IFERROR(__xludf.DUMMYFUNCTION("""COMPUTED_VALUE"""),819577699)</f>
        <v>819577699</v>
      </c>
      <c r="E414" s="35"/>
      <c r="F414" s="540" t="str">
        <f ca="1">IFERROR(__xludf.DUMMYFUNCTION("""COMPUTED_VALUE"""),"Lần 8")</f>
        <v>Lần 8</v>
      </c>
      <c r="G414" s="278"/>
      <c r="H414" s="35"/>
      <c r="I414" s="35"/>
      <c r="J414" s="541"/>
      <c r="K414" s="541"/>
      <c r="M414" s="539">
        <f ca="1">IFERROR(__xludf.DUMMYFUNCTION("""COMPUTED_VALUE"""),0)</f>
        <v>0</v>
      </c>
      <c r="N414" s="539">
        <f ca="1">IFERROR(__xludf.DUMMYFUNCTION("""COMPUTED_VALUE"""),0)</f>
        <v>0</v>
      </c>
      <c r="O414" s="539">
        <f ca="1">IFERROR(__xludf.DUMMYFUNCTION("""COMPUTED_VALUE"""),0)</f>
        <v>0</v>
      </c>
    </row>
    <row r="415" spans="1:15" ht="12.75">
      <c r="A415" s="539">
        <f ca="1"/>
        <v>409</v>
      </c>
      <c r="B415" s="35" t="str">
        <f ca="1">IFERROR(__xludf.DUMMYFUNCTION("""COMPUTED_VALUE"""),"Tổ Hạ tầng Đức Hòa")</f>
        <v>Tổ Hạ tầng Đức Hòa</v>
      </c>
      <c r="C415" s="35" t="str">
        <f ca="1">IFERROR(__xludf.DUMMYFUNCTION("""COMPUTED_VALUE"""),"Trần Thanh Chương")</f>
        <v>Trần Thanh Chương</v>
      </c>
      <c r="D415" s="35">
        <f ca="1">IFERROR(__xludf.DUMMYFUNCTION("""COMPUTED_VALUE"""),819577699)</f>
        <v>819577699</v>
      </c>
      <c r="E415" s="35"/>
      <c r="F415" s="540" t="str">
        <f ca="1">IFERROR(__xludf.DUMMYFUNCTION("""COMPUTED_VALUE"""),"Lần 9")</f>
        <v>Lần 9</v>
      </c>
      <c r="G415" s="278"/>
      <c r="H415" s="35"/>
      <c r="I415" s="35"/>
      <c r="J415" s="541"/>
      <c r="K415" s="541"/>
      <c r="M415" s="539">
        <f ca="1">IFERROR(__xludf.DUMMYFUNCTION("""COMPUTED_VALUE"""),0)</f>
        <v>0</v>
      </c>
      <c r="N415" s="539">
        <f ca="1">IFERROR(__xludf.DUMMYFUNCTION("""COMPUTED_VALUE"""),0)</f>
        <v>0</v>
      </c>
      <c r="O415" s="539">
        <f ca="1">IFERROR(__xludf.DUMMYFUNCTION("""COMPUTED_VALUE"""),0)</f>
        <v>0</v>
      </c>
    </row>
    <row r="416" spans="1:15" ht="12.75">
      <c r="A416" s="539">
        <f ca="1"/>
        <v>410</v>
      </c>
      <c r="B416" s="35" t="str">
        <f ca="1">IFERROR(__xludf.DUMMYFUNCTION("""COMPUTED_VALUE"""),"Tổ Hạ tầng Đức Hòa")</f>
        <v>Tổ Hạ tầng Đức Hòa</v>
      </c>
      <c r="C416" s="35" t="str">
        <f ca="1">IFERROR(__xludf.DUMMYFUNCTION("""COMPUTED_VALUE"""),"Trần Thanh Chương")</f>
        <v>Trần Thanh Chương</v>
      </c>
      <c r="D416" s="35">
        <f ca="1">IFERROR(__xludf.DUMMYFUNCTION("""COMPUTED_VALUE"""),819577699)</f>
        <v>819577699</v>
      </c>
      <c r="E416" s="35"/>
      <c r="F416" s="540" t="str">
        <f ca="1">IFERROR(__xludf.DUMMYFUNCTION("""COMPUTED_VALUE"""),"Lần 10")</f>
        <v>Lần 10</v>
      </c>
      <c r="G416" s="278"/>
      <c r="H416" s="35"/>
      <c r="I416" s="35"/>
      <c r="J416" s="541"/>
      <c r="K416" s="541"/>
      <c r="M416" s="539">
        <f ca="1">IFERROR(__xludf.DUMMYFUNCTION("""COMPUTED_VALUE"""),0)</f>
        <v>0</v>
      </c>
      <c r="N416" s="539">
        <f ca="1">IFERROR(__xludf.DUMMYFUNCTION("""COMPUTED_VALUE"""),0)</f>
        <v>0</v>
      </c>
      <c r="O416" s="539">
        <f ca="1">IFERROR(__xludf.DUMMYFUNCTION("""COMPUTED_VALUE"""),0)</f>
        <v>0</v>
      </c>
    </row>
    <row r="417" spans="1:15" ht="12.75">
      <c r="A417" s="539">
        <f ca="1"/>
        <v>411</v>
      </c>
      <c r="B417" s="35" t="str">
        <f ca="1">IFERROR(__xludf.DUMMYFUNCTION("""COMPUTED_VALUE"""),"Tổ Hạ tầng Đức Hòa")</f>
        <v>Tổ Hạ tầng Đức Hòa</v>
      </c>
      <c r="C417" s="35" t="str">
        <f ca="1">IFERROR(__xludf.DUMMYFUNCTION("""COMPUTED_VALUE"""),"Trần Thanh Chương")</f>
        <v>Trần Thanh Chương</v>
      </c>
      <c r="D417" s="35">
        <f ca="1">IFERROR(__xludf.DUMMYFUNCTION("""COMPUTED_VALUE"""),819577699)</f>
        <v>819577699</v>
      </c>
      <c r="E417" s="35"/>
      <c r="F417" s="540" t="str">
        <f ca="1">IFERROR(__xludf.DUMMYFUNCTION("""COMPUTED_VALUE"""),"Lần 11")</f>
        <v>Lần 11</v>
      </c>
      <c r="G417" s="278"/>
      <c r="H417" s="35"/>
      <c r="I417" s="35"/>
      <c r="J417" s="541"/>
      <c r="K417" s="541"/>
      <c r="M417" s="539">
        <f ca="1">IFERROR(__xludf.DUMMYFUNCTION("""COMPUTED_VALUE"""),0)</f>
        <v>0</v>
      </c>
      <c r="N417" s="539">
        <f ca="1">IFERROR(__xludf.DUMMYFUNCTION("""COMPUTED_VALUE"""),0)</f>
        <v>0</v>
      </c>
      <c r="O417" s="539">
        <f ca="1">IFERROR(__xludf.DUMMYFUNCTION("""COMPUTED_VALUE"""),0)</f>
        <v>0</v>
      </c>
    </row>
    <row r="418" spans="1:15" ht="12.75">
      <c r="A418" s="539">
        <f ca="1"/>
        <v>412</v>
      </c>
      <c r="B418" s="35" t="str">
        <f ca="1">IFERROR(__xludf.DUMMYFUNCTION("""COMPUTED_VALUE"""),"Tổ Hạ tầng Đức Hòa")</f>
        <v>Tổ Hạ tầng Đức Hòa</v>
      </c>
      <c r="C418" s="35" t="str">
        <f ca="1">IFERROR(__xludf.DUMMYFUNCTION("""COMPUTED_VALUE"""),"Trần Thanh Chương")</f>
        <v>Trần Thanh Chương</v>
      </c>
      <c r="D418" s="35">
        <f ca="1">IFERROR(__xludf.DUMMYFUNCTION("""COMPUTED_VALUE"""),819577699)</f>
        <v>819577699</v>
      </c>
      <c r="E418" s="35"/>
      <c r="F418" s="540" t="str">
        <f ca="1">IFERROR(__xludf.DUMMYFUNCTION("""COMPUTED_VALUE"""),"Lần 12")</f>
        <v>Lần 12</v>
      </c>
      <c r="G418" s="278"/>
      <c r="H418" s="35"/>
      <c r="I418" s="35"/>
      <c r="J418" s="541"/>
      <c r="K418" s="541"/>
      <c r="M418" s="539">
        <f ca="1">IFERROR(__xludf.DUMMYFUNCTION("""COMPUTED_VALUE"""),0)</f>
        <v>0</v>
      </c>
      <c r="N418" s="539">
        <f ca="1">IFERROR(__xludf.DUMMYFUNCTION("""COMPUTED_VALUE"""),0)</f>
        <v>0</v>
      </c>
      <c r="O418" s="539">
        <f ca="1">IFERROR(__xludf.DUMMYFUNCTION("""COMPUTED_VALUE"""),0)</f>
        <v>0</v>
      </c>
    </row>
    <row r="419" spans="1:15" ht="12.75">
      <c r="A419" s="539">
        <f ca="1"/>
        <v>413</v>
      </c>
      <c r="B419" s="35" t="str">
        <f ca="1">IFERROR(__xludf.DUMMYFUNCTION("""COMPUTED_VALUE"""),"Tổ Hạ tầng Đức Hòa")</f>
        <v>Tổ Hạ tầng Đức Hòa</v>
      </c>
      <c r="C419" s="35" t="str">
        <f ca="1">IFERROR(__xludf.DUMMYFUNCTION("""COMPUTED_VALUE"""),"Trần Thanh Chương")</f>
        <v>Trần Thanh Chương</v>
      </c>
      <c r="D419" s="35">
        <f ca="1">IFERROR(__xludf.DUMMYFUNCTION("""COMPUTED_VALUE"""),819577699)</f>
        <v>819577699</v>
      </c>
      <c r="E419" s="35"/>
      <c r="F419" s="540" t="str">
        <f ca="1">IFERROR(__xludf.DUMMYFUNCTION("""COMPUTED_VALUE"""),"Lần 13")</f>
        <v>Lần 13</v>
      </c>
      <c r="G419" s="278"/>
      <c r="H419" s="35"/>
      <c r="I419" s="35"/>
      <c r="J419" s="541"/>
      <c r="K419" s="541"/>
      <c r="M419" s="539">
        <f ca="1">IFERROR(__xludf.DUMMYFUNCTION("""COMPUTED_VALUE"""),0)</f>
        <v>0</v>
      </c>
      <c r="N419" s="539">
        <f ca="1">IFERROR(__xludf.DUMMYFUNCTION("""COMPUTED_VALUE"""),0)</f>
        <v>0</v>
      </c>
      <c r="O419" s="539">
        <f ca="1">IFERROR(__xludf.DUMMYFUNCTION("""COMPUTED_VALUE"""),0)</f>
        <v>0</v>
      </c>
    </row>
    <row r="420" spans="1:15" ht="12.75">
      <c r="A420" s="539">
        <f ca="1"/>
        <v>414</v>
      </c>
      <c r="B420" s="35" t="str">
        <f ca="1">IFERROR(__xludf.DUMMYFUNCTION("""COMPUTED_VALUE"""),"Tổ Hạ tầng Đức Hòa")</f>
        <v>Tổ Hạ tầng Đức Hòa</v>
      </c>
      <c r="C420" s="35" t="str">
        <f ca="1">IFERROR(__xludf.DUMMYFUNCTION("""COMPUTED_VALUE"""),"Trần Thanh Chương")</f>
        <v>Trần Thanh Chương</v>
      </c>
      <c r="D420" s="35">
        <f ca="1">IFERROR(__xludf.DUMMYFUNCTION("""COMPUTED_VALUE"""),819577699)</f>
        <v>819577699</v>
      </c>
      <c r="E420" s="35"/>
      <c r="F420" s="540" t="str">
        <f ca="1">IFERROR(__xludf.DUMMYFUNCTION("""COMPUTED_VALUE"""),"Lần 14")</f>
        <v>Lần 14</v>
      </c>
      <c r="G420" s="278"/>
      <c r="H420" s="35"/>
      <c r="I420" s="35"/>
      <c r="J420" s="541"/>
      <c r="K420" s="541"/>
      <c r="M420" s="539">
        <f ca="1">IFERROR(__xludf.DUMMYFUNCTION("""COMPUTED_VALUE"""),0)</f>
        <v>0</v>
      </c>
      <c r="N420" s="539">
        <f ca="1">IFERROR(__xludf.DUMMYFUNCTION("""COMPUTED_VALUE"""),0)</f>
        <v>0</v>
      </c>
      <c r="O420" s="539">
        <f ca="1">IFERROR(__xludf.DUMMYFUNCTION("""COMPUTED_VALUE"""),0)</f>
        <v>0</v>
      </c>
    </row>
    <row r="421" spans="1:15" ht="12.75">
      <c r="A421" s="539">
        <f ca="1"/>
        <v>415</v>
      </c>
      <c r="B421" s="35" t="str">
        <f ca="1">IFERROR(__xludf.DUMMYFUNCTION("""COMPUTED_VALUE"""),"Tổ Hạ tầng Đức Hòa")</f>
        <v>Tổ Hạ tầng Đức Hòa</v>
      </c>
      <c r="C421" s="35" t="str">
        <f ca="1">IFERROR(__xludf.DUMMYFUNCTION("""COMPUTED_VALUE"""),"Trần Thanh Chương")</f>
        <v>Trần Thanh Chương</v>
      </c>
      <c r="D421" s="35">
        <f ca="1">IFERROR(__xludf.DUMMYFUNCTION("""COMPUTED_VALUE"""),819577699)</f>
        <v>819577699</v>
      </c>
      <c r="E421" s="35"/>
      <c r="F421" s="540" t="str">
        <f ca="1">IFERROR(__xludf.DUMMYFUNCTION("""COMPUTED_VALUE"""),"Lần 15")</f>
        <v>Lần 15</v>
      </c>
      <c r="G421" s="278"/>
      <c r="H421" s="35"/>
      <c r="I421" s="35"/>
      <c r="J421" s="541"/>
      <c r="K421" s="541"/>
      <c r="M421" s="539">
        <f ca="1">IFERROR(__xludf.DUMMYFUNCTION("""COMPUTED_VALUE"""),0)</f>
        <v>0</v>
      </c>
      <c r="N421" s="539">
        <f ca="1">IFERROR(__xludf.DUMMYFUNCTION("""COMPUTED_VALUE"""),0)</f>
        <v>0</v>
      </c>
      <c r="O421" s="539">
        <f ca="1">IFERROR(__xludf.DUMMYFUNCTION("""COMPUTED_VALUE"""),0)</f>
        <v>0</v>
      </c>
    </row>
    <row r="422" spans="1:15" ht="12.75">
      <c r="A422" s="539">
        <f ca="1"/>
        <v>416</v>
      </c>
      <c r="B422" s="35" t="str">
        <f ca="1">IFERROR(__xludf.DUMMYFUNCTION("""COMPUTED_VALUE"""),"Tổ Hạ tầng Đức Hòa")</f>
        <v>Tổ Hạ tầng Đức Hòa</v>
      </c>
      <c r="C422" s="35" t="str">
        <f ca="1">IFERROR(__xludf.DUMMYFUNCTION("""COMPUTED_VALUE"""),"Trần Thanh Chương")</f>
        <v>Trần Thanh Chương</v>
      </c>
      <c r="D422" s="35">
        <f ca="1">IFERROR(__xludf.DUMMYFUNCTION("""COMPUTED_VALUE"""),819577699)</f>
        <v>819577699</v>
      </c>
      <c r="E422" s="35"/>
      <c r="F422" s="540" t="str">
        <f ca="1">IFERROR(__xludf.DUMMYFUNCTION("""COMPUTED_VALUE"""),"Lần 16")</f>
        <v>Lần 16</v>
      </c>
      <c r="G422" s="278"/>
      <c r="H422" s="35"/>
      <c r="I422" s="35"/>
      <c r="J422" s="541"/>
      <c r="K422" s="541"/>
      <c r="M422" s="539">
        <f ca="1">IFERROR(__xludf.DUMMYFUNCTION("""COMPUTED_VALUE"""),0)</f>
        <v>0</v>
      </c>
      <c r="N422" s="539">
        <f ca="1">IFERROR(__xludf.DUMMYFUNCTION("""COMPUTED_VALUE"""),0)</f>
        <v>0</v>
      </c>
      <c r="O422" s="539">
        <f ca="1">IFERROR(__xludf.DUMMYFUNCTION("""COMPUTED_VALUE"""),0)</f>
        <v>0</v>
      </c>
    </row>
    <row r="423" spans="1:15" ht="12.75">
      <c r="A423" s="539">
        <f ca="1"/>
        <v>417</v>
      </c>
      <c r="B423" s="35" t="str">
        <f ca="1">IFERROR(__xludf.DUMMYFUNCTION("""COMPUTED_VALUE"""),"Tổ Hạ tầng Đức Hòa")</f>
        <v>Tổ Hạ tầng Đức Hòa</v>
      </c>
      <c r="C423" s="35" t="str">
        <f ca="1">IFERROR(__xludf.DUMMYFUNCTION("""COMPUTED_VALUE"""),"Trần Thanh Giàu")</f>
        <v>Trần Thanh Giàu</v>
      </c>
      <c r="D423" s="35">
        <f ca="1">IFERROR(__xludf.DUMMYFUNCTION("""COMPUTED_VALUE"""),853837837)</f>
        <v>853837837</v>
      </c>
      <c r="E423" s="35" t="str">
        <f ca="1">IFERROR(__xludf.DUMMYFUNCTION("""COMPUTED_VALUE"""),"giautt.lan@vnpt.vn")</f>
        <v>giautt.lan@vnpt.vn</v>
      </c>
      <c r="F423" s="540" t="str">
        <f ca="1">IFERROR(__xludf.DUMMYFUNCTION("""COMPUTED_VALUE"""),"Lần 1")</f>
        <v>Lần 1</v>
      </c>
      <c r="G423" s="278"/>
      <c r="H423" s="35"/>
      <c r="I423" s="35"/>
      <c r="J423" s="35"/>
      <c r="K423" s="35"/>
      <c r="M423" s="539">
        <f ca="1">IFERROR(__xludf.DUMMYFUNCTION("""COMPUTED_VALUE"""),0)</f>
        <v>0</v>
      </c>
      <c r="N423" s="539">
        <f ca="1">IFERROR(__xludf.DUMMYFUNCTION("""COMPUTED_VALUE"""),0)</f>
        <v>0</v>
      </c>
      <c r="O423" s="539">
        <f ca="1">IFERROR(__xludf.DUMMYFUNCTION("""COMPUTED_VALUE"""),0)</f>
        <v>0</v>
      </c>
    </row>
    <row r="424" spans="1:15" ht="12.75">
      <c r="A424" s="539">
        <f ca="1"/>
        <v>418</v>
      </c>
      <c r="B424" s="35" t="str">
        <f ca="1">IFERROR(__xludf.DUMMYFUNCTION("""COMPUTED_VALUE"""),"Tổ Hạ tầng Đức Hòa")</f>
        <v>Tổ Hạ tầng Đức Hòa</v>
      </c>
      <c r="C424" s="35" t="str">
        <f ca="1">IFERROR(__xludf.DUMMYFUNCTION("""COMPUTED_VALUE"""),"Trần Thanh Giàu")</f>
        <v>Trần Thanh Giàu</v>
      </c>
      <c r="D424" s="35">
        <f ca="1">IFERROR(__xludf.DUMMYFUNCTION("""COMPUTED_VALUE"""),853837837)</f>
        <v>853837837</v>
      </c>
      <c r="E424" s="35" t="str">
        <f ca="1">IFERROR(__xludf.DUMMYFUNCTION("""COMPUTED_VALUE"""),"giautt.lan@vnpt.vn")</f>
        <v>giautt.lan@vnpt.vn</v>
      </c>
      <c r="F424" s="540" t="str">
        <f ca="1">IFERROR(__xludf.DUMMYFUNCTION("""COMPUTED_VALUE"""),"Lần 2")</f>
        <v>Lần 2</v>
      </c>
      <c r="G424" s="278"/>
      <c r="H424" s="35"/>
      <c r="I424" s="35"/>
      <c r="J424" s="541"/>
      <c r="K424" s="541"/>
      <c r="M424" s="539">
        <f ca="1">IFERROR(__xludf.DUMMYFUNCTION("""COMPUTED_VALUE"""),0)</f>
        <v>0</v>
      </c>
      <c r="N424" s="539">
        <f ca="1">IFERROR(__xludf.DUMMYFUNCTION("""COMPUTED_VALUE"""),0)</f>
        <v>0</v>
      </c>
      <c r="O424" s="539">
        <f ca="1">IFERROR(__xludf.DUMMYFUNCTION("""COMPUTED_VALUE"""),0)</f>
        <v>0</v>
      </c>
    </row>
    <row r="425" spans="1:15" ht="12.75">
      <c r="A425" s="539">
        <f ca="1"/>
        <v>419</v>
      </c>
      <c r="B425" s="35" t="str">
        <f ca="1">IFERROR(__xludf.DUMMYFUNCTION("""COMPUTED_VALUE"""),"Tổ Hạ tầng Đức Hòa")</f>
        <v>Tổ Hạ tầng Đức Hòa</v>
      </c>
      <c r="C425" s="35" t="str">
        <f ca="1">IFERROR(__xludf.DUMMYFUNCTION("""COMPUTED_VALUE"""),"Trần Thanh Giàu")</f>
        <v>Trần Thanh Giàu</v>
      </c>
      <c r="D425" s="35">
        <f ca="1">IFERROR(__xludf.DUMMYFUNCTION("""COMPUTED_VALUE"""),853837837)</f>
        <v>853837837</v>
      </c>
      <c r="E425" s="35" t="str">
        <f ca="1">IFERROR(__xludf.DUMMYFUNCTION("""COMPUTED_VALUE"""),"giautt.lan@vnpt.vn")</f>
        <v>giautt.lan@vnpt.vn</v>
      </c>
      <c r="F425" s="540" t="str">
        <f ca="1">IFERROR(__xludf.DUMMYFUNCTION("""COMPUTED_VALUE"""),"Lần 3")</f>
        <v>Lần 3</v>
      </c>
      <c r="G425" s="278"/>
      <c r="H425" s="35"/>
      <c r="I425" s="35"/>
      <c r="J425" s="541"/>
      <c r="K425" s="541"/>
      <c r="M425" s="539">
        <f ca="1">IFERROR(__xludf.DUMMYFUNCTION("""COMPUTED_VALUE"""),0)</f>
        <v>0</v>
      </c>
      <c r="N425" s="539">
        <f ca="1">IFERROR(__xludf.DUMMYFUNCTION("""COMPUTED_VALUE"""),0)</f>
        <v>0</v>
      </c>
      <c r="O425" s="539">
        <f ca="1">IFERROR(__xludf.DUMMYFUNCTION("""COMPUTED_VALUE"""),0)</f>
        <v>0</v>
      </c>
    </row>
    <row r="426" spans="1:15" ht="12.75">
      <c r="A426" s="539">
        <f ca="1"/>
        <v>420</v>
      </c>
      <c r="B426" s="35" t="str">
        <f ca="1">IFERROR(__xludf.DUMMYFUNCTION("""COMPUTED_VALUE"""),"Tổ Hạ tầng Đức Hòa")</f>
        <v>Tổ Hạ tầng Đức Hòa</v>
      </c>
      <c r="C426" s="35" t="str">
        <f ca="1">IFERROR(__xludf.DUMMYFUNCTION("""COMPUTED_VALUE"""),"Trần Thanh Giàu")</f>
        <v>Trần Thanh Giàu</v>
      </c>
      <c r="D426" s="35">
        <f ca="1">IFERROR(__xludf.DUMMYFUNCTION("""COMPUTED_VALUE"""),853837837)</f>
        <v>853837837</v>
      </c>
      <c r="E426" s="35" t="str">
        <f ca="1">IFERROR(__xludf.DUMMYFUNCTION("""COMPUTED_VALUE"""),"giautt.lan@vnpt.vn")</f>
        <v>giautt.lan@vnpt.vn</v>
      </c>
      <c r="F426" s="540" t="str">
        <f ca="1">IFERROR(__xludf.DUMMYFUNCTION("""COMPUTED_VALUE"""),"Lần 4")</f>
        <v>Lần 4</v>
      </c>
      <c r="G426" s="278"/>
      <c r="H426" s="35"/>
      <c r="I426" s="35"/>
      <c r="J426" s="541"/>
      <c r="K426" s="541"/>
      <c r="M426" s="539">
        <f ca="1">IFERROR(__xludf.DUMMYFUNCTION("""COMPUTED_VALUE"""),0)</f>
        <v>0</v>
      </c>
      <c r="N426" s="539">
        <f ca="1">IFERROR(__xludf.DUMMYFUNCTION("""COMPUTED_VALUE"""),0)</f>
        <v>0</v>
      </c>
      <c r="O426" s="539">
        <f ca="1">IFERROR(__xludf.DUMMYFUNCTION("""COMPUTED_VALUE"""),0)</f>
        <v>0</v>
      </c>
    </row>
    <row r="427" spans="1:15" ht="12.75">
      <c r="A427" s="539">
        <f ca="1"/>
        <v>421</v>
      </c>
      <c r="B427" s="35" t="str">
        <f ca="1">IFERROR(__xludf.DUMMYFUNCTION("""COMPUTED_VALUE"""),"Tổ Hạ tầng Đức Hòa")</f>
        <v>Tổ Hạ tầng Đức Hòa</v>
      </c>
      <c r="C427" s="35" t="str">
        <f ca="1">IFERROR(__xludf.DUMMYFUNCTION("""COMPUTED_VALUE"""),"Trần Thanh Giàu")</f>
        <v>Trần Thanh Giàu</v>
      </c>
      <c r="D427" s="35">
        <f ca="1">IFERROR(__xludf.DUMMYFUNCTION("""COMPUTED_VALUE"""),853837837)</f>
        <v>853837837</v>
      </c>
      <c r="E427" s="35" t="str">
        <f ca="1">IFERROR(__xludf.DUMMYFUNCTION("""COMPUTED_VALUE"""),"giautt.lan@vnpt.vn")</f>
        <v>giautt.lan@vnpt.vn</v>
      </c>
      <c r="F427" s="540" t="str">
        <f ca="1">IFERROR(__xludf.DUMMYFUNCTION("""COMPUTED_VALUE"""),"Lần 5")</f>
        <v>Lần 5</v>
      </c>
      <c r="G427" s="278"/>
      <c r="H427" s="35"/>
      <c r="I427" s="35"/>
      <c r="J427" s="541"/>
      <c r="K427" s="541"/>
      <c r="M427" s="539">
        <f ca="1">IFERROR(__xludf.DUMMYFUNCTION("""COMPUTED_VALUE"""),0)</f>
        <v>0</v>
      </c>
      <c r="N427" s="539">
        <f ca="1">IFERROR(__xludf.DUMMYFUNCTION("""COMPUTED_VALUE"""),0)</f>
        <v>0</v>
      </c>
      <c r="O427" s="539">
        <f ca="1">IFERROR(__xludf.DUMMYFUNCTION("""COMPUTED_VALUE"""),0)</f>
        <v>0</v>
      </c>
    </row>
    <row r="428" spans="1:15" ht="12.75">
      <c r="A428" s="539">
        <f ca="1"/>
        <v>422</v>
      </c>
      <c r="B428" s="35" t="str">
        <f ca="1">IFERROR(__xludf.DUMMYFUNCTION("""COMPUTED_VALUE"""),"Tổ Hạ tầng Đức Hòa")</f>
        <v>Tổ Hạ tầng Đức Hòa</v>
      </c>
      <c r="C428" s="35" t="str">
        <f ca="1">IFERROR(__xludf.DUMMYFUNCTION("""COMPUTED_VALUE"""),"Trần Thanh Giàu")</f>
        <v>Trần Thanh Giàu</v>
      </c>
      <c r="D428" s="35">
        <f ca="1">IFERROR(__xludf.DUMMYFUNCTION("""COMPUTED_VALUE"""),853837837)</f>
        <v>853837837</v>
      </c>
      <c r="E428" s="35" t="str">
        <f ca="1">IFERROR(__xludf.DUMMYFUNCTION("""COMPUTED_VALUE"""),"giautt.lan@vnpt.vn")</f>
        <v>giautt.lan@vnpt.vn</v>
      </c>
      <c r="F428" s="540" t="str">
        <f ca="1">IFERROR(__xludf.DUMMYFUNCTION("""COMPUTED_VALUE"""),"Lần 6")</f>
        <v>Lần 6</v>
      </c>
      <c r="G428" s="278"/>
      <c r="H428" s="35"/>
      <c r="I428" s="35"/>
      <c r="J428" s="541"/>
      <c r="K428" s="541"/>
      <c r="M428" s="539">
        <f ca="1">IFERROR(__xludf.DUMMYFUNCTION("""COMPUTED_VALUE"""),0)</f>
        <v>0</v>
      </c>
      <c r="N428" s="539">
        <f ca="1">IFERROR(__xludf.DUMMYFUNCTION("""COMPUTED_VALUE"""),0)</f>
        <v>0</v>
      </c>
      <c r="O428" s="539">
        <f ca="1">IFERROR(__xludf.DUMMYFUNCTION("""COMPUTED_VALUE"""),0)</f>
        <v>0</v>
      </c>
    </row>
    <row r="429" spans="1:15" ht="12.75">
      <c r="A429" s="539">
        <f ca="1"/>
        <v>423</v>
      </c>
      <c r="B429" s="35" t="str">
        <f ca="1">IFERROR(__xludf.DUMMYFUNCTION("""COMPUTED_VALUE"""),"Tổ Hạ tầng Đức Hòa")</f>
        <v>Tổ Hạ tầng Đức Hòa</v>
      </c>
      <c r="C429" s="35" t="str">
        <f ca="1">IFERROR(__xludf.DUMMYFUNCTION("""COMPUTED_VALUE"""),"Trần Thanh Giàu")</f>
        <v>Trần Thanh Giàu</v>
      </c>
      <c r="D429" s="35">
        <f ca="1">IFERROR(__xludf.DUMMYFUNCTION("""COMPUTED_VALUE"""),853837837)</f>
        <v>853837837</v>
      </c>
      <c r="E429" s="35" t="str">
        <f ca="1">IFERROR(__xludf.DUMMYFUNCTION("""COMPUTED_VALUE"""),"giautt.lan@vnpt.vn")</f>
        <v>giautt.lan@vnpt.vn</v>
      </c>
      <c r="F429" s="540" t="str">
        <f ca="1">IFERROR(__xludf.DUMMYFUNCTION("""COMPUTED_VALUE"""),"Lần 7")</f>
        <v>Lần 7</v>
      </c>
      <c r="G429" s="278"/>
      <c r="H429" s="35"/>
      <c r="I429" s="35"/>
      <c r="J429" s="541"/>
      <c r="K429" s="541"/>
      <c r="M429" s="539">
        <f ca="1">IFERROR(__xludf.DUMMYFUNCTION("""COMPUTED_VALUE"""),0)</f>
        <v>0</v>
      </c>
      <c r="N429" s="539">
        <f ca="1">IFERROR(__xludf.DUMMYFUNCTION("""COMPUTED_VALUE"""),0)</f>
        <v>0</v>
      </c>
      <c r="O429" s="539">
        <f ca="1">IFERROR(__xludf.DUMMYFUNCTION("""COMPUTED_VALUE"""),0)</f>
        <v>0</v>
      </c>
    </row>
    <row r="430" spans="1:15" ht="12.75">
      <c r="A430" s="539">
        <f ca="1"/>
        <v>424</v>
      </c>
      <c r="B430" s="35" t="str">
        <f ca="1">IFERROR(__xludf.DUMMYFUNCTION("""COMPUTED_VALUE"""),"Tổ Hạ tầng Đức Hòa")</f>
        <v>Tổ Hạ tầng Đức Hòa</v>
      </c>
      <c r="C430" s="35" t="str">
        <f ca="1">IFERROR(__xludf.DUMMYFUNCTION("""COMPUTED_VALUE"""),"Trần Thanh Giàu")</f>
        <v>Trần Thanh Giàu</v>
      </c>
      <c r="D430" s="35">
        <f ca="1">IFERROR(__xludf.DUMMYFUNCTION("""COMPUTED_VALUE"""),853837837)</f>
        <v>853837837</v>
      </c>
      <c r="E430" s="35" t="str">
        <f ca="1">IFERROR(__xludf.DUMMYFUNCTION("""COMPUTED_VALUE"""),"giautt.lan@vnpt.vn")</f>
        <v>giautt.lan@vnpt.vn</v>
      </c>
      <c r="F430" s="540" t="str">
        <f ca="1">IFERROR(__xludf.DUMMYFUNCTION("""COMPUTED_VALUE"""),"Lần 8")</f>
        <v>Lần 8</v>
      </c>
      <c r="G430" s="278"/>
      <c r="H430" s="35"/>
      <c r="I430" s="35"/>
      <c r="J430" s="541"/>
      <c r="K430" s="541"/>
      <c r="M430" s="539">
        <f ca="1">IFERROR(__xludf.DUMMYFUNCTION("""COMPUTED_VALUE"""),0)</f>
        <v>0</v>
      </c>
      <c r="N430" s="539">
        <f ca="1">IFERROR(__xludf.DUMMYFUNCTION("""COMPUTED_VALUE"""),0)</f>
        <v>0</v>
      </c>
      <c r="O430" s="539">
        <f ca="1">IFERROR(__xludf.DUMMYFUNCTION("""COMPUTED_VALUE"""),0)</f>
        <v>0</v>
      </c>
    </row>
    <row r="431" spans="1:15" ht="12.75">
      <c r="A431" s="539">
        <f ca="1"/>
        <v>425</v>
      </c>
      <c r="B431" s="35" t="str">
        <f ca="1">IFERROR(__xludf.DUMMYFUNCTION("""COMPUTED_VALUE"""),"Tổ Hạ tầng Đức Hòa")</f>
        <v>Tổ Hạ tầng Đức Hòa</v>
      </c>
      <c r="C431" s="35" t="str">
        <f ca="1">IFERROR(__xludf.DUMMYFUNCTION("""COMPUTED_VALUE"""),"Trần Thanh Giàu")</f>
        <v>Trần Thanh Giàu</v>
      </c>
      <c r="D431" s="35">
        <f ca="1">IFERROR(__xludf.DUMMYFUNCTION("""COMPUTED_VALUE"""),853837837)</f>
        <v>853837837</v>
      </c>
      <c r="E431" s="35" t="str">
        <f ca="1">IFERROR(__xludf.DUMMYFUNCTION("""COMPUTED_VALUE"""),"giautt.lan@vnpt.vn")</f>
        <v>giautt.lan@vnpt.vn</v>
      </c>
      <c r="F431" s="540" t="str">
        <f ca="1">IFERROR(__xludf.DUMMYFUNCTION("""COMPUTED_VALUE"""),"Lần 9")</f>
        <v>Lần 9</v>
      </c>
      <c r="G431" s="278"/>
      <c r="H431" s="35"/>
      <c r="I431" s="35"/>
      <c r="J431" s="541"/>
      <c r="K431" s="541"/>
      <c r="M431" s="539">
        <f ca="1">IFERROR(__xludf.DUMMYFUNCTION("""COMPUTED_VALUE"""),0)</f>
        <v>0</v>
      </c>
      <c r="N431" s="539">
        <f ca="1">IFERROR(__xludf.DUMMYFUNCTION("""COMPUTED_VALUE"""),0)</f>
        <v>0</v>
      </c>
      <c r="O431" s="539">
        <f ca="1">IFERROR(__xludf.DUMMYFUNCTION("""COMPUTED_VALUE"""),0)</f>
        <v>0</v>
      </c>
    </row>
    <row r="432" spans="1:15" ht="12.75">
      <c r="A432" s="539">
        <f ca="1"/>
        <v>426</v>
      </c>
      <c r="B432" s="35" t="str">
        <f ca="1">IFERROR(__xludf.DUMMYFUNCTION("""COMPUTED_VALUE"""),"Tổ Hạ tầng Đức Hòa")</f>
        <v>Tổ Hạ tầng Đức Hòa</v>
      </c>
      <c r="C432" s="35" t="str">
        <f ca="1">IFERROR(__xludf.DUMMYFUNCTION("""COMPUTED_VALUE"""),"Trần Thanh Giàu")</f>
        <v>Trần Thanh Giàu</v>
      </c>
      <c r="D432" s="35">
        <f ca="1">IFERROR(__xludf.DUMMYFUNCTION("""COMPUTED_VALUE"""),853837837)</f>
        <v>853837837</v>
      </c>
      <c r="E432" s="35" t="str">
        <f ca="1">IFERROR(__xludf.DUMMYFUNCTION("""COMPUTED_VALUE"""),"giautt.lan@vnpt.vn")</f>
        <v>giautt.lan@vnpt.vn</v>
      </c>
      <c r="F432" s="540" t="str">
        <f ca="1">IFERROR(__xludf.DUMMYFUNCTION("""COMPUTED_VALUE"""),"Lần 10")</f>
        <v>Lần 10</v>
      </c>
      <c r="G432" s="278"/>
      <c r="H432" s="35"/>
      <c r="I432" s="35"/>
      <c r="J432" s="541"/>
      <c r="K432" s="541"/>
      <c r="M432" s="539">
        <f ca="1">IFERROR(__xludf.DUMMYFUNCTION("""COMPUTED_VALUE"""),0)</f>
        <v>0</v>
      </c>
      <c r="N432" s="539">
        <f ca="1">IFERROR(__xludf.DUMMYFUNCTION("""COMPUTED_VALUE"""),0)</f>
        <v>0</v>
      </c>
      <c r="O432" s="539">
        <f ca="1">IFERROR(__xludf.DUMMYFUNCTION("""COMPUTED_VALUE"""),0)</f>
        <v>0</v>
      </c>
    </row>
    <row r="433" spans="1:15" ht="12.75">
      <c r="A433" s="539">
        <f ca="1"/>
        <v>427</v>
      </c>
      <c r="B433" s="35" t="str">
        <f ca="1">IFERROR(__xludf.DUMMYFUNCTION("""COMPUTED_VALUE"""),"Tổ Hạ tầng Đức Hòa")</f>
        <v>Tổ Hạ tầng Đức Hòa</v>
      </c>
      <c r="C433" s="35" t="str">
        <f ca="1">IFERROR(__xludf.DUMMYFUNCTION("""COMPUTED_VALUE"""),"Trần Thanh Giàu")</f>
        <v>Trần Thanh Giàu</v>
      </c>
      <c r="D433" s="35">
        <f ca="1">IFERROR(__xludf.DUMMYFUNCTION("""COMPUTED_VALUE"""),853837837)</f>
        <v>853837837</v>
      </c>
      <c r="E433" s="35" t="str">
        <f ca="1">IFERROR(__xludf.DUMMYFUNCTION("""COMPUTED_VALUE"""),"giautt.lan@vnpt.vn")</f>
        <v>giautt.lan@vnpt.vn</v>
      </c>
      <c r="F433" s="540" t="str">
        <f ca="1">IFERROR(__xludf.DUMMYFUNCTION("""COMPUTED_VALUE"""),"Lần 11")</f>
        <v>Lần 11</v>
      </c>
      <c r="G433" s="278"/>
      <c r="H433" s="35"/>
      <c r="I433" s="35"/>
      <c r="J433" s="541"/>
      <c r="K433" s="541"/>
      <c r="M433" s="539">
        <f ca="1">IFERROR(__xludf.DUMMYFUNCTION("""COMPUTED_VALUE"""),0)</f>
        <v>0</v>
      </c>
      <c r="N433" s="539">
        <f ca="1">IFERROR(__xludf.DUMMYFUNCTION("""COMPUTED_VALUE"""),0)</f>
        <v>0</v>
      </c>
      <c r="O433" s="539">
        <f ca="1">IFERROR(__xludf.DUMMYFUNCTION("""COMPUTED_VALUE"""),0)</f>
        <v>0</v>
      </c>
    </row>
    <row r="434" spans="1:15" ht="12.75">
      <c r="A434" s="539">
        <f ca="1"/>
        <v>428</v>
      </c>
      <c r="B434" s="35" t="str">
        <f ca="1">IFERROR(__xludf.DUMMYFUNCTION("""COMPUTED_VALUE"""),"Tổ Hạ tầng Đức Hòa")</f>
        <v>Tổ Hạ tầng Đức Hòa</v>
      </c>
      <c r="C434" s="35" t="str">
        <f ca="1">IFERROR(__xludf.DUMMYFUNCTION("""COMPUTED_VALUE"""),"Trần Thanh Giàu")</f>
        <v>Trần Thanh Giàu</v>
      </c>
      <c r="D434" s="35">
        <f ca="1">IFERROR(__xludf.DUMMYFUNCTION("""COMPUTED_VALUE"""),853837837)</f>
        <v>853837837</v>
      </c>
      <c r="E434" s="35" t="str">
        <f ca="1">IFERROR(__xludf.DUMMYFUNCTION("""COMPUTED_VALUE"""),"giautt.lan@vnpt.vn")</f>
        <v>giautt.lan@vnpt.vn</v>
      </c>
      <c r="F434" s="540" t="str">
        <f ca="1">IFERROR(__xludf.DUMMYFUNCTION("""COMPUTED_VALUE"""),"Lần 12")</f>
        <v>Lần 12</v>
      </c>
      <c r="G434" s="278"/>
      <c r="H434" s="35"/>
      <c r="I434" s="35"/>
      <c r="J434" s="541"/>
      <c r="K434" s="541"/>
      <c r="M434" s="539">
        <f ca="1">IFERROR(__xludf.DUMMYFUNCTION("""COMPUTED_VALUE"""),0)</f>
        <v>0</v>
      </c>
      <c r="N434" s="539">
        <f ca="1">IFERROR(__xludf.DUMMYFUNCTION("""COMPUTED_VALUE"""),0)</f>
        <v>0</v>
      </c>
      <c r="O434" s="539">
        <f ca="1">IFERROR(__xludf.DUMMYFUNCTION("""COMPUTED_VALUE"""),0)</f>
        <v>0</v>
      </c>
    </row>
    <row r="435" spans="1:15" ht="12.75">
      <c r="A435" s="539">
        <f ca="1"/>
        <v>429</v>
      </c>
      <c r="B435" s="35" t="str">
        <f ca="1">IFERROR(__xludf.DUMMYFUNCTION("""COMPUTED_VALUE"""),"Tổ Hạ tầng Đức Hòa")</f>
        <v>Tổ Hạ tầng Đức Hòa</v>
      </c>
      <c r="C435" s="35" t="str">
        <f ca="1">IFERROR(__xludf.DUMMYFUNCTION("""COMPUTED_VALUE"""),"Trần Thanh Giàu")</f>
        <v>Trần Thanh Giàu</v>
      </c>
      <c r="D435" s="35">
        <f ca="1">IFERROR(__xludf.DUMMYFUNCTION("""COMPUTED_VALUE"""),853837837)</f>
        <v>853837837</v>
      </c>
      <c r="E435" s="35" t="str">
        <f ca="1">IFERROR(__xludf.DUMMYFUNCTION("""COMPUTED_VALUE"""),"giautt.lan@vnpt.vn")</f>
        <v>giautt.lan@vnpt.vn</v>
      </c>
      <c r="F435" s="540" t="str">
        <f ca="1">IFERROR(__xludf.DUMMYFUNCTION("""COMPUTED_VALUE"""),"Lần 13")</f>
        <v>Lần 13</v>
      </c>
      <c r="G435" s="278"/>
      <c r="H435" s="35"/>
      <c r="I435" s="35"/>
      <c r="J435" s="541"/>
      <c r="K435" s="541"/>
      <c r="M435" s="539">
        <f ca="1">IFERROR(__xludf.DUMMYFUNCTION("""COMPUTED_VALUE"""),0)</f>
        <v>0</v>
      </c>
      <c r="N435" s="539">
        <f ca="1">IFERROR(__xludf.DUMMYFUNCTION("""COMPUTED_VALUE"""),0)</f>
        <v>0</v>
      </c>
      <c r="O435" s="539">
        <f ca="1">IFERROR(__xludf.DUMMYFUNCTION("""COMPUTED_VALUE"""),0)</f>
        <v>0</v>
      </c>
    </row>
    <row r="436" spans="1:15" ht="12.75">
      <c r="A436" s="539">
        <f ca="1"/>
        <v>430</v>
      </c>
      <c r="B436" s="35" t="str">
        <f ca="1">IFERROR(__xludf.DUMMYFUNCTION("""COMPUTED_VALUE"""),"Tổ Hạ tầng Đức Hòa")</f>
        <v>Tổ Hạ tầng Đức Hòa</v>
      </c>
      <c r="C436" s="35" t="str">
        <f ca="1">IFERROR(__xludf.DUMMYFUNCTION("""COMPUTED_VALUE"""),"Trần Thanh Giàu")</f>
        <v>Trần Thanh Giàu</v>
      </c>
      <c r="D436" s="35">
        <f ca="1">IFERROR(__xludf.DUMMYFUNCTION("""COMPUTED_VALUE"""),853837837)</f>
        <v>853837837</v>
      </c>
      <c r="E436" s="35" t="str">
        <f ca="1">IFERROR(__xludf.DUMMYFUNCTION("""COMPUTED_VALUE"""),"giautt.lan@vnpt.vn")</f>
        <v>giautt.lan@vnpt.vn</v>
      </c>
      <c r="F436" s="540" t="str">
        <f ca="1">IFERROR(__xludf.DUMMYFUNCTION("""COMPUTED_VALUE"""),"Lần 14")</f>
        <v>Lần 14</v>
      </c>
      <c r="G436" s="278"/>
      <c r="H436" s="35"/>
      <c r="I436" s="35"/>
      <c r="J436" s="541"/>
      <c r="K436" s="541"/>
      <c r="M436" s="539">
        <f ca="1">IFERROR(__xludf.DUMMYFUNCTION("""COMPUTED_VALUE"""),0)</f>
        <v>0</v>
      </c>
      <c r="N436" s="539">
        <f ca="1">IFERROR(__xludf.DUMMYFUNCTION("""COMPUTED_VALUE"""),0)</f>
        <v>0</v>
      </c>
      <c r="O436" s="539">
        <f ca="1">IFERROR(__xludf.DUMMYFUNCTION("""COMPUTED_VALUE"""),0)</f>
        <v>0</v>
      </c>
    </row>
    <row r="437" spans="1:15" ht="12.75">
      <c r="A437" s="539">
        <f ca="1"/>
        <v>431</v>
      </c>
      <c r="B437" s="35" t="str">
        <f ca="1">IFERROR(__xludf.DUMMYFUNCTION("""COMPUTED_VALUE"""),"Tổ Hạ tầng Đức Hòa")</f>
        <v>Tổ Hạ tầng Đức Hòa</v>
      </c>
      <c r="C437" s="35" t="str">
        <f ca="1">IFERROR(__xludf.DUMMYFUNCTION("""COMPUTED_VALUE"""),"Trần Thanh Giàu")</f>
        <v>Trần Thanh Giàu</v>
      </c>
      <c r="D437" s="35">
        <f ca="1">IFERROR(__xludf.DUMMYFUNCTION("""COMPUTED_VALUE"""),853837837)</f>
        <v>853837837</v>
      </c>
      <c r="E437" s="35" t="str">
        <f ca="1">IFERROR(__xludf.DUMMYFUNCTION("""COMPUTED_VALUE"""),"giautt.lan@vnpt.vn")</f>
        <v>giautt.lan@vnpt.vn</v>
      </c>
      <c r="F437" s="540" t="str">
        <f ca="1">IFERROR(__xludf.DUMMYFUNCTION("""COMPUTED_VALUE"""),"Lần 15")</f>
        <v>Lần 15</v>
      </c>
      <c r="G437" s="278"/>
      <c r="H437" s="35"/>
      <c r="I437" s="35"/>
      <c r="J437" s="541"/>
      <c r="K437" s="35"/>
      <c r="M437" s="539">
        <f ca="1">IFERROR(__xludf.DUMMYFUNCTION("""COMPUTED_VALUE"""),0)</f>
        <v>0</v>
      </c>
      <c r="N437" s="539">
        <f ca="1">IFERROR(__xludf.DUMMYFUNCTION("""COMPUTED_VALUE"""),0)</f>
        <v>0</v>
      </c>
      <c r="O437" s="539">
        <f ca="1">IFERROR(__xludf.DUMMYFUNCTION("""COMPUTED_VALUE"""),0)</f>
        <v>0</v>
      </c>
    </row>
    <row r="438" spans="1:15" ht="12.75">
      <c r="A438" s="539">
        <f ca="1"/>
        <v>432</v>
      </c>
      <c r="B438" s="35" t="str">
        <f ca="1">IFERROR(__xludf.DUMMYFUNCTION("""COMPUTED_VALUE"""),"Tổ Hạ tầng Đức Hòa")</f>
        <v>Tổ Hạ tầng Đức Hòa</v>
      </c>
      <c r="C438" s="35" t="str">
        <f ca="1">IFERROR(__xludf.DUMMYFUNCTION("""COMPUTED_VALUE"""),"Trần Thanh Giàu")</f>
        <v>Trần Thanh Giàu</v>
      </c>
      <c r="D438" s="35">
        <f ca="1">IFERROR(__xludf.DUMMYFUNCTION("""COMPUTED_VALUE"""),853837837)</f>
        <v>853837837</v>
      </c>
      <c r="E438" s="35" t="str">
        <f ca="1">IFERROR(__xludf.DUMMYFUNCTION("""COMPUTED_VALUE"""),"giautt.lan@vnpt.vn")</f>
        <v>giautt.lan@vnpt.vn</v>
      </c>
      <c r="F438" s="540" t="str">
        <f ca="1">IFERROR(__xludf.DUMMYFUNCTION("""COMPUTED_VALUE"""),"Lần 16")</f>
        <v>Lần 16</v>
      </c>
      <c r="G438" s="545"/>
      <c r="H438" s="35"/>
      <c r="I438" s="35"/>
      <c r="J438" s="541"/>
      <c r="K438" s="35"/>
      <c r="M438" s="539">
        <f ca="1">IFERROR(__xludf.DUMMYFUNCTION("""COMPUTED_VALUE"""),0)</f>
        <v>0</v>
      </c>
      <c r="N438" s="539">
        <f ca="1">IFERROR(__xludf.DUMMYFUNCTION("""COMPUTED_VALUE"""),0)</f>
        <v>0</v>
      </c>
      <c r="O438" s="539">
        <f ca="1">IFERROR(__xludf.DUMMYFUNCTION("""COMPUTED_VALUE"""),0)</f>
        <v>0</v>
      </c>
    </row>
    <row r="439" spans="1:15" ht="12.75">
      <c r="A439" s="539">
        <f ca="1"/>
        <v>433</v>
      </c>
      <c r="B439" s="35" t="str">
        <f ca="1">IFERROR(__xludf.DUMMYFUNCTION("""COMPUTED_VALUE"""),"Tổ Hạ tầng Kiến Tường")</f>
        <v>Tổ Hạ tầng Kiến Tường</v>
      </c>
      <c r="C439" s="35" t="str">
        <f ca="1">IFERROR(__xludf.DUMMYFUNCTION("""COMPUTED_VALUE"""),"Đặng Ngọc Sơn")</f>
        <v>Đặng Ngọc Sơn</v>
      </c>
      <c r="D439" s="35">
        <f ca="1">IFERROR(__xludf.DUMMYFUNCTION("""COMPUTED_VALUE"""),949786476)</f>
        <v>949786476</v>
      </c>
      <c r="E439" s="35" t="str">
        <f ca="1">IFERROR(__xludf.DUMMYFUNCTION("""COMPUTED_VALUE"""),"sondn.lan@vnpt.vn")</f>
        <v>sondn.lan@vnpt.vn</v>
      </c>
      <c r="F439" s="540" t="str">
        <f ca="1">IFERROR(__xludf.DUMMYFUNCTION("""COMPUTED_VALUE"""),"Lần 1")</f>
        <v>Lần 1</v>
      </c>
      <c r="G439" s="546">
        <f ca="1">IFERROR(__xludf.DUMMYFUNCTION("""COMPUTED_VALUE"""),46210)</f>
        <v>46210</v>
      </c>
      <c r="H439" s="35">
        <f ca="1">IFERROR(__xludf.DUMMYFUNCTION("""COMPUTED_VALUE"""),93.4)</f>
        <v>93.4</v>
      </c>
      <c r="I439" s="35">
        <f ca="1">IFERROR(__xludf.DUMMYFUNCTION("""COMPUTED_VALUE"""),40.6)</f>
        <v>40.6</v>
      </c>
      <c r="J439" s="35">
        <f ca="1">IFERROR(__xludf.DUMMYFUNCTION("""COMPUTED_VALUE"""),80.1)</f>
        <v>80.099999999999994</v>
      </c>
      <c r="K439" s="35">
        <f ca="1">IFERROR(__xludf.DUMMYFUNCTION("""COMPUTED_VALUE"""),55.3)</f>
        <v>55.3</v>
      </c>
      <c r="M439" s="539">
        <f ca="1">IFERROR(__xludf.DUMMYFUNCTION("""COMPUTED_VALUE"""),1)</f>
        <v>1</v>
      </c>
      <c r="N439" s="539">
        <f ca="1">IFERROR(__xludf.DUMMYFUNCTION("""COMPUTED_VALUE"""),1)</f>
        <v>1</v>
      </c>
      <c r="O439" s="539">
        <f ca="1">IFERROR(__xludf.DUMMYFUNCTION("""COMPUTED_VALUE"""),0)</f>
        <v>0</v>
      </c>
    </row>
    <row r="440" spans="1:15" ht="12.75">
      <c r="A440" s="539">
        <f ca="1"/>
        <v>434</v>
      </c>
      <c r="B440" s="35" t="str">
        <f ca="1">IFERROR(__xludf.DUMMYFUNCTION("""COMPUTED_VALUE"""),"Tổ Hạ tầng Kiến Tường")</f>
        <v>Tổ Hạ tầng Kiến Tường</v>
      </c>
      <c r="C440" s="35" t="str">
        <f ca="1">IFERROR(__xludf.DUMMYFUNCTION("""COMPUTED_VALUE"""),"Đặng Ngọc Sơn")</f>
        <v>Đặng Ngọc Sơn</v>
      </c>
      <c r="D440" s="35">
        <f ca="1">IFERROR(__xludf.DUMMYFUNCTION("""COMPUTED_VALUE"""),949786476)</f>
        <v>949786476</v>
      </c>
      <c r="E440" s="35" t="str">
        <f ca="1">IFERROR(__xludf.DUMMYFUNCTION("""COMPUTED_VALUE"""),"sondn.lan@vnpt.vn")</f>
        <v>sondn.lan@vnpt.vn</v>
      </c>
      <c r="F440" s="540" t="str">
        <f ca="1">IFERROR(__xludf.DUMMYFUNCTION("""COMPUTED_VALUE"""),"Lần 2")</f>
        <v>Lần 2</v>
      </c>
      <c r="G440" s="278">
        <f ca="1">IFERROR(__xludf.DUMMYFUNCTION("""COMPUTED_VALUE"""),46210)</f>
        <v>46210</v>
      </c>
      <c r="H440" s="35">
        <f ca="1">IFERROR(__xludf.DUMMYFUNCTION("""COMPUTED_VALUE"""),119)</f>
        <v>119</v>
      </c>
      <c r="I440" s="35">
        <f ca="1">IFERROR(__xludf.DUMMYFUNCTION("""COMPUTED_VALUE"""),21.9)</f>
        <v>21.9</v>
      </c>
      <c r="J440" s="35">
        <f ca="1">IFERROR(__xludf.DUMMYFUNCTION("""COMPUTED_VALUE"""),81.2)</f>
        <v>81.2</v>
      </c>
      <c r="K440" s="35">
        <f ca="1">IFERROR(__xludf.DUMMYFUNCTION("""COMPUTED_VALUE"""),56)</f>
        <v>56</v>
      </c>
      <c r="M440" s="539">
        <f ca="1">IFERROR(__xludf.DUMMYFUNCTION("""COMPUTED_VALUE"""),1)</f>
        <v>1</v>
      </c>
      <c r="N440" s="539">
        <f ca="1">IFERROR(__xludf.DUMMYFUNCTION("""COMPUTED_VALUE"""),1)</f>
        <v>1</v>
      </c>
      <c r="O440" s="539">
        <f ca="1">IFERROR(__xludf.DUMMYFUNCTION("""COMPUTED_VALUE"""),0)</f>
        <v>0</v>
      </c>
    </row>
    <row r="441" spans="1:15" ht="12.75">
      <c r="A441" s="539">
        <f ca="1"/>
        <v>435</v>
      </c>
      <c r="B441" s="35" t="str">
        <f ca="1">IFERROR(__xludf.DUMMYFUNCTION("""COMPUTED_VALUE"""),"Tổ Hạ tầng Kiến Tường")</f>
        <v>Tổ Hạ tầng Kiến Tường</v>
      </c>
      <c r="C441" s="35" t="str">
        <f ca="1">IFERROR(__xludf.DUMMYFUNCTION("""COMPUTED_VALUE"""),"Đặng Ngọc Sơn")</f>
        <v>Đặng Ngọc Sơn</v>
      </c>
      <c r="D441" s="35">
        <f ca="1">IFERROR(__xludf.DUMMYFUNCTION("""COMPUTED_VALUE"""),949786476)</f>
        <v>949786476</v>
      </c>
      <c r="E441" s="35" t="str">
        <f ca="1">IFERROR(__xludf.DUMMYFUNCTION("""COMPUTED_VALUE"""),"sondn.lan@vnpt.vn")</f>
        <v>sondn.lan@vnpt.vn</v>
      </c>
      <c r="F441" s="540" t="str">
        <f ca="1">IFERROR(__xludf.DUMMYFUNCTION("""COMPUTED_VALUE"""),"Lần 3")</f>
        <v>Lần 3</v>
      </c>
      <c r="G441" s="546">
        <f ca="1">IFERROR(__xludf.DUMMYFUNCTION("""COMPUTED_VALUE"""),46212)</f>
        <v>46212</v>
      </c>
      <c r="H441" s="35">
        <f ca="1">IFERROR(__xludf.DUMMYFUNCTION("""COMPUTED_VALUE"""),106)</f>
        <v>106</v>
      </c>
      <c r="I441" s="35">
        <f ca="1">IFERROR(__xludf.DUMMYFUNCTION("""COMPUTED_VALUE"""),24.8)</f>
        <v>24.8</v>
      </c>
      <c r="J441" s="35">
        <f ca="1">IFERROR(__xludf.DUMMYFUNCTION("""COMPUTED_VALUE"""),105)</f>
        <v>105</v>
      </c>
      <c r="K441" s="35">
        <f ca="1">IFERROR(__xludf.DUMMYFUNCTION("""COMPUTED_VALUE"""),57.5)</f>
        <v>57.5</v>
      </c>
      <c r="M441" s="539">
        <f ca="1">IFERROR(__xludf.DUMMYFUNCTION("""COMPUTED_VALUE"""),1)</f>
        <v>1</v>
      </c>
      <c r="N441" s="539">
        <f ca="1">IFERROR(__xludf.DUMMYFUNCTION("""COMPUTED_VALUE"""),1)</f>
        <v>1</v>
      </c>
      <c r="O441" s="539">
        <f ca="1">IFERROR(__xludf.DUMMYFUNCTION("""COMPUTED_VALUE"""),0)</f>
        <v>0</v>
      </c>
    </row>
    <row r="442" spans="1:15" ht="12.75">
      <c r="A442" s="539">
        <f ca="1"/>
        <v>436</v>
      </c>
      <c r="B442" s="35" t="str">
        <f ca="1">IFERROR(__xludf.DUMMYFUNCTION("""COMPUTED_VALUE"""),"Tổ Hạ tầng Kiến Tường")</f>
        <v>Tổ Hạ tầng Kiến Tường</v>
      </c>
      <c r="C442" s="35" t="str">
        <f ca="1">IFERROR(__xludf.DUMMYFUNCTION("""COMPUTED_VALUE"""),"Đặng Ngọc Sơn")</f>
        <v>Đặng Ngọc Sơn</v>
      </c>
      <c r="D442" s="35">
        <f ca="1">IFERROR(__xludf.DUMMYFUNCTION("""COMPUTED_VALUE"""),949786476)</f>
        <v>949786476</v>
      </c>
      <c r="E442" s="35" t="str">
        <f ca="1">IFERROR(__xludf.DUMMYFUNCTION("""COMPUTED_VALUE"""),"sondn.lan@vnpt.vn")</f>
        <v>sondn.lan@vnpt.vn</v>
      </c>
      <c r="F442" s="540" t="str">
        <f ca="1">IFERROR(__xludf.DUMMYFUNCTION("""COMPUTED_VALUE"""),"Lần 4")</f>
        <v>Lần 4</v>
      </c>
      <c r="G442" s="546">
        <f ca="1">IFERROR(__xludf.DUMMYFUNCTION("""COMPUTED_VALUE"""),46212)</f>
        <v>46212</v>
      </c>
      <c r="H442" s="35">
        <f ca="1">IFERROR(__xludf.DUMMYFUNCTION("""COMPUTED_VALUE"""),95.4)</f>
        <v>95.4</v>
      </c>
      <c r="I442" s="35">
        <f ca="1">IFERROR(__xludf.DUMMYFUNCTION("""COMPUTED_VALUE"""),41.7)</f>
        <v>41.7</v>
      </c>
      <c r="J442" s="35">
        <f ca="1">IFERROR(__xludf.DUMMYFUNCTION("""COMPUTED_VALUE"""),126)</f>
        <v>126</v>
      </c>
      <c r="K442" s="35">
        <f ca="1">IFERROR(__xludf.DUMMYFUNCTION("""COMPUTED_VALUE"""),56.5)</f>
        <v>56.5</v>
      </c>
      <c r="M442" s="539">
        <f ca="1">IFERROR(__xludf.DUMMYFUNCTION("""COMPUTED_VALUE"""),1)</f>
        <v>1</v>
      </c>
      <c r="N442" s="539">
        <f ca="1">IFERROR(__xludf.DUMMYFUNCTION("""COMPUTED_VALUE"""),1)</f>
        <v>1</v>
      </c>
      <c r="O442" s="539">
        <f ca="1">IFERROR(__xludf.DUMMYFUNCTION("""COMPUTED_VALUE"""),0)</f>
        <v>0</v>
      </c>
    </row>
    <row r="443" spans="1:15" ht="12.75">
      <c r="A443" s="539">
        <f ca="1"/>
        <v>437</v>
      </c>
      <c r="B443" s="35" t="str">
        <f ca="1">IFERROR(__xludf.DUMMYFUNCTION("""COMPUTED_VALUE"""),"Tổ Hạ tầng Kiến Tường")</f>
        <v>Tổ Hạ tầng Kiến Tường</v>
      </c>
      <c r="C443" s="35" t="str">
        <f ca="1">IFERROR(__xludf.DUMMYFUNCTION("""COMPUTED_VALUE"""),"Đặng Ngọc Sơn")</f>
        <v>Đặng Ngọc Sơn</v>
      </c>
      <c r="D443" s="35">
        <f ca="1">IFERROR(__xludf.DUMMYFUNCTION("""COMPUTED_VALUE"""),949786476)</f>
        <v>949786476</v>
      </c>
      <c r="E443" s="35" t="str">
        <f ca="1">IFERROR(__xludf.DUMMYFUNCTION("""COMPUTED_VALUE"""),"sondn.lan@vnpt.vn")</f>
        <v>sondn.lan@vnpt.vn</v>
      </c>
      <c r="F443" s="540" t="str">
        <f ca="1">IFERROR(__xludf.DUMMYFUNCTION("""COMPUTED_VALUE"""),"Lần 5")</f>
        <v>Lần 5</v>
      </c>
      <c r="G443" s="546">
        <f ca="1">IFERROR(__xludf.DUMMYFUNCTION("""COMPUTED_VALUE"""),46212)</f>
        <v>46212</v>
      </c>
      <c r="H443" s="35">
        <f ca="1">IFERROR(__xludf.DUMMYFUNCTION("""COMPUTED_VALUE"""),95.3)</f>
        <v>95.3</v>
      </c>
      <c r="I443" s="35">
        <f ca="1">IFERROR(__xludf.DUMMYFUNCTION("""COMPUTED_VALUE"""),41.8)</f>
        <v>41.8</v>
      </c>
      <c r="J443" s="35">
        <f ca="1">IFERROR(__xludf.DUMMYFUNCTION("""COMPUTED_VALUE"""),119)</f>
        <v>119</v>
      </c>
      <c r="K443" s="35">
        <f ca="1">IFERROR(__xludf.DUMMYFUNCTION("""COMPUTED_VALUE"""),55.2)</f>
        <v>55.2</v>
      </c>
      <c r="M443" s="539">
        <f ca="1">IFERROR(__xludf.DUMMYFUNCTION("""COMPUTED_VALUE"""),1)</f>
        <v>1</v>
      </c>
      <c r="N443" s="539">
        <f ca="1">IFERROR(__xludf.DUMMYFUNCTION("""COMPUTED_VALUE"""),1)</f>
        <v>1</v>
      </c>
      <c r="O443" s="539">
        <f ca="1">IFERROR(__xludf.DUMMYFUNCTION("""COMPUTED_VALUE"""),0)</f>
        <v>0</v>
      </c>
    </row>
    <row r="444" spans="1:15" ht="12.75">
      <c r="A444" s="539">
        <f ca="1"/>
        <v>438</v>
      </c>
      <c r="B444" s="35" t="str">
        <f ca="1">IFERROR(__xludf.DUMMYFUNCTION("""COMPUTED_VALUE"""),"Tổ Hạ tầng Kiến Tường")</f>
        <v>Tổ Hạ tầng Kiến Tường</v>
      </c>
      <c r="C444" s="35" t="str">
        <f ca="1">IFERROR(__xludf.DUMMYFUNCTION("""COMPUTED_VALUE"""),"Đặng Ngọc Sơn")</f>
        <v>Đặng Ngọc Sơn</v>
      </c>
      <c r="D444" s="35">
        <f ca="1">IFERROR(__xludf.DUMMYFUNCTION("""COMPUTED_VALUE"""),949786476)</f>
        <v>949786476</v>
      </c>
      <c r="E444" s="35" t="str">
        <f ca="1">IFERROR(__xludf.DUMMYFUNCTION("""COMPUTED_VALUE"""),"sondn.lan@vnpt.vn")</f>
        <v>sondn.lan@vnpt.vn</v>
      </c>
      <c r="F444" s="540" t="str">
        <f ca="1">IFERROR(__xludf.DUMMYFUNCTION("""COMPUTED_VALUE"""),"Lần 6")</f>
        <v>Lần 6</v>
      </c>
      <c r="G444" s="546">
        <f ca="1">IFERROR(__xludf.DUMMYFUNCTION("""COMPUTED_VALUE"""),46212)</f>
        <v>46212</v>
      </c>
      <c r="H444" s="35">
        <f ca="1">IFERROR(__xludf.DUMMYFUNCTION("""COMPUTED_VALUE"""),111)</f>
        <v>111</v>
      </c>
      <c r="I444" s="35">
        <f ca="1">IFERROR(__xludf.DUMMYFUNCTION("""COMPUTED_VALUE"""),51.7)</f>
        <v>51.7</v>
      </c>
      <c r="J444" s="35">
        <f ca="1">IFERROR(__xludf.DUMMYFUNCTION("""COMPUTED_VALUE"""),111)</f>
        <v>111</v>
      </c>
      <c r="K444" s="35">
        <f ca="1">IFERROR(__xludf.DUMMYFUNCTION("""COMPUTED_VALUE"""),55)</f>
        <v>55</v>
      </c>
      <c r="M444" s="539">
        <f ca="1">IFERROR(__xludf.DUMMYFUNCTION("""COMPUTED_VALUE"""),1)</f>
        <v>1</v>
      </c>
      <c r="N444" s="539">
        <f ca="1">IFERROR(__xludf.DUMMYFUNCTION("""COMPUTED_VALUE"""),1)</f>
        <v>1</v>
      </c>
      <c r="O444" s="539">
        <f ca="1">IFERROR(__xludf.DUMMYFUNCTION("""COMPUTED_VALUE"""),0)</f>
        <v>0</v>
      </c>
    </row>
    <row r="445" spans="1:15" ht="12.75">
      <c r="A445" s="539">
        <f ca="1"/>
        <v>439</v>
      </c>
      <c r="B445" s="35" t="str">
        <f ca="1">IFERROR(__xludf.DUMMYFUNCTION("""COMPUTED_VALUE"""),"Tổ Hạ tầng Kiến Tường")</f>
        <v>Tổ Hạ tầng Kiến Tường</v>
      </c>
      <c r="C445" s="35" t="str">
        <f ca="1">IFERROR(__xludf.DUMMYFUNCTION("""COMPUTED_VALUE"""),"Đặng Ngọc Sơn")</f>
        <v>Đặng Ngọc Sơn</v>
      </c>
      <c r="D445" s="35">
        <f ca="1">IFERROR(__xludf.DUMMYFUNCTION("""COMPUTED_VALUE"""),949786476)</f>
        <v>949786476</v>
      </c>
      <c r="E445" s="35" t="str">
        <f ca="1">IFERROR(__xludf.DUMMYFUNCTION("""COMPUTED_VALUE"""),"sondn.lan@vnpt.vn")</f>
        <v>sondn.lan@vnpt.vn</v>
      </c>
      <c r="F445" s="540" t="str">
        <f ca="1">IFERROR(__xludf.DUMMYFUNCTION("""COMPUTED_VALUE"""),"Lần 7")</f>
        <v>Lần 7</v>
      </c>
      <c r="G445" s="546">
        <f ca="1">IFERROR(__xludf.DUMMYFUNCTION("""COMPUTED_VALUE"""),46212)</f>
        <v>46212</v>
      </c>
      <c r="H445" s="35">
        <f ca="1">IFERROR(__xludf.DUMMYFUNCTION("""COMPUTED_VALUE"""),107)</f>
        <v>107</v>
      </c>
      <c r="I445" s="35">
        <f ca="1">IFERROR(__xludf.DUMMYFUNCTION("""COMPUTED_VALUE"""),24.5)</f>
        <v>24.5</v>
      </c>
      <c r="J445" s="35">
        <f ca="1">IFERROR(__xludf.DUMMYFUNCTION("""COMPUTED_VALUE"""),104)</f>
        <v>104</v>
      </c>
      <c r="K445" s="35">
        <f ca="1">IFERROR(__xludf.DUMMYFUNCTION("""COMPUTED_VALUE"""),55.4)</f>
        <v>55.4</v>
      </c>
      <c r="M445" s="539">
        <f ca="1">IFERROR(__xludf.DUMMYFUNCTION("""COMPUTED_VALUE"""),1)</f>
        <v>1</v>
      </c>
      <c r="N445" s="539">
        <f ca="1">IFERROR(__xludf.DUMMYFUNCTION("""COMPUTED_VALUE"""),1)</f>
        <v>1</v>
      </c>
      <c r="O445" s="539">
        <f ca="1">IFERROR(__xludf.DUMMYFUNCTION("""COMPUTED_VALUE"""),0)</f>
        <v>0</v>
      </c>
    </row>
    <row r="446" spans="1:15" ht="12.75">
      <c r="A446" s="539">
        <f ca="1"/>
        <v>440</v>
      </c>
      <c r="B446" s="35" t="str">
        <f ca="1">IFERROR(__xludf.DUMMYFUNCTION("""COMPUTED_VALUE"""),"Tổ Hạ tầng Kiến Tường")</f>
        <v>Tổ Hạ tầng Kiến Tường</v>
      </c>
      <c r="C446" s="35" t="str">
        <f ca="1">IFERROR(__xludf.DUMMYFUNCTION("""COMPUTED_VALUE"""),"Đặng Ngọc Sơn")</f>
        <v>Đặng Ngọc Sơn</v>
      </c>
      <c r="D446" s="35">
        <f ca="1">IFERROR(__xludf.DUMMYFUNCTION("""COMPUTED_VALUE"""),949786476)</f>
        <v>949786476</v>
      </c>
      <c r="E446" s="35" t="str">
        <f ca="1">IFERROR(__xludf.DUMMYFUNCTION("""COMPUTED_VALUE"""),"sondn.lan@vnpt.vn")</f>
        <v>sondn.lan@vnpt.vn</v>
      </c>
      <c r="F446" s="540" t="str">
        <f ca="1">IFERROR(__xludf.DUMMYFUNCTION("""COMPUTED_VALUE"""),"Lần 8")</f>
        <v>Lần 8</v>
      </c>
      <c r="G446" s="546">
        <f ca="1">IFERROR(__xludf.DUMMYFUNCTION("""COMPUTED_VALUE"""),46212)</f>
        <v>46212</v>
      </c>
      <c r="H446" s="35">
        <f ca="1">IFERROR(__xludf.DUMMYFUNCTION("""COMPUTED_VALUE"""),129)</f>
        <v>129</v>
      </c>
      <c r="I446" s="35">
        <f ca="1">IFERROR(__xludf.DUMMYFUNCTION("""COMPUTED_VALUE"""),17.4)</f>
        <v>17.399999999999999</v>
      </c>
      <c r="J446" s="35">
        <f ca="1">IFERROR(__xludf.DUMMYFUNCTION("""COMPUTED_VALUE"""),112)</f>
        <v>112</v>
      </c>
      <c r="K446" s="35">
        <f ca="1">IFERROR(__xludf.DUMMYFUNCTION("""COMPUTED_VALUE"""),52.9)</f>
        <v>52.9</v>
      </c>
      <c r="M446" s="539">
        <f ca="1">IFERROR(__xludf.DUMMYFUNCTION("""COMPUTED_VALUE"""),1)</f>
        <v>1</v>
      </c>
      <c r="N446" s="539">
        <f ca="1">IFERROR(__xludf.DUMMYFUNCTION("""COMPUTED_VALUE"""),1)</f>
        <v>1</v>
      </c>
      <c r="O446" s="539">
        <f ca="1">IFERROR(__xludf.DUMMYFUNCTION("""COMPUTED_VALUE"""),0)</f>
        <v>0</v>
      </c>
    </row>
    <row r="447" spans="1:15" ht="12.75">
      <c r="A447" s="539">
        <f ca="1"/>
        <v>441</v>
      </c>
      <c r="B447" s="35" t="str">
        <f ca="1">IFERROR(__xludf.DUMMYFUNCTION("""COMPUTED_VALUE"""),"Tổ Hạ tầng Kiến Tường")</f>
        <v>Tổ Hạ tầng Kiến Tường</v>
      </c>
      <c r="C447" s="35" t="str">
        <f ca="1">IFERROR(__xludf.DUMMYFUNCTION("""COMPUTED_VALUE"""),"Đặng Ngọc Sơn")</f>
        <v>Đặng Ngọc Sơn</v>
      </c>
      <c r="D447" s="35">
        <f ca="1">IFERROR(__xludf.DUMMYFUNCTION("""COMPUTED_VALUE"""),949786476)</f>
        <v>949786476</v>
      </c>
      <c r="E447" s="35" t="str">
        <f ca="1">IFERROR(__xludf.DUMMYFUNCTION("""COMPUTED_VALUE"""),"sondn.lan@vnpt.vn")</f>
        <v>sondn.lan@vnpt.vn</v>
      </c>
      <c r="F447" s="540" t="str">
        <f ca="1">IFERROR(__xludf.DUMMYFUNCTION("""COMPUTED_VALUE"""),"Lần 9")</f>
        <v>Lần 9</v>
      </c>
      <c r="G447" s="546">
        <f ca="1">IFERROR(__xludf.DUMMYFUNCTION("""COMPUTED_VALUE"""),46213)</f>
        <v>46213</v>
      </c>
      <c r="H447" s="35">
        <f ca="1">IFERROR(__xludf.DUMMYFUNCTION("""COMPUTED_VALUE"""),153)</f>
        <v>153</v>
      </c>
      <c r="I447" s="35">
        <f ca="1">IFERROR(__xludf.DUMMYFUNCTION("""COMPUTED_VALUE"""),42.6)</f>
        <v>42.6</v>
      </c>
      <c r="J447" s="35">
        <f ca="1">IFERROR(__xludf.DUMMYFUNCTION("""COMPUTED_VALUE"""),122)</f>
        <v>122</v>
      </c>
      <c r="K447" s="35">
        <f ca="1">IFERROR(__xludf.DUMMYFUNCTION("""COMPUTED_VALUE"""),54.3)</f>
        <v>54.3</v>
      </c>
      <c r="M447" s="539">
        <f ca="1">IFERROR(__xludf.DUMMYFUNCTION("""COMPUTED_VALUE"""),1)</f>
        <v>1</v>
      </c>
      <c r="N447" s="539">
        <f ca="1">IFERROR(__xludf.DUMMYFUNCTION("""COMPUTED_VALUE"""),1)</f>
        <v>1</v>
      </c>
      <c r="O447" s="539">
        <f ca="1">IFERROR(__xludf.DUMMYFUNCTION("""COMPUTED_VALUE"""),0)</f>
        <v>0</v>
      </c>
    </row>
    <row r="448" spans="1:15" ht="12.75">
      <c r="A448" s="539">
        <f ca="1"/>
        <v>442</v>
      </c>
      <c r="B448" s="35" t="str">
        <f ca="1">IFERROR(__xludf.DUMMYFUNCTION("""COMPUTED_VALUE"""),"Tổ Hạ tầng Kiến Tường")</f>
        <v>Tổ Hạ tầng Kiến Tường</v>
      </c>
      <c r="C448" s="35" t="str">
        <f ca="1">IFERROR(__xludf.DUMMYFUNCTION("""COMPUTED_VALUE"""),"Đặng Ngọc Sơn")</f>
        <v>Đặng Ngọc Sơn</v>
      </c>
      <c r="D448" s="35">
        <f ca="1">IFERROR(__xludf.DUMMYFUNCTION("""COMPUTED_VALUE"""),949786476)</f>
        <v>949786476</v>
      </c>
      <c r="E448" s="35" t="str">
        <f ca="1">IFERROR(__xludf.DUMMYFUNCTION("""COMPUTED_VALUE"""),"sondn.lan@vnpt.vn")</f>
        <v>sondn.lan@vnpt.vn</v>
      </c>
      <c r="F448" s="540" t="str">
        <f ca="1">IFERROR(__xludf.DUMMYFUNCTION("""COMPUTED_VALUE"""),"Lần 10")</f>
        <v>Lần 10</v>
      </c>
      <c r="G448" s="546">
        <f ca="1">IFERROR(__xludf.DUMMYFUNCTION("""COMPUTED_VALUE"""),46213)</f>
        <v>46213</v>
      </c>
      <c r="H448" s="35">
        <f ca="1">IFERROR(__xludf.DUMMYFUNCTION("""COMPUTED_VALUE"""),143)</f>
        <v>143</v>
      </c>
      <c r="I448" s="35">
        <f ca="1">IFERROR(__xludf.DUMMYFUNCTION("""COMPUTED_VALUE"""),26.2)</f>
        <v>26.2</v>
      </c>
      <c r="J448" s="35">
        <f ca="1">IFERROR(__xludf.DUMMYFUNCTION("""COMPUTED_VALUE"""),144)</f>
        <v>144</v>
      </c>
      <c r="K448" s="35">
        <f ca="1">IFERROR(__xludf.DUMMYFUNCTION("""COMPUTED_VALUE"""),55.1)</f>
        <v>55.1</v>
      </c>
      <c r="M448" s="539">
        <f ca="1">IFERROR(__xludf.DUMMYFUNCTION("""COMPUTED_VALUE"""),1)</f>
        <v>1</v>
      </c>
      <c r="N448" s="539">
        <f ca="1">IFERROR(__xludf.DUMMYFUNCTION("""COMPUTED_VALUE"""),1)</f>
        <v>1</v>
      </c>
      <c r="O448" s="539">
        <f ca="1">IFERROR(__xludf.DUMMYFUNCTION("""COMPUTED_VALUE"""),0)</f>
        <v>0</v>
      </c>
    </row>
    <row r="449" spans="1:15" ht="12.75">
      <c r="A449" s="539">
        <f ca="1"/>
        <v>443</v>
      </c>
      <c r="B449" s="35" t="str">
        <f ca="1">IFERROR(__xludf.DUMMYFUNCTION("""COMPUTED_VALUE"""),"Tổ Hạ tầng Kiến Tường")</f>
        <v>Tổ Hạ tầng Kiến Tường</v>
      </c>
      <c r="C449" s="35" t="str">
        <f ca="1">IFERROR(__xludf.DUMMYFUNCTION("""COMPUTED_VALUE"""),"Đặng Ngọc Sơn")</f>
        <v>Đặng Ngọc Sơn</v>
      </c>
      <c r="D449" s="35">
        <f ca="1">IFERROR(__xludf.DUMMYFUNCTION("""COMPUTED_VALUE"""),949786476)</f>
        <v>949786476</v>
      </c>
      <c r="E449" s="35" t="str">
        <f ca="1">IFERROR(__xludf.DUMMYFUNCTION("""COMPUTED_VALUE"""),"sondn.lan@vnpt.vn")</f>
        <v>sondn.lan@vnpt.vn</v>
      </c>
      <c r="F449" s="540" t="str">
        <f ca="1">IFERROR(__xludf.DUMMYFUNCTION("""COMPUTED_VALUE"""),"Lần 11")</f>
        <v>Lần 11</v>
      </c>
      <c r="G449" s="546">
        <f ca="1">IFERROR(__xludf.DUMMYFUNCTION("""COMPUTED_VALUE"""),46213)</f>
        <v>46213</v>
      </c>
      <c r="H449" s="35">
        <f ca="1">IFERROR(__xludf.DUMMYFUNCTION("""COMPUTED_VALUE"""),115)</f>
        <v>115</v>
      </c>
      <c r="I449" s="35">
        <f ca="1">IFERROR(__xludf.DUMMYFUNCTION("""COMPUTED_VALUE"""),45.4)</f>
        <v>45.4</v>
      </c>
      <c r="J449" s="35">
        <f ca="1">IFERROR(__xludf.DUMMYFUNCTION("""COMPUTED_VALUE"""),137)</f>
        <v>137</v>
      </c>
      <c r="K449" s="35"/>
      <c r="M449" s="539">
        <f ca="1">IFERROR(__xludf.DUMMYFUNCTION("""COMPUTED_VALUE"""),1)</f>
        <v>1</v>
      </c>
      <c r="N449" s="539">
        <f ca="1">IFERROR(__xludf.DUMMYFUNCTION("""COMPUTED_VALUE"""),0)</f>
        <v>0</v>
      </c>
      <c r="O449" s="539">
        <f ca="1">IFERROR(__xludf.DUMMYFUNCTION("""COMPUTED_VALUE"""),0)</f>
        <v>0</v>
      </c>
    </row>
    <row r="450" spans="1:15" ht="12.75">
      <c r="A450" s="539">
        <f ca="1"/>
        <v>444</v>
      </c>
      <c r="B450" s="35" t="str">
        <f ca="1">IFERROR(__xludf.DUMMYFUNCTION("""COMPUTED_VALUE"""),"Tổ Hạ tầng Kiến Tường")</f>
        <v>Tổ Hạ tầng Kiến Tường</v>
      </c>
      <c r="C450" s="35" t="str">
        <f ca="1">IFERROR(__xludf.DUMMYFUNCTION("""COMPUTED_VALUE"""),"Đặng Ngọc Sơn")</f>
        <v>Đặng Ngọc Sơn</v>
      </c>
      <c r="D450" s="35">
        <f ca="1">IFERROR(__xludf.DUMMYFUNCTION("""COMPUTED_VALUE"""),949786476)</f>
        <v>949786476</v>
      </c>
      <c r="E450" s="35" t="str">
        <f ca="1">IFERROR(__xludf.DUMMYFUNCTION("""COMPUTED_VALUE"""),"sondn.lan@vnpt.vn")</f>
        <v>sondn.lan@vnpt.vn</v>
      </c>
      <c r="F450" s="540" t="str">
        <f ca="1">IFERROR(__xludf.DUMMYFUNCTION("""COMPUTED_VALUE"""),"Lần 12")</f>
        <v>Lần 12</v>
      </c>
      <c r="G450" s="546"/>
      <c r="H450" s="35"/>
      <c r="I450" s="35"/>
      <c r="J450" s="35"/>
      <c r="K450" s="35"/>
      <c r="M450" s="539">
        <f ca="1">IFERROR(__xludf.DUMMYFUNCTION("""COMPUTED_VALUE"""),0)</f>
        <v>0</v>
      </c>
      <c r="N450" s="539">
        <f ca="1">IFERROR(__xludf.DUMMYFUNCTION("""COMPUTED_VALUE"""),0)</f>
        <v>0</v>
      </c>
      <c r="O450" s="539">
        <f ca="1">IFERROR(__xludf.DUMMYFUNCTION("""COMPUTED_VALUE"""),0)</f>
        <v>0</v>
      </c>
    </row>
    <row r="451" spans="1:15" ht="12.75">
      <c r="A451" s="539">
        <f ca="1"/>
        <v>445</v>
      </c>
      <c r="B451" s="35" t="str">
        <f ca="1">IFERROR(__xludf.DUMMYFUNCTION("""COMPUTED_VALUE"""),"Tổ Hạ tầng Kiến Tường")</f>
        <v>Tổ Hạ tầng Kiến Tường</v>
      </c>
      <c r="C451" s="35" t="str">
        <f ca="1">IFERROR(__xludf.DUMMYFUNCTION("""COMPUTED_VALUE"""),"Đặng Ngọc Sơn")</f>
        <v>Đặng Ngọc Sơn</v>
      </c>
      <c r="D451" s="35">
        <f ca="1">IFERROR(__xludf.DUMMYFUNCTION("""COMPUTED_VALUE"""),949786476)</f>
        <v>949786476</v>
      </c>
      <c r="E451" s="35" t="str">
        <f ca="1">IFERROR(__xludf.DUMMYFUNCTION("""COMPUTED_VALUE"""),"sondn.lan@vnpt.vn")</f>
        <v>sondn.lan@vnpt.vn</v>
      </c>
      <c r="F451" s="540" t="str">
        <f ca="1">IFERROR(__xludf.DUMMYFUNCTION("""COMPUTED_VALUE"""),"Lần 13")</f>
        <v>Lần 13</v>
      </c>
      <c r="G451" s="546"/>
      <c r="H451" s="35"/>
      <c r="I451" s="35"/>
      <c r="J451" s="35"/>
      <c r="K451" s="35"/>
      <c r="M451" s="539">
        <f ca="1">IFERROR(__xludf.DUMMYFUNCTION("""COMPUTED_VALUE"""),0)</f>
        <v>0</v>
      </c>
      <c r="N451" s="539">
        <f ca="1">IFERROR(__xludf.DUMMYFUNCTION("""COMPUTED_VALUE"""),0)</f>
        <v>0</v>
      </c>
      <c r="O451" s="539">
        <f ca="1">IFERROR(__xludf.DUMMYFUNCTION("""COMPUTED_VALUE"""),0)</f>
        <v>0</v>
      </c>
    </row>
    <row r="452" spans="1:15" ht="12.75">
      <c r="A452" s="539">
        <f ca="1"/>
        <v>446</v>
      </c>
      <c r="B452" s="35" t="str">
        <f ca="1">IFERROR(__xludf.DUMMYFUNCTION("""COMPUTED_VALUE"""),"Tổ Hạ tầng Kiến Tường")</f>
        <v>Tổ Hạ tầng Kiến Tường</v>
      </c>
      <c r="C452" s="35" t="str">
        <f ca="1">IFERROR(__xludf.DUMMYFUNCTION("""COMPUTED_VALUE"""),"Đặng Ngọc Sơn")</f>
        <v>Đặng Ngọc Sơn</v>
      </c>
      <c r="D452" s="35">
        <f ca="1">IFERROR(__xludf.DUMMYFUNCTION("""COMPUTED_VALUE"""),949786476)</f>
        <v>949786476</v>
      </c>
      <c r="E452" s="35" t="str">
        <f ca="1">IFERROR(__xludf.DUMMYFUNCTION("""COMPUTED_VALUE"""),"sondn.lan@vnpt.vn")</f>
        <v>sondn.lan@vnpt.vn</v>
      </c>
      <c r="F452" s="540" t="str">
        <f ca="1">IFERROR(__xludf.DUMMYFUNCTION("""COMPUTED_VALUE"""),"Lần 14")</f>
        <v>Lần 14</v>
      </c>
      <c r="G452" s="546"/>
      <c r="H452" s="35"/>
      <c r="I452" s="35"/>
      <c r="J452" s="35"/>
      <c r="K452" s="35"/>
      <c r="M452" s="539">
        <f ca="1">IFERROR(__xludf.DUMMYFUNCTION("""COMPUTED_VALUE"""),0)</f>
        <v>0</v>
      </c>
      <c r="N452" s="539">
        <f ca="1">IFERROR(__xludf.DUMMYFUNCTION("""COMPUTED_VALUE"""),0)</f>
        <v>0</v>
      </c>
      <c r="O452" s="539">
        <f ca="1">IFERROR(__xludf.DUMMYFUNCTION("""COMPUTED_VALUE"""),0)</f>
        <v>0</v>
      </c>
    </row>
    <row r="453" spans="1:15" ht="12.75">
      <c r="A453" s="539">
        <f ca="1"/>
        <v>447</v>
      </c>
      <c r="B453" s="35" t="str">
        <f ca="1">IFERROR(__xludf.DUMMYFUNCTION("""COMPUTED_VALUE"""),"Tổ Hạ tầng Kiến Tường")</f>
        <v>Tổ Hạ tầng Kiến Tường</v>
      </c>
      <c r="C453" s="35" t="str">
        <f ca="1">IFERROR(__xludf.DUMMYFUNCTION("""COMPUTED_VALUE"""),"Đặng Ngọc Sơn")</f>
        <v>Đặng Ngọc Sơn</v>
      </c>
      <c r="D453" s="35">
        <f ca="1">IFERROR(__xludf.DUMMYFUNCTION("""COMPUTED_VALUE"""),949786476)</f>
        <v>949786476</v>
      </c>
      <c r="E453" s="35" t="str">
        <f ca="1">IFERROR(__xludf.DUMMYFUNCTION("""COMPUTED_VALUE"""),"sondn.lan@vnpt.vn")</f>
        <v>sondn.lan@vnpt.vn</v>
      </c>
      <c r="F453" s="540" t="str">
        <f ca="1">IFERROR(__xludf.DUMMYFUNCTION("""COMPUTED_VALUE"""),"Lần 15")</f>
        <v>Lần 15</v>
      </c>
      <c r="G453" s="546"/>
      <c r="H453" s="35"/>
      <c r="I453" s="35"/>
      <c r="J453" s="35"/>
      <c r="K453" s="35"/>
      <c r="M453" s="539">
        <f ca="1">IFERROR(__xludf.DUMMYFUNCTION("""COMPUTED_VALUE"""),0)</f>
        <v>0</v>
      </c>
      <c r="N453" s="539">
        <f ca="1">IFERROR(__xludf.DUMMYFUNCTION("""COMPUTED_VALUE"""),0)</f>
        <v>0</v>
      </c>
      <c r="O453" s="539">
        <f ca="1">IFERROR(__xludf.DUMMYFUNCTION("""COMPUTED_VALUE"""),0)</f>
        <v>0</v>
      </c>
    </row>
    <row r="454" spans="1:15" ht="12.75">
      <c r="A454" s="539">
        <f ca="1"/>
        <v>448</v>
      </c>
      <c r="B454" s="35" t="str">
        <f ca="1">IFERROR(__xludf.DUMMYFUNCTION("""COMPUTED_VALUE"""),"Tổ Hạ tầng Kiến Tường")</f>
        <v>Tổ Hạ tầng Kiến Tường</v>
      </c>
      <c r="C454" s="35" t="str">
        <f ca="1">IFERROR(__xludf.DUMMYFUNCTION("""COMPUTED_VALUE"""),"Đặng Ngọc Sơn")</f>
        <v>Đặng Ngọc Sơn</v>
      </c>
      <c r="D454" s="35">
        <f ca="1">IFERROR(__xludf.DUMMYFUNCTION("""COMPUTED_VALUE"""),949786476)</f>
        <v>949786476</v>
      </c>
      <c r="E454" s="35" t="str">
        <f ca="1">IFERROR(__xludf.DUMMYFUNCTION("""COMPUTED_VALUE"""),"sondn.lan@vnpt.vn")</f>
        <v>sondn.lan@vnpt.vn</v>
      </c>
      <c r="F454" s="540" t="str">
        <f ca="1">IFERROR(__xludf.DUMMYFUNCTION("""COMPUTED_VALUE"""),"Lần 16")</f>
        <v>Lần 16</v>
      </c>
      <c r="G454" s="546"/>
      <c r="H454" s="35"/>
      <c r="I454" s="35"/>
      <c r="J454" s="35"/>
      <c r="K454" s="35"/>
      <c r="M454" s="539">
        <f ca="1">IFERROR(__xludf.DUMMYFUNCTION("""COMPUTED_VALUE"""),0)</f>
        <v>0</v>
      </c>
      <c r="N454" s="539">
        <f ca="1">IFERROR(__xludf.DUMMYFUNCTION("""COMPUTED_VALUE"""),0)</f>
        <v>0</v>
      </c>
      <c r="O454" s="539">
        <f ca="1">IFERROR(__xludf.DUMMYFUNCTION("""COMPUTED_VALUE"""),0)</f>
        <v>0</v>
      </c>
    </row>
    <row r="455" spans="1:15" ht="12.75">
      <c r="A455" s="539">
        <f ca="1"/>
        <v>449</v>
      </c>
      <c r="B455" s="35" t="str">
        <f ca="1">IFERROR(__xludf.DUMMYFUNCTION("""COMPUTED_VALUE"""),"Tổ Hạ tầng Kiến Tường")</f>
        <v>Tổ Hạ tầng Kiến Tường</v>
      </c>
      <c r="C455" s="35" t="str">
        <f ca="1">IFERROR(__xludf.DUMMYFUNCTION("""COMPUTED_VALUE"""),"Huỳnh Quốc Hiếu")</f>
        <v>Huỳnh Quốc Hiếu</v>
      </c>
      <c r="D455" s="35">
        <f ca="1">IFERROR(__xludf.DUMMYFUNCTION("""COMPUTED_VALUE"""),857850260)</f>
        <v>857850260</v>
      </c>
      <c r="E455" s="35" t="str">
        <f ca="1">IFERROR(__xludf.DUMMYFUNCTION("""COMPUTED_VALUE"""),"hieuhq.lan@vnpt.vn")</f>
        <v>hieuhq.lan@vnpt.vn</v>
      </c>
      <c r="F455" s="540" t="str">
        <f ca="1">IFERROR(__xludf.DUMMYFUNCTION("""COMPUTED_VALUE"""),"Lần 1")</f>
        <v>Lần 1</v>
      </c>
      <c r="G455" s="278"/>
      <c r="H455" s="35"/>
      <c r="I455" s="35"/>
      <c r="J455" s="544"/>
      <c r="K455" s="544"/>
      <c r="M455" s="539">
        <f ca="1">IFERROR(__xludf.DUMMYFUNCTION("""COMPUTED_VALUE"""),0)</f>
        <v>0</v>
      </c>
      <c r="N455" s="539">
        <f ca="1">IFERROR(__xludf.DUMMYFUNCTION("""COMPUTED_VALUE"""),0)</f>
        <v>0</v>
      </c>
      <c r="O455" s="539">
        <f ca="1">IFERROR(__xludf.DUMMYFUNCTION("""COMPUTED_VALUE"""),0)</f>
        <v>0</v>
      </c>
    </row>
    <row r="456" spans="1:15" ht="12.75">
      <c r="A456" s="539">
        <f ca="1"/>
        <v>450</v>
      </c>
      <c r="B456" s="35" t="str">
        <f ca="1">IFERROR(__xludf.DUMMYFUNCTION("""COMPUTED_VALUE"""),"Tổ Hạ tầng Kiến Tường")</f>
        <v>Tổ Hạ tầng Kiến Tường</v>
      </c>
      <c r="C456" s="35" t="str">
        <f ca="1">IFERROR(__xludf.DUMMYFUNCTION("""COMPUTED_VALUE"""),"Huỳnh Quốc Hiếu")</f>
        <v>Huỳnh Quốc Hiếu</v>
      </c>
      <c r="D456" s="35">
        <f ca="1">IFERROR(__xludf.DUMMYFUNCTION("""COMPUTED_VALUE"""),857850260)</f>
        <v>857850260</v>
      </c>
      <c r="E456" s="35" t="str">
        <f ca="1">IFERROR(__xludf.DUMMYFUNCTION("""COMPUTED_VALUE"""),"hieuhq.lan@vnpt.vn")</f>
        <v>hieuhq.lan@vnpt.vn</v>
      </c>
      <c r="F456" s="540" t="str">
        <f ca="1">IFERROR(__xludf.DUMMYFUNCTION("""COMPUTED_VALUE"""),"Lần 2")</f>
        <v>Lần 2</v>
      </c>
      <c r="G456" s="278"/>
      <c r="H456" s="35"/>
      <c r="I456" s="35"/>
      <c r="J456" s="544"/>
      <c r="K456" s="544"/>
      <c r="M456" s="539">
        <f ca="1">IFERROR(__xludf.DUMMYFUNCTION("""COMPUTED_VALUE"""),0)</f>
        <v>0</v>
      </c>
      <c r="N456" s="539">
        <f ca="1">IFERROR(__xludf.DUMMYFUNCTION("""COMPUTED_VALUE"""),0)</f>
        <v>0</v>
      </c>
      <c r="O456" s="539">
        <f ca="1">IFERROR(__xludf.DUMMYFUNCTION("""COMPUTED_VALUE"""),0)</f>
        <v>0</v>
      </c>
    </row>
    <row r="457" spans="1:15" ht="12.75">
      <c r="A457" s="539">
        <f ca="1"/>
        <v>451</v>
      </c>
      <c r="B457" s="35" t="str">
        <f ca="1">IFERROR(__xludf.DUMMYFUNCTION("""COMPUTED_VALUE"""),"Tổ Hạ tầng Kiến Tường")</f>
        <v>Tổ Hạ tầng Kiến Tường</v>
      </c>
      <c r="C457" s="35" t="str">
        <f ca="1">IFERROR(__xludf.DUMMYFUNCTION("""COMPUTED_VALUE"""),"Huỳnh Quốc Hiếu")</f>
        <v>Huỳnh Quốc Hiếu</v>
      </c>
      <c r="D457" s="35">
        <f ca="1">IFERROR(__xludf.DUMMYFUNCTION("""COMPUTED_VALUE"""),857850260)</f>
        <v>857850260</v>
      </c>
      <c r="E457" s="35" t="str">
        <f ca="1">IFERROR(__xludf.DUMMYFUNCTION("""COMPUTED_VALUE"""),"hieuhq.lan@vnpt.vn")</f>
        <v>hieuhq.lan@vnpt.vn</v>
      </c>
      <c r="F457" s="540" t="str">
        <f ca="1">IFERROR(__xludf.DUMMYFUNCTION("""COMPUTED_VALUE"""),"Lần 3")</f>
        <v>Lần 3</v>
      </c>
      <c r="G457" s="278"/>
      <c r="H457" s="35"/>
      <c r="I457" s="35"/>
      <c r="J457" s="544"/>
      <c r="K457" s="544"/>
      <c r="M457" s="539">
        <f ca="1">IFERROR(__xludf.DUMMYFUNCTION("""COMPUTED_VALUE"""),0)</f>
        <v>0</v>
      </c>
      <c r="N457" s="539">
        <f ca="1">IFERROR(__xludf.DUMMYFUNCTION("""COMPUTED_VALUE"""),0)</f>
        <v>0</v>
      </c>
      <c r="O457" s="539">
        <f ca="1">IFERROR(__xludf.DUMMYFUNCTION("""COMPUTED_VALUE"""),0)</f>
        <v>0</v>
      </c>
    </row>
    <row r="458" spans="1:15" ht="12.75">
      <c r="A458" s="539">
        <f ca="1"/>
        <v>452</v>
      </c>
      <c r="B458" s="35" t="str">
        <f ca="1">IFERROR(__xludf.DUMMYFUNCTION("""COMPUTED_VALUE"""),"Tổ Hạ tầng Kiến Tường")</f>
        <v>Tổ Hạ tầng Kiến Tường</v>
      </c>
      <c r="C458" s="35" t="str">
        <f ca="1">IFERROR(__xludf.DUMMYFUNCTION("""COMPUTED_VALUE"""),"Huỳnh Quốc Hiếu")</f>
        <v>Huỳnh Quốc Hiếu</v>
      </c>
      <c r="D458" s="35">
        <f ca="1">IFERROR(__xludf.DUMMYFUNCTION("""COMPUTED_VALUE"""),857850260)</f>
        <v>857850260</v>
      </c>
      <c r="E458" s="35" t="str">
        <f ca="1">IFERROR(__xludf.DUMMYFUNCTION("""COMPUTED_VALUE"""),"hieuhq.lan@vnpt.vn")</f>
        <v>hieuhq.lan@vnpt.vn</v>
      </c>
      <c r="F458" s="540" t="str">
        <f ca="1">IFERROR(__xludf.DUMMYFUNCTION("""COMPUTED_VALUE"""),"Lần 4")</f>
        <v>Lần 4</v>
      </c>
      <c r="G458" s="278"/>
      <c r="H458" s="35"/>
      <c r="I458" s="35"/>
      <c r="J458" s="544"/>
      <c r="K458" s="544"/>
      <c r="M458" s="539">
        <f ca="1">IFERROR(__xludf.DUMMYFUNCTION("""COMPUTED_VALUE"""),0)</f>
        <v>0</v>
      </c>
      <c r="N458" s="539">
        <f ca="1">IFERROR(__xludf.DUMMYFUNCTION("""COMPUTED_VALUE"""),0)</f>
        <v>0</v>
      </c>
      <c r="O458" s="539">
        <f ca="1">IFERROR(__xludf.DUMMYFUNCTION("""COMPUTED_VALUE"""),0)</f>
        <v>0</v>
      </c>
    </row>
    <row r="459" spans="1:15" ht="12.75">
      <c r="A459" s="539">
        <f ca="1"/>
        <v>453</v>
      </c>
      <c r="B459" s="35" t="str">
        <f ca="1">IFERROR(__xludf.DUMMYFUNCTION("""COMPUTED_VALUE"""),"Tổ Hạ tầng Kiến Tường")</f>
        <v>Tổ Hạ tầng Kiến Tường</v>
      </c>
      <c r="C459" s="35" t="str">
        <f ca="1">IFERROR(__xludf.DUMMYFUNCTION("""COMPUTED_VALUE"""),"Huỳnh Quốc Hiếu")</f>
        <v>Huỳnh Quốc Hiếu</v>
      </c>
      <c r="D459" s="35">
        <f ca="1">IFERROR(__xludf.DUMMYFUNCTION("""COMPUTED_VALUE"""),857850260)</f>
        <v>857850260</v>
      </c>
      <c r="E459" s="35" t="str">
        <f ca="1">IFERROR(__xludf.DUMMYFUNCTION("""COMPUTED_VALUE"""),"hieuhq.lan@vnpt.vn")</f>
        <v>hieuhq.lan@vnpt.vn</v>
      </c>
      <c r="F459" s="540" t="str">
        <f ca="1">IFERROR(__xludf.DUMMYFUNCTION("""COMPUTED_VALUE"""),"Lần 5")</f>
        <v>Lần 5</v>
      </c>
      <c r="G459" s="278"/>
      <c r="H459" s="35"/>
      <c r="I459" s="35"/>
      <c r="J459" s="540"/>
      <c r="K459" s="544"/>
      <c r="M459" s="539">
        <f ca="1">IFERROR(__xludf.DUMMYFUNCTION("""COMPUTED_VALUE"""),0)</f>
        <v>0</v>
      </c>
      <c r="N459" s="539">
        <f ca="1">IFERROR(__xludf.DUMMYFUNCTION("""COMPUTED_VALUE"""),0)</f>
        <v>0</v>
      </c>
      <c r="O459" s="539">
        <f ca="1">IFERROR(__xludf.DUMMYFUNCTION("""COMPUTED_VALUE"""),0)</f>
        <v>0</v>
      </c>
    </row>
    <row r="460" spans="1:15" ht="12.75">
      <c r="A460" s="539">
        <f ca="1"/>
        <v>454</v>
      </c>
      <c r="B460" s="35" t="str">
        <f ca="1">IFERROR(__xludf.DUMMYFUNCTION("""COMPUTED_VALUE"""),"Tổ Hạ tầng Kiến Tường")</f>
        <v>Tổ Hạ tầng Kiến Tường</v>
      </c>
      <c r="C460" s="35" t="str">
        <f ca="1">IFERROR(__xludf.DUMMYFUNCTION("""COMPUTED_VALUE"""),"Huỳnh Quốc Hiếu")</f>
        <v>Huỳnh Quốc Hiếu</v>
      </c>
      <c r="D460" s="35">
        <f ca="1">IFERROR(__xludf.DUMMYFUNCTION("""COMPUTED_VALUE"""),857850260)</f>
        <v>857850260</v>
      </c>
      <c r="E460" s="35" t="str">
        <f ca="1">IFERROR(__xludf.DUMMYFUNCTION("""COMPUTED_VALUE"""),"hieuhq.lan@vnpt.vn")</f>
        <v>hieuhq.lan@vnpt.vn</v>
      </c>
      <c r="F460" s="540" t="str">
        <f ca="1">IFERROR(__xludf.DUMMYFUNCTION("""COMPUTED_VALUE"""),"Lần 6")</f>
        <v>Lần 6</v>
      </c>
      <c r="G460" s="278"/>
      <c r="H460" s="35"/>
      <c r="I460" s="35"/>
      <c r="J460" s="540"/>
      <c r="K460" s="544"/>
      <c r="M460" s="539">
        <f ca="1">IFERROR(__xludf.DUMMYFUNCTION("""COMPUTED_VALUE"""),0)</f>
        <v>0</v>
      </c>
      <c r="N460" s="539">
        <f ca="1">IFERROR(__xludf.DUMMYFUNCTION("""COMPUTED_VALUE"""),0)</f>
        <v>0</v>
      </c>
      <c r="O460" s="539">
        <f ca="1">IFERROR(__xludf.DUMMYFUNCTION("""COMPUTED_VALUE"""),0)</f>
        <v>0</v>
      </c>
    </row>
    <row r="461" spans="1:15" ht="12.75">
      <c r="A461" s="539">
        <f ca="1"/>
        <v>455</v>
      </c>
      <c r="B461" s="35" t="str">
        <f ca="1">IFERROR(__xludf.DUMMYFUNCTION("""COMPUTED_VALUE"""),"Tổ Hạ tầng Kiến Tường")</f>
        <v>Tổ Hạ tầng Kiến Tường</v>
      </c>
      <c r="C461" s="35" t="str">
        <f ca="1">IFERROR(__xludf.DUMMYFUNCTION("""COMPUTED_VALUE"""),"Huỳnh Quốc Hiếu")</f>
        <v>Huỳnh Quốc Hiếu</v>
      </c>
      <c r="D461" s="35">
        <f ca="1">IFERROR(__xludf.DUMMYFUNCTION("""COMPUTED_VALUE"""),857850260)</f>
        <v>857850260</v>
      </c>
      <c r="E461" s="35" t="str">
        <f ca="1">IFERROR(__xludf.DUMMYFUNCTION("""COMPUTED_VALUE"""),"hieuhq.lan@vnpt.vn")</f>
        <v>hieuhq.lan@vnpt.vn</v>
      </c>
      <c r="F461" s="540" t="str">
        <f ca="1">IFERROR(__xludf.DUMMYFUNCTION("""COMPUTED_VALUE"""),"Lần 7")</f>
        <v>Lần 7</v>
      </c>
      <c r="G461" s="278"/>
      <c r="H461" s="35"/>
      <c r="I461" s="35"/>
      <c r="J461" s="544"/>
      <c r="K461" s="544"/>
      <c r="M461" s="539">
        <f ca="1">IFERROR(__xludf.DUMMYFUNCTION("""COMPUTED_VALUE"""),0)</f>
        <v>0</v>
      </c>
      <c r="N461" s="539">
        <f ca="1">IFERROR(__xludf.DUMMYFUNCTION("""COMPUTED_VALUE"""),0)</f>
        <v>0</v>
      </c>
      <c r="O461" s="539">
        <f ca="1">IFERROR(__xludf.DUMMYFUNCTION("""COMPUTED_VALUE"""),0)</f>
        <v>0</v>
      </c>
    </row>
    <row r="462" spans="1:15" ht="12.75">
      <c r="A462" s="539">
        <f ca="1"/>
        <v>456</v>
      </c>
      <c r="B462" s="35" t="str">
        <f ca="1">IFERROR(__xludf.DUMMYFUNCTION("""COMPUTED_VALUE"""),"Tổ Hạ tầng Kiến Tường")</f>
        <v>Tổ Hạ tầng Kiến Tường</v>
      </c>
      <c r="C462" s="35" t="str">
        <f ca="1">IFERROR(__xludf.DUMMYFUNCTION("""COMPUTED_VALUE"""),"Huỳnh Quốc Hiếu")</f>
        <v>Huỳnh Quốc Hiếu</v>
      </c>
      <c r="D462" s="35">
        <f ca="1">IFERROR(__xludf.DUMMYFUNCTION("""COMPUTED_VALUE"""),857850260)</f>
        <v>857850260</v>
      </c>
      <c r="E462" s="35" t="str">
        <f ca="1">IFERROR(__xludf.DUMMYFUNCTION("""COMPUTED_VALUE"""),"hieuhq.lan@vnpt.vn")</f>
        <v>hieuhq.lan@vnpt.vn</v>
      </c>
      <c r="F462" s="540" t="str">
        <f ca="1">IFERROR(__xludf.DUMMYFUNCTION("""COMPUTED_VALUE"""),"Lần 8")</f>
        <v>Lần 8</v>
      </c>
      <c r="G462" s="278"/>
      <c r="H462" s="35"/>
      <c r="I462" s="35"/>
      <c r="J462" s="540"/>
      <c r="K462" s="544"/>
      <c r="M462" s="539">
        <f ca="1">IFERROR(__xludf.DUMMYFUNCTION("""COMPUTED_VALUE"""),0)</f>
        <v>0</v>
      </c>
      <c r="N462" s="539">
        <f ca="1">IFERROR(__xludf.DUMMYFUNCTION("""COMPUTED_VALUE"""),0)</f>
        <v>0</v>
      </c>
      <c r="O462" s="539">
        <f ca="1">IFERROR(__xludf.DUMMYFUNCTION("""COMPUTED_VALUE"""),0)</f>
        <v>0</v>
      </c>
    </row>
    <row r="463" spans="1:15" ht="12.75">
      <c r="A463" s="539">
        <f ca="1"/>
        <v>457</v>
      </c>
      <c r="B463" s="35" t="str">
        <f ca="1">IFERROR(__xludf.DUMMYFUNCTION("""COMPUTED_VALUE"""),"Tổ Hạ tầng Kiến Tường")</f>
        <v>Tổ Hạ tầng Kiến Tường</v>
      </c>
      <c r="C463" s="35" t="str">
        <f ca="1">IFERROR(__xludf.DUMMYFUNCTION("""COMPUTED_VALUE"""),"Huỳnh Quốc Hiếu")</f>
        <v>Huỳnh Quốc Hiếu</v>
      </c>
      <c r="D463" s="35">
        <f ca="1">IFERROR(__xludf.DUMMYFUNCTION("""COMPUTED_VALUE"""),857850260)</f>
        <v>857850260</v>
      </c>
      <c r="E463" s="35" t="str">
        <f ca="1">IFERROR(__xludf.DUMMYFUNCTION("""COMPUTED_VALUE"""),"hieuhq.lan@vnpt.vn")</f>
        <v>hieuhq.lan@vnpt.vn</v>
      </c>
      <c r="F463" s="540" t="str">
        <f ca="1">IFERROR(__xludf.DUMMYFUNCTION("""COMPUTED_VALUE"""),"Lần 9")</f>
        <v>Lần 9</v>
      </c>
      <c r="G463" s="278"/>
      <c r="H463" s="35"/>
      <c r="I463" s="35"/>
      <c r="J463" s="544"/>
      <c r="K463" s="544"/>
      <c r="M463" s="539">
        <f ca="1">IFERROR(__xludf.DUMMYFUNCTION("""COMPUTED_VALUE"""),0)</f>
        <v>0</v>
      </c>
      <c r="N463" s="539">
        <f ca="1">IFERROR(__xludf.DUMMYFUNCTION("""COMPUTED_VALUE"""),0)</f>
        <v>0</v>
      </c>
      <c r="O463" s="539">
        <f ca="1">IFERROR(__xludf.DUMMYFUNCTION("""COMPUTED_VALUE"""),0)</f>
        <v>0</v>
      </c>
    </row>
    <row r="464" spans="1:15" ht="12.75">
      <c r="A464" s="539">
        <f ca="1"/>
        <v>458</v>
      </c>
      <c r="B464" s="35" t="str">
        <f ca="1">IFERROR(__xludf.DUMMYFUNCTION("""COMPUTED_VALUE"""),"Tổ Hạ tầng Kiến Tường")</f>
        <v>Tổ Hạ tầng Kiến Tường</v>
      </c>
      <c r="C464" s="35" t="str">
        <f ca="1">IFERROR(__xludf.DUMMYFUNCTION("""COMPUTED_VALUE"""),"Huỳnh Quốc Hiếu")</f>
        <v>Huỳnh Quốc Hiếu</v>
      </c>
      <c r="D464" s="35">
        <f ca="1">IFERROR(__xludf.DUMMYFUNCTION("""COMPUTED_VALUE"""),857850260)</f>
        <v>857850260</v>
      </c>
      <c r="E464" s="35" t="str">
        <f ca="1">IFERROR(__xludf.DUMMYFUNCTION("""COMPUTED_VALUE"""),"hieuhq.lan@vnpt.vn")</f>
        <v>hieuhq.lan@vnpt.vn</v>
      </c>
      <c r="F464" s="540" t="str">
        <f ca="1">IFERROR(__xludf.DUMMYFUNCTION("""COMPUTED_VALUE"""),"Lần 10")</f>
        <v>Lần 10</v>
      </c>
      <c r="G464" s="278"/>
      <c r="H464" s="35"/>
      <c r="I464" s="35"/>
      <c r="J464" s="544"/>
      <c r="K464" s="544"/>
      <c r="M464" s="539">
        <f ca="1">IFERROR(__xludf.DUMMYFUNCTION("""COMPUTED_VALUE"""),0)</f>
        <v>0</v>
      </c>
      <c r="N464" s="539">
        <f ca="1">IFERROR(__xludf.DUMMYFUNCTION("""COMPUTED_VALUE"""),0)</f>
        <v>0</v>
      </c>
      <c r="O464" s="539">
        <f ca="1">IFERROR(__xludf.DUMMYFUNCTION("""COMPUTED_VALUE"""),0)</f>
        <v>0</v>
      </c>
    </row>
    <row r="465" spans="1:15" ht="12.75">
      <c r="A465" s="539">
        <f ca="1"/>
        <v>459</v>
      </c>
      <c r="B465" s="35" t="str">
        <f ca="1">IFERROR(__xludf.DUMMYFUNCTION("""COMPUTED_VALUE"""),"Tổ Hạ tầng Kiến Tường")</f>
        <v>Tổ Hạ tầng Kiến Tường</v>
      </c>
      <c r="C465" s="35" t="str">
        <f ca="1">IFERROR(__xludf.DUMMYFUNCTION("""COMPUTED_VALUE"""),"Huỳnh Quốc Hiếu")</f>
        <v>Huỳnh Quốc Hiếu</v>
      </c>
      <c r="D465" s="35">
        <f ca="1">IFERROR(__xludf.DUMMYFUNCTION("""COMPUTED_VALUE"""),857850260)</f>
        <v>857850260</v>
      </c>
      <c r="E465" s="35" t="str">
        <f ca="1">IFERROR(__xludf.DUMMYFUNCTION("""COMPUTED_VALUE"""),"hieuhq.lan@vnpt.vn")</f>
        <v>hieuhq.lan@vnpt.vn</v>
      </c>
      <c r="F465" s="540" t="str">
        <f ca="1">IFERROR(__xludf.DUMMYFUNCTION("""COMPUTED_VALUE"""),"Lần 11")</f>
        <v>Lần 11</v>
      </c>
      <c r="G465" s="278"/>
      <c r="H465" s="35"/>
      <c r="I465" s="35"/>
      <c r="J465" s="544"/>
      <c r="K465" s="544"/>
      <c r="M465" s="539">
        <f ca="1">IFERROR(__xludf.DUMMYFUNCTION("""COMPUTED_VALUE"""),0)</f>
        <v>0</v>
      </c>
      <c r="N465" s="539">
        <f ca="1">IFERROR(__xludf.DUMMYFUNCTION("""COMPUTED_VALUE"""),0)</f>
        <v>0</v>
      </c>
      <c r="O465" s="539">
        <f ca="1">IFERROR(__xludf.DUMMYFUNCTION("""COMPUTED_VALUE"""),0)</f>
        <v>0</v>
      </c>
    </row>
    <row r="466" spans="1:15" ht="12.75">
      <c r="A466" s="539">
        <f ca="1"/>
        <v>460</v>
      </c>
      <c r="B466" s="35" t="str">
        <f ca="1">IFERROR(__xludf.DUMMYFUNCTION("""COMPUTED_VALUE"""),"Tổ Hạ tầng Kiến Tường")</f>
        <v>Tổ Hạ tầng Kiến Tường</v>
      </c>
      <c r="C466" s="35" t="str">
        <f ca="1">IFERROR(__xludf.DUMMYFUNCTION("""COMPUTED_VALUE"""),"Huỳnh Quốc Hiếu")</f>
        <v>Huỳnh Quốc Hiếu</v>
      </c>
      <c r="D466" s="35">
        <f ca="1">IFERROR(__xludf.DUMMYFUNCTION("""COMPUTED_VALUE"""),857850260)</f>
        <v>857850260</v>
      </c>
      <c r="E466" s="35" t="str">
        <f ca="1">IFERROR(__xludf.DUMMYFUNCTION("""COMPUTED_VALUE"""),"hieuhq.lan@vnpt.vn")</f>
        <v>hieuhq.lan@vnpt.vn</v>
      </c>
      <c r="F466" s="540" t="str">
        <f ca="1">IFERROR(__xludf.DUMMYFUNCTION("""COMPUTED_VALUE"""),"Lần 12")</f>
        <v>Lần 12</v>
      </c>
      <c r="G466" s="546"/>
      <c r="H466" s="35"/>
      <c r="I466" s="35"/>
      <c r="J466" s="544"/>
      <c r="K466" s="544"/>
      <c r="M466" s="539">
        <f ca="1">IFERROR(__xludf.DUMMYFUNCTION("""COMPUTED_VALUE"""),0)</f>
        <v>0</v>
      </c>
      <c r="N466" s="539">
        <f ca="1">IFERROR(__xludf.DUMMYFUNCTION("""COMPUTED_VALUE"""),0)</f>
        <v>0</v>
      </c>
      <c r="O466" s="539">
        <f ca="1">IFERROR(__xludf.DUMMYFUNCTION("""COMPUTED_VALUE"""),0)</f>
        <v>0</v>
      </c>
    </row>
    <row r="467" spans="1:15" ht="12.75">
      <c r="A467" s="539">
        <f ca="1"/>
        <v>461</v>
      </c>
      <c r="B467" s="35" t="str">
        <f ca="1">IFERROR(__xludf.DUMMYFUNCTION("""COMPUTED_VALUE"""),"Tổ Hạ tầng Kiến Tường")</f>
        <v>Tổ Hạ tầng Kiến Tường</v>
      </c>
      <c r="C467" s="35" t="str">
        <f ca="1">IFERROR(__xludf.DUMMYFUNCTION("""COMPUTED_VALUE"""),"Huỳnh Quốc Hiếu")</f>
        <v>Huỳnh Quốc Hiếu</v>
      </c>
      <c r="D467" s="35">
        <f ca="1">IFERROR(__xludf.DUMMYFUNCTION("""COMPUTED_VALUE"""),857850260)</f>
        <v>857850260</v>
      </c>
      <c r="E467" s="35" t="str">
        <f ca="1">IFERROR(__xludf.DUMMYFUNCTION("""COMPUTED_VALUE"""),"hieuhq.lan@vnpt.vn")</f>
        <v>hieuhq.lan@vnpt.vn</v>
      </c>
      <c r="F467" s="540" t="str">
        <f ca="1">IFERROR(__xludf.DUMMYFUNCTION("""COMPUTED_VALUE"""),"Lần 13")</f>
        <v>Lần 13</v>
      </c>
      <c r="G467" s="546"/>
      <c r="H467" s="35"/>
      <c r="I467" s="35"/>
      <c r="J467" s="544"/>
      <c r="K467" s="544"/>
      <c r="M467" s="539">
        <f ca="1">IFERROR(__xludf.DUMMYFUNCTION("""COMPUTED_VALUE"""),0)</f>
        <v>0</v>
      </c>
      <c r="N467" s="539">
        <f ca="1">IFERROR(__xludf.DUMMYFUNCTION("""COMPUTED_VALUE"""),0)</f>
        <v>0</v>
      </c>
      <c r="O467" s="539">
        <f ca="1">IFERROR(__xludf.DUMMYFUNCTION("""COMPUTED_VALUE"""),0)</f>
        <v>0</v>
      </c>
    </row>
    <row r="468" spans="1:15" ht="12.75">
      <c r="A468" s="539">
        <f ca="1"/>
        <v>462</v>
      </c>
      <c r="B468" s="35" t="str">
        <f ca="1">IFERROR(__xludf.DUMMYFUNCTION("""COMPUTED_VALUE"""),"Tổ Hạ tầng Kiến Tường")</f>
        <v>Tổ Hạ tầng Kiến Tường</v>
      </c>
      <c r="C468" s="35" t="str">
        <f ca="1">IFERROR(__xludf.DUMMYFUNCTION("""COMPUTED_VALUE"""),"Huỳnh Quốc Hiếu")</f>
        <v>Huỳnh Quốc Hiếu</v>
      </c>
      <c r="D468" s="35">
        <f ca="1">IFERROR(__xludf.DUMMYFUNCTION("""COMPUTED_VALUE"""),857850260)</f>
        <v>857850260</v>
      </c>
      <c r="E468" s="35" t="str">
        <f ca="1">IFERROR(__xludf.DUMMYFUNCTION("""COMPUTED_VALUE"""),"hieuhq.lan@vnpt.vn")</f>
        <v>hieuhq.lan@vnpt.vn</v>
      </c>
      <c r="F468" s="540" t="str">
        <f ca="1">IFERROR(__xludf.DUMMYFUNCTION("""COMPUTED_VALUE"""),"Lần 14")</f>
        <v>Lần 14</v>
      </c>
      <c r="G468" s="546"/>
      <c r="H468" s="35"/>
      <c r="I468" s="35"/>
      <c r="J468" s="544"/>
      <c r="K468" s="544"/>
      <c r="M468" s="539">
        <f ca="1">IFERROR(__xludf.DUMMYFUNCTION("""COMPUTED_VALUE"""),0)</f>
        <v>0</v>
      </c>
      <c r="N468" s="539">
        <f ca="1">IFERROR(__xludf.DUMMYFUNCTION("""COMPUTED_VALUE"""),0)</f>
        <v>0</v>
      </c>
      <c r="O468" s="539">
        <f ca="1">IFERROR(__xludf.DUMMYFUNCTION("""COMPUTED_VALUE"""),0)</f>
        <v>0</v>
      </c>
    </row>
    <row r="469" spans="1:15" ht="12.75">
      <c r="A469" s="539">
        <f ca="1"/>
        <v>463</v>
      </c>
      <c r="B469" s="35" t="str">
        <f ca="1">IFERROR(__xludf.DUMMYFUNCTION("""COMPUTED_VALUE"""),"Tổ Hạ tầng Kiến Tường")</f>
        <v>Tổ Hạ tầng Kiến Tường</v>
      </c>
      <c r="C469" s="35" t="str">
        <f ca="1">IFERROR(__xludf.DUMMYFUNCTION("""COMPUTED_VALUE"""),"Huỳnh Quốc Hiếu")</f>
        <v>Huỳnh Quốc Hiếu</v>
      </c>
      <c r="D469" s="35">
        <f ca="1">IFERROR(__xludf.DUMMYFUNCTION("""COMPUTED_VALUE"""),857850260)</f>
        <v>857850260</v>
      </c>
      <c r="E469" s="35" t="str">
        <f ca="1">IFERROR(__xludf.DUMMYFUNCTION("""COMPUTED_VALUE"""),"hieuhq.lan@vnpt.vn")</f>
        <v>hieuhq.lan@vnpt.vn</v>
      </c>
      <c r="F469" s="540" t="str">
        <f ca="1">IFERROR(__xludf.DUMMYFUNCTION("""COMPUTED_VALUE"""),"Lần 15")</f>
        <v>Lần 15</v>
      </c>
      <c r="G469" s="546"/>
      <c r="H469" s="35"/>
      <c r="I469" s="35"/>
      <c r="J469" s="544"/>
      <c r="K469" s="544"/>
      <c r="M469" s="539">
        <f ca="1">IFERROR(__xludf.DUMMYFUNCTION("""COMPUTED_VALUE"""),0)</f>
        <v>0</v>
      </c>
      <c r="N469" s="539">
        <f ca="1">IFERROR(__xludf.DUMMYFUNCTION("""COMPUTED_VALUE"""),0)</f>
        <v>0</v>
      </c>
      <c r="O469" s="539">
        <f ca="1">IFERROR(__xludf.DUMMYFUNCTION("""COMPUTED_VALUE"""),0)</f>
        <v>0</v>
      </c>
    </row>
    <row r="470" spans="1:15" ht="12.75">
      <c r="A470" s="539">
        <f ca="1"/>
        <v>464</v>
      </c>
      <c r="B470" s="35" t="str">
        <f ca="1">IFERROR(__xludf.DUMMYFUNCTION("""COMPUTED_VALUE"""),"Tổ Hạ tầng Kiến Tường")</f>
        <v>Tổ Hạ tầng Kiến Tường</v>
      </c>
      <c r="C470" s="35" t="str">
        <f ca="1">IFERROR(__xludf.DUMMYFUNCTION("""COMPUTED_VALUE"""),"Huỳnh Quốc Hiếu")</f>
        <v>Huỳnh Quốc Hiếu</v>
      </c>
      <c r="D470" s="35">
        <f ca="1">IFERROR(__xludf.DUMMYFUNCTION("""COMPUTED_VALUE"""),857850260)</f>
        <v>857850260</v>
      </c>
      <c r="E470" s="35" t="str">
        <f ca="1">IFERROR(__xludf.DUMMYFUNCTION("""COMPUTED_VALUE"""),"hieuhq.lan@vnpt.vn")</f>
        <v>hieuhq.lan@vnpt.vn</v>
      </c>
      <c r="F470" s="540" t="str">
        <f ca="1">IFERROR(__xludf.DUMMYFUNCTION("""COMPUTED_VALUE"""),"Lần 16")</f>
        <v>Lần 16</v>
      </c>
      <c r="G470" s="546"/>
      <c r="H470" s="35"/>
      <c r="I470" s="35"/>
      <c r="J470" s="544"/>
      <c r="K470" s="544"/>
      <c r="M470" s="539">
        <f ca="1">IFERROR(__xludf.DUMMYFUNCTION("""COMPUTED_VALUE"""),0)</f>
        <v>0</v>
      </c>
      <c r="N470" s="539">
        <f ca="1">IFERROR(__xludf.DUMMYFUNCTION("""COMPUTED_VALUE"""),0)</f>
        <v>0</v>
      </c>
      <c r="O470" s="539">
        <f ca="1">IFERROR(__xludf.DUMMYFUNCTION("""COMPUTED_VALUE"""),0)</f>
        <v>0</v>
      </c>
    </row>
    <row r="471" spans="1:15" ht="12.75">
      <c r="A471" s="539">
        <f ca="1"/>
        <v>465</v>
      </c>
      <c r="B471" s="35" t="str">
        <f ca="1">IFERROR(__xludf.DUMMYFUNCTION("""COMPUTED_VALUE"""),"Tổ Hạ tầng Kiến Tường")</f>
        <v>Tổ Hạ tầng Kiến Tường</v>
      </c>
      <c r="C471" s="35" t="str">
        <f ca="1">IFERROR(__xludf.DUMMYFUNCTION("""COMPUTED_VALUE"""),"Trần Xuân Toại")</f>
        <v>Trần Xuân Toại</v>
      </c>
      <c r="D471" s="35">
        <f ca="1">IFERROR(__xludf.DUMMYFUNCTION("""COMPUTED_VALUE"""),914403881)</f>
        <v>914403881</v>
      </c>
      <c r="E471" s="35" t="str">
        <f ca="1">IFERROR(__xludf.DUMMYFUNCTION("""COMPUTED_VALUE"""),"toaitx.lan@vnpt.vn")</f>
        <v>toaitx.lan@vnpt.vn</v>
      </c>
      <c r="F471" s="540" t="str">
        <f ca="1">IFERROR(__xludf.DUMMYFUNCTION("""COMPUTED_VALUE"""),"Lần 1")</f>
        <v>Lần 1</v>
      </c>
      <c r="G471" s="278">
        <f ca="1">IFERROR(__xludf.DUMMYFUNCTION("""COMPUTED_VALUE"""),46209)</f>
        <v>46209</v>
      </c>
      <c r="H471" s="35" t="str">
        <f ca="1">IFERROR(__xludf.DUMMYFUNCTION("""COMPUTED_VALUE"""),"82.1")</f>
        <v>82.1</v>
      </c>
      <c r="I471" s="35" t="str">
        <f ca="1">IFERROR(__xludf.DUMMYFUNCTION("""COMPUTED_VALUE"""),"7.19")</f>
        <v>7.19</v>
      </c>
      <c r="J471" s="541">
        <f ca="1">IFERROR(__xludf.DUMMYFUNCTION("""COMPUTED_VALUE"""),88)</f>
        <v>88</v>
      </c>
      <c r="K471" s="541" t="str">
        <f ca="1">IFERROR(__xludf.DUMMYFUNCTION("""COMPUTED_VALUE"""),"37.6")</f>
        <v>37.6</v>
      </c>
      <c r="M471" s="539">
        <f ca="1">IFERROR(__xludf.DUMMYFUNCTION("""COMPUTED_VALUE"""),1)</f>
        <v>1</v>
      </c>
      <c r="N471" s="539">
        <f ca="1">IFERROR(__xludf.DUMMYFUNCTION("""COMPUTED_VALUE"""),1)</f>
        <v>1</v>
      </c>
      <c r="O471" s="539">
        <f ca="1">IFERROR(__xludf.DUMMYFUNCTION("""COMPUTED_VALUE"""),0)</f>
        <v>0</v>
      </c>
    </row>
    <row r="472" spans="1:15" ht="12.75">
      <c r="A472" s="539">
        <f ca="1"/>
        <v>466</v>
      </c>
      <c r="B472" s="35" t="str">
        <f ca="1">IFERROR(__xludf.DUMMYFUNCTION("""COMPUTED_VALUE"""),"Tổ Hạ tầng Kiến Tường")</f>
        <v>Tổ Hạ tầng Kiến Tường</v>
      </c>
      <c r="C472" s="35" t="str">
        <f ca="1">IFERROR(__xludf.DUMMYFUNCTION("""COMPUTED_VALUE"""),"Trần Xuân Toại")</f>
        <v>Trần Xuân Toại</v>
      </c>
      <c r="D472" s="35">
        <f ca="1">IFERROR(__xludf.DUMMYFUNCTION("""COMPUTED_VALUE"""),914403881)</f>
        <v>914403881</v>
      </c>
      <c r="E472" s="35" t="str">
        <f ca="1">IFERROR(__xludf.DUMMYFUNCTION("""COMPUTED_VALUE"""),"toaitx.lan@vnpt.vn")</f>
        <v>toaitx.lan@vnpt.vn</v>
      </c>
      <c r="F472" s="540" t="str">
        <f ca="1">IFERROR(__xludf.DUMMYFUNCTION("""COMPUTED_VALUE"""),"Lần 2")</f>
        <v>Lần 2</v>
      </c>
      <c r="G472" s="278">
        <f ca="1">IFERROR(__xludf.DUMMYFUNCTION("""COMPUTED_VALUE"""),46209)</f>
        <v>46209</v>
      </c>
      <c r="H472" s="35" t="str">
        <f ca="1">IFERROR(__xludf.DUMMYFUNCTION("""COMPUTED_VALUE"""),"93.8")</f>
        <v>93.8</v>
      </c>
      <c r="I472" s="542">
        <f ca="1">IFERROR(__xludf.DUMMYFUNCTION("""COMPUTED_VALUE"""),46064)</f>
        <v>46064</v>
      </c>
      <c r="J472" s="541">
        <f ca="1">IFERROR(__xludf.DUMMYFUNCTION("""COMPUTED_VALUE"""),102)</f>
        <v>102</v>
      </c>
      <c r="K472" s="541" t="str">
        <f ca="1">IFERROR(__xludf.DUMMYFUNCTION("""COMPUTED_VALUE"""),"54.4")</f>
        <v>54.4</v>
      </c>
      <c r="M472" s="539">
        <f ca="1">IFERROR(__xludf.DUMMYFUNCTION("""COMPUTED_VALUE"""),1)</f>
        <v>1</v>
      </c>
      <c r="N472" s="539">
        <f ca="1">IFERROR(__xludf.DUMMYFUNCTION("""COMPUTED_VALUE"""),1)</f>
        <v>1</v>
      </c>
      <c r="O472" s="539">
        <f ca="1">IFERROR(__xludf.DUMMYFUNCTION("""COMPUTED_VALUE"""),0)</f>
        <v>0</v>
      </c>
    </row>
    <row r="473" spans="1:15" ht="12.75">
      <c r="A473" s="539">
        <f ca="1"/>
        <v>467</v>
      </c>
      <c r="B473" s="35" t="str">
        <f ca="1">IFERROR(__xludf.DUMMYFUNCTION("""COMPUTED_VALUE"""),"Tổ Hạ tầng Kiến Tường")</f>
        <v>Tổ Hạ tầng Kiến Tường</v>
      </c>
      <c r="C473" s="35" t="str">
        <f ca="1">IFERROR(__xludf.DUMMYFUNCTION("""COMPUTED_VALUE"""),"Trần Xuân Toại")</f>
        <v>Trần Xuân Toại</v>
      </c>
      <c r="D473" s="35">
        <f ca="1">IFERROR(__xludf.DUMMYFUNCTION("""COMPUTED_VALUE"""),914403881)</f>
        <v>914403881</v>
      </c>
      <c r="E473" s="35" t="str">
        <f ca="1">IFERROR(__xludf.DUMMYFUNCTION("""COMPUTED_VALUE"""),"toaitx.lan@vnpt.vn")</f>
        <v>toaitx.lan@vnpt.vn</v>
      </c>
      <c r="F473" s="540" t="str">
        <f ca="1">IFERROR(__xludf.DUMMYFUNCTION("""COMPUTED_VALUE"""),"Lần 3")</f>
        <v>Lần 3</v>
      </c>
      <c r="G473" s="278">
        <f ca="1">IFERROR(__xludf.DUMMYFUNCTION("""COMPUTED_VALUE"""),46209)</f>
        <v>46209</v>
      </c>
      <c r="H473" s="35" t="str">
        <f ca="1">IFERROR(__xludf.DUMMYFUNCTION("""COMPUTED_VALUE"""),"87.2")</f>
        <v>87.2</v>
      </c>
      <c r="I473" s="542">
        <f ca="1">IFERROR(__xludf.DUMMYFUNCTION("""COMPUTED_VALUE"""),46214)</f>
        <v>46214</v>
      </c>
      <c r="J473" s="541">
        <f ca="1">IFERROR(__xludf.DUMMYFUNCTION("""COMPUTED_VALUE"""),82.7)</f>
        <v>82.7</v>
      </c>
      <c r="K473" s="541" t="str">
        <f ca="1">IFERROR(__xludf.DUMMYFUNCTION("""COMPUTED_VALUE"""),"41.6")</f>
        <v>41.6</v>
      </c>
      <c r="M473" s="539">
        <f ca="1">IFERROR(__xludf.DUMMYFUNCTION("""COMPUTED_VALUE"""),1)</f>
        <v>1</v>
      </c>
      <c r="N473" s="539">
        <f ca="1">IFERROR(__xludf.DUMMYFUNCTION("""COMPUTED_VALUE"""),1)</f>
        <v>1</v>
      </c>
      <c r="O473" s="539">
        <f ca="1">IFERROR(__xludf.DUMMYFUNCTION("""COMPUTED_VALUE"""),0)</f>
        <v>0</v>
      </c>
    </row>
    <row r="474" spans="1:15" ht="12.75">
      <c r="A474" s="539">
        <f ca="1"/>
        <v>468</v>
      </c>
      <c r="B474" s="35" t="str">
        <f ca="1">IFERROR(__xludf.DUMMYFUNCTION("""COMPUTED_VALUE"""),"Tổ Hạ tầng Kiến Tường")</f>
        <v>Tổ Hạ tầng Kiến Tường</v>
      </c>
      <c r="C474" s="35" t="str">
        <f ca="1">IFERROR(__xludf.DUMMYFUNCTION("""COMPUTED_VALUE"""),"Trần Xuân Toại")</f>
        <v>Trần Xuân Toại</v>
      </c>
      <c r="D474" s="35">
        <f ca="1">IFERROR(__xludf.DUMMYFUNCTION("""COMPUTED_VALUE"""),914403881)</f>
        <v>914403881</v>
      </c>
      <c r="E474" s="35" t="str">
        <f ca="1">IFERROR(__xludf.DUMMYFUNCTION("""COMPUTED_VALUE"""),"toaitx.lan@vnpt.vn")</f>
        <v>toaitx.lan@vnpt.vn</v>
      </c>
      <c r="F474" s="540" t="str">
        <f ca="1">IFERROR(__xludf.DUMMYFUNCTION("""COMPUTED_VALUE"""),"Lần 4")</f>
        <v>Lần 4</v>
      </c>
      <c r="G474" s="278">
        <f ca="1">IFERROR(__xludf.DUMMYFUNCTION("""COMPUTED_VALUE"""),46209)</f>
        <v>46209</v>
      </c>
      <c r="H474" s="35" t="str">
        <f ca="1">IFERROR(__xludf.DUMMYFUNCTION("""COMPUTED_VALUE"""),"85.6")</f>
        <v>85.6</v>
      </c>
      <c r="I474" s="542">
        <f ca="1">IFERROR(__xludf.DUMMYFUNCTION("""COMPUTED_VALUE"""),46093)</f>
        <v>46093</v>
      </c>
      <c r="J474" s="541">
        <f ca="1">IFERROR(__xludf.DUMMYFUNCTION("""COMPUTED_VALUE"""),109)</f>
        <v>109</v>
      </c>
      <c r="K474" s="541" t="str">
        <f ca="1">IFERROR(__xludf.DUMMYFUNCTION("""COMPUTED_VALUE"""),"56.8")</f>
        <v>56.8</v>
      </c>
      <c r="M474" s="539">
        <f ca="1">IFERROR(__xludf.DUMMYFUNCTION("""COMPUTED_VALUE"""),1)</f>
        <v>1</v>
      </c>
      <c r="N474" s="539">
        <f ca="1">IFERROR(__xludf.DUMMYFUNCTION("""COMPUTED_VALUE"""),1)</f>
        <v>1</v>
      </c>
      <c r="O474" s="539">
        <f ca="1">IFERROR(__xludf.DUMMYFUNCTION("""COMPUTED_VALUE"""),0)</f>
        <v>0</v>
      </c>
    </row>
    <row r="475" spans="1:15" ht="12.75">
      <c r="A475" s="539">
        <f ca="1"/>
        <v>469</v>
      </c>
      <c r="B475" s="35" t="str">
        <f ca="1">IFERROR(__xludf.DUMMYFUNCTION("""COMPUTED_VALUE"""),"Tổ Hạ tầng Kiến Tường")</f>
        <v>Tổ Hạ tầng Kiến Tường</v>
      </c>
      <c r="C475" s="35" t="str">
        <f ca="1">IFERROR(__xludf.DUMMYFUNCTION("""COMPUTED_VALUE"""),"Trần Xuân Toại")</f>
        <v>Trần Xuân Toại</v>
      </c>
      <c r="D475" s="35">
        <f ca="1">IFERROR(__xludf.DUMMYFUNCTION("""COMPUTED_VALUE"""),914403881)</f>
        <v>914403881</v>
      </c>
      <c r="E475" s="35" t="str">
        <f ca="1">IFERROR(__xludf.DUMMYFUNCTION("""COMPUTED_VALUE"""),"toaitx.lan@vnpt.vn")</f>
        <v>toaitx.lan@vnpt.vn</v>
      </c>
      <c r="F475" s="540" t="str">
        <f ca="1">IFERROR(__xludf.DUMMYFUNCTION("""COMPUTED_VALUE"""),"Lần 5")</f>
        <v>Lần 5</v>
      </c>
      <c r="G475" s="278">
        <f ca="1">IFERROR(__xludf.DUMMYFUNCTION("""COMPUTED_VALUE"""),46213)</f>
        <v>46213</v>
      </c>
      <c r="H475" s="35">
        <f ca="1">IFERROR(__xludf.DUMMYFUNCTION("""COMPUTED_VALUE"""),102)</f>
        <v>102</v>
      </c>
      <c r="I475" s="35" t="str">
        <f ca="1">IFERROR(__xludf.DUMMYFUNCTION("""COMPUTED_VALUE"""),"9.62")</f>
        <v>9.62</v>
      </c>
      <c r="J475" s="541">
        <f ca="1">IFERROR(__xludf.DUMMYFUNCTION("""COMPUTED_VALUE"""),113)</f>
        <v>113</v>
      </c>
      <c r="K475" s="541" t="str">
        <f ca="1">IFERROR(__xludf.DUMMYFUNCTION("""COMPUTED_VALUE"""),"57.1")</f>
        <v>57.1</v>
      </c>
      <c r="M475" s="539">
        <f ca="1">IFERROR(__xludf.DUMMYFUNCTION("""COMPUTED_VALUE"""),1)</f>
        <v>1</v>
      </c>
      <c r="N475" s="539">
        <f ca="1">IFERROR(__xludf.DUMMYFUNCTION("""COMPUTED_VALUE"""),1)</f>
        <v>1</v>
      </c>
      <c r="O475" s="539">
        <f ca="1">IFERROR(__xludf.DUMMYFUNCTION("""COMPUTED_VALUE"""),0)</f>
        <v>0</v>
      </c>
    </row>
    <row r="476" spans="1:15" ht="12.75">
      <c r="A476" s="539">
        <f ca="1"/>
        <v>470</v>
      </c>
      <c r="B476" s="35" t="str">
        <f ca="1">IFERROR(__xludf.DUMMYFUNCTION("""COMPUTED_VALUE"""),"Tổ Hạ tầng Kiến Tường")</f>
        <v>Tổ Hạ tầng Kiến Tường</v>
      </c>
      <c r="C476" s="35" t="str">
        <f ca="1">IFERROR(__xludf.DUMMYFUNCTION("""COMPUTED_VALUE"""),"Trần Xuân Toại")</f>
        <v>Trần Xuân Toại</v>
      </c>
      <c r="D476" s="35">
        <f ca="1">IFERROR(__xludf.DUMMYFUNCTION("""COMPUTED_VALUE"""),914403881)</f>
        <v>914403881</v>
      </c>
      <c r="E476" s="35" t="str">
        <f ca="1">IFERROR(__xludf.DUMMYFUNCTION("""COMPUTED_VALUE"""),"toaitx.lan@vnpt.vn")</f>
        <v>toaitx.lan@vnpt.vn</v>
      </c>
      <c r="F476" s="540" t="str">
        <f ca="1">IFERROR(__xludf.DUMMYFUNCTION("""COMPUTED_VALUE"""),"Lần 6")</f>
        <v>Lần 6</v>
      </c>
      <c r="G476" s="278">
        <f ca="1">IFERROR(__xludf.DUMMYFUNCTION("""COMPUTED_VALUE"""),46213)</f>
        <v>46213</v>
      </c>
      <c r="H476" s="35" t="str">
        <f ca="1">IFERROR(__xludf.DUMMYFUNCTION("""COMPUTED_VALUE"""),"96.4")</f>
        <v>96.4</v>
      </c>
      <c r="I476" s="35">
        <f ca="1">IFERROR(__xludf.DUMMYFUNCTION("""COMPUTED_VALUE"""),11)</f>
        <v>11</v>
      </c>
      <c r="J476" s="541">
        <f ca="1">IFERROR(__xludf.DUMMYFUNCTION("""COMPUTED_VALUE"""),73.8)</f>
        <v>73.8</v>
      </c>
      <c r="K476" s="541" t="str">
        <f ca="1">IFERROR(__xludf.DUMMYFUNCTION("""COMPUTED_VALUE"""),"40.6")</f>
        <v>40.6</v>
      </c>
      <c r="M476" s="539">
        <f ca="1">IFERROR(__xludf.DUMMYFUNCTION("""COMPUTED_VALUE"""),1)</f>
        <v>1</v>
      </c>
      <c r="N476" s="539">
        <f ca="1">IFERROR(__xludf.DUMMYFUNCTION("""COMPUTED_VALUE"""),1)</f>
        <v>1</v>
      </c>
      <c r="O476" s="539">
        <f ca="1">IFERROR(__xludf.DUMMYFUNCTION("""COMPUTED_VALUE"""),0)</f>
        <v>0</v>
      </c>
    </row>
    <row r="477" spans="1:15" ht="12.75">
      <c r="A477" s="539">
        <f ca="1"/>
        <v>471</v>
      </c>
      <c r="B477" s="35" t="str">
        <f ca="1">IFERROR(__xludf.DUMMYFUNCTION("""COMPUTED_VALUE"""),"Tổ Hạ tầng Kiến Tường")</f>
        <v>Tổ Hạ tầng Kiến Tường</v>
      </c>
      <c r="C477" s="35" t="str">
        <f ca="1">IFERROR(__xludf.DUMMYFUNCTION("""COMPUTED_VALUE"""),"Trần Xuân Toại")</f>
        <v>Trần Xuân Toại</v>
      </c>
      <c r="D477" s="35">
        <f ca="1">IFERROR(__xludf.DUMMYFUNCTION("""COMPUTED_VALUE"""),914403881)</f>
        <v>914403881</v>
      </c>
      <c r="E477" s="35" t="str">
        <f ca="1">IFERROR(__xludf.DUMMYFUNCTION("""COMPUTED_VALUE"""),"toaitx.lan@vnpt.vn")</f>
        <v>toaitx.lan@vnpt.vn</v>
      </c>
      <c r="F477" s="540" t="str">
        <f ca="1">IFERROR(__xludf.DUMMYFUNCTION("""COMPUTED_VALUE"""),"Lần 7")</f>
        <v>Lần 7</v>
      </c>
      <c r="G477" s="278">
        <f ca="1">IFERROR(__xludf.DUMMYFUNCTION("""COMPUTED_VALUE"""),46213)</f>
        <v>46213</v>
      </c>
      <c r="H477" s="35">
        <f ca="1">IFERROR(__xludf.DUMMYFUNCTION("""COMPUTED_VALUE"""),108)</f>
        <v>108</v>
      </c>
      <c r="I477" s="542">
        <f ca="1">IFERROR(__xludf.DUMMYFUNCTION("""COMPUTED_VALUE"""),46275)</f>
        <v>46275</v>
      </c>
      <c r="J477" s="541">
        <f ca="1">IFERROR(__xludf.DUMMYFUNCTION("""COMPUTED_VALUE"""),90.6)</f>
        <v>90.6</v>
      </c>
      <c r="K477" s="541" t="str">
        <f ca="1">IFERROR(__xludf.DUMMYFUNCTION("""COMPUTED_VALUE"""),"55.5")</f>
        <v>55.5</v>
      </c>
      <c r="M477" s="539">
        <f ca="1">IFERROR(__xludf.DUMMYFUNCTION("""COMPUTED_VALUE"""),1)</f>
        <v>1</v>
      </c>
      <c r="N477" s="539">
        <f ca="1">IFERROR(__xludf.DUMMYFUNCTION("""COMPUTED_VALUE"""),1)</f>
        <v>1</v>
      </c>
      <c r="O477" s="539">
        <f ca="1">IFERROR(__xludf.DUMMYFUNCTION("""COMPUTED_VALUE"""),0)</f>
        <v>0</v>
      </c>
    </row>
    <row r="478" spans="1:15" ht="12.75">
      <c r="A478" s="539">
        <f ca="1"/>
        <v>472</v>
      </c>
      <c r="B478" s="35" t="str">
        <f ca="1">IFERROR(__xludf.DUMMYFUNCTION("""COMPUTED_VALUE"""),"Tổ Hạ tầng Kiến Tường")</f>
        <v>Tổ Hạ tầng Kiến Tường</v>
      </c>
      <c r="C478" s="35" t="str">
        <f ca="1">IFERROR(__xludf.DUMMYFUNCTION("""COMPUTED_VALUE"""),"Trần Xuân Toại")</f>
        <v>Trần Xuân Toại</v>
      </c>
      <c r="D478" s="35">
        <f ca="1">IFERROR(__xludf.DUMMYFUNCTION("""COMPUTED_VALUE"""),914403881)</f>
        <v>914403881</v>
      </c>
      <c r="E478" s="35" t="str">
        <f ca="1">IFERROR(__xludf.DUMMYFUNCTION("""COMPUTED_VALUE"""),"toaitx.lan@vnpt.vn")</f>
        <v>toaitx.lan@vnpt.vn</v>
      </c>
      <c r="F478" s="540" t="str">
        <f ca="1">IFERROR(__xludf.DUMMYFUNCTION("""COMPUTED_VALUE"""),"Lần 8")</f>
        <v>Lần 8</v>
      </c>
      <c r="G478" s="278">
        <f ca="1">IFERROR(__xludf.DUMMYFUNCTION("""COMPUTED_VALUE"""),46213)</f>
        <v>46213</v>
      </c>
      <c r="H478" s="35" t="str">
        <f ca="1">IFERROR(__xludf.DUMMYFUNCTION("""COMPUTED_VALUE"""),"78.4")</f>
        <v>78.4</v>
      </c>
      <c r="I478" s="542">
        <f ca="1">IFERROR(__xludf.DUMMYFUNCTION("""COMPUTED_VALUE"""),46123)</f>
        <v>46123</v>
      </c>
      <c r="J478" s="541">
        <f ca="1">IFERROR(__xludf.DUMMYFUNCTION("""COMPUTED_VALUE"""),89.6)</f>
        <v>89.6</v>
      </c>
      <c r="K478" s="541" t="str">
        <f ca="1">IFERROR(__xludf.DUMMYFUNCTION("""COMPUTED_VALUE"""),"49.1")</f>
        <v>49.1</v>
      </c>
      <c r="M478" s="539">
        <f ca="1">IFERROR(__xludf.DUMMYFUNCTION("""COMPUTED_VALUE"""),1)</f>
        <v>1</v>
      </c>
      <c r="N478" s="539">
        <f ca="1">IFERROR(__xludf.DUMMYFUNCTION("""COMPUTED_VALUE"""),1)</f>
        <v>1</v>
      </c>
      <c r="O478" s="539">
        <f ca="1">IFERROR(__xludf.DUMMYFUNCTION("""COMPUTED_VALUE"""),0)</f>
        <v>0</v>
      </c>
    </row>
    <row r="479" spans="1:15" ht="12.75">
      <c r="A479" s="539">
        <f ca="1"/>
        <v>473</v>
      </c>
      <c r="B479" s="35" t="str">
        <f ca="1">IFERROR(__xludf.DUMMYFUNCTION("""COMPUTED_VALUE"""),"Tổ Hạ tầng Kiến Tường")</f>
        <v>Tổ Hạ tầng Kiến Tường</v>
      </c>
      <c r="C479" s="35" t="str">
        <f ca="1">IFERROR(__xludf.DUMMYFUNCTION("""COMPUTED_VALUE"""),"Trần Xuân Toại")</f>
        <v>Trần Xuân Toại</v>
      </c>
      <c r="D479" s="35">
        <f ca="1">IFERROR(__xludf.DUMMYFUNCTION("""COMPUTED_VALUE"""),914403881)</f>
        <v>914403881</v>
      </c>
      <c r="E479" s="35" t="str">
        <f ca="1">IFERROR(__xludf.DUMMYFUNCTION("""COMPUTED_VALUE"""),"toaitx.lan@vnpt.vn")</f>
        <v>toaitx.lan@vnpt.vn</v>
      </c>
      <c r="F479" s="540" t="str">
        <f ca="1">IFERROR(__xludf.DUMMYFUNCTION("""COMPUTED_VALUE"""),"Lần 9")</f>
        <v>Lần 9</v>
      </c>
      <c r="G479" s="278">
        <f ca="1">IFERROR(__xludf.DUMMYFUNCTION("""COMPUTED_VALUE"""),46213)</f>
        <v>46213</v>
      </c>
      <c r="H479" s="35" t="str">
        <f ca="1">IFERROR(__xludf.DUMMYFUNCTION("""COMPUTED_VALUE"""),"73.5")</f>
        <v>73.5</v>
      </c>
      <c r="I479" s="35" t="str">
        <f ca="1">IFERROR(__xludf.DUMMYFUNCTION("""COMPUTED_VALUE"""),"7.89")</f>
        <v>7.89</v>
      </c>
      <c r="J479" s="541">
        <f ca="1">IFERROR(__xludf.DUMMYFUNCTION("""COMPUTED_VALUE"""),77.3)</f>
        <v>77.3</v>
      </c>
      <c r="K479" s="541" t="str">
        <f ca="1">IFERROR(__xludf.DUMMYFUNCTION("""COMPUTED_VALUE"""),"59.3")</f>
        <v>59.3</v>
      </c>
      <c r="M479" s="539">
        <f ca="1">IFERROR(__xludf.DUMMYFUNCTION("""COMPUTED_VALUE"""),1)</f>
        <v>1</v>
      </c>
      <c r="N479" s="539">
        <f ca="1">IFERROR(__xludf.DUMMYFUNCTION("""COMPUTED_VALUE"""),1)</f>
        <v>1</v>
      </c>
      <c r="O479" s="539">
        <f ca="1">IFERROR(__xludf.DUMMYFUNCTION("""COMPUTED_VALUE"""),0)</f>
        <v>0</v>
      </c>
    </row>
    <row r="480" spans="1:15" ht="12.75">
      <c r="A480" s="539">
        <f ca="1"/>
        <v>474</v>
      </c>
      <c r="B480" s="35" t="str">
        <f ca="1">IFERROR(__xludf.DUMMYFUNCTION("""COMPUTED_VALUE"""),"Tổ Hạ tầng Kiến Tường")</f>
        <v>Tổ Hạ tầng Kiến Tường</v>
      </c>
      <c r="C480" s="35" t="str">
        <f ca="1">IFERROR(__xludf.DUMMYFUNCTION("""COMPUTED_VALUE"""),"Trần Xuân Toại")</f>
        <v>Trần Xuân Toại</v>
      </c>
      <c r="D480" s="35">
        <f ca="1">IFERROR(__xludf.DUMMYFUNCTION("""COMPUTED_VALUE"""),914403881)</f>
        <v>914403881</v>
      </c>
      <c r="E480" s="35" t="str">
        <f ca="1">IFERROR(__xludf.DUMMYFUNCTION("""COMPUTED_VALUE"""),"toaitx.lan@vnpt.vn")</f>
        <v>toaitx.lan@vnpt.vn</v>
      </c>
      <c r="F480" s="540" t="str">
        <f ca="1">IFERROR(__xludf.DUMMYFUNCTION("""COMPUTED_VALUE"""),"Lần 10")</f>
        <v>Lần 10</v>
      </c>
      <c r="G480" s="278">
        <f ca="1">IFERROR(__xludf.DUMMYFUNCTION("""COMPUTED_VALUE"""),46213)</f>
        <v>46213</v>
      </c>
      <c r="H480" s="35" t="str">
        <f ca="1">IFERROR(__xludf.DUMMYFUNCTION("""COMPUTED_VALUE"""),"87.9")</f>
        <v>87.9</v>
      </c>
      <c r="I480" s="542">
        <f ca="1">IFERROR(__xludf.DUMMYFUNCTION("""COMPUTED_VALUE"""),46276)</f>
        <v>46276</v>
      </c>
      <c r="J480" s="541">
        <f ca="1">IFERROR(__xludf.DUMMYFUNCTION("""COMPUTED_VALUE"""),104)</f>
        <v>104</v>
      </c>
      <c r="K480" s="541" t="str">
        <f ca="1">IFERROR(__xludf.DUMMYFUNCTION("""COMPUTED_VALUE"""),"49.2")</f>
        <v>49.2</v>
      </c>
      <c r="M480" s="539">
        <f ca="1">IFERROR(__xludf.DUMMYFUNCTION("""COMPUTED_VALUE"""),1)</f>
        <v>1</v>
      </c>
      <c r="N480" s="539">
        <f ca="1">IFERROR(__xludf.DUMMYFUNCTION("""COMPUTED_VALUE"""),1)</f>
        <v>1</v>
      </c>
      <c r="O480" s="539">
        <f ca="1">IFERROR(__xludf.DUMMYFUNCTION("""COMPUTED_VALUE"""),0)</f>
        <v>0</v>
      </c>
    </row>
    <row r="481" spans="1:15" ht="12.75">
      <c r="A481" s="539">
        <f ca="1"/>
        <v>475</v>
      </c>
      <c r="B481" s="35" t="str">
        <f ca="1">IFERROR(__xludf.DUMMYFUNCTION("""COMPUTED_VALUE"""),"Tổ Hạ tầng Kiến Tường")</f>
        <v>Tổ Hạ tầng Kiến Tường</v>
      </c>
      <c r="C481" s="35" t="str">
        <f ca="1">IFERROR(__xludf.DUMMYFUNCTION("""COMPUTED_VALUE"""),"Trần Xuân Toại")</f>
        <v>Trần Xuân Toại</v>
      </c>
      <c r="D481" s="35">
        <f ca="1">IFERROR(__xludf.DUMMYFUNCTION("""COMPUTED_VALUE"""),914403881)</f>
        <v>914403881</v>
      </c>
      <c r="E481" s="35" t="str">
        <f ca="1">IFERROR(__xludf.DUMMYFUNCTION("""COMPUTED_VALUE"""),"toaitx.lan@vnpt.vn")</f>
        <v>toaitx.lan@vnpt.vn</v>
      </c>
      <c r="F481" s="540" t="str">
        <f ca="1">IFERROR(__xludf.DUMMYFUNCTION("""COMPUTED_VALUE"""),"Lần 11")</f>
        <v>Lần 11</v>
      </c>
      <c r="G481" s="278"/>
      <c r="H481" s="35"/>
      <c r="I481" s="542"/>
      <c r="J481" s="541"/>
      <c r="K481" s="541"/>
      <c r="M481" s="539">
        <f ca="1">IFERROR(__xludf.DUMMYFUNCTION("""COMPUTED_VALUE"""),0)</f>
        <v>0</v>
      </c>
      <c r="N481" s="539">
        <f ca="1">IFERROR(__xludf.DUMMYFUNCTION("""COMPUTED_VALUE"""),0)</f>
        <v>0</v>
      </c>
      <c r="O481" s="539">
        <f ca="1">IFERROR(__xludf.DUMMYFUNCTION("""COMPUTED_VALUE"""),0)</f>
        <v>0</v>
      </c>
    </row>
    <row r="482" spans="1:15" ht="12.75">
      <c r="A482" s="539">
        <f ca="1"/>
        <v>476</v>
      </c>
      <c r="B482" s="35" t="str">
        <f ca="1">IFERROR(__xludf.DUMMYFUNCTION("""COMPUTED_VALUE"""),"Tổ Hạ tầng Kiến Tường")</f>
        <v>Tổ Hạ tầng Kiến Tường</v>
      </c>
      <c r="C482" s="35" t="str">
        <f ca="1">IFERROR(__xludf.DUMMYFUNCTION("""COMPUTED_VALUE"""),"Trần Xuân Toại")</f>
        <v>Trần Xuân Toại</v>
      </c>
      <c r="D482" s="35">
        <f ca="1">IFERROR(__xludf.DUMMYFUNCTION("""COMPUTED_VALUE"""),914403881)</f>
        <v>914403881</v>
      </c>
      <c r="E482" s="35" t="str">
        <f ca="1">IFERROR(__xludf.DUMMYFUNCTION("""COMPUTED_VALUE"""),"toaitx.lan@vnpt.vn")</f>
        <v>toaitx.lan@vnpt.vn</v>
      </c>
      <c r="F482" s="540" t="str">
        <f ca="1">IFERROR(__xludf.DUMMYFUNCTION("""COMPUTED_VALUE"""),"Lần 12")</f>
        <v>Lần 12</v>
      </c>
      <c r="G482" s="278"/>
      <c r="H482" s="35"/>
      <c r="I482" s="542"/>
      <c r="J482" s="541"/>
      <c r="K482" s="541"/>
      <c r="M482" s="539">
        <f ca="1">IFERROR(__xludf.DUMMYFUNCTION("""COMPUTED_VALUE"""),0)</f>
        <v>0</v>
      </c>
      <c r="N482" s="539">
        <f ca="1">IFERROR(__xludf.DUMMYFUNCTION("""COMPUTED_VALUE"""),0)</f>
        <v>0</v>
      </c>
      <c r="O482" s="539">
        <f ca="1">IFERROR(__xludf.DUMMYFUNCTION("""COMPUTED_VALUE"""),0)</f>
        <v>0</v>
      </c>
    </row>
    <row r="483" spans="1:15" ht="12.75">
      <c r="A483" s="539">
        <f ca="1"/>
        <v>477</v>
      </c>
      <c r="B483" s="35" t="str">
        <f ca="1">IFERROR(__xludf.DUMMYFUNCTION("""COMPUTED_VALUE"""),"Tổ Hạ tầng Kiến Tường")</f>
        <v>Tổ Hạ tầng Kiến Tường</v>
      </c>
      <c r="C483" s="35" t="str">
        <f ca="1">IFERROR(__xludf.DUMMYFUNCTION("""COMPUTED_VALUE"""),"Trần Xuân Toại")</f>
        <v>Trần Xuân Toại</v>
      </c>
      <c r="D483" s="35">
        <f ca="1">IFERROR(__xludf.DUMMYFUNCTION("""COMPUTED_VALUE"""),914403881)</f>
        <v>914403881</v>
      </c>
      <c r="E483" s="35" t="str">
        <f ca="1">IFERROR(__xludf.DUMMYFUNCTION("""COMPUTED_VALUE"""),"toaitx.lan@vnpt.vn")</f>
        <v>toaitx.lan@vnpt.vn</v>
      </c>
      <c r="F483" s="540" t="str">
        <f ca="1">IFERROR(__xludf.DUMMYFUNCTION("""COMPUTED_VALUE"""),"Lần 13")</f>
        <v>Lần 13</v>
      </c>
      <c r="G483" s="278"/>
      <c r="H483" s="35"/>
      <c r="I483" s="542"/>
      <c r="J483" s="541"/>
      <c r="K483" s="541"/>
      <c r="M483" s="539">
        <f ca="1">IFERROR(__xludf.DUMMYFUNCTION("""COMPUTED_VALUE"""),0)</f>
        <v>0</v>
      </c>
      <c r="N483" s="539">
        <f ca="1">IFERROR(__xludf.DUMMYFUNCTION("""COMPUTED_VALUE"""),0)</f>
        <v>0</v>
      </c>
      <c r="O483" s="539">
        <f ca="1">IFERROR(__xludf.DUMMYFUNCTION("""COMPUTED_VALUE"""),0)</f>
        <v>0</v>
      </c>
    </row>
    <row r="484" spans="1:15" ht="12.75">
      <c r="A484" s="539">
        <f ca="1"/>
        <v>478</v>
      </c>
      <c r="B484" s="35" t="str">
        <f ca="1">IFERROR(__xludf.DUMMYFUNCTION("""COMPUTED_VALUE"""),"Tổ Hạ tầng Kiến Tường")</f>
        <v>Tổ Hạ tầng Kiến Tường</v>
      </c>
      <c r="C484" s="35" t="str">
        <f ca="1">IFERROR(__xludf.DUMMYFUNCTION("""COMPUTED_VALUE"""),"Trần Xuân Toại")</f>
        <v>Trần Xuân Toại</v>
      </c>
      <c r="D484" s="35">
        <f ca="1">IFERROR(__xludf.DUMMYFUNCTION("""COMPUTED_VALUE"""),914403881)</f>
        <v>914403881</v>
      </c>
      <c r="E484" s="35" t="str">
        <f ca="1">IFERROR(__xludf.DUMMYFUNCTION("""COMPUTED_VALUE"""),"toaitx.lan@vnpt.vn")</f>
        <v>toaitx.lan@vnpt.vn</v>
      </c>
      <c r="F484" s="540" t="str">
        <f ca="1">IFERROR(__xludf.DUMMYFUNCTION("""COMPUTED_VALUE"""),"Lần 14")</f>
        <v>Lần 14</v>
      </c>
      <c r="G484" s="278"/>
      <c r="H484" s="35"/>
      <c r="I484" s="35"/>
      <c r="J484" s="541"/>
      <c r="K484" s="541"/>
      <c r="M484" s="539">
        <f ca="1">IFERROR(__xludf.DUMMYFUNCTION("""COMPUTED_VALUE"""),0)</f>
        <v>0</v>
      </c>
      <c r="N484" s="539">
        <f ca="1">IFERROR(__xludf.DUMMYFUNCTION("""COMPUTED_VALUE"""),0)</f>
        <v>0</v>
      </c>
      <c r="O484" s="539">
        <f ca="1">IFERROR(__xludf.DUMMYFUNCTION("""COMPUTED_VALUE"""),0)</f>
        <v>0</v>
      </c>
    </row>
    <row r="485" spans="1:15" ht="12.75">
      <c r="A485" s="539">
        <f ca="1"/>
        <v>479</v>
      </c>
      <c r="B485" s="35" t="str">
        <f ca="1">IFERROR(__xludf.DUMMYFUNCTION("""COMPUTED_VALUE"""),"Tổ Hạ tầng Kiến Tường")</f>
        <v>Tổ Hạ tầng Kiến Tường</v>
      </c>
      <c r="C485" s="35" t="str">
        <f ca="1">IFERROR(__xludf.DUMMYFUNCTION("""COMPUTED_VALUE"""),"Trần Xuân Toại")</f>
        <v>Trần Xuân Toại</v>
      </c>
      <c r="D485" s="35">
        <f ca="1">IFERROR(__xludf.DUMMYFUNCTION("""COMPUTED_VALUE"""),914403881)</f>
        <v>914403881</v>
      </c>
      <c r="E485" s="35" t="str">
        <f ca="1">IFERROR(__xludf.DUMMYFUNCTION("""COMPUTED_VALUE"""),"toaitx.lan@vnpt.vn")</f>
        <v>toaitx.lan@vnpt.vn</v>
      </c>
      <c r="F485" s="540" t="str">
        <f ca="1">IFERROR(__xludf.DUMMYFUNCTION("""COMPUTED_VALUE"""),"Lần 15")</f>
        <v>Lần 15</v>
      </c>
      <c r="G485" s="278"/>
      <c r="H485" s="35"/>
      <c r="I485" s="35"/>
      <c r="J485" s="541"/>
      <c r="K485" s="541"/>
      <c r="M485" s="539">
        <f ca="1">IFERROR(__xludf.DUMMYFUNCTION("""COMPUTED_VALUE"""),0)</f>
        <v>0</v>
      </c>
      <c r="N485" s="539">
        <f ca="1">IFERROR(__xludf.DUMMYFUNCTION("""COMPUTED_VALUE"""),0)</f>
        <v>0</v>
      </c>
      <c r="O485" s="539">
        <f ca="1">IFERROR(__xludf.DUMMYFUNCTION("""COMPUTED_VALUE"""),0)</f>
        <v>0</v>
      </c>
    </row>
    <row r="486" spans="1:15" ht="12.75">
      <c r="A486" s="539">
        <f ca="1"/>
        <v>480</v>
      </c>
      <c r="B486" s="35" t="str">
        <f ca="1">IFERROR(__xludf.DUMMYFUNCTION("""COMPUTED_VALUE"""),"Tổ Hạ tầng Kiến Tường")</f>
        <v>Tổ Hạ tầng Kiến Tường</v>
      </c>
      <c r="C486" s="35" t="str">
        <f ca="1">IFERROR(__xludf.DUMMYFUNCTION("""COMPUTED_VALUE"""),"Trần Xuân Toại")</f>
        <v>Trần Xuân Toại</v>
      </c>
      <c r="D486" s="35">
        <f ca="1">IFERROR(__xludf.DUMMYFUNCTION("""COMPUTED_VALUE"""),914403881)</f>
        <v>914403881</v>
      </c>
      <c r="E486" s="35" t="str">
        <f ca="1">IFERROR(__xludf.DUMMYFUNCTION("""COMPUTED_VALUE"""),"toaitx.lan@vnpt.vn")</f>
        <v>toaitx.lan@vnpt.vn</v>
      </c>
      <c r="F486" s="540" t="str">
        <f ca="1">IFERROR(__xludf.DUMMYFUNCTION("""COMPUTED_VALUE"""),"Lần 16")</f>
        <v>Lần 16</v>
      </c>
      <c r="G486" s="278"/>
      <c r="H486" s="35"/>
      <c r="I486" s="547"/>
      <c r="J486" s="541"/>
      <c r="K486" s="541"/>
      <c r="M486" s="539">
        <f ca="1">IFERROR(__xludf.DUMMYFUNCTION("""COMPUTED_VALUE"""),0)</f>
        <v>0</v>
      </c>
      <c r="N486" s="539">
        <f ca="1">IFERROR(__xludf.DUMMYFUNCTION("""COMPUTED_VALUE"""),0)</f>
        <v>0</v>
      </c>
      <c r="O486" s="539">
        <f ca="1">IFERROR(__xludf.DUMMYFUNCTION("""COMPUTED_VALUE"""),0)</f>
        <v>0</v>
      </c>
    </row>
    <row r="487" spans="1:15" ht="12.75">
      <c r="A487" s="539">
        <f ca="1"/>
        <v>481</v>
      </c>
      <c r="B487" s="35" t="str">
        <f ca="1">IFERROR(__xludf.DUMMYFUNCTION("""COMPUTED_VALUE"""),"Tổ Hạ tầng Kiến Tường")</f>
        <v>Tổ Hạ tầng Kiến Tường</v>
      </c>
      <c r="C487" s="35" t="str">
        <f ca="1">IFERROR(__xludf.DUMMYFUNCTION("""COMPUTED_VALUE"""),"Nguyễn Hoàng Sang")</f>
        <v>Nguyễn Hoàng Sang</v>
      </c>
      <c r="D487" s="35">
        <f ca="1">IFERROR(__xludf.DUMMYFUNCTION("""COMPUTED_VALUE"""),852038869)</f>
        <v>852038869</v>
      </c>
      <c r="E487" s="35" t="str">
        <f ca="1">IFERROR(__xludf.DUMMYFUNCTION("""COMPUTED_VALUE"""),"sangnh.lan@vnpt.vn")</f>
        <v>sangnh.lan@vnpt.vn</v>
      </c>
      <c r="F487" s="540" t="str">
        <f ca="1">IFERROR(__xludf.DUMMYFUNCTION("""COMPUTED_VALUE"""),"Lần 1")</f>
        <v>Lần 1</v>
      </c>
      <c r="G487" s="278">
        <f ca="1">IFERROR(__xludf.DUMMYFUNCTION("""COMPUTED_VALUE"""),46211)</f>
        <v>46211</v>
      </c>
      <c r="H487" s="35">
        <f ca="1">IFERROR(__xludf.DUMMYFUNCTION("""COMPUTED_VALUE"""),100)</f>
        <v>100</v>
      </c>
      <c r="I487" s="35">
        <f ca="1">IFERROR(__xludf.DUMMYFUNCTION("""COMPUTED_VALUE"""),47.2)</f>
        <v>47.2</v>
      </c>
      <c r="J487" s="35">
        <f ca="1">IFERROR(__xludf.DUMMYFUNCTION("""COMPUTED_VALUE"""),127)</f>
        <v>127</v>
      </c>
      <c r="K487" s="35">
        <f ca="1">IFERROR(__xludf.DUMMYFUNCTION("""COMPUTED_VALUE"""),54.6)</f>
        <v>54.6</v>
      </c>
      <c r="M487" s="539">
        <f ca="1">IFERROR(__xludf.DUMMYFUNCTION("""COMPUTED_VALUE"""),1)</f>
        <v>1</v>
      </c>
      <c r="N487" s="539">
        <f ca="1">IFERROR(__xludf.DUMMYFUNCTION("""COMPUTED_VALUE"""),1)</f>
        <v>1</v>
      </c>
      <c r="O487" s="539">
        <f ca="1">IFERROR(__xludf.DUMMYFUNCTION("""COMPUTED_VALUE"""),0)</f>
        <v>0</v>
      </c>
    </row>
    <row r="488" spans="1:15" ht="12.75">
      <c r="A488" s="539">
        <f ca="1"/>
        <v>482</v>
      </c>
      <c r="B488" s="35" t="str">
        <f ca="1">IFERROR(__xludf.DUMMYFUNCTION("""COMPUTED_VALUE"""),"Tổ Hạ tầng Kiến Tường")</f>
        <v>Tổ Hạ tầng Kiến Tường</v>
      </c>
      <c r="C488" s="35" t="str">
        <f ca="1">IFERROR(__xludf.DUMMYFUNCTION("""COMPUTED_VALUE"""),"Nguyễn Hoàng Sang")</f>
        <v>Nguyễn Hoàng Sang</v>
      </c>
      <c r="D488" s="35">
        <f ca="1">IFERROR(__xludf.DUMMYFUNCTION("""COMPUTED_VALUE"""),852038869)</f>
        <v>852038869</v>
      </c>
      <c r="E488" s="35" t="str">
        <f ca="1">IFERROR(__xludf.DUMMYFUNCTION("""COMPUTED_VALUE"""),"sangnh.lan@vnpt.vn")</f>
        <v>sangnh.lan@vnpt.vn</v>
      </c>
      <c r="F488" s="540" t="str">
        <f ca="1">IFERROR(__xludf.DUMMYFUNCTION("""COMPUTED_VALUE"""),"Lần 2")</f>
        <v>Lần 2</v>
      </c>
      <c r="G488" s="278">
        <f ca="1">IFERROR(__xludf.DUMMYFUNCTION("""COMPUTED_VALUE"""),46211)</f>
        <v>46211</v>
      </c>
      <c r="H488" s="35">
        <f ca="1">IFERROR(__xludf.DUMMYFUNCTION("""COMPUTED_VALUE"""),92.3)</f>
        <v>92.3</v>
      </c>
      <c r="I488" s="35">
        <f ca="1">IFERROR(__xludf.DUMMYFUNCTION("""COMPUTED_VALUE"""),41.4)</f>
        <v>41.4</v>
      </c>
      <c r="J488" s="35">
        <f ca="1">IFERROR(__xludf.DUMMYFUNCTION("""COMPUTED_VALUE"""),96.8)</f>
        <v>96.8</v>
      </c>
      <c r="K488" s="35">
        <f ca="1">IFERROR(__xludf.DUMMYFUNCTION("""COMPUTED_VALUE"""),56)</f>
        <v>56</v>
      </c>
      <c r="M488" s="539">
        <f ca="1">IFERROR(__xludf.DUMMYFUNCTION("""COMPUTED_VALUE"""),1)</f>
        <v>1</v>
      </c>
      <c r="N488" s="539">
        <f ca="1">IFERROR(__xludf.DUMMYFUNCTION("""COMPUTED_VALUE"""),1)</f>
        <v>1</v>
      </c>
      <c r="O488" s="539">
        <f ca="1">IFERROR(__xludf.DUMMYFUNCTION("""COMPUTED_VALUE"""),0)</f>
        <v>0</v>
      </c>
    </row>
    <row r="489" spans="1:15" ht="12.75">
      <c r="A489" s="539">
        <f ca="1"/>
        <v>483</v>
      </c>
      <c r="B489" s="35" t="str">
        <f ca="1">IFERROR(__xludf.DUMMYFUNCTION("""COMPUTED_VALUE"""),"Tổ Hạ tầng Kiến Tường")</f>
        <v>Tổ Hạ tầng Kiến Tường</v>
      </c>
      <c r="C489" s="35" t="str">
        <f ca="1">IFERROR(__xludf.DUMMYFUNCTION("""COMPUTED_VALUE"""),"Nguyễn Hoàng Sang")</f>
        <v>Nguyễn Hoàng Sang</v>
      </c>
      <c r="D489" s="35">
        <f ca="1">IFERROR(__xludf.DUMMYFUNCTION("""COMPUTED_VALUE"""),852038869)</f>
        <v>852038869</v>
      </c>
      <c r="E489" s="35" t="str">
        <f ca="1">IFERROR(__xludf.DUMMYFUNCTION("""COMPUTED_VALUE"""),"sangnh.lan@vnpt.vn")</f>
        <v>sangnh.lan@vnpt.vn</v>
      </c>
      <c r="F489" s="540" t="str">
        <f ca="1">IFERROR(__xludf.DUMMYFUNCTION("""COMPUTED_VALUE"""),"Lần 3")</f>
        <v>Lần 3</v>
      </c>
      <c r="G489" s="278">
        <f ca="1">IFERROR(__xludf.DUMMYFUNCTION("""COMPUTED_VALUE"""),46211)</f>
        <v>46211</v>
      </c>
      <c r="H489" s="35">
        <f ca="1">IFERROR(__xludf.DUMMYFUNCTION("""COMPUTED_VALUE"""),116)</f>
        <v>116</v>
      </c>
      <c r="I489" s="35">
        <f ca="1">IFERROR(__xludf.DUMMYFUNCTION("""COMPUTED_VALUE"""),40.1)</f>
        <v>40.1</v>
      </c>
      <c r="J489" s="35">
        <f ca="1">IFERROR(__xludf.DUMMYFUNCTION("""COMPUTED_VALUE"""),118)</f>
        <v>118</v>
      </c>
      <c r="K489" s="35">
        <f ca="1">IFERROR(__xludf.DUMMYFUNCTION("""COMPUTED_VALUE"""),55.1)</f>
        <v>55.1</v>
      </c>
      <c r="M489" s="539">
        <f ca="1">IFERROR(__xludf.DUMMYFUNCTION("""COMPUTED_VALUE"""),1)</f>
        <v>1</v>
      </c>
      <c r="N489" s="539">
        <f ca="1">IFERROR(__xludf.DUMMYFUNCTION("""COMPUTED_VALUE"""),1)</f>
        <v>1</v>
      </c>
      <c r="O489" s="539">
        <f ca="1">IFERROR(__xludf.DUMMYFUNCTION("""COMPUTED_VALUE"""),0)</f>
        <v>0</v>
      </c>
    </row>
    <row r="490" spans="1:15" ht="12.75">
      <c r="A490" s="539">
        <f ca="1"/>
        <v>484</v>
      </c>
      <c r="B490" s="35" t="str">
        <f ca="1">IFERROR(__xludf.DUMMYFUNCTION("""COMPUTED_VALUE"""),"Tổ Hạ tầng Kiến Tường")</f>
        <v>Tổ Hạ tầng Kiến Tường</v>
      </c>
      <c r="C490" s="35" t="str">
        <f ca="1">IFERROR(__xludf.DUMMYFUNCTION("""COMPUTED_VALUE"""),"Nguyễn Hoàng Sang")</f>
        <v>Nguyễn Hoàng Sang</v>
      </c>
      <c r="D490" s="35">
        <f ca="1">IFERROR(__xludf.DUMMYFUNCTION("""COMPUTED_VALUE"""),852038869)</f>
        <v>852038869</v>
      </c>
      <c r="E490" s="35" t="str">
        <f ca="1">IFERROR(__xludf.DUMMYFUNCTION("""COMPUTED_VALUE"""),"sangnh.lan@vnpt.vn")</f>
        <v>sangnh.lan@vnpt.vn</v>
      </c>
      <c r="F490" s="540" t="str">
        <f ca="1">IFERROR(__xludf.DUMMYFUNCTION("""COMPUTED_VALUE"""),"Lần 4")</f>
        <v>Lần 4</v>
      </c>
      <c r="G490" s="278">
        <f ca="1">IFERROR(__xludf.DUMMYFUNCTION("""COMPUTED_VALUE"""),46211)</f>
        <v>46211</v>
      </c>
      <c r="H490" s="35">
        <f ca="1">IFERROR(__xludf.DUMMYFUNCTION("""COMPUTED_VALUE"""),113)</f>
        <v>113</v>
      </c>
      <c r="I490" s="35">
        <f ca="1">IFERROR(__xludf.DUMMYFUNCTION("""COMPUTED_VALUE"""),38.5)</f>
        <v>38.5</v>
      </c>
      <c r="J490" s="35">
        <f ca="1">IFERROR(__xludf.DUMMYFUNCTION("""COMPUTED_VALUE"""),107)</f>
        <v>107</v>
      </c>
      <c r="K490" s="35">
        <f ca="1">IFERROR(__xludf.DUMMYFUNCTION("""COMPUTED_VALUE"""),57.7)</f>
        <v>57.7</v>
      </c>
      <c r="M490" s="539">
        <f ca="1">IFERROR(__xludf.DUMMYFUNCTION("""COMPUTED_VALUE"""),1)</f>
        <v>1</v>
      </c>
      <c r="N490" s="539">
        <f ca="1">IFERROR(__xludf.DUMMYFUNCTION("""COMPUTED_VALUE"""),1)</f>
        <v>1</v>
      </c>
      <c r="O490" s="539">
        <f ca="1">IFERROR(__xludf.DUMMYFUNCTION("""COMPUTED_VALUE"""),0)</f>
        <v>0</v>
      </c>
    </row>
    <row r="491" spans="1:15" ht="12.75">
      <c r="A491" s="539">
        <f ca="1"/>
        <v>485</v>
      </c>
      <c r="B491" s="35" t="str">
        <f ca="1">IFERROR(__xludf.DUMMYFUNCTION("""COMPUTED_VALUE"""),"Tổ Hạ tầng Kiến Tường")</f>
        <v>Tổ Hạ tầng Kiến Tường</v>
      </c>
      <c r="C491" s="35" t="str">
        <f ca="1">IFERROR(__xludf.DUMMYFUNCTION("""COMPUTED_VALUE"""),"Nguyễn Hoàng Sang")</f>
        <v>Nguyễn Hoàng Sang</v>
      </c>
      <c r="D491" s="35">
        <f ca="1">IFERROR(__xludf.DUMMYFUNCTION("""COMPUTED_VALUE"""),852038869)</f>
        <v>852038869</v>
      </c>
      <c r="E491" s="35" t="str">
        <f ca="1">IFERROR(__xludf.DUMMYFUNCTION("""COMPUTED_VALUE"""),"sangnh.lan@vnpt.vn")</f>
        <v>sangnh.lan@vnpt.vn</v>
      </c>
      <c r="F491" s="540" t="str">
        <f ca="1">IFERROR(__xludf.DUMMYFUNCTION("""COMPUTED_VALUE"""),"Lần 5")</f>
        <v>Lần 5</v>
      </c>
      <c r="G491" s="278">
        <f ca="1">IFERROR(__xludf.DUMMYFUNCTION("""COMPUTED_VALUE"""),46211)</f>
        <v>46211</v>
      </c>
      <c r="H491" s="35">
        <f ca="1">IFERROR(__xludf.DUMMYFUNCTION("""COMPUTED_VALUE"""),124)</f>
        <v>124</v>
      </c>
      <c r="I491" s="35">
        <f ca="1">IFERROR(__xludf.DUMMYFUNCTION("""COMPUTED_VALUE"""),42.4)</f>
        <v>42.4</v>
      </c>
      <c r="J491" s="35">
        <f ca="1">IFERROR(__xludf.DUMMYFUNCTION("""COMPUTED_VALUE"""),104)</f>
        <v>104</v>
      </c>
      <c r="K491" s="35">
        <f ca="1">IFERROR(__xludf.DUMMYFUNCTION("""COMPUTED_VALUE"""),54.6)</f>
        <v>54.6</v>
      </c>
      <c r="M491" s="539">
        <f ca="1">IFERROR(__xludf.DUMMYFUNCTION("""COMPUTED_VALUE"""),1)</f>
        <v>1</v>
      </c>
      <c r="N491" s="539">
        <f ca="1">IFERROR(__xludf.DUMMYFUNCTION("""COMPUTED_VALUE"""),1)</f>
        <v>1</v>
      </c>
      <c r="O491" s="539">
        <f ca="1">IFERROR(__xludf.DUMMYFUNCTION("""COMPUTED_VALUE"""),0)</f>
        <v>0</v>
      </c>
    </row>
    <row r="492" spans="1:15" ht="12.75">
      <c r="A492" s="539">
        <f ca="1"/>
        <v>486</v>
      </c>
      <c r="B492" s="35" t="str">
        <f ca="1">IFERROR(__xludf.DUMMYFUNCTION("""COMPUTED_VALUE"""),"Tổ Hạ tầng Kiến Tường")</f>
        <v>Tổ Hạ tầng Kiến Tường</v>
      </c>
      <c r="C492" s="35" t="str">
        <f ca="1">IFERROR(__xludf.DUMMYFUNCTION("""COMPUTED_VALUE"""),"Nguyễn Hoàng Sang")</f>
        <v>Nguyễn Hoàng Sang</v>
      </c>
      <c r="D492" s="35">
        <f ca="1">IFERROR(__xludf.DUMMYFUNCTION("""COMPUTED_VALUE"""),852038869)</f>
        <v>852038869</v>
      </c>
      <c r="E492" s="35" t="str">
        <f ca="1">IFERROR(__xludf.DUMMYFUNCTION("""COMPUTED_VALUE"""),"sangnh.lan@vnpt.vn")</f>
        <v>sangnh.lan@vnpt.vn</v>
      </c>
      <c r="F492" s="540" t="str">
        <f ca="1">IFERROR(__xludf.DUMMYFUNCTION("""COMPUTED_VALUE"""),"Lần 6")</f>
        <v>Lần 6</v>
      </c>
      <c r="G492" s="278">
        <f ca="1">IFERROR(__xludf.DUMMYFUNCTION("""COMPUTED_VALUE"""),46211)</f>
        <v>46211</v>
      </c>
      <c r="H492" s="35">
        <f ca="1">IFERROR(__xludf.DUMMYFUNCTION("""COMPUTED_VALUE"""),113)</f>
        <v>113</v>
      </c>
      <c r="I492" s="35">
        <f ca="1">IFERROR(__xludf.DUMMYFUNCTION("""COMPUTED_VALUE"""),38.5)</f>
        <v>38.5</v>
      </c>
      <c r="J492" s="35">
        <f ca="1">IFERROR(__xludf.DUMMYFUNCTION("""COMPUTED_VALUE"""),133)</f>
        <v>133</v>
      </c>
      <c r="K492" s="35">
        <f ca="1">IFERROR(__xludf.DUMMYFUNCTION("""COMPUTED_VALUE"""),57.3)</f>
        <v>57.3</v>
      </c>
      <c r="M492" s="539">
        <f ca="1">IFERROR(__xludf.DUMMYFUNCTION("""COMPUTED_VALUE"""),1)</f>
        <v>1</v>
      </c>
      <c r="N492" s="539">
        <f ca="1">IFERROR(__xludf.DUMMYFUNCTION("""COMPUTED_VALUE"""),1)</f>
        <v>1</v>
      </c>
      <c r="O492" s="539">
        <f ca="1">IFERROR(__xludf.DUMMYFUNCTION("""COMPUTED_VALUE"""),0)</f>
        <v>0</v>
      </c>
    </row>
    <row r="493" spans="1:15" ht="12.75">
      <c r="A493" s="539">
        <f ca="1"/>
        <v>487</v>
      </c>
      <c r="B493" s="35" t="str">
        <f ca="1">IFERROR(__xludf.DUMMYFUNCTION("""COMPUTED_VALUE"""),"Tổ Hạ tầng Kiến Tường")</f>
        <v>Tổ Hạ tầng Kiến Tường</v>
      </c>
      <c r="C493" s="35" t="str">
        <f ca="1">IFERROR(__xludf.DUMMYFUNCTION("""COMPUTED_VALUE"""),"Nguyễn Hoàng Sang")</f>
        <v>Nguyễn Hoàng Sang</v>
      </c>
      <c r="D493" s="35">
        <f ca="1">IFERROR(__xludf.DUMMYFUNCTION("""COMPUTED_VALUE"""),852038869)</f>
        <v>852038869</v>
      </c>
      <c r="E493" s="35" t="str">
        <f ca="1">IFERROR(__xludf.DUMMYFUNCTION("""COMPUTED_VALUE"""),"sangnh.lan@vnpt.vn")</f>
        <v>sangnh.lan@vnpt.vn</v>
      </c>
      <c r="F493" s="540" t="str">
        <f ca="1">IFERROR(__xludf.DUMMYFUNCTION("""COMPUTED_VALUE"""),"Lần 7")</f>
        <v>Lần 7</v>
      </c>
      <c r="G493" s="278">
        <f ca="1">IFERROR(__xludf.DUMMYFUNCTION("""COMPUTED_VALUE"""),46211)</f>
        <v>46211</v>
      </c>
      <c r="H493" s="35">
        <f ca="1">IFERROR(__xludf.DUMMYFUNCTION("""COMPUTED_VALUE"""),116)</f>
        <v>116</v>
      </c>
      <c r="I493" s="35">
        <f ca="1">IFERROR(__xludf.DUMMYFUNCTION("""COMPUTED_VALUE"""),37.7)</f>
        <v>37.700000000000003</v>
      </c>
      <c r="J493" s="35">
        <f ca="1">IFERROR(__xludf.DUMMYFUNCTION("""COMPUTED_VALUE"""),120)</f>
        <v>120</v>
      </c>
      <c r="K493" s="35">
        <f ca="1">IFERROR(__xludf.DUMMYFUNCTION("""COMPUTED_VALUE"""),55.7)</f>
        <v>55.7</v>
      </c>
      <c r="M493" s="539">
        <f ca="1">IFERROR(__xludf.DUMMYFUNCTION("""COMPUTED_VALUE"""),1)</f>
        <v>1</v>
      </c>
      <c r="N493" s="539">
        <f ca="1">IFERROR(__xludf.DUMMYFUNCTION("""COMPUTED_VALUE"""),1)</f>
        <v>1</v>
      </c>
      <c r="O493" s="539">
        <f ca="1">IFERROR(__xludf.DUMMYFUNCTION("""COMPUTED_VALUE"""),0)</f>
        <v>0</v>
      </c>
    </row>
    <row r="494" spans="1:15" ht="12.75">
      <c r="A494" s="539">
        <f ca="1"/>
        <v>488</v>
      </c>
      <c r="B494" s="35" t="str">
        <f ca="1">IFERROR(__xludf.DUMMYFUNCTION("""COMPUTED_VALUE"""),"Tổ Hạ tầng Kiến Tường")</f>
        <v>Tổ Hạ tầng Kiến Tường</v>
      </c>
      <c r="C494" s="35" t="str">
        <f ca="1">IFERROR(__xludf.DUMMYFUNCTION("""COMPUTED_VALUE"""),"Nguyễn Hoàng Sang")</f>
        <v>Nguyễn Hoàng Sang</v>
      </c>
      <c r="D494" s="35">
        <f ca="1">IFERROR(__xludf.DUMMYFUNCTION("""COMPUTED_VALUE"""),852038869)</f>
        <v>852038869</v>
      </c>
      <c r="E494" s="35" t="str">
        <f ca="1">IFERROR(__xludf.DUMMYFUNCTION("""COMPUTED_VALUE"""),"sangnh.lan@vnpt.vn")</f>
        <v>sangnh.lan@vnpt.vn</v>
      </c>
      <c r="F494" s="540" t="str">
        <f ca="1">IFERROR(__xludf.DUMMYFUNCTION("""COMPUTED_VALUE"""),"Lần 8")</f>
        <v>Lần 8</v>
      </c>
      <c r="G494" s="278">
        <f ca="1">IFERROR(__xludf.DUMMYFUNCTION("""COMPUTED_VALUE"""),46211)</f>
        <v>46211</v>
      </c>
      <c r="H494" s="35">
        <f ca="1">IFERROR(__xludf.DUMMYFUNCTION("""COMPUTED_VALUE"""),84.3)</f>
        <v>84.3</v>
      </c>
      <c r="I494" s="35">
        <f ca="1">IFERROR(__xludf.DUMMYFUNCTION("""COMPUTED_VALUE"""),52.1)</f>
        <v>52.1</v>
      </c>
      <c r="J494" s="35">
        <f ca="1">IFERROR(__xludf.DUMMYFUNCTION("""COMPUTED_VALUE"""),85.1)</f>
        <v>85.1</v>
      </c>
      <c r="K494" s="35">
        <f ca="1">IFERROR(__xludf.DUMMYFUNCTION("""COMPUTED_VALUE"""),57.4)</f>
        <v>57.4</v>
      </c>
      <c r="M494" s="539">
        <f ca="1">IFERROR(__xludf.DUMMYFUNCTION("""COMPUTED_VALUE"""),1)</f>
        <v>1</v>
      </c>
      <c r="N494" s="539">
        <f ca="1">IFERROR(__xludf.DUMMYFUNCTION("""COMPUTED_VALUE"""),1)</f>
        <v>1</v>
      </c>
      <c r="O494" s="539">
        <f ca="1">IFERROR(__xludf.DUMMYFUNCTION("""COMPUTED_VALUE"""),0)</f>
        <v>0</v>
      </c>
    </row>
    <row r="495" spans="1:15" ht="12.75">
      <c r="A495" s="539">
        <f ca="1"/>
        <v>489</v>
      </c>
      <c r="B495" s="35" t="str">
        <f ca="1">IFERROR(__xludf.DUMMYFUNCTION("""COMPUTED_VALUE"""),"Tổ Hạ tầng Kiến Tường")</f>
        <v>Tổ Hạ tầng Kiến Tường</v>
      </c>
      <c r="C495" s="35" t="str">
        <f ca="1">IFERROR(__xludf.DUMMYFUNCTION("""COMPUTED_VALUE"""),"Nguyễn Hoàng Sang")</f>
        <v>Nguyễn Hoàng Sang</v>
      </c>
      <c r="D495" s="35">
        <f ca="1">IFERROR(__xludf.DUMMYFUNCTION("""COMPUTED_VALUE"""),852038869)</f>
        <v>852038869</v>
      </c>
      <c r="E495" s="35" t="str">
        <f ca="1">IFERROR(__xludf.DUMMYFUNCTION("""COMPUTED_VALUE"""),"sangnh.lan@vnpt.vn")</f>
        <v>sangnh.lan@vnpt.vn</v>
      </c>
      <c r="F495" s="540" t="str">
        <f ca="1">IFERROR(__xludf.DUMMYFUNCTION("""COMPUTED_VALUE"""),"Lần 9")</f>
        <v>Lần 9</v>
      </c>
      <c r="G495" s="278">
        <f ca="1">IFERROR(__xludf.DUMMYFUNCTION("""COMPUTED_VALUE"""),46212)</f>
        <v>46212</v>
      </c>
      <c r="H495" s="35">
        <f ca="1">IFERROR(__xludf.DUMMYFUNCTION("""COMPUTED_VALUE"""),108)</f>
        <v>108</v>
      </c>
      <c r="I495" s="35">
        <f ca="1">IFERROR(__xludf.DUMMYFUNCTION("""COMPUTED_VALUE"""),56.3)</f>
        <v>56.3</v>
      </c>
      <c r="J495" s="35">
        <f ca="1">IFERROR(__xludf.DUMMYFUNCTION("""COMPUTED_VALUE"""),120)</f>
        <v>120</v>
      </c>
      <c r="K495" s="35">
        <f ca="1">IFERROR(__xludf.DUMMYFUNCTION("""COMPUTED_VALUE"""),54.6)</f>
        <v>54.6</v>
      </c>
      <c r="M495" s="539">
        <f ca="1">IFERROR(__xludf.DUMMYFUNCTION("""COMPUTED_VALUE"""),1)</f>
        <v>1</v>
      </c>
      <c r="N495" s="539">
        <f ca="1">IFERROR(__xludf.DUMMYFUNCTION("""COMPUTED_VALUE"""),1)</f>
        <v>1</v>
      </c>
      <c r="O495" s="539">
        <f ca="1">IFERROR(__xludf.DUMMYFUNCTION("""COMPUTED_VALUE"""),0)</f>
        <v>0</v>
      </c>
    </row>
    <row r="496" spans="1:15" ht="12.75">
      <c r="A496" s="539">
        <f ca="1"/>
        <v>490</v>
      </c>
      <c r="B496" s="35" t="str">
        <f ca="1">IFERROR(__xludf.DUMMYFUNCTION("""COMPUTED_VALUE"""),"Tổ Hạ tầng Kiến Tường")</f>
        <v>Tổ Hạ tầng Kiến Tường</v>
      </c>
      <c r="C496" s="35" t="str">
        <f ca="1">IFERROR(__xludf.DUMMYFUNCTION("""COMPUTED_VALUE"""),"Nguyễn Hoàng Sang")</f>
        <v>Nguyễn Hoàng Sang</v>
      </c>
      <c r="D496" s="35">
        <f ca="1">IFERROR(__xludf.DUMMYFUNCTION("""COMPUTED_VALUE"""),852038869)</f>
        <v>852038869</v>
      </c>
      <c r="E496" s="35" t="str">
        <f ca="1">IFERROR(__xludf.DUMMYFUNCTION("""COMPUTED_VALUE"""),"sangnh.lan@vnpt.vn")</f>
        <v>sangnh.lan@vnpt.vn</v>
      </c>
      <c r="F496" s="540" t="str">
        <f ca="1">IFERROR(__xludf.DUMMYFUNCTION("""COMPUTED_VALUE"""),"Lần 10")</f>
        <v>Lần 10</v>
      </c>
      <c r="G496" s="278">
        <f ca="1">IFERROR(__xludf.DUMMYFUNCTION("""COMPUTED_VALUE"""),46212)</f>
        <v>46212</v>
      </c>
      <c r="H496" s="35">
        <f ca="1">IFERROR(__xludf.DUMMYFUNCTION("""COMPUTED_VALUE"""),101)</f>
        <v>101</v>
      </c>
      <c r="I496" s="35">
        <f ca="1">IFERROR(__xludf.DUMMYFUNCTION("""COMPUTED_VALUE"""),53.3)</f>
        <v>53.3</v>
      </c>
      <c r="J496" s="35">
        <f ca="1">IFERROR(__xludf.DUMMYFUNCTION("""COMPUTED_VALUE"""),70.8)</f>
        <v>70.8</v>
      </c>
      <c r="K496" s="35">
        <f ca="1">IFERROR(__xludf.DUMMYFUNCTION("""COMPUTED_VALUE"""),37.8)</f>
        <v>37.799999999999997</v>
      </c>
      <c r="M496" s="539">
        <f ca="1">IFERROR(__xludf.DUMMYFUNCTION("""COMPUTED_VALUE"""),1)</f>
        <v>1</v>
      </c>
      <c r="N496" s="539">
        <f ca="1">IFERROR(__xludf.DUMMYFUNCTION("""COMPUTED_VALUE"""),1)</f>
        <v>1</v>
      </c>
      <c r="O496" s="539">
        <f ca="1">IFERROR(__xludf.DUMMYFUNCTION("""COMPUTED_VALUE"""),0)</f>
        <v>0</v>
      </c>
    </row>
    <row r="497" spans="1:15" ht="12.75">
      <c r="A497" s="539">
        <f ca="1"/>
        <v>491</v>
      </c>
      <c r="B497" s="35" t="str">
        <f ca="1">IFERROR(__xludf.DUMMYFUNCTION("""COMPUTED_VALUE"""),"Tổ Hạ tầng Kiến Tường")</f>
        <v>Tổ Hạ tầng Kiến Tường</v>
      </c>
      <c r="C497" s="35" t="str">
        <f ca="1">IFERROR(__xludf.DUMMYFUNCTION("""COMPUTED_VALUE"""),"Nguyễn Hoàng Sang")</f>
        <v>Nguyễn Hoàng Sang</v>
      </c>
      <c r="D497" s="35">
        <f ca="1">IFERROR(__xludf.DUMMYFUNCTION("""COMPUTED_VALUE"""),852038869)</f>
        <v>852038869</v>
      </c>
      <c r="E497" s="35" t="str">
        <f ca="1">IFERROR(__xludf.DUMMYFUNCTION("""COMPUTED_VALUE"""),"sangnh.lan@vnpt.vn")</f>
        <v>sangnh.lan@vnpt.vn</v>
      </c>
      <c r="F497" s="540" t="str">
        <f ca="1">IFERROR(__xludf.DUMMYFUNCTION("""COMPUTED_VALUE"""),"Lần 11")</f>
        <v>Lần 11</v>
      </c>
      <c r="G497" s="278">
        <f ca="1">IFERROR(__xludf.DUMMYFUNCTION("""COMPUTED_VALUE"""),46212)</f>
        <v>46212</v>
      </c>
      <c r="H497" s="35">
        <f ca="1">IFERROR(__xludf.DUMMYFUNCTION("""COMPUTED_VALUE"""),106)</f>
        <v>106</v>
      </c>
      <c r="I497" s="35">
        <f ca="1">IFERROR(__xludf.DUMMYFUNCTION("""COMPUTED_VALUE"""),51.6)</f>
        <v>51.6</v>
      </c>
      <c r="J497" s="35">
        <f ca="1">IFERROR(__xludf.DUMMYFUNCTION("""COMPUTED_VALUE"""),102)</f>
        <v>102</v>
      </c>
      <c r="K497" s="35">
        <f ca="1">IFERROR(__xludf.DUMMYFUNCTION("""COMPUTED_VALUE"""),57.7)</f>
        <v>57.7</v>
      </c>
      <c r="M497" s="539">
        <f ca="1">IFERROR(__xludf.DUMMYFUNCTION("""COMPUTED_VALUE"""),1)</f>
        <v>1</v>
      </c>
      <c r="N497" s="539">
        <f ca="1">IFERROR(__xludf.DUMMYFUNCTION("""COMPUTED_VALUE"""),1)</f>
        <v>1</v>
      </c>
      <c r="O497" s="539">
        <f ca="1">IFERROR(__xludf.DUMMYFUNCTION("""COMPUTED_VALUE"""),0)</f>
        <v>0</v>
      </c>
    </row>
    <row r="498" spans="1:15" ht="12.75">
      <c r="A498" s="539">
        <f ca="1"/>
        <v>492</v>
      </c>
      <c r="B498" s="35" t="str">
        <f ca="1">IFERROR(__xludf.DUMMYFUNCTION("""COMPUTED_VALUE"""),"Tổ Hạ tầng Kiến Tường")</f>
        <v>Tổ Hạ tầng Kiến Tường</v>
      </c>
      <c r="C498" s="35" t="str">
        <f ca="1">IFERROR(__xludf.DUMMYFUNCTION("""COMPUTED_VALUE"""),"Nguyễn Hoàng Sang")</f>
        <v>Nguyễn Hoàng Sang</v>
      </c>
      <c r="D498" s="35">
        <f ca="1">IFERROR(__xludf.DUMMYFUNCTION("""COMPUTED_VALUE"""),852038869)</f>
        <v>852038869</v>
      </c>
      <c r="E498" s="35" t="str">
        <f ca="1">IFERROR(__xludf.DUMMYFUNCTION("""COMPUTED_VALUE"""),"sangnh.lan@vnpt.vn")</f>
        <v>sangnh.lan@vnpt.vn</v>
      </c>
      <c r="F498" s="540" t="str">
        <f ca="1">IFERROR(__xludf.DUMMYFUNCTION("""COMPUTED_VALUE"""),"Lần 12")</f>
        <v>Lần 12</v>
      </c>
      <c r="G498" s="278">
        <f ca="1">IFERROR(__xludf.DUMMYFUNCTION("""COMPUTED_VALUE"""),46212)</f>
        <v>46212</v>
      </c>
      <c r="H498" s="35">
        <f ca="1">IFERROR(__xludf.DUMMYFUNCTION("""COMPUTED_VALUE"""),107)</f>
        <v>107</v>
      </c>
      <c r="I498" s="35">
        <f ca="1">IFERROR(__xludf.DUMMYFUNCTION("""COMPUTED_VALUE"""),54.2)</f>
        <v>54.2</v>
      </c>
      <c r="J498" s="35">
        <f ca="1">IFERROR(__xludf.DUMMYFUNCTION("""COMPUTED_VALUE"""),107)</f>
        <v>107</v>
      </c>
      <c r="K498" s="35">
        <f ca="1">IFERROR(__xludf.DUMMYFUNCTION("""COMPUTED_VALUE"""),52.8)</f>
        <v>52.8</v>
      </c>
      <c r="M498" s="539">
        <f ca="1">IFERROR(__xludf.DUMMYFUNCTION("""COMPUTED_VALUE"""),1)</f>
        <v>1</v>
      </c>
      <c r="N498" s="539">
        <f ca="1">IFERROR(__xludf.DUMMYFUNCTION("""COMPUTED_VALUE"""),1)</f>
        <v>1</v>
      </c>
      <c r="O498" s="539">
        <f ca="1">IFERROR(__xludf.DUMMYFUNCTION("""COMPUTED_VALUE"""),0)</f>
        <v>0</v>
      </c>
    </row>
    <row r="499" spans="1:15" ht="12.75">
      <c r="A499" s="539">
        <f ca="1"/>
        <v>493</v>
      </c>
      <c r="B499" s="35" t="str">
        <f ca="1">IFERROR(__xludf.DUMMYFUNCTION("""COMPUTED_VALUE"""),"Tổ Hạ tầng Kiến Tường")</f>
        <v>Tổ Hạ tầng Kiến Tường</v>
      </c>
      <c r="C499" s="35" t="str">
        <f ca="1">IFERROR(__xludf.DUMMYFUNCTION("""COMPUTED_VALUE"""),"Nguyễn Hoàng Sang")</f>
        <v>Nguyễn Hoàng Sang</v>
      </c>
      <c r="D499" s="35">
        <f ca="1">IFERROR(__xludf.DUMMYFUNCTION("""COMPUTED_VALUE"""),852038869)</f>
        <v>852038869</v>
      </c>
      <c r="E499" s="35" t="str">
        <f ca="1">IFERROR(__xludf.DUMMYFUNCTION("""COMPUTED_VALUE"""),"sangnh.lan@vnpt.vn")</f>
        <v>sangnh.lan@vnpt.vn</v>
      </c>
      <c r="F499" s="540" t="str">
        <f ca="1">IFERROR(__xludf.DUMMYFUNCTION("""COMPUTED_VALUE"""),"Lần 13")</f>
        <v>Lần 13</v>
      </c>
      <c r="G499" s="278">
        <f ca="1">IFERROR(__xludf.DUMMYFUNCTION("""COMPUTED_VALUE"""),46212)</f>
        <v>46212</v>
      </c>
      <c r="H499" s="35">
        <f ca="1">IFERROR(__xludf.DUMMYFUNCTION("""COMPUTED_VALUE"""),94.8)</f>
        <v>94.8</v>
      </c>
      <c r="I499" s="35">
        <f ca="1">IFERROR(__xludf.DUMMYFUNCTION("""COMPUTED_VALUE"""),53.2)</f>
        <v>53.2</v>
      </c>
      <c r="J499" s="35">
        <f ca="1">IFERROR(__xludf.DUMMYFUNCTION("""COMPUTED_VALUE"""),119)</f>
        <v>119</v>
      </c>
      <c r="K499" s="35">
        <f ca="1">IFERROR(__xludf.DUMMYFUNCTION("""COMPUTED_VALUE"""),58.4)</f>
        <v>58.4</v>
      </c>
      <c r="M499" s="539">
        <f ca="1">IFERROR(__xludf.DUMMYFUNCTION("""COMPUTED_VALUE"""),1)</f>
        <v>1</v>
      </c>
      <c r="N499" s="539">
        <f ca="1">IFERROR(__xludf.DUMMYFUNCTION("""COMPUTED_VALUE"""),1)</f>
        <v>1</v>
      </c>
      <c r="O499" s="539">
        <f ca="1">IFERROR(__xludf.DUMMYFUNCTION("""COMPUTED_VALUE"""),0)</f>
        <v>0</v>
      </c>
    </row>
    <row r="500" spans="1:15" ht="12.75">
      <c r="A500" s="539">
        <f ca="1"/>
        <v>494</v>
      </c>
      <c r="B500" s="35" t="str">
        <f ca="1">IFERROR(__xludf.DUMMYFUNCTION("""COMPUTED_VALUE"""),"Tổ Hạ tầng Kiến Tường")</f>
        <v>Tổ Hạ tầng Kiến Tường</v>
      </c>
      <c r="C500" s="35" t="str">
        <f ca="1">IFERROR(__xludf.DUMMYFUNCTION("""COMPUTED_VALUE"""),"Nguyễn Hoàng Sang")</f>
        <v>Nguyễn Hoàng Sang</v>
      </c>
      <c r="D500" s="35">
        <f ca="1">IFERROR(__xludf.DUMMYFUNCTION("""COMPUTED_VALUE"""),852038869)</f>
        <v>852038869</v>
      </c>
      <c r="E500" s="35" t="str">
        <f ca="1">IFERROR(__xludf.DUMMYFUNCTION("""COMPUTED_VALUE"""),"sangnh.lan@vnpt.vn")</f>
        <v>sangnh.lan@vnpt.vn</v>
      </c>
      <c r="F500" s="540" t="str">
        <f ca="1">IFERROR(__xludf.DUMMYFUNCTION("""COMPUTED_VALUE"""),"Lần 14")</f>
        <v>Lần 14</v>
      </c>
      <c r="G500" s="278">
        <f ca="1">IFERROR(__xludf.DUMMYFUNCTION("""COMPUTED_VALUE"""),46212)</f>
        <v>46212</v>
      </c>
      <c r="H500" s="35">
        <f ca="1">IFERROR(__xludf.DUMMYFUNCTION("""COMPUTED_VALUE"""),89.4)</f>
        <v>89.4</v>
      </c>
      <c r="I500" s="35">
        <f ca="1">IFERROR(__xludf.DUMMYFUNCTION("""COMPUTED_VALUE"""),52.8)</f>
        <v>52.8</v>
      </c>
      <c r="J500" s="35">
        <f ca="1">IFERROR(__xludf.DUMMYFUNCTION("""COMPUTED_VALUE"""),117)</f>
        <v>117</v>
      </c>
      <c r="K500" s="35">
        <f ca="1">IFERROR(__xludf.DUMMYFUNCTION("""COMPUTED_VALUE"""),58.6)</f>
        <v>58.6</v>
      </c>
      <c r="M500" s="539">
        <f ca="1">IFERROR(__xludf.DUMMYFUNCTION("""COMPUTED_VALUE"""),1)</f>
        <v>1</v>
      </c>
      <c r="N500" s="539">
        <f ca="1">IFERROR(__xludf.DUMMYFUNCTION("""COMPUTED_VALUE"""),1)</f>
        <v>1</v>
      </c>
      <c r="O500" s="539">
        <f ca="1">IFERROR(__xludf.DUMMYFUNCTION("""COMPUTED_VALUE"""),0)</f>
        <v>0</v>
      </c>
    </row>
    <row r="501" spans="1:15" ht="12.75">
      <c r="A501" s="539">
        <f ca="1"/>
        <v>495</v>
      </c>
      <c r="B501" s="35" t="str">
        <f ca="1">IFERROR(__xludf.DUMMYFUNCTION("""COMPUTED_VALUE"""),"Tổ Hạ tầng Kiến Tường")</f>
        <v>Tổ Hạ tầng Kiến Tường</v>
      </c>
      <c r="C501" s="35" t="str">
        <f ca="1">IFERROR(__xludf.DUMMYFUNCTION("""COMPUTED_VALUE"""),"Nguyễn Hoàng Sang")</f>
        <v>Nguyễn Hoàng Sang</v>
      </c>
      <c r="D501" s="35">
        <f ca="1">IFERROR(__xludf.DUMMYFUNCTION("""COMPUTED_VALUE"""),852038869)</f>
        <v>852038869</v>
      </c>
      <c r="E501" s="35" t="str">
        <f ca="1">IFERROR(__xludf.DUMMYFUNCTION("""COMPUTED_VALUE"""),"sangnh.lan@vnpt.vn")</f>
        <v>sangnh.lan@vnpt.vn</v>
      </c>
      <c r="F501" s="540" t="str">
        <f ca="1">IFERROR(__xludf.DUMMYFUNCTION("""COMPUTED_VALUE"""),"Lần 15")</f>
        <v>Lần 15</v>
      </c>
      <c r="G501" s="278">
        <f ca="1">IFERROR(__xludf.DUMMYFUNCTION("""COMPUTED_VALUE"""),46212)</f>
        <v>46212</v>
      </c>
      <c r="H501" s="35">
        <f ca="1">IFERROR(__xludf.DUMMYFUNCTION("""COMPUTED_VALUE"""),84.3)</f>
        <v>84.3</v>
      </c>
      <c r="I501" s="35">
        <f ca="1">IFERROR(__xludf.DUMMYFUNCTION("""COMPUTED_VALUE"""),60.1)</f>
        <v>60.1</v>
      </c>
      <c r="J501" s="35">
        <f ca="1">IFERROR(__xludf.DUMMYFUNCTION("""COMPUTED_VALUE"""),78.8)</f>
        <v>78.8</v>
      </c>
      <c r="K501" s="35">
        <f ca="1">IFERROR(__xludf.DUMMYFUNCTION("""COMPUTED_VALUE"""),57.6)</f>
        <v>57.6</v>
      </c>
      <c r="M501" s="539">
        <f ca="1">IFERROR(__xludf.DUMMYFUNCTION("""COMPUTED_VALUE"""),1)</f>
        <v>1</v>
      </c>
      <c r="N501" s="539">
        <f ca="1">IFERROR(__xludf.DUMMYFUNCTION("""COMPUTED_VALUE"""),1)</f>
        <v>1</v>
      </c>
      <c r="O501" s="539">
        <f ca="1">IFERROR(__xludf.DUMMYFUNCTION("""COMPUTED_VALUE"""),0)</f>
        <v>0</v>
      </c>
    </row>
    <row r="502" spans="1:15" ht="12.75">
      <c r="A502" s="539">
        <f ca="1"/>
        <v>496</v>
      </c>
      <c r="B502" s="35" t="str">
        <f ca="1">IFERROR(__xludf.DUMMYFUNCTION("""COMPUTED_VALUE"""),"Tổ Hạ tầng Kiến Tường")</f>
        <v>Tổ Hạ tầng Kiến Tường</v>
      </c>
      <c r="C502" s="35" t="str">
        <f ca="1">IFERROR(__xludf.DUMMYFUNCTION("""COMPUTED_VALUE"""),"Nguyễn Hoàng Sang")</f>
        <v>Nguyễn Hoàng Sang</v>
      </c>
      <c r="D502" s="35">
        <f ca="1">IFERROR(__xludf.DUMMYFUNCTION("""COMPUTED_VALUE"""),852038869)</f>
        <v>852038869</v>
      </c>
      <c r="E502" s="35" t="str">
        <f ca="1">IFERROR(__xludf.DUMMYFUNCTION("""COMPUTED_VALUE"""),"sangnh.lan@vnpt.vn")</f>
        <v>sangnh.lan@vnpt.vn</v>
      </c>
      <c r="F502" s="540" t="str">
        <f ca="1">IFERROR(__xludf.DUMMYFUNCTION("""COMPUTED_VALUE"""),"Lần 16")</f>
        <v>Lần 16</v>
      </c>
      <c r="G502" s="278">
        <f ca="1">IFERROR(__xludf.DUMMYFUNCTION("""COMPUTED_VALUE"""),46212)</f>
        <v>46212</v>
      </c>
      <c r="H502" s="35">
        <f ca="1">IFERROR(__xludf.DUMMYFUNCTION("""COMPUTED_VALUE"""),123)</f>
        <v>123</v>
      </c>
      <c r="I502" s="35">
        <f ca="1">IFERROR(__xludf.DUMMYFUNCTION("""COMPUTED_VALUE"""),53.6)</f>
        <v>53.6</v>
      </c>
      <c r="J502" s="35">
        <f ca="1">IFERROR(__xludf.DUMMYFUNCTION("""COMPUTED_VALUE"""),77.8)</f>
        <v>77.8</v>
      </c>
      <c r="K502" s="35">
        <f ca="1">IFERROR(__xludf.DUMMYFUNCTION("""COMPUTED_VALUE"""),57.6)</f>
        <v>57.6</v>
      </c>
      <c r="M502" s="539">
        <f ca="1">IFERROR(__xludf.DUMMYFUNCTION("""COMPUTED_VALUE"""),1)</f>
        <v>1</v>
      </c>
      <c r="N502" s="539">
        <f ca="1">IFERROR(__xludf.DUMMYFUNCTION("""COMPUTED_VALUE"""),1)</f>
        <v>1</v>
      </c>
      <c r="O502" s="539">
        <f ca="1">IFERROR(__xludf.DUMMYFUNCTION("""COMPUTED_VALUE"""),0)</f>
        <v>0</v>
      </c>
    </row>
    <row r="503" spans="1:15" ht="12.75">
      <c r="A503" s="539">
        <f ca="1"/>
        <v>497</v>
      </c>
      <c r="B503" s="35" t="str">
        <f ca="1">IFERROR(__xludf.DUMMYFUNCTION("""COMPUTED_VALUE"""),"Tổ Hạ tầng Kiến Tường")</f>
        <v>Tổ Hạ tầng Kiến Tường</v>
      </c>
      <c r="C503" s="35" t="str">
        <f ca="1">IFERROR(__xludf.DUMMYFUNCTION("""COMPUTED_VALUE"""),"Lê Xuân Trình")</f>
        <v>Lê Xuân Trình</v>
      </c>
      <c r="D503" s="35">
        <f ca="1">IFERROR(__xludf.DUMMYFUNCTION("""COMPUTED_VALUE"""),917773898)</f>
        <v>917773898</v>
      </c>
      <c r="E503" s="35" t="str">
        <f ca="1">IFERROR(__xludf.DUMMYFUNCTION("""COMPUTED_VALUE"""),"trinhlx.lan@vnpt.vn")</f>
        <v>trinhlx.lan@vnpt.vn</v>
      </c>
      <c r="F503" s="540" t="str">
        <f ca="1">IFERROR(__xludf.DUMMYFUNCTION("""COMPUTED_VALUE"""),"Lần 1")</f>
        <v>Lần 1</v>
      </c>
      <c r="G503" s="278"/>
      <c r="H503" s="35"/>
      <c r="I503" s="35"/>
      <c r="J503" s="35"/>
      <c r="K503" s="35"/>
      <c r="M503" s="539">
        <f ca="1">IFERROR(__xludf.DUMMYFUNCTION("""COMPUTED_VALUE"""),0)</f>
        <v>0</v>
      </c>
      <c r="N503" s="539">
        <f ca="1">IFERROR(__xludf.DUMMYFUNCTION("""COMPUTED_VALUE"""),0)</f>
        <v>0</v>
      </c>
      <c r="O503" s="539">
        <f ca="1">IFERROR(__xludf.DUMMYFUNCTION("""COMPUTED_VALUE"""),0)</f>
        <v>0</v>
      </c>
    </row>
    <row r="504" spans="1:15" ht="12.75">
      <c r="A504" s="539">
        <f ca="1"/>
        <v>498</v>
      </c>
      <c r="B504" s="35" t="str">
        <f ca="1">IFERROR(__xludf.DUMMYFUNCTION("""COMPUTED_VALUE"""),"Tổ Hạ tầng Kiến Tường")</f>
        <v>Tổ Hạ tầng Kiến Tường</v>
      </c>
      <c r="C504" s="35" t="str">
        <f ca="1">IFERROR(__xludf.DUMMYFUNCTION("""COMPUTED_VALUE"""),"Lê Xuân Trình")</f>
        <v>Lê Xuân Trình</v>
      </c>
      <c r="D504" s="35">
        <f ca="1">IFERROR(__xludf.DUMMYFUNCTION("""COMPUTED_VALUE"""),917773898)</f>
        <v>917773898</v>
      </c>
      <c r="E504" s="35" t="str">
        <f ca="1">IFERROR(__xludf.DUMMYFUNCTION("""COMPUTED_VALUE"""),"trinhlx.lan@vnpt.vn")</f>
        <v>trinhlx.lan@vnpt.vn</v>
      </c>
      <c r="F504" s="540" t="str">
        <f ca="1">IFERROR(__xludf.DUMMYFUNCTION("""COMPUTED_VALUE"""),"Lần 2")</f>
        <v>Lần 2</v>
      </c>
      <c r="G504" s="278"/>
      <c r="H504" s="35"/>
      <c r="I504" s="35"/>
      <c r="J504" s="35"/>
      <c r="K504" s="35"/>
      <c r="M504" s="539">
        <f ca="1">IFERROR(__xludf.DUMMYFUNCTION("""COMPUTED_VALUE"""),0)</f>
        <v>0</v>
      </c>
      <c r="N504" s="539">
        <f ca="1">IFERROR(__xludf.DUMMYFUNCTION("""COMPUTED_VALUE"""),0)</f>
        <v>0</v>
      </c>
      <c r="O504" s="539">
        <f ca="1">IFERROR(__xludf.DUMMYFUNCTION("""COMPUTED_VALUE"""),0)</f>
        <v>0</v>
      </c>
    </row>
    <row r="505" spans="1:15" ht="12.75">
      <c r="A505" s="539">
        <f ca="1"/>
        <v>499</v>
      </c>
      <c r="B505" s="35" t="str">
        <f ca="1">IFERROR(__xludf.DUMMYFUNCTION("""COMPUTED_VALUE"""),"Tổ Hạ tầng Kiến Tường")</f>
        <v>Tổ Hạ tầng Kiến Tường</v>
      </c>
      <c r="C505" s="35" t="str">
        <f ca="1">IFERROR(__xludf.DUMMYFUNCTION("""COMPUTED_VALUE"""),"Lê Xuân Trình")</f>
        <v>Lê Xuân Trình</v>
      </c>
      <c r="D505" s="35">
        <f ca="1">IFERROR(__xludf.DUMMYFUNCTION("""COMPUTED_VALUE"""),917773898)</f>
        <v>917773898</v>
      </c>
      <c r="E505" s="35" t="str">
        <f ca="1">IFERROR(__xludf.DUMMYFUNCTION("""COMPUTED_VALUE"""),"trinhlx.lan@vnpt.vn")</f>
        <v>trinhlx.lan@vnpt.vn</v>
      </c>
      <c r="F505" s="540" t="str">
        <f ca="1">IFERROR(__xludf.DUMMYFUNCTION("""COMPUTED_VALUE"""),"Lần 3")</f>
        <v>Lần 3</v>
      </c>
      <c r="G505" s="278"/>
      <c r="H505" s="35"/>
      <c r="I505" s="35"/>
      <c r="J505" s="35"/>
      <c r="K505" s="35"/>
      <c r="M505" s="539">
        <f ca="1">IFERROR(__xludf.DUMMYFUNCTION("""COMPUTED_VALUE"""),0)</f>
        <v>0</v>
      </c>
      <c r="N505" s="539">
        <f ca="1">IFERROR(__xludf.DUMMYFUNCTION("""COMPUTED_VALUE"""),0)</f>
        <v>0</v>
      </c>
      <c r="O505" s="539">
        <f ca="1">IFERROR(__xludf.DUMMYFUNCTION("""COMPUTED_VALUE"""),0)</f>
        <v>0</v>
      </c>
    </row>
    <row r="506" spans="1:15" ht="12.75">
      <c r="A506" s="539">
        <f ca="1"/>
        <v>500</v>
      </c>
      <c r="B506" s="35" t="str">
        <f ca="1">IFERROR(__xludf.DUMMYFUNCTION("""COMPUTED_VALUE"""),"Tổ Hạ tầng Kiến Tường")</f>
        <v>Tổ Hạ tầng Kiến Tường</v>
      </c>
      <c r="C506" s="35" t="str">
        <f ca="1">IFERROR(__xludf.DUMMYFUNCTION("""COMPUTED_VALUE"""),"Lê Xuân Trình")</f>
        <v>Lê Xuân Trình</v>
      </c>
      <c r="D506" s="35">
        <f ca="1">IFERROR(__xludf.DUMMYFUNCTION("""COMPUTED_VALUE"""),917773898)</f>
        <v>917773898</v>
      </c>
      <c r="E506" s="35" t="str">
        <f ca="1">IFERROR(__xludf.DUMMYFUNCTION("""COMPUTED_VALUE"""),"trinhlx.lan@vnpt.vn")</f>
        <v>trinhlx.lan@vnpt.vn</v>
      </c>
      <c r="F506" s="540" t="str">
        <f ca="1">IFERROR(__xludf.DUMMYFUNCTION("""COMPUTED_VALUE"""),"Lần 4")</f>
        <v>Lần 4</v>
      </c>
      <c r="G506" s="278"/>
      <c r="H506" s="35"/>
      <c r="I506" s="35"/>
      <c r="J506" s="35"/>
      <c r="K506" s="35"/>
      <c r="M506" s="539">
        <f ca="1">IFERROR(__xludf.DUMMYFUNCTION("""COMPUTED_VALUE"""),0)</f>
        <v>0</v>
      </c>
      <c r="N506" s="539">
        <f ca="1">IFERROR(__xludf.DUMMYFUNCTION("""COMPUTED_VALUE"""),0)</f>
        <v>0</v>
      </c>
      <c r="O506" s="539">
        <f ca="1">IFERROR(__xludf.DUMMYFUNCTION("""COMPUTED_VALUE"""),0)</f>
        <v>0</v>
      </c>
    </row>
    <row r="507" spans="1:15" ht="12.75">
      <c r="A507" s="539">
        <f ca="1"/>
        <v>501</v>
      </c>
      <c r="B507" s="35" t="str">
        <f ca="1">IFERROR(__xludf.DUMMYFUNCTION("""COMPUTED_VALUE"""),"Tổ Hạ tầng Kiến Tường")</f>
        <v>Tổ Hạ tầng Kiến Tường</v>
      </c>
      <c r="C507" s="35" t="str">
        <f ca="1">IFERROR(__xludf.DUMMYFUNCTION("""COMPUTED_VALUE"""),"Lê Xuân Trình")</f>
        <v>Lê Xuân Trình</v>
      </c>
      <c r="D507" s="35">
        <f ca="1">IFERROR(__xludf.DUMMYFUNCTION("""COMPUTED_VALUE"""),917773898)</f>
        <v>917773898</v>
      </c>
      <c r="E507" s="35" t="str">
        <f ca="1">IFERROR(__xludf.DUMMYFUNCTION("""COMPUTED_VALUE"""),"trinhlx.lan@vnpt.vn")</f>
        <v>trinhlx.lan@vnpt.vn</v>
      </c>
      <c r="F507" s="540" t="str">
        <f ca="1">IFERROR(__xludf.DUMMYFUNCTION("""COMPUTED_VALUE"""),"Lần 5")</f>
        <v>Lần 5</v>
      </c>
      <c r="G507" s="278"/>
      <c r="H507" s="35"/>
      <c r="I507" s="35"/>
      <c r="J507" s="35"/>
      <c r="K507" s="35"/>
      <c r="M507" s="539">
        <f ca="1">IFERROR(__xludf.DUMMYFUNCTION("""COMPUTED_VALUE"""),0)</f>
        <v>0</v>
      </c>
      <c r="N507" s="539">
        <f ca="1">IFERROR(__xludf.DUMMYFUNCTION("""COMPUTED_VALUE"""),0)</f>
        <v>0</v>
      </c>
      <c r="O507" s="539">
        <f ca="1">IFERROR(__xludf.DUMMYFUNCTION("""COMPUTED_VALUE"""),0)</f>
        <v>0</v>
      </c>
    </row>
    <row r="508" spans="1:15" ht="12.75">
      <c r="A508" s="539">
        <f ca="1"/>
        <v>502</v>
      </c>
      <c r="B508" s="35" t="str">
        <f ca="1">IFERROR(__xludf.DUMMYFUNCTION("""COMPUTED_VALUE"""),"Tổ Hạ tầng Kiến Tường")</f>
        <v>Tổ Hạ tầng Kiến Tường</v>
      </c>
      <c r="C508" s="35" t="str">
        <f ca="1">IFERROR(__xludf.DUMMYFUNCTION("""COMPUTED_VALUE"""),"Lê Xuân Trình")</f>
        <v>Lê Xuân Trình</v>
      </c>
      <c r="D508" s="35">
        <f ca="1">IFERROR(__xludf.DUMMYFUNCTION("""COMPUTED_VALUE"""),917773898)</f>
        <v>917773898</v>
      </c>
      <c r="E508" s="35" t="str">
        <f ca="1">IFERROR(__xludf.DUMMYFUNCTION("""COMPUTED_VALUE"""),"trinhlx.lan@vnpt.vn")</f>
        <v>trinhlx.lan@vnpt.vn</v>
      </c>
      <c r="F508" s="540" t="str">
        <f ca="1">IFERROR(__xludf.DUMMYFUNCTION("""COMPUTED_VALUE"""),"Lần 6")</f>
        <v>Lần 6</v>
      </c>
      <c r="G508" s="278"/>
      <c r="H508" s="35"/>
      <c r="I508" s="35"/>
      <c r="J508" s="35"/>
      <c r="K508" s="35"/>
      <c r="M508" s="539">
        <f ca="1">IFERROR(__xludf.DUMMYFUNCTION("""COMPUTED_VALUE"""),0)</f>
        <v>0</v>
      </c>
      <c r="N508" s="539">
        <f ca="1">IFERROR(__xludf.DUMMYFUNCTION("""COMPUTED_VALUE"""),0)</f>
        <v>0</v>
      </c>
      <c r="O508" s="539">
        <f ca="1">IFERROR(__xludf.DUMMYFUNCTION("""COMPUTED_VALUE"""),0)</f>
        <v>0</v>
      </c>
    </row>
    <row r="509" spans="1:15" ht="12.75">
      <c r="A509" s="539">
        <f ca="1"/>
        <v>503</v>
      </c>
      <c r="B509" s="35" t="str">
        <f ca="1">IFERROR(__xludf.DUMMYFUNCTION("""COMPUTED_VALUE"""),"Tổ Hạ tầng Kiến Tường")</f>
        <v>Tổ Hạ tầng Kiến Tường</v>
      </c>
      <c r="C509" s="35" t="str">
        <f ca="1">IFERROR(__xludf.DUMMYFUNCTION("""COMPUTED_VALUE"""),"Lê Xuân Trình")</f>
        <v>Lê Xuân Trình</v>
      </c>
      <c r="D509" s="35">
        <f ca="1">IFERROR(__xludf.DUMMYFUNCTION("""COMPUTED_VALUE"""),917773898)</f>
        <v>917773898</v>
      </c>
      <c r="E509" s="35" t="str">
        <f ca="1">IFERROR(__xludf.DUMMYFUNCTION("""COMPUTED_VALUE"""),"trinhlx.lan@vnpt.vn")</f>
        <v>trinhlx.lan@vnpt.vn</v>
      </c>
      <c r="F509" s="540" t="str">
        <f ca="1">IFERROR(__xludf.DUMMYFUNCTION("""COMPUTED_VALUE"""),"Lần 7")</f>
        <v>Lần 7</v>
      </c>
      <c r="G509" s="278"/>
      <c r="H509" s="35"/>
      <c r="I509" s="35"/>
      <c r="J509" s="35"/>
      <c r="K509" s="35"/>
      <c r="M509" s="539">
        <f ca="1">IFERROR(__xludf.DUMMYFUNCTION("""COMPUTED_VALUE"""),0)</f>
        <v>0</v>
      </c>
      <c r="N509" s="539">
        <f ca="1">IFERROR(__xludf.DUMMYFUNCTION("""COMPUTED_VALUE"""),0)</f>
        <v>0</v>
      </c>
      <c r="O509" s="539">
        <f ca="1">IFERROR(__xludf.DUMMYFUNCTION("""COMPUTED_VALUE"""),0)</f>
        <v>0</v>
      </c>
    </row>
    <row r="510" spans="1:15" ht="12.75">
      <c r="A510" s="539">
        <f ca="1"/>
        <v>504</v>
      </c>
      <c r="B510" s="35" t="str">
        <f ca="1">IFERROR(__xludf.DUMMYFUNCTION("""COMPUTED_VALUE"""),"Tổ Hạ tầng Kiến Tường")</f>
        <v>Tổ Hạ tầng Kiến Tường</v>
      </c>
      <c r="C510" s="35" t="str">
        <f ca="1">IFERROR(__xludf.DUMMYFUNCTION("""COMPUTED_VALUE"""),"Lê Xuân Trình")</f>
        <v>Lê Xuân Trình</v>
      </c>
      <c r="D510" s="35">
        <f ca="1">IFERROR(__xludf.DUMMYFUNCTION("""COMPUTED_VALUE"""),917773898)</f>
        <v>917773898</v>
      </c>
      <c r="E510" s="35" t="str">
        <f ca="1">IFERROR(__xludf.DUMMYFUNCTION("""COMPUTED_VALUE"""),"trinhlx.lan@vnpt.vn")</f>
        <v>trinhlx.lan@vnpt.vn</v>
      </c>
      <c r="F510" s="540" t="str">
        <f ca="1">IFERROR(__xludf.DUMMYFUNCTION("""COMPUTED_VALUE"""),"Lần 8")</f>
        <v>Lần 8</v>
      </c>
      <c r="G510" s="278"/>
      <c r="H510" s="35"/>
      <c r="I510" s="35"/>
      <c r="J510" s="35"/>
      <c r="K510" s="35"/>
      <c r="M510" s="539">
        <f ca="1">IFERROR(__xludf.DUMMYFUNCTION("""COMPUTED_VALUE"""),0)</f>
        <v>0</v>
      </c>
      <c r="N510" s="539">
        <f ca="1">IFERROR(__xludf.DUMMYFUNCTION("""COMPUTED_VALUE"""),0)</f>
        <v>0</v>
      </c>
      <c r="O510" s="539">
        <f ca="1">IFERROR(__xludf.DUMMYFUNCTION("""COMPUTED_VALUE"""),0)</f>
        <v>0</v>
      </c>
    </row>
    <row r="511" spans="1:15" ht="12.75">
      <c r="A511" s="539">
        <f ca="1"/>
        <v>505</v>
      </c>
      <c r="B511" s="35" t="str">
        <f ca="1">IFERROR(__xludf.DUMMYFUNCTION("""COMPUTED_VALUE"""),"Tổ Hạ tầng Kiến Tường")</f>
        <v>Tổ Hạ tầng Kiến Tường</v>
      </c>
      <c r="C511" s="35" t="str">
        <f ca="1">IFERROR(__xludf.DUMMYFUNCTION("""COMPUTED_VALUE"""),"Lê Xuân Trình")</f>
        <v>Lê Xuân Trình</v>
      </c>
      <c r="D511" s="35">
        <f ca="1">IFERROR(__xludf.DUMMYFUNCTION("""COMPUTED_VALUE"""),917773898)</f>
        <v>917773898</v>
      </c>
      <c r="E511" s="35" t="str">
        <f ca="1">IFERROR(__xludf.DUMMYFUNCTION("""COMPUTED_VALUE"""),"trinhlx.lan@vnpt.vn")</f>
        <v>trinhlx.lan@vnpt.vn</v>
      </c>
      <c r="F511" s="540" t="str">
        <f ca="1">IFERROR(__xludf.DUMMYFUNCTION("""COMPUTED_VALUE"""),"Lần 9")</f>
        <v>Lần 9</v>
      </c>
      <c r="G511" s="278"/>
      <c r="H511" s="35"/>
      <c r="I511" s="35"/>
      <c r="J511" s="35"/>
      <c r="K511" s="35"/>
      <c r="M511" s="539">
        <f ca="1">IFERROR(__xludf.DUMMYFUNCTION("""COMPUTED_VALUE"""),0)</f>
        <v>0</v>
      </c>
      <c r="N511" s="539">
        <f ca="1">IFERROR(__xludf.DUMMYFUNCTION("""COMPUTED_VALUE"""),0)</f>
        <v>0</v>
      </c>
      <c r="O511" s="539">
        <f ca="1">IFERROR(__xludf.DUMMYFUNCTION("""COMPUTED_VALUE"""),0)</f>
        <v>0</v>
      </c>
    </row>
    <row r="512" spans="1:15" ht="12.75">
      <c r="A512" s="539">
        <f ca="1"/>
        <v>506</v>
      </c>
      <c r="B512" s="35" t="str">
        <f ca="1">IFERROR(__xludf.DUMMYFUNCTION("""COMPUTED_VALUE"""),"Tổ Hạ tầng Kiến Tường")</f>
        <v>Tổ Hạ tầng Kiến Tường</v>
      </c>
      <c r="C512" s="35" t="str">
        <f ca="1">IFERROR(__xludf.DUMMYFUNCTION("""COMPUTED_VALUE"""),"Lê Xuân Trình")</f>
        <v>Lê Xuân Trình</v>
      </c>
      <c r="D512" s="35">
        <f ca="1">IFERROR(__xludf.DUMMYFUNCTION("""COMPUTED_VALUE"""),917773898)</f>
        <v>917773898</v>
      </c>
      <c r="E512" s="35" t="str">
        <f ca="1">IFERROR(__xludf.DUMMYFUNCTION("""COMPUTED_VALUE"""),"trinhlx.lan@vnpt.vn")</f>
        <v>trinhlx.lan@vnpt.vn</v>
      </c>
      <c r="F512" s="540" t="str">
        <f ca="1">IFERROR(__xludf.DUMMYFUNCTION("""COMPUTED_VALUE"""),"Lần 10")</f>
        <v>Lần 10</v>
      </c>
      <c r="G512" s="278"/>
      <c r="H512" s="35"/>
      <c r="I512" s="35"/>
      <c r="J512" s="35"/>
      <c r="K512" s="35"/>
      <c r="M512" s="539">
        <f ca="1">IFERROR(__xludf.DUMMYFUNCTION("""COMPUTED_VALUE"""),0)</f>
        <v>0</v>
      </c>
      <c r="N512" s="539">
        <f ca="1">IFERROR(__xludf.DUMMYFUNCTION("""COMPUTED_VALUE"""),0)</f>
        <v>0</v>
      </c>
      <c r="O512" s="539">
        <f ca="1">IFERROR(__xludf.DUMMYFUNCTION("""COMPUTED_VALUE"""),0)</f>
        <v>0</v>
      </c>
    </row>
    <row r="513" spans="1:15" ht="12.75">
      <c r="A513" s="539">
        <f ca="1"/>
        <v>507</v>
      </c>
      <c r="B513" s="35" t="str">
        <f ca="1">IFERROR(__xludf.DUMMYFUNCTION("""COMPUTED_VALUE"""),"Tổ Hạ tầng Kiến Tường")</f>
        <v>Tổ Hạ tầng Kiến Tường</v>
      </c>
      <c r="C513" s="35" t="str">
        <f ca="1">IFERROR(__xludf.DUMMYFUNCTION("""COMPUTED_VALUE"""),"Lê Xuân Trình")</f>
        <v>Lê Xuân Trình</v>
      </c>
      <c r="D513" s="35">
        <f ca="1">IFERROR(__xludf.DUMMYFUNCTION("""COMPUTED_VALUE"""),917773898)</f>
        <v>917773898</v>
      </c>
      <c r="E513" s="35" t="str">
        <f ca="1">IFERROR(__xludf.DUMMYFUNCTION("""COMPUTED_VALUE"""),"trinhlx.lan@vnpt.vn")</f>
        <v>trinhlx.lan@vnpt.vn</v>
      </c>
      <c r="F513" s="540" t="str">
        <f ca="1">IFERROR(__xludf.DUMMYFUNCTION("""COMPUTED_VALUE"""),"Lần 11")</f>
        <v>Lần 11</v>
      </c>
      <c r="G513" s="278"/>
      <c r="H513" s="35"/>
      <c r="I513" s="35"/>
      <c r="J513" s="35"/>
      <c r="K513" s="35"/>
      <c r="M513" s="539">
        <f ca="1">IFERROR(__xludf.DUMMYFUNCTION("""COMPUTED_VALUE"""),0)</f>
        <v>0</v>
      </c>
      <c r="N513" s="539">
        <f ca="1">IFERROR(__xludf.DUMMYFUNCTION("""COMPUTED_VALUE"""),0)</f>
        <v>0</v>
      </c>
      <c r="O513" s="539">
        <f ca="1">IFERROR(__xludf.DUMMYFUNCTION("""COMPUTED_VALUE"""),0)</f>
        <v>0</v>
      </c>
    </row>
    <row r="514" spans="1:15" ht="12.75">
      <c r="A514" s="539">
        <f ca="1"/>
        <v>508</v>
      </c>
      <c r="B514" s="35" t="str">
        <f ca="1">IFERROR(__xludf.DUMMYFUNCTION("""COMPUTED_VALUE"""),"Tổ Hạ tầng Kiến Tường")</f>
        <v>Tổ Hạ tầng Kiến Tường</v>
      </c>
      <c r="C514" s="35" t="str">
        <f ca="1">IFERROR(__xludf.DUMMYFUNCTION("""COMPUTED_VALUE"""),"Lê Xuân Trình")</f>
        <v>Lê Xuân Trình</v>
      </c>
      <c r="D514" s="35">
        <f ca="1">IFERROR(__xludf.DUMMYFUNCTION("""COMPUTED_VALUE"""),917773898)</f>
        <v>917773898</v>
      </c>
      <c r="E514" s="35" t="str">
        <f ca="1">IFERROR(__xludf.DUMMYFUNCTION("""COMPUTED_VALUE"""),"trinhlx.lan@vnpt.vn")</f>
        <v>trinhlx.lan@vnpt.vn</v>
      </c>
      <c r="F514" s="540" t="str">
        <f ca="1">IFERROR(__xludf.DUMMYFUNCTION("""COMPUTED_VALUE"""),"Lần 12")</f>
        <v>Lần 12</v>
      </c>
      <c r="G514" s="278"/>
      <c r="H514" s="35"/>
      <c r="I514" s="35"/>
      <c r="J514" s="35"/>
      <c r="K514" s="35"/>
      <c r="M514" s="539">
        <f ca="1">IFERROR(__xludf.DUMMYFUNCTION("""COMPUTED_VALUE"""),0)</f>
        <v>0</v>
      </c>
      <c r="N514" s="539">
        <f ca="1">IFERROR(__xludf.DUMMYFUNCTION("""COMPUTED_VALUE"""),0)</f>
        <v>0</v>
      </c>
      <c r="O514" s="539">
        <f ca="1">IFERROR(__xludf.DUMMYFUNCTION("""COMPUTED_VALUE"""),0)</f>
        <v>0</v>
      </c>
    </row>
    <row r="515" spans="1:15" ht="12.75">
      <c r="A515" s="539">
        <f ca="1"/>
        <v>509</v>
      </c>
      <c r="B515" s="35" t="str">
        <f ca="1">IFERROR(__xludf.DUMMYFUNCTION("""COMPUTED_VALUE"""),"Tổ Hạ tầng Kiến Tường")</f>
        <v>Tổ Hạ tầng Kiến Tường</v>
      </c>
      <c r="C515" s="35" t="str">
        <f ca="1">IFERROR(__xludf.DUMMYFUNCTION("""COMPUTED_VALUE"""),"Lê Xuân Trình")</f>
        <v>Lê Xuân Trình</v>
      </c>
      <c r="D515" s="35">
        <f ca="1">IFERROR(__xludf.DUMMYFUNCTION("""COMPUTED_VALUE"""),917773898)</f>
        <v>917773898</v>
      </c>
      <c r="E515" s="35" t="str">
        <f ca="1">IFERROR(__xludf.DUMMYFUNCTION("""COMPUTED_VALUE"""),"trinhlx.lan@vnpt.vn")</f>
        <v>trinhlx.lan@vnpt.vn</v>
      </c>
      <c r="F515" s="540" t="str">
        <f ca="1">IFERROR(__xludf.DUMMYFUNCTION("""COMPUTED_VALUE"""),"Lần 13")</f>
        <v>Lần 13</v>
      </c>
      <c r="G515" s="278"/>
      <c r="H515" s="35"/>
      <c r="I515" s="35"/>
      <c r="J515" s="35"/>
      <c r="K515" s="35"/>
      <c r="M515" s="539">
        <f ca="1">IFERROR(__xludf.DUMMYFUNCTION("""COMPUTED_VALUE"""),0)</f>
        <v>0</v>
      </c>
      <c r="N515" s="539">
        <f ca="1">IFERROR(__xludf.DUMMYFUNCTION("""COMPUTED_VALUE"""),0)</f>
        <v>0</v>
      </c>
      <c r="O515" s="539">
        <f ca="1">IFERROR(__xludf.DUMMYFUNCTION("""COMPUTED_VALUE"""),0)</f>
        <v>0</v>
      </c>
    </row>
    <row r="516" spans="1:15" ht="12.75">
      <c r="A516" s="539">
        <f ca="1"/>
        <v>510</v>
      </c>
      <c r="B516" s="35" t="str">
        <f ca="1">IFERROR(__xludf.DUMMYFUNCTION("""COMPUTED_VALUE"""),"Tổ Hạ tầng Kiến Tường")</f>
        <v>Tổ Hạ tầng Kiến Tường</v>
      </c>
      <c r="C516" s="35" t="str">
        <f ca="1">IFERROR(__xludf.DUMMYFUNCTION("""COMPUTED_VALUE"""),"Lê Xuân Trình")</f>
        <v>Lê Xuân Trình</v>
      </c>
      <c r="D516" s="35">
        <f ca="1">IFERROR(__xludf.DUMMYFUNCTION("""COMPUTED_VALUE"""),917773898)</f>
        <v>917773898</v>
      </c>
      <c r="E516" s="35" t="str">
        <f ca="1">IFERROR(__xludf.DUMMYFUNCTION("""COMPUTED_VALUE"""),"trinhlx.lan@vnpt.vn")</f>
        <v>trinhlx.lan@vnpt.vn</v>
      </c>
      <c r="F516" s="540" t="str">
        <f ca="1">IFERROR(__xludf.DUMMYFUNCTION("""COMPUTED_VALUE"""),"Lần 14")</f>
        <v>Lần 14</v>
      </c>
      <c r="G516" s="278"/>
      <c r="H516" s="35"/>
      <c r="I516" s="35"/>
      <c r="J516" s="35"/>
      <c r="K516" s="35"/>
      <c r="M516" s="539">
        <f ca="1">IFERROR(__xludf.DUMMYFUNCTION("""COMPUTED_VALUE"""),0)</f>
        <v>0</v>
      </c>
      <c r="N516" s="539">
        <f ca="1">IFERROR(__xludf.DUMMYFUNCTION("""COMPUTED_VALUE"""),0)</f>
        <v>0</v>
      </c>
      <c r="O516" s="539">
        <f ca="1">IFERROR(__xludf.DUMMYFUNCTION("""COMPUTED_VALUE"""),0)</f>
        <v>0</v>
      </c>
    </row>
    <row r="517" spans="1:15" ht="12.75">
      <c r="A517" s="539">
        <f ca="1"/>
        <v>511</v>
      </c>
      <c r="B517" s="35" t="str">
        <f ca="1">IFERROR(__xludf.DUMMYFUNCTION("""COMPUTED_VALUE"""),"Tổ Hạ tầng Kiến Tường")</f>
        <v>Tổ Hạ tầng Kiến Tường</v>
      </c>
      <c r="C517" s="35" t="str">
        <f ca="1">IFERROR(__xludf.DUMMYFUNCTION("""COMPUTED_VALUE"""),"Lê Xuân Trình")</f>
        <v>Lê Xuân Trình</v>
      </c>
      <c r="D517" s="35">
        <f ca="1">IFERROR(__xludf.DUMMYFUNCTION("""COMPUTED_VALUE"""),917773898)</f>
        <v>917773898</v>
      </c>
      <c r="E517" s="35" t="str">
        <f ca="1">IFERROR(__xludf.DUMMYFUNCTION("""COMPUTED_VALUE"""),"trinhlx.lan@vnpt.vn")</f>
        <v>trinhlx.lan@vnpt.vn</v>
      </c>
      <c r="F517" s="540" t="str">
        <f ca="1">IFERROR(__xludf.DUMMYFUNCTION("""COMPUTED_VALUE"""),"Lần 15")</f>
        <v>Lần 15</v>
      </c>
      <c r="G517" s="278"/>
      <c r="H517" s="35"/>
      <c r="I517" s="35"/>
      <c r="J517" s="35"/>
      <c r="K517" s="35"/>
      <c r="M517" s="539">
        <f ca="1">IFERROR(__xludf.DUMMYFUNCTION("""COMPUTED_VALUE"""),0)</f>
        <v>0</v>
      </c>
      <c r="N517" s="539">
        <f ca="1">IFERROR(__xludf.DUMMYFUNCTION("""COMPUTED_VALUE"""),0)</f>
        <v>0</v>
      </c>
      <c r="O517" s="539">
        <f ca="1">IFERROR(__xludf.DUMMYFUNCTION("""COMPUTED_VALUE"""),0)</f>
        <v>0</v>
      </c>
    </row>
    <row r="518" spans="1:15" ht="12.75">
      <c r="A518" s="539">
        <f ca="1"/>
        <v>512</v>
      </c>
      <c r="B518" s="35" t="str">
        <f ca="1">IFERROR(__xludf.DUMMYFUNCTION("""COMPUTED_VALUE"""),"Tổ Hạ tầng Kiến Tường")</f>
        <v>Tổ Hạ tầng Kiến Tường</v>
      </c>
      <c r="C518" s="35" t="str">
        <f ca="1">IFERROR(__xludf.DUMMYFUNCTION("""COMPUTED_VALUE"""),"Lê Xuân Trình")</f>
        <v>Lê Xuân Trình</v>
      </c>
      <c r="D518" s="35">
        <f ca="1">IFERROR(__xludf.DUMMYFUNCTION("""COMPUTED_VALUE"""),917773898)</f>
        <v>917773898</v>
      </c>
      <c r="E518" s="35" t="str">
        <f ca="1">IFERROR(__xludf.DUMMYFUNCTION("""COMPUTED_VALUE"""),"trinhlx.lan@vnpt.vn")</f>
        <v>trinhlx.lan@vnpt.vn</v>
      </c>
      <c r="F518" s="540" t="str">
        <f ca="1">IFERROR(__xludf.DUMMYFUNCTION("""COMPUTED_VALUE"""),"Lần 16")</f>
        <v>Lần 16</v>
      </c>
      <c r="G518" s="278"/>
      <c r="H518" s="35"/>
      <c r="I518" s="35"/>
      <c r="J518" s="35"/>
      <c r="K518" s="35"/>
      <c r="M518" s="539">
        <f ca="1">IFERROR(__xludf.DUMMYFUNCTION("""COMPUTED_VALUE"""),0)</f>
        <v>0</v>
      </c>
      <c r="N518" s="539">
        <f ca="1">IFERROR(__xludf.DUMMYFUNCTION("""COMPUTED_VALUE"""),0)</f>
        <v>0</v>
      </c>
      <c r="O518" s="539">
        <f ca="1">IFERROR(__xludf.DUMMYFUNCTION("""COMPUTED_VALUE"""),0)</f>
        <v>0</v>
      </c>
    </row>
    <row r="519" spans="1:15" ht="12.75">
      <c r="A519" s="539">
        <f ca="1"/>
        <v>513</v>
      </c>
      <c r="B519" s="35" t="str">
        <f ca="1">IFERROR(__xludf.DUMMYFUNCTION("""COMPUTED_VALUE"""),"Tổ Hạ tầng Kiến Tường")</f>
        <v>Tổ Hạ tầng Kiến Tường</v>
      </c>
      <c r="C519" s="35" t="str">
        <f ca="1">IFERROR(__xludf.DUMMYFUNCTION("""COMPUTED_VALUE"""),"Phan Hồng Quang")</f>
        <v>Phan Hồng Quang</v>
      </c>
      <c r="D519" s="35">
        <f ca="1">IFERROR(__xludf.DUMMYFUNCTION("""COMPUTED_VALUE"""),849215967)</f>
        <v>849215967</v>
      </c>
      <c r="E519" s="35" t="str">
        <f ca="1">IFERROR(__xludf.DUMMYFUNCTION("""COMPUTED_VALUE"""),"quangph.lan@vnpt.vn")</f>
        <v>quangph.lan@vnpt.vn</v>
      </c>
      <c r="F519" s="540" t="str">
        <f ca="1">IFERROR(__xludf.DUMMYFUNCTION("""COMPUTED_VALUE"""),"Lần 1")</f>
        <v>Lần 1</v>
      </c>
      <c r="G519" s="278">
        <f ca="1">IFERROR(__xludf.DUMMYFUNCTION("""COMPUTED_VALUE"""),46209)</f>
        <v>46209</v>
      </c>
      <c r="H519" s="35">
        <f ca="1">IFERROR(__xludf.DUMMYFUNCTION("""COMPUTED_VALUE"""),71.4)</f>
        <v>71.400000000000006</v>
      </c>
      <c r="I519" s="35">
        <f ca="1">IFERROR(__xludf.DUMMYFUNCTION("""COMPUTED_VALUE"""),22.6)</f>
        <v>22.6</v>
      </c>
      <c r="J519" s="541">
        <f ca="1">IFERROR(__xludf.DUMMYFUNCTION("""COMPUTED_VALUE"""),85.7)</f>
        <v>85.7</v>
      </c>
      <c r="K519" s="541">
        <f ca="1">IFERROR(__xludf.DUMMYFUNCTION("""COMPUTED_VALUE"""),45.9)</f>
        <v>45.9</v>
      </c>
      <c r="M519" s="539">
        <f ca="1">IFERROR(__xludf.DUMMYFUNCTION("""COMPUTED_VALUE"""),1)</f>
        <v>1</v>
      </c>
      <c r="N519" s="539">
        <f ca="1">IFERROR(__xludf.DUMMYFUNCTION("""COMPUTED_VALUE"""),1)</f>
        <v>1</v>
      </c>
      <c r="O519" s="539">
        <f ca="1">IFERROR(__xludf.DUMMYFUNCTION("""COMPUTED_VALUE"""),0)</f>
        <v>0</v>
      </c>
    </row>
    <row r="520" spans="1:15" ht="12.75">
      <c r="A520" s="539">
        <f ca="1"/>
        <v>514</v>
      </c>
      <c r="B520" s="35" t="str">
        <f ca="1">IFERROR(__xludf.DUMMYFUNCTION("""COMPUTED_VALUE"""),"Tổ Hạ tầng Kiến Tường")</f>
        <v>Tổ Hạ tầng Kiến Tường</v>
      </c>
      <c r="C520" s="35" t="str">
        <f ca="1">IFERROR(__xludf.DUMMYFUNCTION("""COMPUTED_VALUE"""),"Phan Hồng Quang")</f>
        <v>Phan Hồng Quang</v>
      </c>
      <c r="D520" s="35">
        <f ca="1">IFERROR(__xludf.DUMMYFUNCTION("""COMPUTED_VALUE"""),849215967)</f>
        <v>849215967</v>
      </c>
      <c r="E520" s="35" t="str">
        <f ca="1">IFERROR(__xludf.DUMMYFUNCTION("""COMPUTED_VALUE"""),"quangph.lan@vnpt.vn")</f>
        <v>quangph.lan@vnpt.vn</v>
      </c>
      <c r="F520" s="540" t="str">
        <f ca="1">IFERROR(__xludf.DUMMYFUNCTION("""COMPUTED_VALUE"""),"Lần 2")</f>
        <v>Lần 2</v>
      </c>
      <c r="G520" s="278">
        <f ca="1">IFERROR(__xludf.DUMMYFUNCTION("""COMPUTED_VALUE"""),46209)</f>
        <v>46209</v>
      </c>
      <c r="H520" s="35">
        <f ca="1">IFERROR(__xludf.DUMMYFUNCTION("""COMPUTED_VALUE"""),88.9)</f>
        <v>88.9</v>
      </c>
      <c r="I520" s="35">
        <f ca="1">IFERROR(__xludf.DUMMYFUNCTION("""COMPUTED_VALUE"""),36.9)</f>
        <v>36.9</v>
      </c>
      <c r="J520" s="541">
        <f ca="1">IFERROR(__xludf.DUMMYFUNCTION("""COMPUTED_VALUE"""),81.6)</f>
        <v>81.599999999999994</v>
      </c>
      <c r="K520" s="541">
        <f ca="1">IFERROR(__xludf.DUMMYFUNCTION("""COMPUTED_VALUE"""),54.4)</f>
        <v>54.4</v>
      </c>
      <c r="M520" s="539">
        <f ca="1">IFERROR(__xludf.DUMMYFUNCTION("""COMPUTED_VALUE"""),1)</f>
        <v>1</v>
      </c>
      <c r="N520" s="539">
        <f ca="1">IFERROR(__xludf.DUMMYFUNCTION("""COMPUTED_VALUE"""),1)</f>
        <v>1</v>
      </c>
      <c r="O520" s="539">
        <f ca="1">IFERROR(__xludf.DUMMYFUNCTION("""COMPUTED_VALUE"""),0)</f>
        <v>0</v>
      </c>
    </row>
    <row r="521" spans="1:15" ht="12.75">
      <c r="A521" s="539">
        <f ca="1"/>
        <v>515</v>
      </c>
      <c r="B521" s="35" t="str">
        <f ca="1">IFERROR(__xludf.DUMMYFUNCTION("""COMPUTED_VALUE"""),"Tổ Hạ tầng Kiến Tường")</f>
        <v>Tổ Hạ tầng Kiến Tường</v>
      </c>
      <c r="C521" s="35" t="str">
        <f ca="1">IFERROR(__xludf.DUMMYFUNCTION("""COMPUTED_VALUE"""),"Phan Hồng Quang")</f>
        <v>Phan Hồng Quang</v>
      </c>
      <c r="D521" s="35">
        <f ca="1">IFERROR(__xludf.DUMMYFUNCTION("""COMPUTED_VALUE"""),849215967)</f>
        <v>849215967</v>
      </c>
      <c r="E521" s="35" t="str">
        <f ca="1">IFERROR(__xludf.DUMMYFUNCTION("""COMPUTED_VALUE"""),"quangph.lan@vnpt.vn")</f>
        <v>quangph.lan@vnpt.vn</v>
      </c>
      <c r="F521" s="540" t="str">
        <f ca="1">IFERROR(__xludf.DUMMYFUNCTION("""COMPUTED_VALUE"""),"Lần 3")</f>
        <v>Lần 3</v>
      </c>
      <c r="G521" s="278">
        <f ca="1">IFERROR(__xludf.DUMMYFUNCTION("""COMPUTED_VALUE"""),46209)</f>
        <v>46209</v>
      </c>
      <c r="H521" s="35">
        <f ca="1">IFERROR(__xludf.DUMMYFUNCTION("""COMPUTED_VALUE"""),102)</f>
        <v>102</v>
      </c>
      <c r="I521" s="35">
        <f ca="1">IFERROR(__xludf.DUMMYFUNCTION("""COMPUTED_VALUE"""),49.4)</f>
        <v>49.4</v>
      </c>
      <c r="J521" s="541">
        <f ca="1">IFERROR(__xludf.DUMMYFUNCTION("""COMPUTED_VALUE"""),93.2)</f>
        <v>93.2</v>
      </c>
      <c r="K521" s="541">
        <f ca="1">IFERROR(__xludf.DUMMYFUNCTION("""COMPUTED_VALUE"""),42.4)</f>
        <v>42.4</v>
      </c>
      <c r="M521" s="539">
        <f ca="1">IFERROR(__xludf.DUMMYFUNCTION("""COMPUTED_VALUE"""),1)</f>
        <v>1</v>
      </c>
      <c r="N521" s="539">
        <f ca="1">IFERROR(__xludf.DUMMYFUNCTION("""COMPUTED_VALUE"""),1)</f>
        <v>1</v>
      </c>
      <c r="O521" s="539">
        <f ca="1">IFERROR(__xludf.DUMMYFUNCTION("""COMPUTED_VALUE"""),0)</f>
        <v>0</v>
      </c>
    </row>
    <row r="522" spans="1:15" ht="12.75">
      <c r="A522" s="539">
        <f ca="1"/>
        <v>516</v>
      </c>
      <c r="B522" s="35" t="str">
        <f ca="1">IFERROR(__xludf.DUMMYFUNCTION("""COMPUTED_VALUE"""),"Tổ Hạ tầng Kiến Tường")</f>
        <v>Tổ Hạ tầng Kiến Tường</v>
      </c>
      <c r="C522" s="35" t="str">
        <f ca="1">IFERROR(__xludf.DUMMYFUNCTION("""COMPUTED_VALUE"""),"Phan Hồng Quang")</f>
        <v>Phan Hồng Quang</v>
      </c>
      <c r="D522" s="35">
        <f ca="1">IFERROR(__xludf.DUMMYFUNCTION("""COMPUTED_VALUE"""),849215967)</f>
        <v>849215967</v>
      </c>
      <c r="E522" s="35" t="str">
        <f ca="1">IFERROR(__xludf.DUMMYFUNCTION("""COMPUTED_VALUE"""),"quangph.lan@vnpt.vn")</f>
        <v>quangph.lan@vnpt.vn</v>
      </c>
      <c r="F522" s="540" t="str">
        <f ca="1">IFERROR(__xludf.DUMMYFUNCTION("""COMPUTED_VALUE"""),"Lần 4")</f>
        <v>Lần 4</v>
      </c>
      <c r="G522" s="278">
        <f ca="1">IFERROR(__xludf.DUMMYFUNCTION("""COMPUTED_VALUE"""),46209)</f>
        <v>46209</v>
      </c>
      <c r="H522" s="35">
        <f ca="1">IFERROR(__xludf.DUMMYFUNCTION("""COMPUTED_VALUE"""),90.4)</f>
        <v>90.4</v>
      </c>
      <c r="I522" s="35">
        <f ca="1">IFERROR(__xludf.DUMMYFUNCTION("""COMPUTED_VALUE"""),15.3)</f>
        <v>15.3</v>
      </c>
      <c r="J522" s="541">
        <f ca="1">IFERROR(__xludf.DUMMYFUNCTION("""COMPUTED_VALUE"""),88.5)</f>
        <v>88.5</v>
      </c>
      <c r="K522" s="541">
        <f ca="1">IFERROR(__xludf.DUMMYFUNCTION("""COMPUTED_VALUE"""),57.5)</f>
        <v>57.5</v>
      </c>
      <c r="M522" s="539">
        <f ca="1">IFERROR(__xludf.DUMMYFUNCTION("""COMPUTED_VALUE"""),1)</f>
        <v>1</v>
      </c>
      <c r="N522" s="539">
        <f ca="1">IFERROR(__xludf.DUMMYFUNCTION("""COMPUTED_VALUE"""),1)</f>
        <v>1</v>
      </c>
      <c r="O522" s="539">
        <f ca="1">IFERROR(__xludf.DUMMYFUNCTION("""COMPUTED_VALUE"""),0)</f>
        <v>0</v>
      </c>
    </row>
    <row r="523" spans="1:15" ht="12.75">
      <c r="A523" s="539">
        <f ca="1"/>
        <v>517</v>
      </c>
      <c r="B523" s="35" t="str">
        <f ca="1">IFERROR(__xludf.DUMMYFUNCTION("""COMPUTED_VALUE"""),"Tổ Hạ tầng Kiến Tường")</f>
        <v>Tổ Hạ tầng Kiến Tường</v>
      </c>
      <c r="C523" s="35" t="str">
        <f ca="1">IFERROR(__xludf.DUMMYFUNCTION("""COMPUTED_VALUE"""),"Phan Hồng Quang")</f>
        <v>Phan Hồng Quang</v>
      </c>
      <c r="D523" s="35">
        <f ca="1">IFERROR(__xludf.DUMMYFUNCTION("""COMPUTED_VALUE"""),849215967)</f>
        <v>849215967</v>
      </c>
      <c r="E523" s="35" t="str">
        <f ca="1">IFERROR(__xludf.DUMMYFUNCTION("""COMPUTED_VALUE"""),"quangph.lan@vnpt.vn")</f>
        <v>quangph.lan@vnpt.vn</v>
      </c>
      <c r="F523" s="540" t="str">
        <f ca="1">IFERROR(__xludf.DUMMYFUNCTION("""COMPUTED_VALUE"""),"Lần 5")</f>
        <v>Lần 5</v>
      </c>
      <c r="G523" s="278"/>
      <c r="H523" s="35"/>
      <c r="I523" s="35"/>
      <c r="J523" s="541"/>
      <c r="K523" s="541"/>
      <c r="M523" s="539">
        <f ca="1">IFERROR(__xludf.DUMMYFUNCTION("""COMPUTED_VALUE"""),0)</f>
        <v>0</v>
      </c>
      <c r="N523" s="539">
        <f ca="1">IFERROR(__xludf.DUMMYFUNCTION("""COMPUTED_VALUE"""),0)</f>
        <v>0</v>
      </c>
      <c r="O523" s="539">
        <f ca="1">IFERROR(__xludf.DUMMYFUNCTION("""COMPUTED_VALUE"""),0)</f>
        <v>0</v>
      </c>
    </row>
    <row r="524" spans="1:15" ht="12.75">
      <c r="A524" s="539">
        <f ca="1"/>
        <v>518</v>
      </c>
      <c r="B524" s="35" t="str">
        <f ca="1">IFERROR(__xludf.DUMMYFUNCTION("""COMPUTED_VALUE"""),"Tổ Hạ tầng Kiến Tường")</f>
        <v>Tổ Hạ tầng Kiến Tường</v>
      </c>
      <c r="C524" s="35" t="str">
        <f ca="1">IFERROR(__xludf.DUMMYFUNCTION("""COMPUTED_VALUE"""),"Phan Hồng Quang")</f>
        <v>Phan Hồng Quang</v>
      </c>
      <c r="D524" s="35">
        <f ca="1">IFERROR(__xludf.DUMMYFUNCTION("""COMPUTED_VALUE"""),849215967)</f>
        <v>849215967</v>
      </c>
      <c r="E524" s="35" t="str">
        <f ca="1">IFERROR(__xludf.DUMMYFUNCTION("""COMPUTED_VALUE"""),"quangph.lan@vnpt.vn")</f>
        <v>quangph.lan@vnpt.vn</v>
      </c>
      <c r="F524" s="540" t="str">
        <f ca="1">IFERROR(__xludf.DUMMYFUNCTION("""COMPUTED_VALUE"""),"Lần 6")</f>
        <v>Lần 6</v>
      </c>
      <c r="G524" s="278"/>
      <c r="H524" s="35"/>
      <c r="I524" s="35"/>
      <c r="J524" s="541"/>
      <c r="K524" s="541"/>
      <c r="M524" s="539">
        <f ca="1">IFERROR(__xludf.DUMMYFUNCTION("""COMPUTED_VALUE"""),0)</f>
        <v>0</v>
      </c>
      <c r="N524" s="539">
        <f ca="1">IFERROR(__xludf.DUMMYFUNCTION("""COMPUTED_VALUE"""),0)</f>
        <v>0</v>
      </c>
      <c r="O524" s="539">
        <f ca="1">IFERROR(__xludf.DUMMYFUNCTION("""COMPUTED_VALUE"""),0)</f>
        <v>0</v>
      </c>
    </row>
    <row r="525" spans="1:15" ht="12.75">
      <c r="A525" s="539">
        <f ca="1"/>
        <v>519</v>
      </c>
      <c r="B525" s="35" t="str">
        <f ca="1">IFERROR(__xludf.DUMMYFUNCTION("""COMPUTED_VALUE"""),"Tổ Hạ tầng Kiến Tường")</f>
        <v>Tổ Hạ tầng Kiến Tường</v>
      </c>
      <c r="C525" s="35" t="str">
        <f ca="1">IFERROR(__xludf.DUMMYFUNCTION("""COMPUTED_VALUE"""),"Phan Hồng Quang")</f>
        <v>Phan Hồng Quang</v>
      </c>
      <c r="D525" s="35">
        <f ca="1">IFERROR(__xludf.DUMMYFUNCTION("""COMPUTED_VALUE"""),849215967)</f>
        <v>849215967</v>
      </c>
      <c r="E525" s="35" t="str">
        <f ca="1">IFERROR(__xludf.DUMMYFUNCTION("""COMPUTED_VALUE"""),"quangph.lan@vnpt.vn")</f>
        <v>quangph.lan@vnpt.vn</v>
      </c>
      <c r="F525" s="540" t="str">
        <f ca="1">IFERROR(__xludf.DUMMYFUNCTION("""COMPUTED_VALUE"""),"Lần 7")</f>
        <v>Lần 7</v>
      </c>
      <c r="G525" s="278"/>
      <c r="H525" s="35"/>
      <c r="I525" s="35"/>
      <c r="J525" s="541"/>
      <c r="K525" s="541"/>
      <c r="M525" s="539">
        <f ca="1">IFERROR(__xludf.DUMMYFUNCTION("""COMPUTED_VALUE"""),0)</f>
        <v>0</v>
      </c>
      <c r="N525" s="539">
        <f ca="1">IFERROR(__xludf.DUMMYFUNCTION("""COMPUTED_VALUE"""),0)</f>
        <v>0</v>
      </c>
      <c r="O525" s="539">
        <f ca="1">IFERROR(__xludf.DUMMYFUNCTION("""COMPUTED_VALUE"""),0)</f>
        <v>0</v>
      </c>
    </row>
    <row r="526" spans="1:15" ht="12.75">
      <c r="A526" s="539">
        <f ca="1"/>
        <v>520</v>
      </c>
      <c r="B526" s="35" t="str">
        <f ca="1">IFERROR(__xludf.DUMMYFUNCTION("""COMPUTED_VALUE"""),"Tổ Hạ tầng Kiến Tường")</f>
        <v>Tổ Hạ tầng Kiến Tường</v>
      </c>
      <c r="C526" s="35" t="str">
        <f ca="1">IFERROR(__xludf.DUMMYFUNCTION("""COMPUTED_VALUE"""),"Phan Hồng Quang")</f>
        <v>Phan Hồng Quang</v>
      </c>
      <c r="D526" s="35">
        <f ca="1">IFERROR(__xludf.DUMMYFUNCTION("""COMPUTED_VALUE"""),849215967)</f>
        <v>849215967</v>
      </c>
      <c r="E526" s="35" t="str">
        <f ca="1">IFERROR(__xludf.DUMMYFUNCTION("""COMPUTED_VALUE"""),"quangph.lan@vnpt.vn")</f>
        <v>quangph.lan@vnpt.vn</v>
      </c>
      <c r="F526" s="540" t="str">
        <f ca="1">IFERROR(__xludf.DUMMYFUNCTION("""COMPUTED_VALUE"""),"Lần 8")</f>
        <v>Lần 8</v>
      </c>
      <c r="G526" s="278"/>
      <c r="H526" s="35"/>
      <c r="I526" s="35"/>
      <c r="J526" s="541"/>
      <c r="K526" s="541"/>
      <c r="M526" s="539">
        <f ca="1">IFERROR(__xludf.DUMMYFUNCTION("""COMPUTED_VALUE"""),0)</f>
        <v>0</v>
      </c>
      <c r="N526" s="539">
        <f ca="1">IFERROR(__xludf.DUMMYFUNCTION("""COMPUTED_VALUE"""),0)</f>
        <v>0</v>
      </c>
      <c r="O526" s="539">
        <f ca="1">IFERROR(__xludf.DUMMYFUNCTION("""COMPUTED_VALUE"""),0)</f>
        <v>0</v>
      </c>
    </row>
    <row r="527" spans="1:15" ht="12.75">
      <c r="A527" s="539">
        <f ca="1"/>
        <v>521</v>
      </c>
      <c r="B527" s="35" t="str">
        <f ca="1">IFERROR(__xludf.DUMMYFUNCTION("""COMPUTED_VALUE"""),"Tổ Hạ tầng Kiến Tường")</f>
        <v>Tổ Hạ tầng Kiến Tường</v>
      </c>
      <c r="C527" s="35" t="str">
        <f ca="1">IFERROR(__xludf.DUMMYFUNCTION("""COMPUTED_VALUE"""),"Phan Hồng Quang")</f>
        <v>Phan Hồng Quang</v>
      </c>
      <c r="D527" s="35">
        <f ca="1">IFERROR(__xludf.DUMMYFUNCTION("""COMPUTED_VALUE"""),849215967)</f>
        <v>849215967</v>
      </c>
      <c r="E527" s="35" t="str">
        <f ca="1">IFERROR(__xludf.DUMMYFUNCTION("""COMPUTED_VALUE"""),"quangph.lan@vnpt.vn")</f>
        <v>quangph.lan@vnpt.vn</v>
      </c>
      <c r="F527" s="540" t="str">
        <f ca="1">IFERROR(__xludf.DUMMYFUNCTION("""COMPUTED_VALUE"""),"Lần 9")</f>
        <v>Lần 9</v>
      </c>
      <c r="G527" s="278"/>
      <c r="H527" s="35"/>
      <c r="I527" s="35"/>
      <c r="J527" s="541"/>
      <c r="K527" s="541"/>
      <c r="M527" s="539">
        <f ca="1">IFERROR(__xludf.DUMMYFUNCTION("""COMPUTED_VALUE"""),0)</f>
        <v>0</v>
      </c>
      <c r="N527" s="539">
        <f ca="1">IFERROR(__xludf.DUMMYFUNCTION("""COMPUTED_VALUE"""),0)</f>
        <v>0</v>
      </c>
      <c r="O527" s="539">
        <f ca="1">IFERROR(__xludf.DUMMYFUNCTION("""COMPUTED_VALUE"""),0)</f>
        <v>0</v>
      </c>
    </row>
    <row r="528" spans="1:15" ht="12.75">
      <c r="A528" s="539">
        <f ca="1"/>
        <v>522</v>
      </c>
      <c r="B528" s="35" t="str">
        <f ca="1">IFERROR(__xludf.DUMMYFUNCTION("""COMPUTED_VALUE"""),"Tổ Hạ tầng Kiến Tường")</f>
        <v>Tổ Hạ tầng Kiến Tường</v>
      </c>
      <c r="C528" s="35" t="str">
        <f ca="1">IFERROR(__xludf.DUMMYFUNCTION("""COMPUTED_VALUE"""),"Phan Hồng Quang")</f>
        <v>Phan Hồng Quang</v>
      </c>
      <c r="D528" s="35">
        <f ca="1">IFERROR(__xludf.DUMMYFUNCTION("""COMPUTED_VALUE"""),849215967)</f>
        <v>849215967</v>
      </c>
      <c r="E528" s="35" t="str">
        <f ca="1">IFERROR(__xludf.DUMMYFUNCTION("""COMPUTED_VALUE"""),"quangph.lan@vnpt.vn")</f>
        <v>quangph.lan@vnpt.vn</v>
      </c>
      <c r="F528" s="540" t="str">
        <f ca="1">IFERROR(__xludf.DUMMYFUNCTION("""COMPUTED_VALUE"""),"Lần 10")</f>
        <v>Lần 10</v>
      </c>
      <c r="G528" s="278"/>
      <c r="H528" s="35"/>
      <c r="I528" s="35"/>
      <c r="J528" s="541"/>
      <c r="K528" s="541"/>
      <c r="M528" s="539">
        <f ca="1">IFERROR(__xludf.DUMMYFUNCTION("""COMPUTED_VALUE"""),0)</f>
        <v>0</v>
      </c>
      <c r="N528" s="539">
        <f ca="1">IFERROR(__xludf.DUMMYFUNCTION("""COMPUTED_VALUE"""),0)</f>
        <v>0</v>
      </c>
      <c r="O528" s="539">
        <f ca="1">IFERROR(__xludf.DUMMYFUNCTION("""COMPUTED_VALUE"""),0)</f>
        <v>0</v>
      </c>
    </row>
    <row r="529" spans="1:15" ht="12.75">
      <c r="A529" s="539">
        <f ca="1"/>
        <v>523</v>
      </c>
      <c r="B529" s="35" t="str">
        <f ca="1">IFERROR(__xludf.DUMMYFUNCTION("""COMPUTED_VALUE"""),"Tổ Hạ tầng Kiến Tường")</f>
        <v>Tổ Hạ tầng Kiến Tường</v>
      </c>
      <c r="C529" s="35" t="str">
        <f ca="1">IFERROR(__xludf.DUMMYFUNCTION("""COMPUTED_VALUE"""),"Phan Hồng Quang")</f>
        <v>Phan Hồng Quang</v>
      </c>
      <c r="D529" s="35">
        <f ca="1">IFERROR(__xludf.DUMMYFUNCTION("""COMPUTED_VALUE"""),849215967)</f>
        <v>849215967</v>
      </c>
      <c r="E529" s="35" t="str">
        <f ca="1">IFERROR(__xludf.DUMMYFUNCTION("""COMPUTED_VALUE"""),"quangph.lan@vnpt.vn")</f>
        <v>quangph.lan@vnpt.vn</v>
      </c>
      <c r="F529" s="540" t="str">
        <f ca="1">IFERROR(__xludf.DUMMYFUNCTION("""COMPUTED_VALUE"""),"Lần 11")</f>
        <v>Lần 11</v>
      </c>
      <c r="G529" s="278"/>
      <c r="H529" s="35"/>
      <c r="I529" s="35"/>
      <c r="J529" s="541"/>
      <c r="K529" s="541"/>
      <c r="M529" s="539">
        <f ca="1">IFERROR(__xludf.DUMMYFUNCTION("""COMPUTED_VALUE"""),0)</f>
        <v>0</v>
      </c>
      <c r="N529" s="539">
        <f ca="1">IFERROR(__xludf.DUMMYFUNCTION("""COMPUTED_VALUE"""),0)</f>
        <v>0</v>
      </c>
      <c r="O529" s="539">
        <f ca="1">IFERROR(__xludf.DUMMYFUNCTION("""COMPUTED_VALUE"""),0)</f>
        <v>0</v>
      </c>
    </row>
    <row r="530" spans="1:15" ht="12.75">
      <c r="A530" s="539">
        <f ca="1"/>
        <v>524</v>
      </c>
      <c r="B530" s="35" t="str">
        <f ca="1">IFERROR(__xludf.DUMMYFUNCTION("""COMPUTED_VALUE"""),"Tổ Hạ tầng Kiến Tường")</f>
        <v>Tổ Hạ tầng Kiến Tường</v>
      </c>
      <c r="C530" s="35" t="str">
        <f ca="1">IFERROR(__xludf.DUMMYFUNCTION("""COMPUTED_VALUE"""),"Phan Hồng Quang")</f>
        <v>Phan Hồng Quang</v>
      </c>
      <c r="D530" s="35">
        <f ca="1">IFERROR(__xludf.DUMMYFUNCTION("""COMPUTED_VALUE"""),849215967)</f>
        <v>849215967</v>
      </c>
      <c r="E530" s="35" t="str">
        <f ca="1">IFERROR(__xludf.DUMMYFUNCTION("""COMPUTED_VALUE"""),"quangph.lan@vnpt.vn")</f>
        <v>quangph.lan@vnpt.vn</v>
      </c>
      <c r="F530" s="540" t="str">
        <f ca="1">IFERROR(__xludf.DUMMYFUNCTION("""COMPUTED_VALUE"""),"Lần 12")</f>
        <v>Lần 12</v>
      </c>
      <c r="G530" s="278"/>
      <c r="H530" s="35"/>
      <c r="I530" s="35"/>
      <c r="J530" s="541"/>
      <c r="K530" s="541"/>
      <c r="M530" s="539">
        <f ca="1">IFERROR(__xludf.DUMMYFUNCTION("""COMPUTED_VALUE"""),0)</f>
        <v>0</v>
      </c>
      <c r="N530" s="539">
        <f ca="1">IFERROR(__xludf.DUMMYFUNCTION("""COMPUTED_VALUE"""),0)</f>
        <v>0</v>
      </c>
      <c r="O530" s="539">
        <f ca="1">IFERROR(__xludf.DUMMYFUNCTION("""COMPUTED_VALUE"""),0)</f>
        <v>0</v>
      </c>
    </row>
    <row r="531" spans="1:15" ht="12.75">
      <c r="A531" s="539">
        <f ca="1"/>
        <v>525</v>
      </c>
      <c r="B531" s="35" t="str">
        <f ca="1">IFERROR(__xludf.DUMMYFUNCTION("""COMPUTED_VALUE"""),"Tổ Hạ tầng Kiến Tường")</f>
        <v>Tổ Hạ tầng Kiến Tường</v>
      </c>
      <c r="C531" s="35" t="str">
        <f ca="1">IFERROR(__xludf.DUMMYFUNCTION("""COMPUTED_VALUE"""),"Phan Hồng Quang")</f>
        <v>Phan Hồng Quang</v>
      </c>
      <c r="D531" s="35">
        <f ca="1">IFERROR(__xludf.DUMMYFUNCTION("""COMPUTED_VALUE"""),849215967)</f>
        <v>849215967</v>
      </c>
      <c r="E531" s="35" t="str">
        <f ca="1">IFERROR(__xludf.DUMMYFUNCTION("""COMPUTED_VALUE"""),"quangph.lan@vnpt.vn")</f>
        <v>quangph.lan@vnpt.vn</v>
      </c>
      <c r="F531" s="540" t="str">
        <f ca="1">IFERROR(__xludf.DUMMYFUNCTION("""COMPUTED_VALUE"""),"Lần 13")</f>
        <v>Lần 13</v>
      </c>
      <c r="G531" s="278"/>
      <c r="H531" s="35"/>
      <c r="I531" s="35"/>
      <c r="J531" s="541"/>
      <c r="K531" s="541"/>
      <c r="M531" s="539">
        <f ca="1">IFERROR(__xludf.DUMMYFUNCTION("""COMPUTED_VALUE"""),0)</f>
        <v>0</v>
      </c>
      <c r="N531" s="539">
        <f ca="1">IFERROR(__xludf.DUMMYFUNCTION("""COMPUTED_VALUE"""),0)</f>
        <v>0</v>
      </c>
      <c r="O531" s="539">
        <f ca="1">IFERROR(__xludf.DUMMYFUNCTION("""COMPUTED_VALUE"""),0)</f>
        <v>0</v>
      </c>
    </row>
    <row r="532" spans="1:15" ht="12.75">
      <c r="A532" s="539">
        <f ca="1"/>
        <v>526</v>
      </c>
      <c r="B532" s="35" t="str">
        <f ca="1">IFERROR(__xludf.DUMMYFUNCTION("""COMPUTED_VALUE"""),"Tổ Hạ tầng Kiến Tường")</f>
        <v>Tổ Hạ tầng Kiến Tường</v>
      </c>
      <c r="C532" s="35" t="str">
        <f ca="1">IFERROR(__xludf.DUMMYFUNCTION("""COMPUTED_VALUE"""),"Phan Hồng Quang")</f>
        <v>Phan Hồng Quang</v>
      </c>
      <c r="D532" s="35">
        <f ca="1">IFERROR(__xludf.DUMMYFUNCTION("""COMPUTED_VALUE"""),849215967)</f>
        <v>849215967</v>
      </c>
      <c r="E532" s="35" t="str">
        <f ca="1">IFERROR(__xludf.DUMMYFUNCTION("""COMPUTED_VALUE"""),"quangph.lan@vnpt.vn")</f>
        <v>quangph.lan@vnpt.vn</v>
      </c>
      <c r="F532" s="540" t="str">
        <f ca="1">IFERROR(__xludf.DUMMYFUNCTION("""COMPUTED_VALUE"""),"Lần 14")</f>
        <v>Lần 14</v>
      </c>
      <c r="G532" s="278"/>
      <c r="H532" s="35"/>
      <c r="I532" s="35"/>
      <c r="J532" s="541"/>
      <c r="K532" s="541"/>
      <c r="M532" s="539">
        <f ca="1">IFERROR(__xludf.DUMMYFUNCTION("""COMPUTED_VALUE"""),0)</f>
        <v>0</v>
      </c>
      <c r="N532" s="539">
        <f ca="1">IFERROR(__xludf.DUMMYFUNCTION("""COMPUTED_VALUE"""),0)</f>
        <v>0</v>
      </c>
      <c r="O532" s="539">
        <f ca="1">IFERROR(__xludf.DUMMYFUNCTION("""COMPUTED_VALUE"""),0)</f>
        <v>0</v>
      </c>
    </row>
    <row r="533" spans="1:15" ht="12.75">
      <c r="A533" s="539">
        <f ca="1"/>
        <v>527</v>
      </c>
      <c r="B533" s="35" t="str">
        <f ca="1">IFERROR(__xludf.DUMMYFUNCTION("""COMPUTED_VALUE"""),"Tổ Hạ tầng Kiến Tường")</f>
        <v>Tổ Hạ tầng Kiến Tường</v>
      </c>
      <c r="C533" s="35" t="str">
        <f ca="1">IFERROR(__xludf.DUMMYFUNCTION("""COMPUTED_VALUE"""),"Phan Hồng Quang")</f>
        <v>Phan Hồng Quang</v>
      </c>
      <c r="D533" s="35">
        <f ca="1">IFERROR(__xludf.DUMMYFUNCTION("""COMPUTED_VALUE"""),849215967)</f>
        <v>849215967</v>
      </c>
      <c r="E533" s="35" t="str">
        <f ca="1">IFERROR(__xludf.DUMMYFUNCTION("""COMPUTED_VALUE"""),"quangph.lan@vnpt.vn")</f>
        <v>quangph.lan@vnpt.vn</v>
      </c>
      <c r="F533" s="540" t="str">
        <f ca="1">IFERROR(__xludf.DUMMYFUNCTION("""COMPUTED_VALUE"""),"Lần 15")</f>
        <v>Lần 15</v>
      </c>
      <c r="G533" s="278"/>
      <c r="H533" s="35"/>
      <c r="I533" s="35"/>
      <c r="J533" s="541"/>
      <c r="K533" s="541"/>
      <c r="M533" s="539">
        <f ca="1">IFERROR(__xludf.DUMMYFUNCTION("""COMPUTED_VALUE"""),0)</f>
        <v>0</v>
      </c>
      <c r="N533" s="539">
        <f ca="1">IFERROR(__xludf.DUMMYFUNCTION("""COMPUTED_VALUE"""),0)</f>
        <v>0</v>
      </c>
      <c r="O533" s="539">
        <f ca="1">IFERROR(__xludf.DUMMYFUNCTION("""COMPUTED_VALUE"""),0)</f>
        <v>0</v>
      </c>
    </row>
    <row r="534" spans="1:15" ht="12.75">
      <c r="A534" s="539">
        <f ca="1"/>
        <v>528</v>
      </c>
      <c r="B534" s="35" t="str">
        <f ca="1">IFERROR(__xludf.DUMMYFUNCTION("""COMPUTED_VALUE"""),"Tổ Hạ tầng Kiến Tường")</f>
        <v>Tổ Hạ tầng Kiến Tường</v>
      </c>
      <c r="C534" s="35" t="str">
        <f ca="1">IFERROR(__xludf.DUMMYFUNCTION("""COMPUTED_VALUE"""),"Phan Hồng Quang")</f>
        <v>Phan Hồng Quang</v>
      </c>
      <c r="D534" s="35">
        <f ca="1">IFERROR(__xludf.DUMMYFUNCTION("""COMPUTED_VALUE"""),849215967)</f>
        <v>849215967</v>
      </c>
      <c r="E534" s="35" t="str">
        <f ca="1">IFERROR(__xludf.DUMMYFUNCTION("""COMPUTED_VALUE"""),"quangph.lan@vnpt.vn")</f>
        <v>quangph.lan@vnpt.vn</v>
      </c>
      <c r="F534" s="540" t="str">
        <f ca="1">IFERROR(__xludf.DUMMYFUNCTION("""COMPUTED_VALUE"""),"Lần 16")</f>
        <v>Lần 16</v>
      </c>
      <c r="G534" s="278"/>
      <c r="H534" s="35"/>
      <c r="I534" s="35"/>
      <c r="J534" s="541"/>
      <c r="K534" s="541"/>
      <c r="M534" s="539">
        <f ca="1">IFERROR(__xludf.DUMMYFUNCTION("""COMPUTED_VALUE"""),0)</f>
        <v>0</v>
      </c>
      <c r="N534" s="539">
        <f ca="1">IFERROR(__xludf.DUMMYFUNCTION("""COMPUTED_VALUE"""),0)</f>
        <v>0</v>
      </c>
      <c r="O534" s="539">
        <f ca="1">IFERROR(__xludf.DUMMYFUNCTION("""COMPUTED_VALUE"""),0)</f>
        <v>0</v>
      </c>
    </row>
    <row r="535" spans="1:15" ht="12.75">
      <c r="A535" s="539">
        <f ca="1"/>
        <v>529</v>
      </c>
      <c r="B535" s="35" t="str">
        <f ca="1">IFERROR(__xludf.DUMMYFUNCTION("""COMPUTED_VALUE"""),"Tổ Hạ tầng Kiến Tường")</f>
        <v>Tổ Hạ tầng Kiến Tường</v>
      </c>
      <c r="C535" s="35" t="str">
        <f ca="1">IFERROR(__xludf.DUMMYFUNCTION("""COMPUTED_VALUE"""),"Huỳnh Đức Huy")</f>
        <v>Huỳnh Đức Huy</v>
      </c>
      <c r="D535" s="35">
        <f ca="1">IFERROR(__xludf.DUMMYFUNCTION("""COMPUTED_VALUE"""),949552355)</f>
        <v>949552355</v>
      </c>
      <c r="E535" s="35" t="str">
        <f ca="1">IFERROR(__xludf.DUMMYFUNCTION("""COMPUTED_VALUE"""),"huyhd.lan@vnpt.vn")</f>
        <v>huyhd.lan@vnpt.vn</v>
      </c>
      <c r="F535" s="540" t="str">
        <f ca="1">IFERROR(__xludf.DUMMYFUNCTION("""COMPUTED_VALUE"""),"Lần 1")</f>
        <v>Lần 1</v>
      </c>
      <c r="G535" s="545"/>
      <c r="H535" s="35"/>
      <c r="I535" s="542"/>
      <c r="J535" s="541"/>
      <c r="K535" s="541"/>
      <c r="M535" s="539">
        <f ca="1">IFERROR(__xludf.DUMMYFUNCTION("""COMPUTED_VALUE"""),0)</f>
        <v>0</v>
      </c>
      <c r="N535" s="539">
        <f ca="1">IFERROR(__xludf.DUMMYFUNCTION("""COMPUTED_VALUE"""),0)</f>
        <v>0</v>
      </c>
      <c r="O535" s="539">
        <f ca="1">IFERROR(__xludf.DUMMYFUNCTION("""COMPUTED_VALUE"""),0)</f>
        <v>0</v>
      </c>
    </row>
    <row r="536" spans="1:15" ht="12.75">
      <c r="A536" s="539">
        <f ca="1"/>
        <v>530</v>
      </c>
      <c r="B536" s="35" t="str">
        <f ca="1">IFERROR(__xludf.DUMMYFUNCTION("""COMPUTED_VALUE"""),"Tổ Hạ tầng Kiến Tường")</f>
        <v>Tổ Hạ tầng Kiến Tường</v>
      </c>
      <c r="C536" s="35" t="str">
        <f ca="1">IFERROR(__xludf.DUMMYFUNCTION("""COMPUTED_VALUE"""),"Huỳnh Đức Huy")</f>
        <v>Huỳnh Đức Huy</v>
      </c>
      <c r="D536" s="35">
        <f ca="1">IFERROR(__xludf.DUMMYFUNCTION("""COMPUTED_VALUE"""),949552355)</f>
        <v>949552355</v>
      </c>
      <c r="E536" s="35" t="str">
        <f ca="1">IFERROR(__xludf.DUMMYFUNCTION("""COMPUTED_VALUE"""),"huyhd.lan@vnpt.vn")</f>
        <v>huyhd.lan@vnpt.vn</v>
      </c>
      <c r="F536" s="540" t="str">
        <f ca="1">IFERROR(__xludf.DUMMYFUNCTION("""COMPUTED_VALUE"""),"Lần 2")</f>
        <v>Lần 2</v>
      </c>
      <c r="G536" s="545"/>
      <c r="H536" s="35"/>
      <c r="I536" s="542"/>
      <c r="J536" s="541"/>
      <c r="K536" s="542"/>
      <c r="M536" s="539">
        <f ca="1">IFERROR(__xludf.DUMMYFUNCTION("""COMPUTED_VALUE"""),0)</f>
        <v>0</v>
      </c>
      <c r="N536" s="539">
        <f ca="1">IFERROR(__xludf.DUMMYFUNCTION("""COMPUTED_VALUE"""),0)</f>
        <v>0</v>
      </c>
      <c r="O536" s="539">
        <f ca="1">IFERROR(__xludf.DUMMYFUNCTION("""COMPUTED_VALUE"""),0)</f>
        <v>0</v>
      </c>
    </row>
    <row r="537" spans="1:15" ht="12.75">
      <c r="A537" s="539">
        <f ca="1"/>
        <v>531</v>
      </c>
      <c r="B537" s="35" t="str">
        <f ca="1">IFERROR(__xludf.DUMMYFUNCTION("""COMPUTED_VALUE"""),"Tổ Hạ tầng Kiến Tường")</f>
        <v>Tổ Hạ tầng Kiến Tường</v>
      </c>
      <c r="C537" s="35" t="str">
        <f ca="1">IFERROR(__xludf.DUMMYFUNCTION("""COMPUTED_VALUE"""),"Huỳnh Đức Huy")</f>
        <v>Huỳnh Đức Huy</v>
      </c>
      <c r="D537" s="35">
        <f ca="1">IFERROR(__xludf.DUMMYFUNCTION("""COMPUTED_VALUE"""),949552355)</f>
        <v>949552355</v>
      </c>
      <c r="E537" s="35" t="str">
        <f ca="1">IFERROR(__xludf.DUMMYFUNCTION("""COMPUTED_VALUE"""),"huyhd.lan@vnpt.vn")</f>
        <v>huyhd.lan@vnpt.vn</v>
      </c>
      <c r="F537" s="540" t="str">
        <f ca="1">IFERROR(__xludf.DUMMYFUNCTION("""COMPUTED_VALUE"""),"Lần 3")</f>
        <v>Lần 3</v>
      </c>
      <c r="G537" s="545"/>
      <c r="H537" s="35"/>
      <c r="I537" s="542"/>
      <c r="J537" s="541"/>
      <c r="K537" s="541"/>
      <c r="M537" s="539">
        <f ca="1">IFERROR(__xludf.DUMMYFUNCTION("""COMPUTED_VALUE"""),0)</f>
        <v>0</v>
      </c>
      <c r="N537" s="539">
        <f ca="1">IFERROR(__xludf.DUMMYFUNCTION("""COMPUTED_VALUE"""),0)</f>
        <v>0</v>
      </c>
      <c r="O537" s="539">
        <f ca="1">IFERROR(__xludf.DUMMYFUNCTION("""COMPUTED_VALUE"""),0)</f>
        <v>0</v>
      </c>
    </row>
    <row r="538" spans="1:15" ht="12.75">
      <c r="A538" s="539">
        <f ca="1"/>
        <v>532</v>
      </c>
      <c r="B538" s="35" t="str">
        <f ca="1">IFERROR(__xludf.DUMMYFUNCTION("""COMPUTED_VALUE"""),"Tổ Hạ tầng Kiến Tường")</f>
        <v>Tổ Hạ tầng Kiến Tường</v>
      </c>
      <c r="C538" s="35" t="str">
        <f ca="1">IFERROR(__xludf.DUMMYFUNCTION("""COMPUTED_VALUE"""),"Huỳnh Đức Huy")</f>
        <v>Huỳnh Đức Huy</v>
      </c>
      <c r="D538" s="35">
        <f ca="1">IFERROR(__xludf.DUMMYFUNCTION("""COMPUTED_VALUE"""),949552355)</f>
        <v>949552355</v>
      </c>
      <c r="E538" s="35" t="str">
        <f ca="1">IFERROR(__xludf.DUMMYFUNCTION("""COMPUTED_VALUE"""),"huyhd.lan@vnpt.vn")</f>
        <v>huyhd.lan@vnpt.vn</v>
      </c>
      <c r="F538" s="540" t="str">
        <f ca="1">IFERROR(__xludf.DUMMYFUNCTION("""COMPUTED_VALUE"""),"Lần 4")</f>
        <v>Lần 4</v>
      </c>
      <c r="G538" s="545"/>
      <c r="H538" s="35"/>
      <c r="I538" s="35"/>
      <c r="J538" s="541"/>
      <c r="K538" s="542"/>
      <c r="M538" s="539">
        <f ca="1">IFERROR(__xludf.DUMMYFUNCTION("""COMPUTED_VALUE"""),0)</f>
        <v>0</v>
      </c>
      <c r="N538" s="539">
        <f ca="1">IFERROR(__xludf.DUMMYFUNCTION("""COMPUTED_VALUE"""),0)</f>
        <v>0</v>
      </c>
      <c r="O538" s="539">
        <f ca="1">IFERROR(__xludf.DUMMYFUNCTION("""COMPUTED_VALUE"""),0)</f>
        <v>0</v>
      </c>
    </row>
    <row r="539" spans="1:15" ht="12.75">
      <c r="A539" s="539">
        <f ca="1"/>
        <v>533</v>
      </c>
      <c r="B539" s="35" t="str">
        <f ca="1">IFERROR(__xludf.DUMMYFUNCTION("""COMPUTED_VALUE"""),"Tổ Hạ tầng Kiến Tường")</f>
        <v>Tổ Hạ tầng Kiến Tường</v>
      </c>
      <c r="C539" s="35" t="str">
        <f ca="1">IFERROR(__xludf.DUMMYFUNCTION("""COMPUTED_VALUE"""),"Huỳnh Đức Huy")</f>
        <v>Huỳnh Đức Huy</v>
      </c>
      <c r="D539" s="35">
        <f ca="1">IFERROR(__xludf.DUMMYFUNCTION("""COMPUTED_VALUE"""),949552355)</f>
        <v>949552355</v>
      </c>
      <c r="E539" s="35" t="str">
        <f ca="1">IFERROR(__xludf.DUMMYFUNCTION("""COMPUTED_VALUE"""),"huyhd.lan@vnpt.vn")</f>
        <v>huyhd.lan@vnpt.vn</v>
      </c>
      <c r="F539" s="540" t="str">
        <f ca="1">IFERROR(__xludf.DUMMYFUNCTION("""COMPUTED_VALUE"""),"Lần 5")</f>
        <v>Lần 5</v>
      </c>
      <c r="G539" s="545"/>
      <c r="H539" s="35"/>
      <c r="I539" s="542"/>
      <c r="J539" s="541"/>
      <c r="K539" s="541"/>
      <c r="M539" s="539">
        <f ca="1">IFERROR(__xludf.DUMMYFUNCTION("""COMPUTED_VALUE"""),0)</f>
        <v>0</v>
      </c>
      <c r="N539" s="539">
        <f ca="1">IFERROR(__xludf.DUMMYFUNCTION("""COMPUTED_VALUE"""),0)</f>
        <v>0</v>
      </c>
      <c r="O539" s="539">
        <f ca="1">IFERROR(__xludf.DUMMYFUNCTION("""COMPUTED_VALUE"""),0)</f>
        <v>0</v>
      </c>
    </row>
    <row r="540" spans="1:15" ht="12.75">
      <c r="A540" s="539">
        <f ca="1"/>
        <v>534</v>
      </c>
      <c r="B540" s="35" t="str">
        <f ca="1">IFERROR(__xludf.DUMMYFUNCTION("""COMPUTED_VALUE"""),"Tổ Hạ tầng Kiến Tường")</f>
        <v>Tổ Hạ tầng Kiến Tường</v>
      </c>
      <c r="C540" s="35" t="str">
        <f ca="1">IFERROR(__xludf.DUMMYFUNCTION("""COMPUTED_VALUE"""),"Huỳnh Đức Huy")</f>
        <v>Huỳnh Đức Huy</v>
      </c>
      <c r="D540" s="35">
        <f ca="1">IFERROR(__xludf.DUMMYFUNCTION("""COMPUTED_VALUE"""),949552355)</f>
        <v>949552355</v>
      </c>
      <c r="E540" s="35" t="str">
        <f ca="1">IFERROR(__xludf.DUMMYFUNCTION("""COMPUTED_VALUE"""),"huyhd.lan@vnpt.vn")</f>
        <v>huyhd.lan@vnpt.vn</v>
      </c>
      <c r="F540" s="540" t="str">
        <f ca="1">IFERROR(__xludf.DUMMYFUNCTION("""COMPUTED_VALUE"""),"Lần 6")</f>
        <v>Lần 6</v>
      </c>
      <c r="G540" s="545"/>
      <c r="H540" s="35"/>
      <c r="I540" s="542"/>
      <c r="J540" s="541"/>
      <c r="K540" s="542"/>
      <c r="M540" s="539">
        <f ca="1">IFERROR(__xludf.DUMMYFUNCTION("""COMPUTED_VALUE"""),0)</f>
        <v>0</v>
      </c>
      <c r="N540" s="539">
        <f ca="1">IFERROR(__xludf.DUMMYFUNCTION("""COMPUTED_VALUE"""),0)</f>
        <v>0</v>
      </c>
      <c r="O540" s="539">
        <f ca="1">IFERROR(__xludf.DUMMYFUNCTION("""COMPUTED_VALUE"""),0)</f>
        <v>0</v>
      </c>
    </row>
    <row r="541" spans="1:15" ht="12.75">
      <c r="A541" s="539">
        <f ca="1"/>
        <v>535</v>
      </c>
      <c r="B541" s="35" t="str">
        <f ca="1">IFERROR(__xludf.DUMMYFUNCTION("""COMPUTED_VALUE"""),"Tổ Hạ tầng Kiến Tường")</f>
        <v>Tổ Hạ tầng Kiến Tường</v>
      </c>
      <c r="C541" s="35" t="str">
        <f ca="1">IFERROR(__xludf.DUMMYFUNCTION("""COMPUTED_VALUE"""),"Huỳnh Đức Huy")</f>
        <v>Huỳnh Đức Huy</v>
      </c>
      <c r="D541" s="35">
        <f ca="1">IFERROR(__xludf.DUMMYFUNCTION("""COMPUTED_VALUE"""),949552355)</f>
        <v>949552355</v>
      </c>
      <c r="E541" s="35" t="str">
        <f ca="1">IFERROR(__xludf.DUMMYFUNCTION("""COMPUTED_VALUE"""),"huyhd.lan@vnpt.vn")</f>
        <v>huyhd.lan@vnpt.vn</v>
      </c>
      <c r="F541" s="540" t="str">
        <f ca="1">IFERROR(__xludf.DUMMYFUNCTION("""COMPUTED_VALUE"""),"Lần 7")</f>
        <v>Lần 7</v>
      </c>
      <c r="G541" s="545"/>
      <c r="H541" s="35"/>
      <c r="I541" s="542"/>
      <c r="J541" s="35"/>
      <c r="K541" s="542"/>
      <c r="M541" s="539">
        <f ca="1">IFERROR(__xludf.DUMMYFUNCTION("""COMPUTED_VALUE"""),0)</f>
        <v>0</v>
      </c>
      <c r="N541" s="539">
        <f ca="1">IFERROR(__xludf.DUMMYFUNCTION("""COMPUTED_VALUE"""),0)</f>
        <v>0</v>
      </c>
      <c r="O541" s="539">
        <f ca="1">IFERROR(__xludf.DUMMYFUNCTION("""COMPUTED_VALUE"""),0)</f>
        <v>0</v>
      </c>
    </row>
    <row r="542" spans="1:15" ht="12.75">
      <c r="A542" s="539">
        <f ca="1"/>
        <v>536</v>
      </c>
      <c r="B542" s="35" t="str">
        <f ca="1">IFERROR(__xludf.DUMMYFUNCTION("""COMPUTED_VALUE"""),"Tổ Hạ tầng Kiến Tường")</f>
        <v>Tổ Hạ tầng Kiến Tường</v>
      </c>
      <c r="C542" s="35" t="str">
        <f ca="1">IFERROR(__xludf.DUMMYFUNCTION("""COMPUTED_VALUE"""),"Huỳnh Đức Huy")</f>
        <v>Huỳnh Đức Huy</v>
      </c>
      <c r="D542" s="35">
        <f ca="1">IFERROR(__xludf.DUMMYFUNCTION("""COMPUTED_VALUE"""),949552355)</f>
        <v>949552355</v>
      </c>
      <c r="E542" s="35" t="str">
        <f ca="1">IFERROR(__xludf.DUMMYFUNCTION("""COMPUTED_VALUE"""),"huyhd.lan@vnpt.vn")</f>
        <v>huyhd.lan@vnpt.vn</v>
      </c>
      <c r="F542" s="540" t="str">
        <f ca="1">IFERROR(__xludf.DUMMYFUNCTION("""COMPUTED_VALUE"""),"Lần 8")</f>
        <v>Lần 8</v>
      </c>
      <c r="G542" s="545"/>
      <c r="H542" s="35"/>
      <c r="I542" s="542"/>
      <c r="J542" s="541"/>
      <c r="K542" s="542"/>
      <c r="M542" s="539">
        <f ca="1">IFERROR(__xludf.DUMMYFUNCTION("""COMPUTED_VALUE"""),0)</f>
        <v>0</v>
      </c>
      <c r="N542" s="539">
        <f ca="1">IFERROR(__xludf.DUMMYFUNCTION("""COMPUTED_VALUE"""),0)</f>
        <v>0</v>
      </c>
      <c r="O542" s="539">
        <f ca="1">IFERROR(__xludf.DUMMYFUNCTION("""COMPUTED_VALUE"""),0)</f>
        <v>0</v>
      </c>
    </row>
    <row r="543" spans="1:15" ht="12.75">
      <c r="A543" s="539">
        <f ca="1"/>
        <v>537</v>
      </c>
      <c r="B543" s="35" t="str">
        <f ca="1">IFERROR(__xludf.DUMMYFUNCTION("""COMPUTED_VALUE"""),"Tổ Hạ tầng Kiến Tường")</f>
        <v>Tổ Hạ tầng Kiến Tường</v>
      </c>
      <c r="C543" s="35" t="str">
        <f ca="1">IFERROR(__xludf.DUMMYFUNCTION("""COMPUTED_VALUE"""),"Huỳnh Đức Huy")</f>
        <v>Huỳnh Đức Huy</v>
      </c>
      <c r="D543" s="35">
        <f ca="1">IFERROR(__xludf.DUMMYFUNCTION("""COMPUTED_VALUE"""),949552355)</f>
        <v>949552355</v>
      </c>
      <c r="E543" s="35" t="str">
        <f ca="1">IFERROR(__xludf.DUMMYFUNCTION("""COMPUTED_VALUE"""),"huyhd.lan@vnpt.vn")</f>
        <v>huyhd.lan@vnpt.vn</v>
      </c>
      <c r="F543" s="540" t="str">
        <f ca="1">IFERROR(__xludf.DUMMYFUNCTION("""COMPUTED_VALUE"""),"Lần 9")</f>
        <v>Lần 9</v>
      </c>
      <c r="G543" s="545"/>
      <c r="H543" s="35"/>
      <c r="I543" s="542"/>
      <c r="J543" s="541"/>
      <c r="K543" s="542"/>
      <c r="M543" s="539">
        <f ca="1">IFERROR(__xludf.DUMMYFUNCTION("""COMPUTED_VALUE"""),0)</f>
        <v>0</v>
      </c>
      <c r="N543" s="539">
        <f ca="1">IFERROR(__xludf.DUMMYFUNCTION("""COMPUTED_VALUE"""),0)</f>
        <v>0</v>
      </c>
      <c r="O543" s="539">
        <f ca="1">IFERROR(__xludf.DUMMYFUNCTION("""COMPUTED_VALUE"""),0)</f>
        <v>0</v>
      </c>
    </row>
    <row r="544" spans="1:15" ht="12.75">
      <c r="A544" s="539">
        <f ca="1"/>
        <v>538</v>
      </c>
      <c r="B544" s="35" t="str">
        <f ca="1">IFERROR(__xludf.DUMMYFUNCTION("""COMPUTED_VALUE"""),"Tổ Hạ tầng Kiến Tường")</f>
        <v>Tổ Hạ tầng Kiến Tường</v>
      </c>
      <c r="C544" s="35" t="str">
        <f ca="1">IFERROR(__xludf.DUMMYFUNCTION("""COMPUTED_VALUE"""),"Huỳnh Đức Huy")</f>
        <v>Huỳnh Đức Huy</v>
      </c>
      <c r="D544" s="35">
        <f ca="1">IFERROR(__xludf.DUMMYFUNCTION("""COMPUTED_VALUE"""),949552355)</f>
        <v>949552355</v>
      </c>
      <c r="E544" s="35" t="str">
        <f ca="1">IFERROR(__xludf.DUMMYFUNCTION("""COMPUTED_VALUE"""),"huyhd.lan@vnpt.vn")</f>
        <v>huyhd.lan@vnpt.vn</v>
      </c>
      <c r="F544" s="540" t="str">
        <f ca="1">IFERROR(__xludf.DUMMYFUNCTION("""COMPUTED_VALUE"""),"Lần 10")</f>
        <v>Lần 10</v>
      </c>
      <c r="G544" s="545"/>
      <c r="H544" s="35"/>
      <c r="I544" s="35"/>
      <c r="J544" s="541"/>
      <c r="K544" s="542"/>
      <c r="M544" s="539">
        <f ca="1">IFERROR(__xludf.DUMMYFUNCTION("""COMPUTED_VALUE"""),0)</f>
        <v>0</v>
      </c>
      <c r="N544" s="539">
        <f ca="1">IFERROR(__xludf.DUMMYFUNCTION("""COMPUTED_VALUE"""),0)</f>
        <v>0</v>
      </c>
      <c r="O544" s="539">
        <f ca="1">IFERROR(__xludf.DUMMYFUNCTION("""COMPUTED_VALUE"""),0)</f>
        <v>0</v>
      </c>
    </row>
    <row r="545" spans="1:15" ht="12.75">
      <c r="A545" s="539">
        <f ca="1"/>
        <v>539</v>
      </c>
      <c r="B545" s="35" t="str">
        <f ca="1">IFERROR(__xludf.DUMMYFUNCTION("""COMPUTED_VALUE"""),"Tổ Hạ tầng Kiến Tường")</f>
        <v>Tổ Hạ tầng Kiến Tường</v>
      </c>
      <c r="C545" s="35" t="str">
        <f ca="1">IFERROR(__xludf.DUMMYFUNCTION("""COMPUTED_VALUE"""),"Huỳnh Đức Huy")</f>
        <v>Huỳnh Đức Huy</v>
      </c>
      <c r="D545" s="35">
        <f ca="1">IFERROR(__xludf.DUMMYFUNCTION("""COMPUTED_VALUE"""),949552355)</f>
        <v>949552355</v>
      </c>
      <c r="E545" s="35" t="str">
        <f ca="1">IFERROR(__xludf.DUMMYFUNCTION("""COMPUTED_VALUE"""),"huyhd.lan@vnpt.vn")</f>
        <v>huyhd.lan@vnpt.vn</v>
      </c>
      <c r="F545" s="540" t="str">
        <f ca="1">IFERROR(__xludf.DUMMYFUNCTION("""COMPUTED_VALUE"""),"Lần 11")</f>
        <v>Lần 11</v>
      </c>
      <c r="G545" s="545"/>
      <c r="H545" s="35"/>
      <c r="I545" s="542"/>
      <c r="J545" s="541"/>
      <c r="K545" s="541"/>
      <c r="M545" s="539">
        <f ca="1">IFERROR(__xludf.DUMMYFUNCTION("""COMPUTED_VALUE"""),0)</f>
        <v>0</v>
      </c>
      <c r="N545" s="539">
        <f ca="1">IFERROR(__xludf.DUMMYFUNCTION("""COMPUTED_VALUE"""),0)</f>
        <v>0</v>
      </c>
      <c r="O545" s="539">
        <f ca="1">IFERROR(__xludf.DUMMYFUNCTION("""COMPUTED_VALUE"""),0)</f>
        <v>0</v>
      </c>
    </row>
    <row r="546" spans="1:15" ht="12.75">
      <c r="A546" s="539">
        <f ca="1"/>
        <v>540</v>
      </c>
      <c r="B546" s="35" t="str">
        <f ca="1">IFERROR(__xludf.DUMMYFUNCTION("""COMPUTED_VALUE"""),"Tổ Hạ tầng Kiến Tường")</f>
        <v>Tổ Hạ tầng Kiến Tường</v>
      </c>
      <c r="C546" s="35" t="str">
        <f ca="1">IFERROR(__xludf.DUMMYFUNCTION("""COMPUTED_VALUE"""),"Huỳnh Đức Huy")</f>
        <v>Huỳnh Đức Huy</v>
      </c>
      <c r="D546" s="35">
        <f ca="1">IFERROR(__xludf.DUMMYFUNCTION("""COMPUTED_VALUE"""),949552355)</f>
        <v>949552355</v>
      </c>
      <c r="E546" s="35" t="str">
        <f ca="1">IFERROR(__xludf.DUMMYFUNCTION("""COMPUTED_VALUE"""),"huyhd.lan@vnpt.vn")</f>
        <v>huyhd.lan@vnpt.vn</v>
      </c>
      <c r="F546" s="540" t="str">
        <f ca="1">IFERROR(__xludf.DUMMYFUNCTION("""COMPUTED_VALUE"""),"Lần 12")</f>
        <v>Lần 12</v>
      </c>
      <c r="G546" s="545"/>
      <c r="H546" s="35"/>
      <c r="I546" s="542"/>
      <c r="J546" s="541"/>
      <c r="K546" s="542"/>
      <c r="M546" s="539">
        <f ca="1">IFERROR(__xludf.DUMMYFUNCTION("""COMPUTED_VALUE"""),0)</f>
        <v>0</v>
      </c>
      <c r="N546" s="539">
        <f ca="1">IFERROR(__xludf.DUMMYFUNCTION("""COMPUTED_VALUE"""),0)</f>
        <v>0</v>
      </c>
      <c r="O546" s="539">
        <f ca="1">IFERROR(__xludf.DUMMYFUNCTION("""COMPUTED_VALUE"""),0)</f>
        <v>0</v>
      </c>
    </row>
    <row r="547" spans="1:15" ht="12.75">
      <c r="A547" s="539">
        <f ca="1"/>
        <v>541</v>
      </c>
      <c r="B547" s="35" t="str">
        <f ca="1">IFERROR(__xludf.DUMMYFUNCTION("""COMPUTED_VALUE"""),"Tổ Hạ tầng Kiến Tường")</f>
        <v>Tổ Hạ tầng Kiến Tường</v>
      </c>
      <c r="C547" s="35" t="str">
        <f ca="1">IFERROR(__xludf.DUMMYFUNCTION("""COMPUTED_VALUE"""),"Huỳnh Đức Huy")</f>
        <v>Huỳnh Đức Huy</v>
      </c>
      <c r="D547" s="35">
        <f ca="1">IFERROR(__xludf.DUMMYFUNCTION("""COMPUTED_VALUE"""),949552355)</f>
        <v>949552355</v>
      </c>
      <c r="E547" s="35" t="str">
        <f ca="1">IFERROR(__xludf.DUMMYFUNCTION("""COMPUTED_VALUE"""),"huyhd.lan@vnpt.vn")</f>
        <v>huyhd.lan@vnpt.vn</v>
      </c>
      <c r="F547" s="540" t="str">
        <f ca="1">IFERROR(__xludf.DUMMYFUNCTION("""COMPUTED_VALUE"""),"Lần 13")</f>
        <v>Lần 13</v>
      </c>
      <c r="G547" s="545"/>
      <c r="H547" s="35"/>
      <c r="I547" s="542"/>
      <c r="J547" s="541"/>
      <c r="K547" s="542"/>
      <c r="M547" s="539">
        <f ca="1">IFERROR(__xludf.DUMMYFUNCTION("""COMPUTED_VALUE"""),0)</f>
        <v>0</v>
      </c>
      <c r="N547" s="539">
        <f ca="1">IFERROR(__xludf.DUMMYFUNCTION("""COMPUTED_VALUE"""),0)</f>
        <v>0</v>
      </c>
      <c r="O547" s="539">
        <f ca="1">IFERROR(__xludf.DUMMYFUNCTION("""COMPUTED_VALUE"""),0)</f>
        <v>0</v>
      </c>
    </row>
    <row r="548" spans="1:15" ht="12.75">
      <c r="A548" s="539">
        <f ca="1"/>
        <v>542</v>
      </c>
      <c r="B548" s="35" t="str">
        <f ca="1">IFERROR(__xludf.DUMMYFUNCTION("""COMPUTED_VALUE"""),"Tổ Hạ tầng Kiến Tường")</f>
        <v>Tổ Hạ tầng Kiến Tường</v>
      </c>
      <c r="C548" s="35" t="str">
        <f ca="1">IFERROR(__xludf.DUMMYFUNCTION("""COMPUTED_VALUE"""),"Huỳnh Đức Huy")</f>
        <v>Huỳnh Đức Huy</v>
      </c>
      <c r="D548" s="35">
        <f ca="1">IFERROR(__xludf.DUMMYFUNCTION("""COMPUTED_VALUE"""),949552355)</f>
        <v>949552355</v>
      </c>
      <c r="E548" s="35" t="str">
        <f ca="1">IFERROR(__xludf.DUMMYFUNCTION("""COMPUTED_VALUE"""),"huyhd.lan@vnpt.vn")</f>
        <v>huyhd.lan@vnpt.vn</v>
      </c>
      <c r="F548" s="540" t="str">
        <f ca="1">IFERROR(__xludf.DUMMYFUNCTION("""COMPUTED_VALUE"""),"Lần 14")</f>
        <v>Lần 14</v>
      </c>
      <c r="G548" s="545"/>
      <c r="H548" s="35"/>
      <c r="I548" s="542"/>
      <c r="J548" s="541"/>
      <c r="K548" s="542"/>
      <c r="M548" s="539">
        <f ca="1">IFERROR(__xludf.DUMMYFUNCTION("""COMPUTED_VALUE"""),0)</f>
        <v>0</v>
      </c>
      <c r="N548" s="539">
        <f ca="1">IFERROR(__xludf.DUMMYFUNCTION("""COMPUTED_VALUE"""),0)</f>
        <v>0</v>
      </c>
      <c r="O548" s="539">
        <f ca="1">IFERROR(__xludf.DUMMYFUNCTION("""COMPUTED_VALUE"""),0)</f>
        <v>0</v>
      </c>
    </row>
    <row r="549" spans="1:15" ht="12.75">
      <c r="A549" s="539">
        <f ca="1"/>
        <v>543</v>
      </c>
      <c r="B549" s="35" t="str">
        <f ca="1">IFERROR(__xludf.DUMMYFUNCTION("""COMPUTED_VALUE"""),"Tổ Hạ tầng Kiến Tường")</f>
        <v>Tổ Hạ tầng Kiến Tường</v>
      </c>
      <c r="C549" s="35" t="str">
        <f ca="1">IFERROR(__xludf.DUMMYFUNCTION("""COMPUTED_VALUE"""),"Huỳnh Đức Huy")</f>
        <v>Huỳnh Đức Huy</v>
      </c>
      <c r="D549" s="35">
        <f ca="1">IFERROR(__xludf.DUMMYFUNCTION("""COMPUTED_VALUE"""),949552355)</f>
        <v>949552355</v>
      </c>
      <c r="E549" s="35" t="str">
        <f ca="1">IFERROR(__xludf.DUMMYFUNCTION("""COMPUTED_VALUE"""),"huyhd.lan@vnpt.vn")</f>
        <v>huyhd.lan@vnpt.vn</v>
      </c>
      <c r="F549" s="540" t="str">
        <f ca="1">IFERROR(__xludf.DUMMYFUNCTION("""COMPUTED_VALUE"""),"Lần 15")</f>
        <v>Lần 15</v>
      </c>
      <c r="G549" s="545"/>
      <c r="H549" s="35"/>
      <c r="I549" s="542"/>
      <c r="J549" s="541"/>
      <c r="K549" s="542"/>
      <c r="M549" s="539">
        <f ca="1">IFERROR(__xludf.DUMMYFUNCTION("""COMPUTED_VALUE"""),0)</f>
        <v>0</v>
      </c>
      <c r="N549" s="539">
        <f ca="1">IFERROR(__xludf.DUMMYFUNCTION("""COMPUTED_VALUE"""),0)</f>
        <v>0</v>
      </c>
      <c r="O549" s="539">
        <f ca="1">IFERROR(__xludf.DUMMYFUNCTION("""COMPUTED_VALUE"""),0)</f>
        <v>0</v>
      </c>
    </row>
    <row r="550" spans="1:15" ht="12.75">
      <c r="A550" s="539">
        <f ca="1"/>
        <v>544</v>
      </c>
      <c r="B550" s="35" t="str">
        <f ca="1">IFERROR(__xludf.DUMMYFUNCTION("""COMPUTED_VALUE"""),"Tổ Hạ tầng Kiến Tường")</f>
        <v>Tổ Hạ tầng Kiến Tường</v>
      </c>
      <c r="C550" s="35" t="str">
        <f ca="1">IFERROR(__xludf.DUMMYFUNCTION("""COMPUTED_VALUE"""),"Huỳnh Đức Huy")</f>
        <v>Huỳnh Đức Huy</v>
      </c>
      <c r="D550" s="35">
        <f ca="1">IFERROR(__xludf.DUMMYFUNCTION("""COMPUTED_VALUE"""),949552355)</f>
        <v>949552355</v>
      </c>
      <c r="E550" s="35" t="str">
        <f ca="1">IFERROR(__xludf.DUMMYFUNCTION("""COMPUTED_VALUE"""),"huyhd.lan@vnpt.vn")</f>
        <v>huyhd.lan@vnpt.vn</v>
      </c>
      <c r="F550" s="540" t="str">
        <f ca="1">IFERROR(__xludf.DUMMYFUNCTION("""COMPUTED_VALUE"""),"Lần 16")</f>
        <v>Lần 16</v>
      </c>
      <c r="G550" s="545"/>
      <c r="H550" s="35"/>
      <c r="I550" s="542"/>
      <c r="J550" s="541"/>
      <c r="K550" s="542"/>
      <c r="M550" s="539">
        <f ca="1">IFERROR(__xludf.DUMMYFUNCTION("""COMPUTED_VALUE"""),0)</f>
        <v>0</v>
      </c>
      <c r="N550" s="539">
        <f ca="1">IFERROR(__xludf.DUMMYFUNCTION("""COMPUTED_VALUE"""),0)</f>
        <v>0</v>
      </c>
      <c r="O550" s="539">
        <f ca="1">IFERROR(__xludf.DUMMYFUNCTION("""COMPUTED_VALUE"""),0)</f>
        <v>0</v>
      </c>
    </row>
    <row r="551" spans="1:15" ht="12.75">
      <c r="A551" s="539">
        <f ca="1"/>
        <v>545</v>
      </c>
      <c r="B551" s="35" t="str">
        <f ca="1">IFERROR(__xludf.DUMMYFUNCTION("""COMPUTED_VALUE"""),"Tổ Hạ tầng Kiến Tường")</f>
        <v>Tổ Hạ tầng Kiến Tường</v>
      </c>
      <c r="C551" s="35" t="str">
        <f ca="1">IFERROR(__xludf.DUMMYFUNCTION("""COMPUTED_VALUE"""),"Đinh Bộ Lĩnh")</f>
        <v>Đinh Bộ Lĩnh</v>
      </c>
      <c r="D551" s="35">
        <f ca="1">IFERROR(__xludf.DUMMYFUNCTION("""COMPUTED_VALUE"""),846528979)</f>
        <v>846528979</v>
      </c>
      <c r="E551" s="35" t="str">
        <f ca="1">IFERROR(__xludf.DUMMYFUNCTION("""COMPUTED_VALUE"""),"linhdb.lan@vnpt.vn")</f>
        <v>linhdb.lan@vnpt.vn</v>
      </c>
      <c r="F551" s="540" t="str">
        <f ca="1">IFERROR(__xludf.DUMMYFUNCTION("""COMPUTED_VALUE"""),"Lần 1")</f>
        <v>Lần 1</v>
      </c>
      <c r="G551" s="278">
        <f ca="1">IFERROR(__xludf.DUMMYFUNCTION("""COMPUTED_VALUE"""),46206)</f>
        <v>46206</v>
      </c>
      <c r="H551" s="35" t="str">
        <f ca="1">IFERROR(__xludf.DUMMYFUNCTION("""COMPUTED_VALUE"""),"80.5")</f>
        <v>80.5</v>
      </c>
      <c r="I551" s="35" t="str">
        <f ca="1">IFERROR(__xludf.DUMMYFUNCTION("""COMPUTED_VALUE"""),"35.9")</f>
        <v>35.9</v>
      </c>
      <c r="J551" s="541">
        <f ca="1">IFERROR(__xludf.DUMMYFUNCTION("""COMPUTED_VALUE"""),90.9)</f>
        <v>90.9</v>
      </c>
      <c r="K551" s="541" t="str">
        <f ca="1">IFERROR(__xludf.DUMMYFUNCTION("""COMPUTED_VALUE"""),"48.3")</f>
        <v>48.3</v>
      </c>
      <c r="M551" s="539">
        <f ca="1">IFERROR(__xludf.DUMMYFUNCTION("""COMPUTED_VALUE"""),1)</f>
        <v>1</v>
      </c>
      <c r="N551" s="539">
        <f ca="1">IFERROR(__xludf.DUMMYFUNCTION("""COMPUTED_VALUE"""),1)</f>
        <v>1</v>
      </c>
      <c r="O551" s="539">
        <f ca="1">IFERROR(__xludf.DUMMYFUNCTION("""COMPUTED_VALUE"""),0)</f>
        <v>0</v>
      </c>
    </row>
    <row r="552" spans="1:15" ht="12.75">
      <c r="A552" s="539">
        <f ca="1"/>
        <v>546</v>
      </c>
      <c r="B552" s="35" t="str">
        <f ca="1">IFERROR(__xludf.DUMMYFUNCTION("""COMPUTED_VALUE"""),"Tổ Hạ tầng Kiến Tường")</f>
        <v>Tổ Hạ tầng Kiến Tường</v>
      </c>
      <c r="C552" s="35" t="str">
        <f ca="1">IFERROR(__xludf.DUMMYFUNCTION("""COMPUTED_VALUE"""),"Đinh Bộ Lĩnh")</f>
        <v>Đinh Bộ Lĩnh</v>
      </c>
      <c r="D552" s="35">
        <f ca="1">IFERROR(__xludf.DUMMYFUNCTION("""COMPUTED_VALUE"""),846528979)</f>
        <v>846528979</v>
      </c>
      <c r="E552" s="35" t="str">
        <f ca="1">IFERROR(__xludf.DUMMYFUNCTION("""COMPUTED_VALUE"""),"linhdb.lan@vnpt.vn")</f>
        <v>linhdb.lan@vnpt.vn</v>
      </c>
      <c r="F552" s="540" t="str">
        <f ca="1">IFERROR(__xludf.DUMMYFUNCTION("""COMPUTED_VALUE"""),"Lần 2")</f>
        <v>Lần 2</v>
      </c>
      <c r="G552" s="278">
        <f ca="1">IFERROR(__xludf.DUMMYFUNCTION("""COMPUTED_VALUE"""),46206)</f>
        <v>46206</v>
      </c>
      <c r="H552" s="35">
        <f ca="1">IFERROR(__xludf.DUMMYFUNCTION("""COMPUTED_VALUE"""),101)</f>
        <v>101</v>
      </c>
      <c r="I552" s="542">
        <f ca="1">IFERROR(__xludf.DUMMYFUNCTION("""COMPUTED_VALUE"""),46046)</f>
        <v>46046</v>
      </c>
      <c r="J552" s="541">
        <f ca="1">IFERROR(__xludf.DUMMYFUNCTION("""COMPUTED_VALUE"""),116)</f>
        <v>116</v>
      </c>
      <c r="K552" s="542">
        <f ca="1">IFERROR(__xludf.DUMMYFUNCTION("""COMPUTED_VALUE"""),46053)</f>
        <v>46053</v>
      </c>
      <c r="M552" s="539">
        <f ca="1">IFERROR(__xludf.DUMMYFUNCTION("""COMPUTED_VALUE"""),1)</f>
        <v>1</v>
      </c>
      <c r="N552" s="539">
        <f ca="1">IFERROR(__xludf.DUMMYFUNCTION("""COMPUTED_VALUE"""),1)</f>
        <v>1</v>
      </c>
      <c r="O552" s="539">
        <f ca="1">IFERROR(__xludf.DUMMYFUNCTION("""COMPUTED_VALUE"""),0)</f>
        <v>0</v>
      </c>
    </row>
    <row r="553" spans="1:15" ht="12.75">
      <c r="A553" s="539">
        <f ca="1"/>
        <v>547</v>
      </c>
      <c r="B553" s="35" t="str">
        <f ca="1">IFERROR(__xludf.DUMMYFUNCTION("""COMPUTED_VALUE"""),"Tổ Hạ tầng Kiến Tường")</f>
        <v>Tổ Hạ tầng Kiến Tường</v>
      </c>
      <c r="C553" s="35" t="str">
        <f ca="1">IFERROR(__xludf.DUMMYFUNCTION("""COMPUTED_VALUE"""),"Đinh Bộ Lĩnh")</f>
        <v>Đinh Bộ Lĩnh</v>
      </c>
      <c r="D553" s="35">
        <f ca="1">IFERROR(__xludf.DUMMYFUNCTION("""COMPUTED_VALUE"""),846528979)</f>
        <v>846528979</v>
      </c>
      <c r="E553" s="35" t="str">
        <f ca="1">IFERROR(__xludf.DUMMYFUNCTION("""COMPUTED_VALUE"""),"linhdb.lan@vnpt.vn")</f>
        <v>linhdb.lan@vnpt.vn</v>
      </c>
      <c r="F553" s="540" t="str">
        <f ca="1">IFERROR(__xludf.DUMMYFUNCTION("""COMPUTED_VALUE"""),"Lần 3")</f>
        <v>Lần 3</v>
      </c>
      <c r="G553" s="278">
        <f ca="1">IFERROR(__xludf.DUMMYFUNCTION("""COMPUTED_VALUE"""),46206)</f>
        <v>46206</v>
      </c>
      <c r="H553" s="35" t="str">
        <f ca="1">IFERROR(__xludf.DUMMYFUNCTION("""COMPUTED_VALUE"""),"79.7")</f>
        <v>79.7</v>
      </c>
      <c r="I553" s="35" t="str">
        <f ca="1">IFERROR(__xludf.DUMMYFUNCTION("""COMPUTED_VALUE"""),"37.5")</f>
        <v>37.5</v>
      </c>
      <c r="J553" s="541">
        <f ca="1">IFERROR(__xludf.DUMMYFUNCTION("""COMPUTED_VALUE"""),90.8)</f>
        <v>90.8</v>
      </c>
      <c r="K553" s="541" t="str">
        <f ca="1">IFERROR(__xludf.DUMMYFUNCTION("""COMPUTED_VALUE"""),"35.5")</f>
        <v>35.5</v>
      </c>
      <c r="M553" s="539">
        <f ca="1">IFERROR(__xludf.DUMMYFUNCTION("""COMPUTED_VALUE"""),1)</f>
        <v>1</v>
      </c>
      <c r="N553" s="539">
        <f ca="1">IFERROR(__xludf.DUMMYFUNCTION("""COMPUTED_VALUE"""),1)</f>
        <v>1</v>
      </c>
      <c r="O553" s="539">
        <f ca="1">IFERROR(__xludf.DUMMYFUNCTION("""COMPUTED_VALUE"""),0)</f>
        <v>0</v>
      </c>
    </row>
    <row r="554" spans="1:15" ht="12.75">
      <c r="A554" s="539">
        <f ca="1"/>
        <v>548</v>
      </c>
      <c r="B554" s="35" t="str">
        <f ca="1">IFERROR(__xludf.DUMMYFUNCTION("""COMPUTED_VALUE"""),"Tổ Hạ tầng Kiến Tường")</f>
        <v>Tổ Hạ tầng Kiến Tường</v>
      </c>
      <c r="C554" s="35" t="str">
        <f ca="1">IFERROR(__xludf.DUMMYFUNCTION("""COMPUTED_VALUE"""),"Đinh Bộ Lĩnh")</f>
        <v>Đinh Bộ Lĩnh</v>
      </c>
      <c r="D554" s="35">
        <f ca="1">IFERROR(__xludf.DUMMYFUNCTION("""COMPUTED_VALUE"""),846528979)</f>
        <v>846528979</v>
      </c>
      <c r="E554" s="35" t="str">
        <f ca="1">IFERROR(__xludf.DUMMYFUNCTION("""COMPUTED_VALUE"""),"linhdb.lan@vnpt.vn")</f>
        <v>linhdb.lan@vnpt.vn</v>
      </c>
      <c r="F554" s="540" t="str">
        <f ca="1">IFERROR(__xludf.DUMMYFUNCTION("""COMPUTED_VALUE"""),"Lần 4")</f>
        <v>Lần 4</v>
      </c>
      <c r="G554" s="278">
        <f ca="1">IFERROR(__xludf.DUMMYFUNCTION("""COMPUTED_VALUE"""),46206)</f>
        <v>46206</v>
      </c>
      <c r="H554" s="35" t="str">
        <f ca="1">IFERROR(__xludf.DUMMYFUNCTION("""COMPUTED_VALUE"""),"82.9")</f>
        <v>82.9</v>
      </c>
      <c r="I554" s="35" t="str">
        <f ca="1">IFERROR(__xludf.DUMMYFUNCTION("""COMPUTED_VALUE"""),"52.5")</f>
        <v>52.5</v>
      </c>
      <c r="J554" s="541">
        <f ca="1">IFERROR(__xludf.DUMMYFUNCTION("""COMPUTED_VALUE"""),104)</f>
        <v>104</v>
      </c>
      <c r="K554" s="541" t="str">
        <f ca="1">IFERROR(__xludf.DUMMYFUNCTION("""COMPUTED_VALUE"""),"51.7")</f>
        <v>51.7</v>
      </c>
      <c r="M554" s="539">
        <f ca="1">IFERROR(__xludf.DUMMYFUNCTION("""COMPUTED_VALUE"""),1)</f>
        <v>1</v>
      </c>
      <c r="N554" s="539">
        <f ca="1">IFERROR(__xludf.DUMMYFUNCTION("""COMPUTED_VALUE"""),1)</f>
        <v>1</v>
      </c>
      <c r="O554" s="539">
        <f ca="1">IFERROR(__xludf.DUMMYFUNCTION("""COMPUTED_VALUE"""),0)</f>
        <v>0</v>
      </c>
    </row>
    <row r="555" spans="1:15" ht="12.75">
      <c r="A555" s="539">
        <f ca="1"/>
        <v>549</v>
      </c>
      <c r="B555" s="35" t="str">
        <f ca="1">IFERROR(__xludf.DUMMYFUNCTION("""COMPUTED_VALUE"""),"Tổ Hạ tầng Kiến Tường")</f>
        <v>Tổ Hạ tầng Kiến Tường</v>
      </c>
      <c r="C555" s="35" t="str">
        <f ca="1">IFERROR(__xludf.DUMMYFUNCTION("""COMPUTED_VALUE"""),"Đinh Bộ Lĩnh")</f>
        <v>Đinh Bộ Lĩnh</v>
      </c>
      <c r="D555" s="35">
        <f ca="1">IFERROR(__xludf.DUMMYFUNCTION("""COMPUTED_VALUE"""),846528979)</f>
        <v>846528979</v>
      </c>
      <c r="E555" s="35" t="str">
        <f ca="1">IFERROR(__xludf.DUMMYFUNCTION("""COMPUTED_VALUE"""),"linhdb.lan@vnpt.vn")</f>
        <v>linhdb.lan@vnpt.vn</v>
      </c>
      <c r="F555" s="540" t="str">
        <f ca="1">IFERROR(__xludf.DUMMYFUNCTION("""COMPUTED_VALUE"""),"Lần 5")</f>
        <v>Lần 5</v>
      </c>
      <c r="G555" s="278">
        <f ca="1">IFERROR(__xludf.DUMMYFUNCTION("""COMPUTED_VALUE"""),46211)</f>
        <v>46211</v>
      </c>
      <c r="H555" s="35" t="str">
        <f ca="1">IFERROR(__xludf.DUMMYFUNCTION("""COMPUTED_VALUE"""),"74.3")</f>
        <v>74.3</v>
      </c>
      <c r="I555" s="35" t="str">
        <f ca="1">IFERROR(__xludf.DUMMYFUNCTION("""COMPUTED_VALUE"""),"42.3")</f>
        <v>42.3</v>
      </c>
      <c r="J555" s="541">
        <f ca="1">IFERROR(__xludf.DUMMYFUNCTION("""COMPUTED_VALUE"""),89.4)</f>
        <v>89.4</v>
      </c>
      <c r="K555" s="541" t="str">
        <f ca="1">IFERROR(__xludf.DUMMYFUNCTION("""COMPUTED_VALUE"""),"54.9")</f>
        <v>54.9</v>
      </c>
      <c r="M555" s="539">
        <f ca="1">IFERROR(__xludf.DUMMYFUNCTION("""COMPUTED_VALUE"""),1)</f>
        <v>1</v>
      </c>
      <c r="N555" s="539">
        <f ca="1">IFERROR(__xludf.DUMMYFUNCTION("""COMPUTED_VALUE"""),1)</f>
        <v>1</v>
      </c>
      <c r="O555" s="539">
        <f ca="1">IFERROR(__xludf.DUMMYFUNCTION("""COMPUTED_VALUE"""),0)</f>
        <v>0</v>
      </c>
    </row>
    <row r="556" spans="1:15" ht="12.75">
      <c r="A556" s="539">
        <f ca="1"/>
        <v>550</v>
      </c>
      <c r="B556" s="35" t="str">
        <f ca="1">IFERROR(__xludf.DUMMYFUNCTION("""COMPUTED_VALUE"""),"Tổ Hạ tầng Kiến Tường")</f>
        <v>Tổ Hạ tầng Kiến Tường</v>
      </c>
      <c r="C556" s="35" t="str">
        <f ca="1">IFERROR(__xludf.DUMMYFUNCTION("""COMPUTED_VALUE"""),"Đinh Bộ Lĩnh")</f>
        <v>Đinh Bộ Lĩnh</v>
      </c>
      <c r="D556" s="35">
        <f ca="1">IFERROR(__xludf.DUMMYFUNCTION("""COMPUTED_VALUE"""),846528979)</f>
        <v>846528979</v>
      </c>
      <c r="E556" s="35" t="str">
        <f ca="1">IFERROR(__xludf.DUMMYFUNCTION("""COMPUTED_VALUE"""),"linhdb.lan@vnpt.vn")</f>
        <v>linhdb.lan@vnpt.vn</v>
      </c>
      <c r="F556" s="540" t="str">
        <f ca="1">IFERROR(__xludf.DUMMYFUNCTION("""COMPUTED_VALUE"""),"Lần 6")</f>
        <v>Lần 6</v>
      </c>
      <c r="G556" s="278">
        <f ca="1">IFERROR(__xludf.DUMMYFUNCTION("""COMPUTED_VALUE"""),46211)</f>
        <v>46211</v>
      </c>
      <c r="H556" s="35" t="str">
        <f ca="1">IFERROR(__xludf.DUMMYFUNCTION("""COMPUTED_VALUE"""),"75.9")</f>
        <v>75.9</v>
      </c>
      <c r="I556" s="35" t="str">
        <f ca="1">IFERROR(__xludf.DUMMYFUNCTION("""COMPUTED_VALUE"""),"49.3")</f>
        <v>49.3</v>
      </c>
      <c r="J556" s="541">
        <f ca="1">IFERROR(__xludf.DUMMYFUNCTION("""COMPUTED_VALUE"""),81.4)</f>
        <v>81.400000000000006</v>
      </c>
      <c r="K556" s="541" t="str">
        <f ca="1">IFERROR(__xludf.DUMMYFUNCTION("""COMPUTED_VALUE"""),"43.9")</f>
        <v>43.9</v>
      </c>
      <c r="M556" s="539">
        <f ca="1">IFERROR(__xludf.DUMMYFUNCTION("""COMPUTED_VALUE"""),1)</f>
        <v>1</v>
      </c>
      <c r="N556" s="539">
        <f ca="1">IFERROR(__xludf.DUMMYFUNCTION("""COMPUTED_VALUE"""),1)</f>
        <v>1</v>
      </c>
      <c r="O556" s="539">
        <f ca="1">IFERROR(__xludf.DUMMYFUNCTION("""COMPUTED_VALUE"""),0)</f>
        <v>0</v>
      </c>
    </row>
    <row r="557" spans="1:15" ht="12.75">
      <c r="A557" s="539">
        <f ca="1"/>
        <v>551</v>
      </c>
      <c r="B557" s="35" t="str">
        <f ca="1">IFERROR(__xludf.DUMMYFUNCTION("""COMPUTED_VALUE"""),"Tổ Hạ tầng Kiến Tường")</f>
        <v>Tổ Hạ tầng Kiến Tường</v>
      </c>
      <c r="C557" s="35" t="str">
        <f ca="1">IFERROR(__xludf.DUMMYFUNCTION("""COMPUTED_VALUE"""),"Đinh Bộ Lĩnh")</f>
        <v>Đinh Bộ Lĩnh</v>
      </c>
      <c r="D557" s="35">
        <f ca="1">IFERROR(__xludf.DUMMYFUNCTION("""COMPUTED_VALUE"""),846528979)</f>
        <v>846528979</v>
      </c>
      <c r="E557" s="35" t="str">
        <f ca="1">IFERROR(__xludf.DUMMYFUNCTION("""COMPUTED_VALUE"""),"linhdb.lan@vnpt.vn")</f>
        <v>linhdb.lan@vnpt.vn</v>
      </c>
      <c r="F557" s="540" t="str">
        <f ca="1">IFERROR(__xludf.DUMMYFUNCTION("""COMPUTED_VALUE"""),"Lần 7")</f>
        <v>Lần 7</v>
      </c>
      <c r="G557" s="278">
        <f ca="1">IFERROR(__xludf.DUMMYFUNCTION("""COMPUTED_VALUE"""),46211)</f>
        <v>46211</v>
      </c>
      <c r="H557" s="35" t="str">
        <f ca="1">IFERROR(__xludf.DUMMYFUNCTION("""COMPUTED_VALUE"""),"70.4")</f>
        <v>70.4</v>
      </c>
      <c r="I557" s="35" t="str">
        <f ca="1">IFERROR(__xludf.DUMMYFUNCTION("""COMPUTED_VALUE"""),"36.2")</f>
        <v>36.2</v>
      </c>
      <c r="J557" s="541">
        <f ca="1">IFERROR(__xludf.DUMMYFUNCTION("""COMPUTED_VALUE"""),72.9)</f>
        <v>72.900000000000006</v>
      </c>
      <c r="K557" s="541" t="str">
        <f ca="1">IFERROR(__xludf.DUMMYFUNCTION("""COMPUTED_VALUE"""),"48.6")</f>
        <v>48.6</v>
      </c>
      <c r="M557" s="539">
        <f ca="1">IFERROR(__xludf.DUMMYFUNCTION("""COMPUTED_VALUE"""),1)</f>
        <v>1</v>
      </c>
      <c r="N557" s="539">
        <f ca="1">IFERROR(__xludf.DUMMYFUNCTION("""COMPUTED_VALUE"""),1)</f>
        <v>1</v>
      </c>
      <c r="O557" s="539">
        <f ca="1">IFERROR(__xludf.DUMMYFUNCTION("""COMPUTED_VALUE"""),0)</f>
        <v>0</v>
      </c>
    </row>
    <row r="558" spans="1:15" ht="12.75">
      <c r="A558" s="539">
        <f ca="1"/>
        <v>552</v>
      </c>
      <c r="B558" s="35" t="str">
        <f ca="1">IFERROR(__xludf.DUMMYFUNCTION("""COMPUTED_VALUE"""),"Tổ Hạ tầng Kiến Tường")</f>
        <v>Tổ Hạ tầng Kiến Tường</v>
      </c>
      <c r="C558" s="35" t="str">
        <f ca="1">IFERROR(__xludf.DUMMYFUNCTION("""COMPUTED_VALUE"""),"Đinh Bộ Lĩnh")</f>
        <v>Đinh Bộ Lĩnh</v>
      </c>
      <c r="D558" s="35">
        <f ca="1">IFERROR(__xludf.DUMMYFUNCTION("""COMPUTED_VALUE"""),846528979)</f>
        <v>846528979</v>
      </c>
      <c r="E558" s="35" t="str">
        <f ca="1">IFERROR(__xludf.DUMMYFUNCTION("""COMPUTED_VALUE"""),"linhdb.lan@vnpt.vn")</f>
        <v>linhdb.lan@vnpt.vn</v>
      </c>
      <c r="F558" s="540" t="str">
        <f ca="1">IFERROR(__xludf.DUMMYFUNCTION("""COMPUTED_VALUE"""),"Lần 8")</f>
        <v>Lần 8</v>
      </c>
      <c r="G558" s="278">
        <f ca="1">IFERROR(__xludf.DUMMYFUNCTION("""COMPUTED_VALUE"""),46211)</f>
        <v>46211</v>
      </c>
      <c r="H558" s="35" t="str">
        <f ca="1">IFERROR(__xludf.DUMMYFUNCTION("""COMPUTED_VALUE"""),"96..1")</f>
        <v>96..1</v>
      </c>
      <c r="I558" s="35" t="str">
        <f ca="1">IFERROR(__xludf.DUMMYFUNCTION("""COMPUTED_VALUE"""),"45.7")</f>
        <v>45.7</v>
      </c>
      <c r="J558" s="541">
        <f ca="1">IFERROR(__xludf.DUMMYFUNCTION("""COMPUTED_VALUE"""),98)</f>
        <v>98</v>
      </c>
      <c r="K558" s="541" t="str">
        <f ca="1">IFERROR(__xludf.DUMMYFUNCTION("""COMPUTED_VALUE"""),"51.6")</f>
        <v>51.6</v>
      </c>
      <c r="M558" s="539">
        <f ca="1">IFERROR(__xludf.DUMMYFUNCTION("""COMPUTED_VALUE"""),1)</f>
        <v>1</v>
      </c>
      <c r="N558" s="539">
        <f ca="1">IFERROR(__xludf.DUMMYFUNCTION("""COMPUTED_VALUE"""),1)</f>
        <v>1</v>
      </c>
      <c r="O558" s="539">
        <f ca="1">IFERROR(__xludf.DUMMYFUNCTION("""COMPUTED_VALUE"""),0)</f>
        <v>0</v>
      </c>
    </row>
    <row r="559" spans="1:15" ht="12.75">
      <c r="A559" s="539">
        <f ca="1"/>
        <v>553</v>
      </c>
      <c r="B559" s="35" t="str">
        <f ca="1">IFERROR(__xludf.DUMMYFUNCTION("""COMPUTED_VALUE"""),"Tổ Hạ tầng Kiến Tường")</f>
        <v>Tổ Hạ tầng Kiến Tường</v>
      </c>
      <c r="C559" s="35" t="str">
        <f ca="1">IFERROR(__xludf.DUMMYFUNCTION("""COMPUTED_VALUE"""),"Đinh Bộ Lĩnh")</f>
        <v>Đinh Bộ Lĩnh</v>
      </c>
      <c r="D559" s="35">
        <f ca="1">IFERROR(__xludf.DUMMYFUNCTION("""COMPUTED_VALUE"""),846528979)</f>
        <v>846528979</v>
      </c>
      <c r="E559" s="35" t="str">
        <f ca="1">IFERROR(__xludf.DUMMYFUNCTION("""COMPUTED_VALUE"""),"linhdb.lan@vnpt.vn")</f>
        <v>linhdb.lan@vnpt.vn</v>
      </c>
      <c r="F559" s="540" t="str">
        <f ca="1">IFERROR(__xludf.DUMMYFUNCTION("""COMPUTED_VALUE"""),"Lần 9")</f>
        <v>Lần 9</v>
      </c>
      <c r="G559" s="278">
        <f ca="1">IFERROR(__xludf.DUMMYFUNCTION("""COMPUTED_VALUE"""),46216)</f>
        <v>46216</v>
      </c>
      <c r="H559" s="35" t="str">
        <f ca="1">IFERROR(__xludf.DUMMYFUNCTION("""COMPUTED_VALUE"""),"72.8")</f>
        <v>72.8</v>
      </c>
      <c r="I559" s="542">
        <f ca="1">IFERROR(__xludf.DUMMYFUNCTION("""COMPUTED_VALUE"""),46109)</f>
        <v>46109</v>
      </c>
      <c r="J559" s="541">
        <f ca="1">IFERROR(__xludf.DUMMYFUNCTION("""COMPUTED_VALUE"""),87.7)</f>
        <v>87.7</v>
      </c>
      <c r="K559" s="541" t="str">
        <f ca="1">IFERROR(__xludf.DUMMYFUNCTION("""COMPUTED_VALUE"""),"49.8")</f>
        <v>49.8</v>
      </c>
      <c r="M559" s="539">
        <f ca="1">IFERROR(__xludf.DUMMYFUNCTION("""COMPUTED_VALUE"""),1)</f>
        <v>1</v>
      </c>
      <c r="N559" s="539">
        <f ca="1">IFERROR(__xludf.DUMMYFUNCTION("""COMPUTED_VALUE"""),1)</f>
        <v>1</v>
      </c>
      <c r="O559" s="539">
        <f ca="1">IFERROR(__xludf.DUMMYFUNCTION("""COMPUTED_VALUE"""),0)</f>
        <v>0</v>
      </c>
    </row>
    <row r="560" spans="1:15" ht="12.75">
      <c r="A560" s="539">
        <f ca="1"/>
        <v>554</v>
      </c>
      <c r="B560" s="35" t="str">
        <f ca="1">IFERROR(__xludf.DUMMYFUNCTION("""COMPUTED_VALUE"""),"Tổ Hạ tầng Kiến Tường")</f>
        <v>Tổ Hạ tầng Kiến Tường</v>
      </c>
      <c r="C560" s="35" t="str">
        <f ca="1">IFERROR(__xludf.DUMMYFUNCTION("""COMPUTED_VALUE"""),"Đinh Bộ Lĩnh")</f>
        <v>Đinh Bộ Lĩnh</v>
      </c>
      <c r="D560" s="35">
        <f ca="1">IFERROR(__xludf.DUMMYFUNCTION("""COMPUTED_VALUE"""),846528979)</f>
        <v>846528979</v>
      </c>
      <c r="E560" s="35" t="str">
        <f ca="1">IFERROR(__xludf.DUMMYFUNCTION("""COMPUTED_VALUE"""),"linhdb.lan@vnpt.vn")</f>
        <v>linhdb.lan@vnpt.vn</v>
      </c>
      <c r="F560" s="540" t="str">
        <f ca="1">IFERROR(__xludf.DUMMYFUNCTION("""COMPUTED_VALUE"""),"Lần 10")</f>
        <v>Lần 10</v>
      </c>
      <c r="G560" s="278">
        <f ca="1">IFERROR(__xludf.DUMMYFUNCTION("""COMPUTED_VALUE"""),46217)</f>
        <v>46217</v>
      </c>
      <c r="H560" s="35">
        <f ca="1">IFERROR(__xludf.DUMMYFUNCTION("""COMPUTED_VALUE"""),135)</f>
        <v>135</v>
      </c>
      <c r="I560" s="35" t="str">
        <f ca="1">IFERROR(__xludf.DUMMYFUNCTION("""COMPUTED_VALUE"""),"47.7")</f>
        <v>47.7</v>
      </c>
      <c r="J560" s="541">
        <f ca="1">IFERROR(__xludf.DUMMYFUNCTION("""COMPUTED_VALUE"""),164)</f>
        <v>164</v>
      </c>
      <c r="K560" s="541" t="str">
        <f ca="1">IFERROR(__xludf.DUMMYFUNCTION("""COMPUTED_VALUE"""),"54.8")</f>
        <v>54.8</v>
      </c>
      <c r="M560" s="539">
        <f ca="1">IFERROR(__xludf.DUMMYFUNCTION("""COMPUTED_VALUE"""),1)</f>
        <v>1</v>
      </c>
      <c r="N560" s="539">
        <f ca="1">IFERROR(__xludf.DUMMYFUNCTION("""COMPUTED_VALUE"""),1)</f>
        <v>1</v>
      </c>
      <c r="O560" s="539">
        <f ca="1">IFERROR(__xludf.DUMMYFUNCTION("""COMPUTED_VALUE"""),0)</f>
        <v>0</v>
      </c>
    </row>
    <row r="561" spans="1:15" ht="12.75">
      <c r="A561" s="539">
        <f ca="1"/>
        <v>555</v>
      </c>
      <c r="B561" s="35" t="str">
        <f ca="1">IFERROR(__xludf.DUMMYFUNCTION("""COMPUTED_VALUE"""),"Tổ Hạ tầng Kiến Tường")</f>
        <v>Tổ Hạ tầng Kiến Tường</v>
      </c>
      <c r="C561" s="35" t="str">
        <f ca="1">IFERROR(__xludf.DUMMYFUNCTION("""COMPUTED_VALUE"""),"Đinh Bộ Lĩnh")</f>
        <v>Đinh Bộ Lĩnh</v>
      </c>
      <c r="D561" s="35">
        <f ca="1">IFERROR(__xludf.DUMMYFUNCTION("""COMPUTED_VALUE"""),846528979)</f>
        <v>846528979</v>
      </c>
      <c r="E561" s="35" t="str">
        <f ca="1">IFERROR(__xludf.DUMMYFUNCTION("""COMPUTED_VALUE"""),"linhdb.lan@vnpt.vn")</f>
        <v>linhdb.lan@vnpt.vn</v>
      </c>
      <c r="F561" s="540" t="str">
        <f ca="1">IFERROR(__xludf.DUMMYFUNCTION("""COMPUTED_VALUE"""),"Lần 11")</f>
        <v>Lần 11</v>
      </c>
      <c r="G561" s="278">
        <f ca="1">IFERROR(__xludf.DUMMYFUNCTION("""COMPUTED_VALUE"""),46217)</f>
        <v>46217</v>
      </c>
      <c r="H561" s="35" t="str">
        <f ca="1">IFERROR(__xludf.DUMMYFUNCTION("""COMPUTED_VALUE"""),"84.4")</f>
        <v>84.4</v>
      </c>
      <c r="I561" s="35" t="str">
        <f ca="1">IFERROR(__xludf.DUMMYFUNCTION("""COMPUTED_VALUE"""),"43.1")</f>
        <v>43.1</v>
      </c>
      <c r="J561" s="541">
        <f ca="1">IFERROR(__xludf.DUMMYFUNCTION("""COMPUTED_VALUE"""),106)</f>
        <v>106</v>
      </c>
      <c r="K561" s="541">
        <f ca="1">IFERROR(__xludf.DUMMYFUNCTION("""COMPUTED_VALUE"""),54)</f>
        <v>54</v>
      </c>
      <c r="M561" s="539">
        <f ca="1">IFERROR(__xludf.DUMMYFUNCTION("""COMPUTED_VALUE"""),1)</f>
        <v>1</v>
      </c>
      <c r="N561" s="539">
        <f ca="1">IFERROR(__xludf.DUMMYFUNCTION("""COMPUTED_VALUE"""),1)</f>
        <v>1</v>
      </c>
      <c r="O561" s="539">
        <f ca="1">IFERROR(__xludf.DUMMYFUNCTION("""COMPUTED_VALUE"""),0)</f>
        <v>0</v>
      </c>
    </row>
    <row r="562" spans="1:15" ht="12.75">
      <c r="A562" s="539">
        <f ca="1"/>
        <v>556</v>
      </c>
      <c r="B562" s="35" t="str">
        <f ca="1">IFERROR(__xludf.DUMMYFUNCTION("""COMPUTED_VALUE"""),"Tổ Hạ tầng Kiến Tường")</f>
        <v>Tổ Hạ tầng Kiến Tường</v>
      </c>
      <c r="C562" s="35" t="str">
        <f ca="1">IFERROR(__xludf.DUMMYFUNCTION("""COMPUTED_VALUE"""),"Đinh Bộ Lĩnh")</f>
        <v>Đinh Bộ Lĩnh</v>
      </c>
      <c r="D562" s="35">
        <f ca="1">IFERROR(__xludf.DUMMYFUNCTION("""COMPUTED_VALUE"""),846528979)</f>
        <v>846528979</v>
      </c>
      <c r="E562" s="35" t="str">
        <f ca="1">IFERROR(__xludf.DUMMYFUNCTION("""COMPUTED_VALUE"""),"linhdb.lan@vnpt.vn")</f>
        <v>linhdb.lan@vnpt.vn</v>
      </c>
      <c r="F562" s="540" t="str">
        <f ca="1">IFERROR(__xludf.DUMMYFUNCTION("""COMPUTED_VALUE"""),"Lần 12")</f>
        <v>Lần 12</v>
      </c>
      <c r="G562" s="278">
        <f ca="1">IFERROR(__xludf.DUMMYFUNCTION("""COMPUTED_VALUE"""),46217)</f>
        <v>46217</v>
      </c>
      <c r="H562" s="35" t="str">
        <f ca="1">IFERROR(__xludf.DUMMYFUNCTION("""COMPUTED_VALUE"""),"94.3")</f>
        <v>94.3</v>
      </c>
      <c r="I562" s="542">
        <f ca="1">IFERROR(__xludf.DUMMYFUNCTION("""COMPUTED_VALUE"""),46053)</f>
        <v>46053</v>
      </c>
      <c r="J562" s="541">
        <f ca="1">IFERROR(__xludf.DUMMYFUNCTION("""COMPUTED_VALUE"""),161)</f>
        <v>161</v>
      </c>
      <c r="K562" s="541" t="str">
        <f ca="1">IFERROR(__xludf.DUMMYFUNCTION("""COMPUTED_VALUE"""),"34.5")</f>
        <v>34.5</v>
      </c>
      <c r="M562" s="539">
        <f ca="1">IFERROR(__xludf.DUMMYFUNCTION("""COMPUTED_VALUE"""),1)</f>
        <v>1</v>
      </c>
      <c r="N562" s="539">
        <f ca="1">IFERROR(__xludf.DUMMYFUNCTION("""COMPUTED_VALUE"""),1)</f>
        <v>1</v>
      </c>
      <c r="O562" s="539">
        <f ca="1">IFERROR(__xludf.DUMMYFUNCTION("""COMPUTED_VALUE"""),0)</f>
        <v>0</v>
      </c>
    </row>
    <row r="563" spans="1:15" ht="12.75">
      <c r="A563" s="539">
        <f ca="1"/>
        <v>557</v>
      </c>
      <c r="B563" s="35" t="str">
        <f ca="1">IFERROR(__xludf.DUMMYFUNCTION("""COMPUTED_VALUE"""),"Tổ Hạ tầng Kiến Tường")</f>
        <v>Tổ Hạ tầng Kiến Tường</v>
      </c>
      <c r="C563" s="35" t="str">
        <f ca="1">IFERROR(__xludf.DUMMYFUNCTION("""COMPUTED_VALUE"""),"Đinh Bộ Lĩnh")</f>
        <v>Đinh Bộ Lĩnh</v>
      </c>
      <c r="D563" s="35">
        <f ca="1">IFERROR(__xludf.DUMMYFUNCTION("""COMPUTED_VALUE"""),846528979)</f>
        <v>846528979</v>
      </c>
      <c r="E563" s="35" t="str">
        <f ca="1">IFERROR(__xludf.DUMMYFUNCTION("""COMPUTED_VALUE"""),"linhdb.lan@vnpt.vn")</f>
        <v>linhdb.lan@vnpt.vn</v>
      </c>
      <c r="F563" s="540" t="str">
        <f ca="1">IFERROR(__xludf.DUMMYFUNCTION("""COMPUTED_VALUE"""),"Lần 13")</f>
        <v>Lần 13</v>
      </c>
      <c r="G563" s="278"/>
      <c r="H563" s="35"/>
      <c r="I563" s="542"/>
      <c r="J563" s="541"/>
      <c r="K563" s="541"/>
      <c r="M563" s="539">
        <f ca="1">IFERROR(__xludf.DUMMYFUNCTION("""COMPUTED_VALUE"""),0)</f>
        <v>0</v>
      </c>
      <c r="N563" s="539">
        <f ca="1">IFERROR(__xludf.DUMMYFUNCTION("""COMPUTED_VALUE"""),0)</f>
        <v>0</v>
      </c>
      <c r="O563" s="539">
        <f ca="1">IFERROR(__xludf.DUMMYFUNCTION("""COMPUTED_VALUE"""),0)</f>
        <v>0</v>
      </c>
    </row>
    <row r="564" spans="1:15" ht="12.75">
      <c r="A564" s="539">
        <f ca="1"/>
        <v>558</v>
      </c>
      <c r="B564" s="35" t="str">
        <f ca="1">IFERROR(__xludf.DUMMYFUNCTION("""COMPUTED_VALUE"""),"Tổ Hạ tầng Kiến Tường")</f>
        <v>Tổ Hạ tầng Kiến Tường</v>
      </c>
      <c r="C564" s="35" t="str">
        <f ca="1">IFERROR(__xludf.DUMMYFUNCTION("""COMPUTED_VALUE"""),"Đinh Bộ Lĩnh")</f>
        <v>Đinh Bộ Lĩnh</v>
      </c>
      <c r="D564" s="35">
        <f ca="1">IFERROR(__xludf.DUMMYFUNCTION("""COMPUTED_VALUE"""),846528979)</f>
        <v>846528979</v>
      </c>
      <c r="E564" s="35" t="str">
        <f ca="1">IFERROR(__xludf.DUMMYFUNCTION("""COMPUTED_VALUE"""),"linhdb.lan@vnpt.vn")</f>
        <v>linhdb.lan@vnpt.vn</v>
      </c>
      <c r="F564" s="540" t="str">
        <f ca="1">IFERROR(__xludf.DUMMYFUNCTION("""COMPUTED_VALUE"""),"Lần 14")</f>
        <v>Lần 14</v>
      </c>
      <c r="G564" s="278"/>
      <c r="H564" s="35"/>
      <c r="I564" s="35"/>
      <c r="J564" s="541"/>
      <c r="K564" s="541"/>
      <c r="M564" s="539">
        <f ca="1">IFERROR(__xludf.DUMMYFUNCTION("""COMPUTED_VALUE"""),0)</f>
        <v>0</v>
      </c>
      <c r="N564" s="539">
        <f ca="1">IFERROR(__xludf.DUMMYFUNCTION("""COMPUTED_VALUE"""),0)</f>
        <v>0</v>
      </c>
      <c r="O564" s="539">
        <f ca="1">IFERROR(__xludf.DUMMYFUNCTION("""COMPUTED_VALUE"""),0)</f>
        <v>0</v>
      </c>
    </row>
    <row r="565" spans="1:15" ht="12.75">
      <c r="A565" s="539">
        <f ca="1"/>
        <v>559</v>
      </c>
      <c r="B565" s="35" t="str">
        <f ca="1">IFERROR(__xludf.DUMMYFUNCTION("""COMPUTED_VALUE"""),"Tổ Hạ tầng Kiến Tường")</f>
        <v>Tổ Hạ tầng Kiến Tường</v>
      </c>
      <c r="C565" s="35" t="str">
        <f ca="1">IFERROR(__xludf.DUMMYFUNCTION("""COMPUTED_VALUE"""),"Đinh Bộ Lĩnh")</f>
        <v>Đinh Bộ Lĩnh</v>
      </c>
      <c r="D565" s="35">
        <f ca="1">IFERROR(__xludf.DUMMYFUNCTION("""COMPUTED_VALUE"""),846528979)</f>
        <v>846528979</v>
      </c>
      <c r="E565" s="35" t="str">
        <f ca="1">IFERROR(__xludf.DUMMYFUNCTION("""COMPUTED_VALUE"""),"linhdb.lan@vnpt.vn")</f>
        <v>linhdb.lan@vnpt.vn</v>
      </c>
      <c r="F565" s="540" t="str">
        <f ca="1">IFERROR(__xludf.DUMMYFUNCTION("""COMPUTED_VALUE"""),"Lần 15")</f>
        <v>Lần 15</v>
      </c>
      <c r="G565" s="278"/>
      <c r="H565" s="35"/>
      <c r="I565" s="35"/>
      <c r="J565" s="541"/>
      <c r="K565" s="541"/>
      <c r="M565" s="539">
        <f ca="1">IFERROR(__xludf.DUMMYFUNCTION("""COMPUTED_VALUE"""),0)</f>
        <v>0</v>
      </c>
      <c r="N565" s="539">
        <f ca="1">IFERROR(__xludf.DUMMYFUNCTION("""COMPUTED_VALUE"""),0)</f>
        <v>0</v>
      </c>
      <c r="O565" s="539">
        <f ca="1">IFERROR(__xludf.DUMMYFUNCTION("""COMPUTED_VALUE"""),0)</f>
        <v>0</v>
      </c>
    </row>
    <row r="566" spans="1:15" ht="12.75">
      <c r="A566" s="539">
        <f ca="1"/>
        <v>560</v>
      </c>
      <c r="B566" s="35" t="str">
        <f ca="1">IFERROR(__xludf.DUMMYFUNCTION("""COMPUTED_VALUE"""),"Tổ Hạ tầng Kiến Tường")</f>
        <v>Tổ Hạ tầng Kiến Tường</v>
      </c>
      <c r="C566" s="35" t="str">
        <f ca="1">IFERROR(__xludf.DUMMYFUNCTION("""COMPUTED_VALUE"""),"Đinh Bộ Lĩnh")</f>
        <v>Đinh Bộ Lĩnh</v>
      </c>
      <c r="D566" s="35">
        <f ca="1">IFERROR(__xludf.DUMMYFUNCTION("""COMPUTED_VALUE"""),846528979)</f>
        <v>846528979</v>
      </c>
      <c r="E566" s="35" t="str">
        <f ca="1">IFERROR(__xludf.DUMMYFUNCTION("""COMPUTED_VALUE"""),"linhdb.lan@vnpt.vn")</f>
        <v>linhdb.lan@vnpt.vn</v>
      </c>
      <c r="F566" s="540" t="str">
        <f ca="1">IFERROR(__xludf.DUMMYFUNCTION("""COMPUTED_VALUE"""),"Lần 16")</f>
        <v>Lần 16</v>
      </c>
      <c r="G566" s="278"/>
      <c r="H566" s="35"/>
      <c r="I566" s="35"/>
      <c r="J566" s="541"/>
      <c r="K566" s="541"/>
      <c r="M566" s="539">
        <f ca="1">IFERROR(__xludf.DUMMYFUNCTION("""COMPUTED_VALUE"""),0)</f>
        <v>0</v>
      </c>
      <c r="N566" s="539">
        <f ca="1">IFERROR(__xludf.DUMMYFUNCTION("""COMPUTED_VALUE"""),0)</f>
        <v>0</v>
      </c>
      <c r="O566" s="539">
        <f ca="1">IFERROR(__xludf.DUMMYFUNCTION("""COMPUTED_VALUE"""),0)</f>
        <v>0</v>
      </c>
    </row>
    <row r="567" spans="1:15" ht="12.75">
      <c r="A567" s="539">
        <f ca="1"/>
        <v>561</v>
      </c>
      <c r="B567" s="35" t="str">
        <f ca="1">IFERROR(__xludf.DUMMYFUNCTION("""COMPUTED_VALUE"""),"Tổ Hạ tầng Kiến Tường")</f>
        <v>Tổ Hạ tầng Kiến Tường</v>
      </c>
      <c r="C567" s="35" t="str">
        <f ca="1">IFERROR(__xludf.DUMMYFUNCTION("""COMPUTED_VALUE"""),"Võ Quang Thìn")</f>
        <v>Võ Quang Thìn</v>
      </c>
      <c r="D567" s="35">
        <f ca="1">IFERROR(__xludf.DUMMYFUNCTION("""COMPUTED_VALUE"""),913632800)</f>
        <v>913632800</v>
      </c>
      <c r="E567" s="35" t="str">
        <f ca="1">IFERROR(__xludf.DUMMYFUNCTION("""COMPUTED_VALUE"""),"thinvq.lan@vnpt.vn")</f>
        <v>thinvq.lan@vnpt.vn</v>
      </c>
      <c r="F567" s="540" t="str">
        <f ca="1">IFERROR(__xludf.DUMMYFUNCTION("""COMPUTED_VALUE"""),"Lần 1")</f>
        <v>Lần 1</v>
      </c>
      <c r="G567" s="545"/>
      <c r="H567" s="35"/>
      <c r="I567" s="35"/>
      <c r="J567" s="541"/>
      <c r="K567" s="541"/>
      <c r="M567" s="539">
        <f ca="1">IFERROR(__xludf.DUMMYFUNCTION("""COMPUTED_VALUE"""),0)</f>
        <v>0</v>
      </c>
      <c r="N567" s="539">
        <f ca="1">IFERROR(__xludf.DUMMYFUNCTION("""COMPUTED_VALUE"""),0)</f>
        <v>0</v>
      </c>
      <c r="O567" s="539">
        <f ca="1">IFERROR(__xludf.DUMMYFUNCTION("""COMPUTED_VALUE"""),0)</f>
        <v>0</v>
      </c>
    </row>
    <row r="568" spans="1:15" ht="12.75">
      <c r="A568" s="539">
        <f ca="1"/>
        <v>562</v>
      </c>
      <c r="B568" s="35" t="str">
        <f ca="1">IFERROR(__xludf.DUMMYFUNCTION("""COMPUTED_VALUE"""),"Tổ Hạ tầng Kiến Tường")</f>
        <v>Tổ Hạ tầng Kiến Tường</v>
      </c>
      <c r="C568" s="35" t="str">
        <f ca="1">IFERROR(__xludf.DUMMYFUNCTION("""COMPUTED_VALUE"""),"Võ Quang Thìn")</f>
        <v>Võ Quang Thìn</v>
      </c>
      <c r="D568" s="35">
        <f ca="1">IFERROR(__xludf.DUMMYFUNCTION("""COMPUTED_VALUE"""),913632800)</f>
        <v>913632800</v>
      </c>
      <c r="E568" s="35" t="str">
        <f ca="1">IFERROR(__xludf.DUMMYFUNCTION("""COMPUTED_VALUE"""),"thinvq.lan@vnpt.vn")</f>
        <v>thinvq.lan@vnpt.vn</v>
      </c>
      <c r="F568" s="540" t="str">
        <f ca="1">IFERROR(__xludf.DUMMYFUNCTION("""COMPUTED_VALUE"""),"Lần 2")</f>
        <v>Lần 2</v>
      </c>
      <c r="G568" s="545"/>
      <c r="H568" s="35"/>
      <c r="I568" s="35"/>
      <c r="J568" s="541"/>
      <c r="K568" s="541"/>
      <c r="M568" s="539">
        <f ca="1">IFERROR(__xludf.DUMMYFUNCTION("""COMPUTED_VALUE"""),0)</f>
        <v>0</v>
      </c>
      <c r="N568" s="539">
        <f ca="1">IFERROR(__xludf.DUMMYFUNCTION("""COMPUTED_VALUE"""),0)</f>
        <v>0</v>
      </c>
      <c r="O568" s="539">
        <f ca="1">IFERROR(__xludf.DUMMYFUNCTION("""COMPUTED_VALUE"""),0)</f>
        <v>0</v>
      </c>
    </row>
    <row r="569" spans="1:15" ht="12.75">
      <c r="A569" s="539">
        <f ca="1"/>
        <v>563</v>
      </c>
      <c r="B569" s="35" t="str">
        <f ca="1">IFERROR(__xludf.DUMMYFUNCTION("""COMPUTED_VALUE"""),"Tổ Hạ tầng Kiến Tường")</f>
        <v>Tổ Hạ tầng Kiến Tường</v>
      </c>
      <c r="C569" s="35" t="str">
        <f ca="1">IFERROR(__xludf.DUMMYFUNCTION("""COMPUTED_VALUE"""),"Võ Quang Thìn")</f>
        <v>Võ Quang Thìn</v>
      </c>
      <c r="D569" s="35">
        <f ca="1">IFERROR(__xludf.DUMMYFUNCTION("""COMPUTED_VALUE"""),913632800)</f>
        <v>913632800</v>
      </c>
      <c r="E569" s="35" t="str">
        <f ca="1">IFERROR(__xludf.DUMMYFUNCTION("""COMPUTED_VALUE"""),"thinvq.lan@vnpt.vn")</f>
        <v>thinvq.lan@vnpt.vn</v>
      </c>
      <c r="F569" s="540" t="str">
        <f ca="1">IFERROR(__xludf.DUMMYFUNCTION("""COMPUTED_VALUE"""),"Lần 3")</f>
        <v>Lần 3</v>
      </c>
      <c r="G569" s="278"/>
      <c r="H569" s="35"/>
      <c r="I569" s="35"/>
      <c r="J569" s="541"/>
      <c r="K569" s="541"/>
      <c r="M569" s="539">
        <f ca="1">IFERROR(__xludf.DUMMYFUNCTION("""COMPUTED_VALUE"""),0)</f>
        <v>0</v>
      </c>
      <c r="N569" s="539">
        <f ca="1">IFERROR(__xludf.DUMMYFUNCTION("""COMPUTED_VALUE"""),0)</f>
        <v>0</v>
      </c>
      <c r="O569" s="539">
        <f ca="1">IFERROR(__xludf.DUMMYFUNCTION("""COMPUTED_VALUE"""),0)</f>
        <v>0</v>
      </c>
    </row>
    <row r="570" spans="1:15" ht="12.75">
      <c r="A570" s="539">
        <f ca="1"/>
        <v>564</v>
      </c>
      <c r="B570" s="35" t="str">
        <f ca="1">IFERROR(__xludf.DUMMYFUNCTION("""COMPUTED_VALUE"""),"Tổ Hạ tầng Kiến Tường")</f>
        <v>Tổ Hạ tầng Kiến Tường</v>
      </c>
      <c r="C570" s="35" t="str">
        <f ca="1">IFERROR(__xludf.DUMMYFUNCTION("""COMPUTED_VALUE"""),"Võ Quang Thìn")</f>
        <v>Võ Quang Thìn</v>
      </c>
      <c r="D570" s="35">
        <f ca="1">IFERROR(__xludf.DUMMYFUNCTION("""COMPUTED_VALUE"""),913632800)</f>
        <v>913632800</v>
      </c>
      <c r="E570" s="35" t="str">
        <f ca="1">IFERROR(__xludf.DUMMYFUNCTION("""COMPUTED_VALUE"""),"thinvq.lan@vnpt.vn")</f>
        <v>thinvq.lan@vnpt.vn</v>
      </c>
      <c r="F570" s="540" t="str">
        <f ca="1">IFERROR(__xludf.DUMMYFUNCTION("""COMPUTED_VALUE"""),"Lần 4")</f>
        <v>Lần 4</v>
      </c>
      <c r="G570" s="278"/>
      <c r="H570" s="35"/>
      <c r="I570" s="35"/>
      <c r="J570" s="541"/>
      <c r="K570" s="541"/>
      <c r="M570" s="539">
        <f ca="1">IFERROR(__xludf.DUMMYFUNCTION("""COMPUTED_VALUE"""),0)</f>
        <v>0</v>
      </c>
      <c r="N570" s="539">
        <f ca="1">IFERROR(__xludf.DUMMYFUNCTION("""COMPUTED_VALUE"""),0)</f>
        <v>0</v>
      </c>
      <c r="O570" s="539">
        <f ca="1">IFERROR(__xludf.DUMMYFUNCTION("""COMPUTED_VALUE"""),0)</f>
        <v>0</v>
      </c>
    </row>
    <row r="571" spans="1:15" ht="12.75">
      <c r="A571" s="539">
        <f ca="1"/>
        <v>565</v>
      </c>
      <c r="B571" s="35" t="str">
        <f ca="1">IFERROR(__xludf.DUMMYFUNCTION("""COMPUTED_VALUE"""),"Tổ Hạ tầng Kiến Tường")</f>
        <v>Tổ Hạ tầng Kiến Tường</v>
      </c>
      <c r="C571" s="35" t="str">
        <f ca="1">IFERROR(__xludf.DUMMYFUNCTION("""COMPUTED_VALUE"""),"Võ Quang Thìn")</f>
        <v>Võ Quang Thìn</v>
      </c>
      <c r="D571" s="35">
        <f ca="1">IFERROR(__xludf.DUMMYFUNCTION("""COMPUTED_VALUE"""),913632800)</f>
        <v>913632800</v>
      </c>
      <c r="E571" s="35" t="str">
        <f ca="1">IFERROR(__xludf.DUMMYFUNCTION("""COMPUTED_VALUE"""),"thinvq.lan@vnpt.vn")</f>
        <v>thinvq.lan@vnpt.vn</v>
      </c>
      <c r="F571" s="540" t="str">
        <f ca="1">IFERROR(__xludf.DUMMYFUNCTION("""COMPUTED_VALUE"""),"Lần 5")</f>
        <v>Lần 5</v>
      </c>
      <c r="G571" s="278"/>
      <c r="H571" s="35"/>
      <c r="I571" s="35"/>
      <c r="J571" s="541"/>
      <c r="K571" s="541"/>
      <c r="M571" s="539">
        <f ca="1">IFERROR(__xludf.DUMMYFUNCTION("""COMPUTED_VALUE"""),0)</f>
        <v>0</v>
      </c>
      <c r="N571" s="539">
        <f ca="1">IFERROR(__xludf.DUMMYFUNCTION("""COMPUTED_VALUE"""),0)</f>
        <v>0</v>
      </c>
      <c r="O571" s="539">
        <f ca="1">IFERROR(__xludf.DUMMYFUNCTION("""COMPUTED_VALUE"""),0)</f>
        <v>0</v>
      </c>
    </row>
    <row r="572" spans="1:15" ht="12.75">
      <c r="A572" s="539">
        <f ca="1"/>
        <v>566</v>
      </c>
      <c r="B572" s="35" t="str">
        <f ca="1">IFERROR(__xludf.DUMMYFUNCTION("""COMPUTED_VALUE"""),"Tổ Hạ tầng Kiến Tường")</f>
        <v>Tổ Hạ tầng Kiến Tường</v>
      </c>
      <c r="C572" s="35" t="str">
        <f ca="1">IFERROR(__xludf.DUMMYFUNCTION("""COMPUTED_VALUE"""),"Võ Quang Thìn")</f>
        <v>Võ Quang Thìn</v>
      </c>
      <c r="D572" s="35">
        <f ca="1">IFERROR(__xludf.DUMMYFUNCTION("""COMPUTED_VALUE"""),913632800)</f>
        <v>913632800</v>
      </c>
      <c r="E572" s="35" t="str">
        <f ca="1">IFERROR(__xludf.DUMMYFUNCTION("""COMPUTED_VALUE"""),"thinvq.lan@vnpt.vn")</f>
        <v>thinvq.lan@vnpt.vn</v>
      </c>
      <c r="F572" s="540" t="str">
        <f ca="1">IFERROR(__xludf.DUMMYFUNCTION("""COMPUTED_VALUE"""),"Lần 6")</f>
        <v>Lần 6</v>
      </c>
      <c r="G572" s="278"/>
      <c r="H572" s="35"/>
      <c r="I572" s="35"/>
      <c r="J572" s="541"/>
      <c r="K572" s="541"/>
      <c r="M572" s="539">
        <f ca="1">IFERROR(__xludf.DUMMYFUNCTION("""COMPUTED_VALUE"""),0)</f>
        <v>0</v>
      </c>
      <c r="N572" s="539">
        <f ca="1">IFERROR(__xludf.DUMMYFUNCTION("""COMPUTED_VALUE"""),0)</f>
        <v>0</v>
      </c>
      <c r="O572" s="539">
        <f ca="1">IFERROR(__xludf.DUMMYFUNCTION("""COMPUTED_VALUE"""),0)</f>
        <v>0</v>
      </c>
    </row>
    <row r="573" spans="1:15" ht="12.75">
      <c r="A573" s="539">
        <f ca="1"/>
        <v>567</v>
      </c>
      <c r="B573" s="35" t="str">
        <f ca="1">IFERROR(__xludf.DUMMYFUNCTION("""COMPUTED_VALUE"""),"Tổ Hạ tầng Kiến Tường")</f>
        <v>Tổ Hạ tầng Kiến Tường</v>
      </c>
      <c r="C573" s="35" t="str">
        <f ca="1">IFERROR(__xludf.DUMMYFUNCTION("""COMPUTED_VALUE"""),"Võ Quang Thìn")</f>
        <v>Võ Quang Thìn</v>
      </c>
      <c r="D573" s="35">
        <f ca="1">IFERROR(__xludf.DUMMYFUNCTION("""COMPUTED_VALUE"""),913632800)</f>
        <v>913632800</v>
      </c>
      <c r="E573" s="35" t="str">
        <f ca="1">IFERROR(__xludf.DUMMYFUNCTION("""COMPUTED_VALUE"""),"thinvq.lan@vnpt.vn")</f>
        <v>thinvq.lan@vnpt.vn</v>
      </c>
      <c r="F573" s="540" t="str">
        <f ca="1">IFERROR(__xludf.DUMMYFUNCTION("""COMPUTED_VALUE"""),"Lần 7")</f>
        <v>Lần 7</v>
      </c>
      <c r="G573" s="278"/>
      <c r="H573" s="35"/>
      <c r="I573" s="35"/>
      <c r="J573" s="541"/>
      <c r="K573" s="541"/>
      <c r="M573" s="539">
        <f ca="1">IFERROR(__xludf.DUMMYFUNCTION("""COMPUTED_VALUE"""),0)</f>
        <v>0</v>
      </c>
      <c r="N573" s="539">
        <f ca="1">IFERROR(__xludf.DUMMYFUNCTION("""COMPUTED_VALUE"""),0)</f>
        <v>0</v>
      </c>
      <c r="O573" s="539">
        <f ca="1">IFERROR(__xludf.DUMMYFUNCTION("""COMPUTED_VALUE"""),0)</f>
        <v>0</v>
      </c>
    </row>
    <row r="574" spans="1:15" ht="12.75">
      <c r="A574" s="539">
        <f ca="1"/>
        <v>568</v>
      </c>
      <c r="B574" s="35" t="str">
        <f ca="1">IFERROR(__xludf.DUMMYFUNCTION("""COMPUTED_VALUE"""),"Tổ Hạ tầng Kiến Tường")</f>
        <v>Tổ Hạ tầng Kiến Tường</v>
      </c>
      <c r="C574" s="35" t="str">
        <f ca="1">IFERROR(__xludf.DUMMYFUNCTION("""COMPUTED_VALUE"""),"Võ Quang Thìn")</f>
        <v>Võ Quang Thìn</v>
      </c>
      <c r="D574" s="35">
        <f ca="1">IFERROR(__xludf.DUMMYFUNCTION("""COMPUTED_VALUE"""),913632800)</f>
        <v>913632800</v>
      </c>
      <c r="E574" s="35" t="str">
        <f ca="1">IFERROR(__xludf.DUMMYFUNCTION("""COMPUTED_VALUE"""),"thinvq.lan@vnpt.vn")</f>
        <v>thinvq.lan@vnpt.vn</v>
      </c>
      <c r="F574" s="540" t="str">
        <f ca="1">IFERROR(__xludf.DUMMYFUNCTION("""COMPUTED_VALUE"""),"Lần 8")</f>
        <v>Lần 8</v>
      </c>
      <c r="G574" s="278"/>
      <c r="H574" s="35"/>
      <c r="I574" s="35"/>
      <c r="J574" s="541"/>
      <c r="K574" s="541"/>
      <c r="M574" s="539">
        <f ca="1">IFERROR(__xludf.DUMMYFUNCTION("""COMPUTED_VALUE"""),0)</f>
        <v>0</v>
      </c>
      <c r="N574" s="539">
        <f ca="1">IFERROR(__xludf.DUMMYFUNCTION("""COMPUTED_VALUE"""),0)</f>
        <v>0</v>
      </c>
      <c r="O574" s="539">
        <f ca="1">IFERROR(__xludf.DUMMYFUNCTION("""COMPUTED_VALUE"""),0)</f>
        <v>0</v>
      </c>
    </row>
    <row r="575" spans="1:15" ht="12.75">
      <c r="A575" s="539">
        <f ca="1"/>
        <v>569</v>
      </c>
      <c r="B575" s="35" t="str">
        <f ca="1">IFERROR(__xludf.DUMMYFUNCTION("""COMPUTED_VALUE"""),"Tổ Hạ tầng Kiến Tường")</f>
        <v>Tổ Hạ tầng Kiến Tường</v>
      </c>
      <c r="C575" s="35" t="str">
        <f ca="1">IFERROR(__xludf.DUMMYFUNCTION("""COMPUTED_VALUE"""),"Võ Quang Thìn")</f>
        <v>Võ Quang Thìn</v>
      </c>
      <c r="D575" s="35">
        <f ca="1">IFERROR(__xludf.DUMMYFUNCTION("""COMPUTED_VALUE"""),913632800)</f>
        <v>913632800</v>
      </c>
      <c r="E575" s="35" t="str">
        <f ca="1">IFERROR(__xludf.DUMMYFUNCTION("""COMPUTED_VALUE"""),"thinvq.lan@vnpt.vn")</f>
        <v>thinvq.lan@vnpt.vn</v>
      </c>
      <c r="F575" s="540" t="str">
        <f ca="1">IFERROR(__xludf.DUMMYFUNCTION("""COMPUTED_VALUE"""),"Lần 9")</f>
        <v>Lần 9</v>
      </c>
      <c r="G575" s="278"/>
      <c r="H575" s="35"/>
      <c r="I575" s="35"/>
      <c r="J575" s="541"/>
      <c r="K575" s="541"/>
      <c r="M575" s="539">
        <f ca="1">IFERROR(__xludf.DUMMYFUNCTION("""COMPUTED_VALUE"""),0)</f>
        <v>0</v>
      </c>
      <c r="N575" s="539">
        <f ca="1">IFERROR(__xludf.DUMMYFUNCTION("""COMPUTED_VALUE"""),0)</f>
        <v>0</v>
      </c>
      <c r="O575" s="539">
        <f ca="1">IFERROR(__xludf.DUMMYFUNCTION("""COMPUTED_VALUE"""),0)</f>
        <v>0</v>
      </c>
    </row>
    <row r="576" spans="1:15" ht="12.75">
      <c r="A576" s="539">
        <f ca="1"/>
        <v>570</v>
      </c>
      <c r="B576" s="35" t="str">
        <f ca="1">IFERROR(__xludf.DUMMYFUNCTION("""COMPUTED_VALUE"""),"Tổ Hạ tầng Kiến Tường")</f>
        <v>Tổ Hạ tầng Kiến Tường</v>
      </c>
      <c r="C576" s="35" t="str">
        <f ca="1">IFERROR(__xludf.DUMMYFUNCTION("""COMPUTED_VALUE"""),"Võ Quang Thìn")</f>
        <v>Võ Quang Thìn</v>
      </c>
      <c r="D576" s="35">
        <f ca="1">IFERROR(__xludf.DUMMYFUNCTION("""COMPUTED_VALUE"""),913632800)</f>
        <v>913632800</v>
      </c>
      <c r="E576" s="35" t="str">
        <f ca="1">IFERROR(__xludf.DUMMYFUNCTION("""COMPUTED_VALUE"""),"thinvq.lan@vnpt.vn")</f>
        <v>thinvq.lan@vnpt.vn</v>
      </c>
      <c r="F576" s="540" t="str">
        <f ca="1">IFERROR(__xludf.DUMMYFUNCTION("""COMPUTED_VALUE"""),"Lần 10")</f>
        <v>Lần 10</v>
      </c>
      <c r="G576" s="278"/>
      <c r="H576" s="35"/>
      <c r="I576" s="35"/>
      <c r="J576" s="541"/>
      <c r="K576" s="541"/>
      <c r="M576" s="539">
        <f ca="1">IFERROR(__xludf.DUMMYFUNCTION("""COMPUTED_VALUE"""),0)</f>
        <v>0</v>
      </c>
      <c r="N576" s="539">
        <f ca="1">IFERROR(__xludf.DUMMYFUNCTION("""COMPUTED_VALUE"""),0)</f>
        <v>0</v>
      </c>
      <c r="O576" s="539">
        <f ca="1">IFERROR(__xludf.DUMMYFUNCTION("""COMPUTED_VALUE"""),0)</f>
        <v>0</v>
      </c>
    </row>
    <row r="577" spans="1:15" ht="12.75">
      <c r="A577" s="539">
        <f ca="1"/>
        <v>571</v>
      </c>
      <c r="B577" s="35" t="str">
        <f ca="1">IFERROR(__xludf.DUMMYFUNCTION("""COMPUTED_VALUE"""),"Tổ Hạ tầng Kiến Tường")</f>
        <v>Tổ Hạ tầng Kiến Tường</v>
      </c>
      <c r="C577" s="35" t="str">
        <f ca="1">IFERROR(__xludf.DUMMYFUNCTION("""COMPUTED_VALUE"""),"Võ Quang Thìn")</f>
        <v>Võ Quang Thìn</v>
      </c>
      <c r="D577" s="35">
        <f ca="1">IFERROR(__xludf.DUMMYFUNCTION("""COMPUTED_VALUE"""),913632800)</f>
        <v>913632800</v>
      </c>
      <c r="E577" s="35" t="str">
        <f ca="1">IFERROR(__xludf.DUMMYFUNCTION("""COMPUTED_VALUE"""),"thinvq.lan@vnpt.vn")</f>
        <v>thinvq.lan@vnpt.vn</v>
      </c>
      <c r="F577" s="540" t="str">
        <f ca="1">IFERROR(__xludf.DUMMYFUNCTION("""COMPUTED_VALUE"""),"Lần 11")</f>
        <v>Lần 11</v>
      </c>
      <c r="G577" s="278"/>
      <c r="H577" s="35"/>
      <c r="I577" s="35"/>
      <c r="J577" s="541"/>
      <c r="K577" s="541"/>
      <c r="M577" s="539">
        <f ca="1">IFERROR(__xludf.DUMMYFUNCTION("""COMPUTED_VALUE"""),0)</f>
        <v>0</v>
      </c>
      <c r="N577" s="539">
        <f ca="1">IFERROR(__xludf.DUMMYFUNCTION("""COMPUTED_VALUE"""),0)</f>
        <v>0</v>
      </c>
      <c r="O577" s="539">
        <f ca="1">IFERROR(__xludf.DUMMYFUNCTION("""COMPUTED_VALUE"""),0)</f>
        <v>0</v>
      </c>
    </row>
    <row r="578" spans="1:15" ht="12.75">
      <c r="A578" s="539">
        <f ca="1"/>
        <v>572</v>
      </c>
      <c r="B578" s="35" t="str">
        <f ca="1">IFERROR(__xludf.DUMMYFUNCTION("""COMPUTED_VALUE"""),"Tổ Hạ tầng Kiến Tường")</f>
        <v>Tổ Hạ tầng Kiến Tường</v>
      </c>
      <c r="C578" s="35" t="str">
        <f ca="1">IFERROR(__xludf.DUMMYFUNCTION("""COMPUTED_VALUE"""),"Võ Quang Thìn")</f>
        <v>Võ Quang Thìn</v>
      </c>
      <c r="D578" s="35">
        <f ca="1">IFERROR(__xludf.DUMMYFUNCTION("""COMPUTED_VALUE"""),913632800)</f>
        <v>913632800</v>
      </c>
      <c r="E578" s="35" t="str">
        <f ca="1">IFERROR(__xludf.DUMMYFUNCTION("""COMPUTED_VALUE"""),"thinvq.lan@vnpt.vn")</f>
        <v>thinvq.lan@vnpt.vn</v>
      </c>
      <c r="F578" s="540" t="str">
        <f ca="1">IFERROR(__xludf.DUMMYFUNCTION("""COMPUTED_VALUE"""),"Lần 12")</f>
        <v>Lần 12</v>
      </c>
      <c r="G578" s="278"/>
      <c r="H578" s="35"/>
      <c r="I578" s="35"/>
      <c r="J578" s="541"/>
      <c r="K578" s="541"/>
      <c r="M578" s="539">
        <f ca="1">IFERROR(__xludf.DUMMYFUNCTION("""COMPUTED_VALUE"""),0)</f>
        <v>0</v>
      </c>
      <c r="N578" s="539">
        <f ca="1">IFERROR(__xludf.DUMMYFUNCTION("""COMPUTED_VALUE"""),0)</f>
        <v>0</v>
      </c>
      <c r="O578" s="539">
        <f ca="1">IFERROR(__xludf.DUMMYFUNCTION("""COMPUTED_VALUE"""),0)</f>
        <v>0</v>
      </c>
    </row>
    <row r="579" spans="1:15" ht="12.75">
      <c r="A579" s="539">
        <f ca="1"/>
        <v>573</v>
      </c>
      <c r="B579" s="35" t="str">
        <f ca="1">IFERROR(__xludf.DUMMYFUNCTION("""COMPUTED_VALUE"""),"Tổ Hạ tầng Kiến Tường")</f>
        <v>Tổ Hạ tầng Kiến Tường</v>
      </c>
      <c r="C579" s="35" t="str">
        <f ca="1">IFERROR(__xludf.DUMMYFUNCTION("""COMPUTED_VALUE"""),"Võ Quang Thìn")</f>
        <v>Võ Quang Thìn</v>
      </c>
      <c r="D579" s="35">
        <f ca="1">IFERROR(__xludf.DUMMYFUNCTION("""COMPUTED_VALUE"""),913632800)</f>
        <v>913632800</v>
      </c>
      <c r="E579" s="35" t="str">
        <f ca="1">IFERROR(__xludf.DUMMYFUNCTION("""COMPUTED_VALUE"""),"thinvq.lan@vnpt.vn")</f>
        <v>thinvq.lan@vnpt.vn</v>
      </c>
      <c r="F579" s="540" t="str">
        <f ca="1">IFERROR(__xludf.DUMMYFUNCTION("""COMPUTED_VALUE"""),"Lần 13")</f>
        <v>Lần 13</v>
      </c>
      <c r="G579" s="278"/>
      <c r="H579" s="35"/>
      <c r="I579" s="35"/>
      <c r="J579" s="541"/>
      <c r="K579" s="541"/>
      <c r="M579" s="539">
        <f ca="1">IFERROR(__xludf.DUMMYFUNCTION("""COMPUTED_VALUE"""),0)</f>
        <v>0</v>
      </c>
      <c r="N579" s="539">
        <f ca="1">IFERROR(__xludf.DUMMYFUNCTION("""COMPUTED_VALUE"""),0)</f>
        <v>0</v>
      </c>
      <c r="O579" s="539">
        <f ca="1">IFERROR(__xludf.DUMMYFUNCTION("""COMPUTED_VALUE"""),0)</f>
        <v>0</v>
      </c>
    </row>
    <row r="580" spans="1:15" ht="12.75">
      <c r="A580" s="539">
        <f ca="1"/>
        <v>574</v>
      </c>
      <c r="B580" s="35" t="str">
        <f ca="1">IFERROR(__xludf.DUMMYFUNCTION("""COMPUTED_VALUE"""),"Tổ Hạ tầng Kiến Tường")</f>
        <v>Tổ Hạ tầng Kiến Tường</v>
      </c>
      <c r="C580" s="35" t="str">
        <f ca="1">IFERROR(__xludf.DUMMYFUNCTION("""COMPUTED_VALUE"""),"Võ Quang Thìn")</f>
        <v>Võ Quang Thìn</v>
      </c>
      <c r="D580" s="35">
        <f ca="1">IFERROR(__xludf.DUMMYFUNCTION("""COMPUTED_VALUE"""),913632800)</f>
        <v>913632800</v>
      </c>
      <c r="E580" s="35" t="str">
        <f ca="1">IFERROR(__xludf.DUMMYFUNCTION("""COMPUTED_VALUE"""),"thinvq.lan@vnpt.vn")</f>
        <v>thinvq.lan@vnpt.vn</v>
      </c>
      <c r="F580" s="540" t="str">
        <f ca="1">IFERROR(__xludf.DUMMYFUNCTION("""COMPUTED_VALUE"""),"Lần 14")</f>
        <v>Lần 14</v>
      </c>
      <c r="G580" s="278"/>
      <c r="H580" s="35"/>
      <c r="I580" s="35"/>
      <c r="J580" s="541"/>
      <c r="K580" s="541"/>
      <c r="M580" s="539">
        <f ca="1">IFERROR(__xludf.DUMMYFUNCTION("""COMPUTED_VALUE"""),0)</f>
        <v>0</v>
      </c>
      <c r="N580" s="539">
        <f ca="1">IFERROR(__xludf.DUMMYFUNCTION("""COMPUTED_VALUE"""),0)</f>
        <v>0</v>
      </c>
      <c r="O580" s="539">
        <f ca="1">IFERROR(__xludf.DUMMYFUNCTION("""COMPUTED_VALUE"""),0)</f>
        <v>0</v>
      </c>
    </row>
    <row r="581" spans="1:15" ht="12.75">
      <c r="A581" s="539">
        <f ca="1"/>
        <v>575</v>
      </c>
      <c r="B581" s="35" t="str">
        <f ca="1">IFERROR(__xludf.DUMMYFUNCTION("""COMPUTED_VALUE"""),"Tổ Hạ tầng Kiến Tường")</f>
        <v>Tổ Hạ tầng Kiến Tường</v>
      </c>
      <c r="C581" s="35" t="str">
        <f ca="1">IFERROR(__xludf.DUMMYFUNCTION("""COMPUTED_VALUE"""),"Võ Quang Thìn")</f>
        <v>Võ Quang Thìn</v>
      </c>
      <c r="D581" s="35">
        <f ca="1">IFERROR(__xludf.DUMMYFUNCTION("""COMPUTED_VALUE"""),913632800)</f>
        <v>913632800</v>
      </c>
      <c r="E581" s="35" t="str">
        <f ca="1">IFERROR(__xludf.DUMMYFUNCTION("""COMPUTED_VALUE"""),"thinvq.lan@vnpt.vn")</f>
        <v>thinvq.lan@vnpt.vn</v>
      </c>
      <c r="F581" s="540" t="str">
        <f ca="1">IFERROR(__xludf.DUMMYFUNCTION("""COMPUTED_VALUE"""),"Lần 15")</f>
        <v>Lần 15</v>
      </c>
      <c r="G581" s="278"/>
      <c r="H581" s="35"/>
      <c r="I581" s="35"/>
      <c r="J581" s="541"/>
      <c r="K581" s="541"/>
      <c r="M581" s="539">
        <f ca="1">IFERROR(__xludf.DUMMYFUNCTION("""COMPUTED_VALUE"""),0)</f>
        <v>0</v>
      </c>
      <c r="N581" s="539">
        <f ca="1">IFERROR(__xludf.DUMMYFUNCTION("""COMPUTED_VALUE"""),0)</f>
        <v>0</v>
      </c>
      <c r="O581" s="539">
        <f ca="1">IFERROR(__xludf.DUMMYFUNCTION("""COMPUTED_VALUE"""),0)</f>
        <v>0</v>
      </c>
    </row>
    <row r="582" spans="1:15" ht="12.75">
      <c r="A582" s="539">
        <f ca="1"/>
        <v>576</v>
      </c>
      <c r="B582" s="35" t="str">
        <f ca="1">IFERROR(__xludf.DUMMYFUNCTION("""COMPUTED_VALUE"""),"Tổ Hạ tầng Kiến Tường")</f>
        <v>Tổ Hạ tầng Kiến Tường</v>
      </c>
      <c r="C582" s="35" t="str">
        <f ca="1">IFERROR(__xludf.DUMMYFUNCTION("""COMPUTED_VALUE"""),"Võ Quang Thìn")</f>
        <v>Võ Quang Thìn</v>
      </c>
      <c r="D582" s="35">
        <f ca="1">IFERROR(__xludf.DUMMYFUNCTION("""COMPUTED_VALUE"""),913632800)</f>
        <v>913632800</v>
      </c>
      <c r="E582" s="35" t="str">
        <f ca="1">IFERROR(__xludf.DUMMYFUNCTION("""COMPUTED_VALUE"""),"thinvq.lan@vnpt.vn")</f>
        <v>thinvq.lan@vnpt.vn</v>
      </c>
      <c r="F582" s="540" t="str">
        <f ca="1">IFERROR(__xludf.DUMMYFUNCTION("""COMPUTED_VALUE"""),"Lần 16")</f>
        <v>Lần 16</v>
      </c>
      <c r="G582" s="278"/>
      <c r="H582" s="35"/>
      <c r="I582" s="35"/>
      <c r="J582" s="541"/>
      <c r="K582" s="541"/>
      <c r="M582" s="539">
        <f ca="1">IFERROR(__xludf.DUMMYFUNCTION("""COMPUTED_VALUE"""),0)</f>
        <v>0</v>
      </c>
      <c r="N582" s="539">
        <f ca="1">IFERROR(__xludf.DUMMYFUNCTION("""COMPUTED_VALUE"""),0)</f>
        <v>0</v>
      </c>
      <c r="O582" s="539">
        <f ca="1">IFERROR(__xludf.DUMMYFUNCTION("""COMPUTED_VALUE"""),0)</f>
        <v>0</v>
      </c>
    </row>
    <row r="583" spans="1:15" ht="12.75">
      <c r="A583" s="539">
        <f ca="1"/>
        <v>577</v>
      </c>
      <c r="B583" s="35" t="str">
        <f ca="1">IFERROR(__xludf.DUMMYFUNCTION("""COMPUTED_VALUE"""),"Tổ Hạ tầng Kiến Tường")</f>
        <v>Tổ Hạ tầng Kiến Tường</v>
      </c>
      <c r="C583" s="35" t="str">
        <f ca="1">IFERROR(__xludf.DUMMYFUNCTION("""COMPUTED_VALUE"""),"Nguyễn Hoàng Phi")</f>
        <v>Nguyễn Hoàng Phi</v>
      </c>
      <c r="D583" s="35">
        <f ca="1">IFERROR(__xludf.DUMMYFUNCTION("""COMPUTED_VALUE"""),945645759)</f>
        <v>945645759</v>
      </c>
      <c r="E583" s="35" t="str">
        <f ca="1">IFERROR(__xludf.DUMMYFUNCTION("""COMPUTED_VALUE"""),"phinh.lan@vnpt.vn")</f>
        <v>phinh.lan@vnpt.vn</v>
      </c>
      <c r="F583" s="540" t="str">
        <f ca="1">IFERROR(__xludf.DUMMYFUNCTION("""COMPUTED_VALUE"""),"Lần 1")</f>
        <v>Lần 1</v>
      </c>
      <c r="G583" s="35"/>
      <c r="H583" s="35"/>
      <c r="I583" s="35"/>
      <c r="J583" s="540"/>
      <c r="K583" s="544"/>
      <c r="M583" s="539">
        <f ca="1">IFERROR(__xludf.DUMMYFUNCTION("""COMPUTED_VALUE"""),0)</f>
        <v>0</v>
      </c>
      <c r="N583" s="539">
        <f ca="1">IFERROR(__xludf.DUMMYFUNCTION("""COMPUTED_VALUE"""),0)</f>
        <v>0</v>
      </c>
      <c r="O583" s="539">
        <f ca="1">IFERROR(__xludf.DUMMYFUNCTION("""COMPUTED_VALUE"""),0)</f>
        <v>0</v>
      </c>
    </row>
    <row r="584" spans="1:15" ht="12.75">
      <c r="A584" s="539">
        <f ca="1"/>
        <v>578</v>
      </c>
      <c r="B584" s="35" t="str">
        <f ca="1">IFERROR(__xludf.DUMMYFUNCTION("""COMPUTED_VALUE"""),"Tổ Hạ tầng Kiến Tường")</f>
        <v>Tổ Hạ tầng Kiến Tường</v>
      </c>
      <c r="C584" s="35" t="str">
        <f ca="1">IFERROR(__xludf.DUMMYFUNCTION("""COMPUTED_VALUE"""),"Nguyễn Hoàng Phi")</f>
        <v>Nguyễn Hoàng Phi</v>
      </c>
      <c r="D584" s="35">
        <f ca="1">IFERROR(__xludf.DUMMYFUNCTION("""COMPUTED_VALUE"""),945645759)</f>
        <v>945645759</v>
      </c>
      <c r="E584" s="35" t="str">
        <f ca="1">IFERROR(__xludf.DUMMYFUNCTION("""COMPUTED_VALUE"""),"phinh.lan@vnpt.vn")</f>
        <v>phinh.lan@vnpt.vn</v>
      </c>
      <c r="F584" s="540" t="str">
        <f ca="1">IFERROR(__xludf.DUMMYFUNCTION("""COMPUTED_VALUE"""),"Lần 2")</f>
        <v>Lần 2</v>
      </c>
      <c r="G584" s="35"/>
      <c r="H584" s="35"/>
      <c r="I584" s="35"/>
      <c r="J584" s="540"/>
      <c r="K584" s="544"/>
      <c r="M584" s="539">
        <f ca="1">IFERROR(__xludf.DUMMYFUNCTION("""COMPUTED_VALUE"""),0)</f>
        <v>0</v>
      </c>
      <c r="N584" s="539">
        <f ca="1">IFERROR(__xludf.DUMMYFUNCTION("""COMPUTED_VALUE"""),0)</f>
        <v>0</v>
      </c>
      <c r="O584" s="539">
        <f ca="1">IFERROR(__xludf.DUMMYFUNCTION("""COMPUTED_VALUE"""),0)</f>
        <v>0</v>
      </c>
    </row>
    <row r="585" spans="1:15" ht="12.75">
      <c r="A585" s="539">
        <f ca="1"/>
        <v>579</v>
      </c>
      <c r="B585" s="35" t="str">
        <f ca="1">IFERROR(__xludf.DUMMYFUNCTION("""COMPUTED_VALUE"""),"Tổ Hạ tầng Kiến Tường")</f>
        <v>Tổ Hạ tầng Kiến Tường</v>
      </c>
      <c r="C585" s="35" t="str">
        <f ca="1">IFERROR(__xludf.DUMMYFUNCTION("""COMPUTED_VALUE"""),"Nguyễn Hoàng Phi")</f>
        <v>Nguyễn Hoàng Phi</v>
      </c>
      <c r="D585" s="35">
        <f ca="1">IFERROR(__xludf.DUMMYFUNCTION("""COMPUTED_VALUE"""),945645759)</f>
        <v>945645759</v>
      </c>
      <c r="E585" s="35" t="str">
        <f ca="1">IFERROR(__xludf.DUMMYFUNCTION("""COMPUTED_VALUE"""),"phinh.lan@vnpt.vn")</f>
        <v>phinh.lan@vnpt.vn</v>
      </c>
      <c r="F585" s="540" t="str">
        <f ca="1">IFERROR(__xludf.DUMMYFUNCTION("""COMPUTED_VALUE"""),"Lần 3")</f>
        <v>Lần 3</v>
      </c>
      <c r="G585" s="35"/>
      <c r="H585" s="35"/>
      <c r="I585" s="35"/>
      <c r="J585" s="540"/>
      <c r="K585" s="544"/>
      <c r="M585" s="539">
        <f ca="1">IFERROR(__xludf.DUMMYFUNCTION("""COMPUTED_VALUE"""),0)</f>
        <v>0</v>
      </c>
      <c r="N585" s="539">
        <f ca="1">IFERROR(__xludf.DUMMYFUNCTION("""COMPUTED_VALUE"""),0)</f>
        <v>0</v>
      </c>
      <c r="O585" s="539">
        <f ca="1">IFERROR(__xludf.DUMMYFUNCTION("""COMPUTED_VALUE"""),0)</f>
        <v>0</v>
      </c>
    </row>
    <row r="586" spans="1:15" ht="12.75">
      <c r="A586" s="539">
        <f ca="1"/>
        <v>580</v>
      </c>
      <c r="B586" s="35" t="str">
        <f ca="1">IFERROR(__xludf.DUMMYFUNCTION("""COMPUTED_VALUE"""),"Tổ Hạ tầng Kiến Tường")</f>
        <v>Tổ Hạ tầng Kiến Tường</v>
      </c>
      <c r="C586" s="35" t="str">
        <f ca="1">IFERROR(__xludf.DUMMYFUNCTION("""COMPUTED_VALUE"""),"Nguyễn Hoàng Phi")</f>
        <v>Nguyễn Hoàng Phi</v>
      </c>
      <c r="D586" s="35">
        <f ca="1">IFERROR(__xludf.DUMMYFUNCTION("""COMPUTED_VALUE"""),945645759)</f>
        <v>945645759</v>
      </c>
      <c r="E586" s="35" t="str">
        <f ca="1">IFERROR(__xludf.DUMMYFUNCTION("""COMPUTED_VALUE"""),"phinh.lan@vnpt.vn")</f>
        <v>phinh.lan@vnpt.vn</v>
      </c>
      <c r="F586" s="540" t="str">
        <f ca="1">IFERROR(__xludf.DUMMYFUNCTION("""COMPUTED_VALUE"""),"Lần 4")</f>
        <v>Lần 4</v>
      </c>
      <c r="G586" s="35"/>
      <c r="H586" s="35"/>
      <c r="I586" s="35"/>
      <c r="J586" s="540"/>
      <c r="K586" s="544"/>
      <c r="M586" s="539">
        <f ca="1">IFERROR(__xludf.DUMMYFUNCTION("""COMPUTED_VALUE"""),0)</f>
        <v>0</v>
      </c>
      <c r="N586" s="539">
        <f ca="1">IFERROR(__xludf.DUMMYFUNCTION("""COMPUTED_VALUE"""),0)</f>
        <v>0</v>
      </c>
      <c r="O586" s="539">
        <f ca="1">IFERROR(__xludf.DUMMYFUNCTION("""COMPUTED_VALUE"""),0)</f>
        <v>0</v>
      </c>
    </row>
    <row r="587" spans="1:15" ht="12.75">
      <c r="A587" s="539">
        <f ca="1"/>
        <v>581</v>
      </c>
      <c r="B587" s="35" t="str">
        <f ca="1">IFERROR(__xludf.DUMMYFUNCTION("""COMPUTED_VALUE"""),"Tổ Hạ tầng Kiến Tường")</f>
        <v>Tổ Hạ tầng Kiến Tường</v>
      </c>
      <c r="C587" s="35" t="str">
        <f ca="1">IFERROR(__xludf.DUMMYFUNCTION("""COMPUTED_VALUE"""),"Nguyễn Hoàng Phi")</f>
        <v>Nguyễn Hoàng Phi</v>
      </c>
      <c r="D587" s="35">
        <f ca="1">IFERROR(__xludf.DUMMYFUNCTION("""COMPUTED_VALUE"""),945645759)</f>
        <v>945645759</v>
      </c>
      <c r="E587" s="35" t="str">
        <f ca="1">IFERROR(__xludf.DUMMYFUNCTION("""COMPUTED_VALUE"""),"phinh.lan@vnpt.vn")</f>
        <v>phinh.lan@vnpt.vn</v>
      </c>
      <c r="F587" s="540" t="str">
        <f ca="1">IFERROR(__xludf.DUMMYFUNCTION("""COMPUTED_VALUE"""),"Lần 5")</f>
        <v>Lần 5</v>
      </c>
      <c r="G587" s="35"/>
      <c r="H587" s="35"/>
      <c r="I587" s="35"/>
      <c r="J587" s="540"/>
      <c r="K587" s="544"/>
      <c r="M587" s="539">
        <f ca="1">IFERROR(__xludf.DUMMYFUNCTION("""COMPUTED_VALUE"""),0)</f>
        <v>0</v>
      </c>
      <c r="N587" s="539">
        <f ca="1">IFERROR(__xludf.DUMMYFUNCTION("""COMPUTED_VALUE"""),0)</f>
        <v>0</v>
      </c>
      <c r="O587" s="539">
        <f ca="1">IFERROR(__xludf.DUMMYFUNCTION("""COMPUTED_VALUE"""),0)</f>
        <v>0</v>
      </c>
    </row>
    <row r="588" spans="1:15" ht="12.75">
      <c r="A588" s="539">
        <f ca="1"/>
        <v>582</v>
      </c>
      <c r="B588" s="35" t="str">
        <f ca="1">IFERROR(__xludf.DUMMYFUNCTION("""COMPUTED_VALUE"""),"Tổ Hạ tầng Kiến Tường")</f>
        <v>Tổ Hạ tầng Kiến Tường</v>
      </c>
      <c r="C588" s="35" t="str">
        <f ca="1">IFERROR(__xludf.DUMMYFUNCTION("""COMPUTED_VALUE"""),"Nguyễn Hoàng Phi")</f>
        <v>Nguyễn Hoàng Phi</v>
      </c>
      <c r="D588" s="35">
        <f ca="1">IFERROR(__xludf.DUMMYFUNCTION("""COMPUTED_VALUE"""),945645759)</f>
        <v>945645759</v>
      </c>
      <c r="E588" s="35" t="str">
        <f ca="1">IFERROR(__xludf.DUMMYFUNCTION("""COMPUTED_VALUE"""),"phinh.lan@vnpt.vn")</f>
        <v>phinh.lan@vnpt.vn</v>
      </c>
      <c r="F588" s="540" t="str">
        <f ca="1">IFERROR(__xludf.DUMMYFUNCTION("""COMPUTED_VALUE"""),"Lần 6")</f>
        <v>Lần 6</v>
      </c>
      <c r="G588" s="35"/>
      <c r="H588" s="35"/>
      <c r="I588" s="35"/>
      <c r="J588" s="540"/>
      <c r="K588" s="544"/>
      <c r="M588" s="539">
        <f ca="1">IFERROR(__xludf.DUMMYFUNCTION("""COMPUTED_VALUE"""),0)</f>
        <v>0</v>
      </c>
      <c r="N588" s="539">
        <f ca="1">IFERROR(__xludf.DUMMYFUNCTION("""COMPUTED_VALUE"""),0)</f>
        <v>0</v>
      </c>
      <c r="O588" s="539">
        <f ca="1">IFERROR(__xludf.DUMMYFUNCTION("""COMPUTED_VALUE"""),0)</f>
        <v>0</v>
      </c>
    </row>
    <row r="589" spans="1:15" ht="12.75">
      <c r="A589" s="539">
        <f ca="1"/>
        <v>583</v>
      </c>
      <c r="B589" s="35" t="str">
        <f ca="1">IFERROR(__xludf.DUMMYFUNCTION("""COMPUTED_VALUE"""),"Tổ Hạ tầng Kiến Tường")</f>
        <v>Tổ Hạ tầng Kiến Tường</v>
      </c>
      <c r="C589" s="35" t="str">
        <f ca="1">IFERROR(__xludf.DUMMYFUNCTION("""COMPUTED_VALUE"""),"Nguyễn Hoàng Phi")</f>
        <v>Nguyễn Hoàng Phi</v>
      </c>
      <c r="D589" s="35">
        <f ca="1">IFERROR(__xludf.DUMMYFUNCTION("""COMPUTED_VALUE"""),945645759)</f>
        <v>945645759</v>
      </c>
      <c r="E589" s="35" t="str">
        <f ca="1">IFERROR(__xludf.DUMMYFUNCTION("""COMPUTED_VALUE"""),"phinh.lan@vnpt.vn")</f>
        <v>phinh.lan@vnpt.vn</v>
      </c>
      <c r="F589" s="540" t="str">
        <f ca="1">IFERROR(__xludf.DUMMYFUNCTION("""COMPUTED_VALUE"""),"Lần 7")</f>
        <v>Lần 7</v>
      </c>
      <c r="G589" s="35"/>
      <c r="H589" s="35"/>
      <c r="I589" s="35"/>
      <c r="J589" s="540"/>
      <c r="K589" s="544"/>
      <c r="M589" s="539">
        <f ca="1">IFERROR(__xludf.DUMMYFUNCTION("""COMPUTED_VALUE"""),0)</f>
        <v>0</v>
      </c>
      <c r="N589" s="539">
        <f ca="1">IFERROR(__xludf.DUMMYFUNCTION("""COMPUTED_VALUE"""),0)</f>
        <v>0</v>
      </c>
      <c r="O589" s="539">
        <f ca="1">IFERROR(__xludf.DUMMYFUNCTION("""COMPUTED_VALUE"""),0)</f>
        <v>0</v>
      </c>
    </row>
    <row r="590" spans="1:15" ht="12.75">
      <c r="A590" s="539">
        <f ca="1"/>
        <v>584</v>
      </c>
      <c r="B590" s="35" t="str">
        <f ca="1">IFERROR(__xludf.DUMMYFUNCTION("""COMPUTED_VALUE"""),"Tổ Hạ tầng Kiến Tường")</f>
        <v>Tổ Hạ tầng Kiến Tường</v>
      </c>
      <c r="C590" s="35" t="str">
        <f ca="1">IFERROR(__xludf.DUMMYFUNCTION("""COMPUTED_VALUE"""),"Nguyễn Hoàng Phi")</f>
        <v>Nguyễn Hoàng Phi</v>
      </c>
      <c r="D590" s="35">
        <f ca="1">IFERROR(__xludf.DUMMYFUNCTION("""COMPUTED_VALUE"""),945645759)</f>
        <v>945645759</v>
      </c>
      <c r="E590" s="35" t="str">
        <f ca="1">IFERROR(__xludf.DUMMYFUNCTION("""COMPUTED_VALUE"""),"phinh.lan@vnpt.vn")</f>
        <v>phinh.lan@vnpt.vn</v>
      </c>
      <c r="F590" s="540" t="str">
        <f ca="1">IFERROR(__xludf.DUMMYFUNCTION("""COMPUTED_VALUE"""),"Lần 8")</f>
        <v>Lần 8</v>
      </c>
      <c r="G590" s="35"/>
      <c r="H590" s="35"/>
      <c r="I590" s="35"/>
      <c r="J590" s="540"/>
      <c r="K590" s="544"/>
      <c r="M590" s="539">
        <f ca="1">IFERROR(__xludf.DUMMYFUNCTION("""COMPUTED_VALUE"""),0)</f>
        <v>0</v>
      </c>
      <c r="N590" s="539">
        <f ca="1">IFERROR(__xludf.DUMMYFUNCTION("""COMPUTED_VALUE"""),0)</f>
        <v>0</v>
      </c>
      <c r="O590" s="539">
        <f ca="1">IFERROR(__xludf.DUMMYFUNCTION("""COMPUTED_VALUE"""),0)</f>
        <v>0</v>
      </c>
    </row>
    <row r="591" spans="1:15" ht="12.75">
      <c r="A591" s="539">
        <f ca="1"/>
        <v>585</v>
      </c>
      <c r="B591" s="35" t="str">
        <f ca="1">IFERROR(__xludf.DUMMYFUNCTION("""COMPUTED_VALUE"""),"Tổ Hạ tầng Kiến Tường")</f>
        <v>Tổ Hạ tầng Kiến Tường</v>
      </c>
      <c r="C591" s="35" t="str">
        <f ca="1">IFERROR(__xludf.DUMMYFUNCTION("""COMPUTED_VALUE"""),"Nguyễn Hoàng Phi")</f>
        <v>Nguyễn Hoàng Phi</v>
      </c>
      <c r="D591" s="35">
        <f ca="1">IFERROR(__xludf.DUMMYFUNCTION("""COMPUTED_VALUE"""),945645759)</f>
        <v>945645759</v>
      </c>
      <c r="E591" s="35" t="str">
        <f ca="1">IFERROR(__xludf.DUMMYFUNCTION("""COMPUTED_VALUE"""),"phinh.lan@vnpt.vn")</f>
        <v>phinh.lan@vnpt.vn</v>
      </c>
      <c r="F591" s="540" t="str">
        <f ca="1">IFERROR(__xludf.DUMMYFUNCTION("""COMPUTED_VALUE"""),"Lần 9")</f>
        <v>Lần 9</v>
      </c>
      <c r="G591" s="35"/>
      <c r="H591" s="35"/>
      <c r="I591" s="35"/>
      <c r="J591" s="540"/>
      <c r="K591" s="540"/>
      <c r="M591" s="539">
        <f ca="1">IFERROR(__xludf.DUMMYFUNCTION("""COMPUTED_VALUE"""),0)</f>
        <v>0</v>
      </c>
      <c r="N591" s="539">
        <f ca="1">IFERROR(__xludf.DUMMYFUNCTION("""COMPUTED_VALUE"""),0)</f>
        <v>0</v>
      </c>
      <c r="O591" s="539">
        <f ca="1">IFERROR(__xludf.DUMMYFUNCTION("""COMPUTED_VALUE"""),0)</f>
        <v>0</v>
      </c>
    </row>
    <row r="592" spans="1:15" ht="12.75">
      <c r="A592" s="539">
        <f ca="1"/>
        <v>586</v>
      </c>
      <c r="B592" s="35" t="str">
        <f ca="1">IFERROR(__xludf.DUMMYFUNCTION("""COMPUTED_VALUE"""),"Tổ Hạ tầng Kiến Tường")</f>
        <v>Tổ Hạ tầng Kiến Tường</v>
      </c>
      <c r="C592" s="35" t="str">
        <f ca="1">IFERROR(__xludf.DUMMYFUNCTION("""COMPUTED_VALUE"""),"Nguyễn Hoàng Phi")</f>
        <v>Nguyễn Hoàng Phi</v>
      </c>
      <c r="D592" s="35">
        <f ca="1">IFERROR(__xludf.DUMMYFUNCTION("""COMPUTED_VALUE"""),945645759)</f>
        <v>945645759</v>
      </c>
      <c r="E592" s="35" t="str">
        <f ca="1">IFERROR(__xludf.DUMMYFUNCTION("""COMPUTED_VALUE"""),"phinh.lan@vnpt.vn")</f>
        <v>phinh.lan@vnpt.vn</v>
      </c>
      <c r="F592" s="540" t="str">
        <f ca="1">IFERROR(__xludf.DUMMYFUNCTION("""COMPUTED_VALUE"""),"Lần 10")</f>
        <v>Lần 10</v>
      </c>
      <c r="G592" s="545"/>
      <c r="H592" s="35"/>
      <c r="I592" s="35"/>
      <c r="J592" s="540"/>
      <c r="K592" s="540"/>
      <c r="M592" s="539">
        <f ca="1">IFERROR(__xludf.DUMMYFUNCTION("""COMPUTED_VALUE"""),0)</f>
        <v>0</v>
      </c>
      <c r="N592" s="539">
        <f ca="1">IFERROR(__xludf.DUMMYFUNCTION("""COMPUTED_VALUE"""),0)</f>
        <v>0</v>
      </c>
      <c r="O592" s="539">
        <f ca="1">IFERROR(__xludf.DUMMYFUNCTION("""COMPUTED_VALUE"""),0)</f>
        <v>0</v>
      </c>
    </row>
    <row r="593" spans="1:15" ht="12.75">
      <c r="A593" s="539">
        <f ca="1"/>
        <v>587</v>
      </c>
      <c r="B593" s="35" t="str">
        <f ca="1">IFERROR(__xludf.DUMMYFUNCTION("""COMPUTED_VALUE"""),"Tổ Hạ tầng Kiến Tường")</f>
        <v>Tổ Hạ tầng Kiến Tường</v>
      </c>
      <c r="C593" s="35" t="str">
        <f ca="1">IFERROR(__xludf.DUMMYFUNCTION("""COMPUTED_VALUE"""),"Nguyễn Hoàng Phi")</f>
        <v>Nguyễn Hoàng Phi</v>
      </c>
      <c r="D593" s="35">
        <f ca="1">IFERROR(__xludf.DUMMYFUNCTION("""COMPUTED_VALUE"""),945645759)</f>
        <v>945645759</v>
      </c>
      <c r="E593" s="35" t="str">
        <f ca="1">IFERROR(__xludf.DUMMYFUNCTION("""COMPUTED_VALUE"""),"phinh.lan@vnpt.vn")</f>
        <v>phinh.lan@vnpt.vn</v>
      </c>
      <c r="F593" s="540" t="str">
        <f ca="1">IFERROR(__xludf.DUMMYFUNCTION("""COMPUTED_VALUE"""),"Lần 11")</f>
        <v>Lần 11</v>
      </c>
      <c r="G593" s="545"/>
      <c r="H593" s="35"/>
      <c r="I593" s="35"/>
      <c r="J593" s="540"/>
      <c r="K593" s="540"/>
      <c r="M593" s="539">
        <f ca="1">IFERROR(__xludf.DUMMYFUNCTION("""COMPUTED_VALUE"""),0)</f>
        <v>0</v>
      </c>
      <c r="N593" s="539">
        <f ca="1">IFERROR(__xludf.DUMMYFUNCTION("""COMPUTED_VALUE"""),0)</f>
        <v>0</v>
      </c>
      <c r="O593" s="539">
        <f ca="1">IFERROR(__xludf.DUMMYFUNCTION("""COMPUTED_VALUE"""),0)</f>
        <v>0</v>
      </c>
    </row>
    <row r="594" spans="1:15" ht="12.75">
      <c r="A594" s="539">
        <f ca="1"/>
        <v>588</v>
      </c>
      <c r="B594" s="35" t="str">
        <f ca="1">IFERROR(__xludf.DUMMYFUNCTION("""COMPUTED_VALUE"""),"Tổ Hạ tầng Kiến Tường")</f>
        <v>Tổ Hạ tầng Kiến Tường</v>
      </c>
      <c r="C594" s="35" t="str">
        <f ca="1">IFERROR(__xludf.DUMMYFUNCTION("""COMPUTED_VALUE"""),"Nguyễn Hoàng Phi")</f>
        <v>Nguyễn Hoàng Phi</v>
      </c>
      <c r="D594" s="35">
        <f ca="1">IFERROR(__xludf.DUMMYFUNCTION("""COMPUTED_VALUE"""),945645759)</f>
        <v>945645759</v>
      </c>
      <c r="E594" s="35" t="str">
        <f ca="1">IFERROR(__xludf.DUMMYFUNCTION("""COMPUTED_VALUE"""),"phinh.lan@vnpt.vn")</f>
        <v>phinh.lan@vnpt.vn</v>
      </c>
      <c r="F594" s="540" t="str">
        <f ca="1">IFERROR(__xludf.DUMMYFUNCTION("""COMPUTED_VALUE"""),"Lần 12")</f>
        <v>Lần 12</v>
      </c>
      <c r="G594" s="545"/>
      <c r="H594" s="35"/>
      <c r="I594" s="35"/>
      <c r="J594" s="540"/>
      <c r="K594" s="540"/>
      <c r="M594" s="539">
        <f ca="1">IFERROR(__xludf.DUMMYFUNCTION("""COMPUTED_VALUE"""),0)</f>
        <v>0</v>
      </c>
      <c r="N594" s="539">
        <f ca="1">IFERROR(__xludf.DUMMYFUNCTION("""COMPUTED_VALUE"""),0)</f>
        <v>0</v>
      </c>
      <c r="O594" s="539">
        <f ca="1">IFERROR(__xludf.DUMMYFUNCTION("""COMPUTED_VALUE"""),0)</f>
        <v>0</v>
      </c>
    </row>
    <row r="595" spans="1:15" ht="12.75">
      <c r="A595" s="539">
        <f ca="1"/>
        <v>589</v>
      </c>
      <c r="B595" s="35" t="str">
        <f ca="1">IFERROR(__xludf.DUMMYFUNCTION("""COMPUTED_VALUE"""),"Tổ Hạ tầng Kiến Tường")</f>
        <v>Tổ Hạ tầng Kiến Tường</v>
      </c>
      <c r="C595" s="35" t="str">
        <f ca="1">IFERROR(__xludf.DUMMYFUNCTION("""COMPUTED_VALUE"""),"Nguyễn Hoàng Phi")</f>
        <v>Nguyễn Hoàng Phi</v>
      </c>
      <c r="D595" s="35">
        <f ca="1">IFERROR(__xludf.DUMMYFUNCTION("""COMPUTED_VALUE"""),945645759)</f>
        <v>945645759</v>
      </c>
      <c r="E595" s="35" t="str">
        <f ca="1">IFERROR(__xludf.DUMMYFUNCTION("""COMPUTED_VALUE"""),"phinh.lan@vnpt.vn")</f>
        <v>phinh.lan@vnpt.vn</v>
      </c>
      <c r="F595" s="540" t="str">
        <f ca="1">IFERROR(__xludf.DUMMYFUNCTION("""COMPUTED_VALUE"""),"Lần 13")</f>
        <v>Lần 13</v>
      </c>
      <c r="G595" s="545"/>
      <c r="H595" s="35"/>
      <c r="I595" s="35"/>
      <c r="J595" s="540"/>
      <c r="K595" s="540"/>
      <c r="M595" s="539">
        <f ca="1">IFERROR(__xludf.DUMMYFUNCTION("""COMPUTED_VALUE"""),0)</f>
        <v>0</v>
      </c>
      <c r="N595" s="539">
        <f ca="1">IFERROR(__xludf.DUMMYFUNCTION("""COMPUTED_VALUE"""),0)</f>
        <v>0</v>
      </c>
      <c r="O595" s="539">
        <f ca="1">IFERROR(__xludf.DUMMYFUNCTION("""COMPUTED_VALUE"""),0)</f>
        <v>0</v>
      </c>
    </row>
    <row r="596" spans="1:15" ht="12.75">
      <c r="A596" s="539">
        <f ca="1"/>
        <v>590</v>
      </c>
      <c r="B596" s="35" t="str">
        <f ca="1">IFERROR(__xludf.DUMMYFUNCTION("""COMPUTED_VALUE"""),"Tổ Hạ tầng Kiến Tường")</f>
        <v>Tổ Hạ tầng Kiến Tường</v>
      </c>
      <c r="C596" s="35" t="str">
        <f ca="1">IFERROR(__xludf.DUMMYFUNCTION("""COMPUTED_VALUE"""),"Nguyễn Hoàng Phi")</f>
        <v>Nguyễn Hoàng Phi</v>
      </c>
      <c r="D596" s="35">
        <f ca="1">IFERROR(__xludf.DUMMYFUNCTION("""COMPUTED_VALUE"""),945645759)</f>
        <v>945645759</v>
      </c>
      <c r="E596" s="35" t="str">
        <f ca="1">IFERROR(__xludf.DUMMYFUNCTION("""COMPUTED_VALUE"""),"phinh.lan@vnpt.vn")</f>
        <v>phinh.lan@vnpt.vn</v>
      </c>
      <c r="F596" s="540" t="str">
        <f ca="1">IFERROR(__xludf.DUMMYFUNCTION("""COMPUTED_VALUE"""),"Lần 14")</f>
        <v>Lần 14</v>
      </c>
      <c r="G596" s="545"/>
      <c r="H596" s="35"/>
      <c r="I596" s="35"/>
      <c r="J596" s="540"/>
      <c r="K596" s="540"/>
      <c r="M596" s="539">
        <f ca="1">IFERROR(__xludf.DUMMYFUNCTION("""COMPUTED_VALUE"""),0)</f>
        <v>0</v>
      </c>
      <c r="N596" s="539">
        <f ca="1">IFERROR(__xludf.DUMMYFUNCTION("""COMPUTED_VALUE"""),0)</f>
        <v>0</v>
      </c>
      <c r="O596" s="539">
        <f ca="1">IFERROR(__xludf.DUMMYFUNCTION("""COMPUTED_VALUE"""),0)</f>
        <v>0</v>
      </c>
    </row>
    <row r="597" spans="1:15" ht="12.75">
      <c r="A597" s="539">
        <f ca="1"/>
        <v>591</v>
      </c>
      <c r="B597" s="35" t="str">
        <f ca="1">IFERROR(__xludf.DUMMYFUNCTION("""COMPUTED_VALUE"""),"Tổ Hạ tầng Kiến Tường")</f>
        <v>Tổ Hạ tầng Kiến Tường</v>
      </c>
      <c r="C597" s="35" t="str">
        <f ca="1">IFERROR(__xludf.DUMMYFUNCTION("""COMPUTED_VALUE"""),"Nguyễn Hoàng Phi")</f>
        <v>Nguyễn Hoàng Phi</v>
      </c>
      <c r="D597" s="35">
        <f ca="1">IFERROR(__xludf.DUMMYFUNCTION("""COMPUTED_VALUE"""),945645759)</f>
        <v>945645759</v>
      </c>
      <c r="E597" s="35" t="str">
        <f ca="1">IFERROR(__xludf.DUMMYFUNCTION("""COMPUTED_VALUE"""),"phinh.lan@vnpt.vn")</f>
        <v>phinh.lan@vnpt.vn</v>
      </c>
      <c r="F597" s="540" t="str">
        <f ca="1">IFERROR(__xludf.DUMMYFUNCTION("""COMPUTED_VALUE"""),"Lần 15")</f>
        <v>Lần 15</v>
      </c>
      <c r="G597" s="545"/>
      <c r="H597" s="35"/>
      <c r="I597" s="35"/>
      <c r="J597" s="540"/>
      <c r="K597" s="540"/>
      <c r="M597" s="539">
        <f ca="1">IFERROR(__xludf.DUMMYFUNCTION("""COMPUTED_VALUE"""),0)</f>
        <v>0</v>
      </c>
      <c r="N597" s="539">
        <f ca="1">IFERROR(__xludf.DUMMYFUNCTION("""COMPUTED_VALUE"""),0)</f>
        <v>0</v>
      </c>
      <c r="O597" s="539">
        <f ca="1">IFERROR(__xludf.DUMMYFUNCTION("""COMPUTED_VALUE"""),0)</f>
        <v>0</v>
      </c>
    </row>
    <row r="598" spans="1:15" ht="12.75">
      <c r="A598" s="539">
        <f ca="1"/>
        <v>592</v>
      </c>
      <c r="B598" s="35" t="str">
        <f ca="1">IFERROR(__xludf.DUMMYFUNCTION("""COMPUTED_VALUE"""),"Tổ Hạ tầng Kiến Tường")</f>
        <v>Tổ Hạ tầng Kiến Tường</v>
      </c>
      <c r="C598" s="35" t="str">
        <f ca="1">IFERROR(__xludf.DUMMYFUNCTION("""COMPUTED_VALUE"""),"Nguyễn Hoàng Phi")</f>
        <v>Nguyễn Hoàng Phi</v>
      </c>
      <c r="D598" s="35">
        <f ca="1">IFERROR(__xludf.DUMMYFUNCTION("""COMPUTED_VALUE"""),945645759)</f>
        <v>945645759</v>
      </c>
      <c r="E598" s="35" t="str">
        <f ca="1">IFERROR(__xludf.DUMMYFUNCTION("""COMPUTED_VALUE"""),"phinh.lan@vnpt.vn")</f>
        <v>phinh.lan@vnpt.vn</v>
      </c>
      <c r="F598" s="540" t="str">
        <f ca="1">IFERROR(__xludf.DUMMYFUNCTION("""COMPUTED_VALUE"""),"Lần 16")</f>
        <v>Lần 16</v>
      </c>
      <c r="G598" s="545"/>
      <c r="H598" s="35"/>
      <c r="I598" s="35"/>
      <c r="J598" s="540"/>
      <c r="K598" s="540"/>
      <c r="M598" s="539">
        <f ca="1">IFERROR(__xludf.DUMMYFUNCTION("""COMPUTED_VALUE"""),0)</f>
        <v>0</v>
      </c>
      <c r="N598" s="539">
        <f ca="1">IFERROR(__xludf.DUMMYFUNCTION("""COMPUTED_VALUE"""),0)</f>
        <v>0</v>
      </c>
      <c r="O598" s="539">
        <f ca="1">IFERROR(__xludf.DUMMYFUNCTION("""COMPUTED_VALUE"""),0)</f>
        <v>0</v>
      </c>
    </row>
    <row r="599" spans="1:15" ht="12.75">
      <c r="A599" s="539">
        <f ca="1"/>
        <v>593</v>
      </c>
      <c r="B599" s="35" t="str">
        <f ca="1">IFERROR(__xludf.DUMMYFUNCTION("""COMPUTED_VALUE"""),"Tổ Hạ tầng Kiến Tường")</f>
        <v>Tổ Hạ tầng Kiến Tường</v>
      </c>
      <c r="C599" s="35" t="str">
        <f ca="1">IFERROR(__xludf.DUMMYFUNCTION("""COMPUTED_VALUE"""),"Lê Duy Bình")</f>
        <v>Lê Duy Bình</v>
      </c>
      <c r="D599" s="35">
        <f ca="1">IFERROR(__xludf.DUMMYFUNCTION("""COMPUTED_VALUE"""),826549949)</f>
        <v>826549949</v>
      </c>
      <c r="E599" s="35" t="str">
        <f ca="1">IFERROR(__xludf.DUMMYFUNCTION("""COMPUTED_VALUE"""),"binhld.tnh@vnpt.vn")</f>
        <v>binhld.tnh@vnpt.vn</v>
      </c>
      <c r="F599" s="540" t="str">
        <f ca="1">IFERROR(__xludf.DUMMYFUNCTION("""COMPUTED_VALUE"""),"Lần 1")</f>
        <v>Lần 1</v>
      </c>
      <c r="G599" s="278">
        <f ca="1">IFERROR(__xludf.DUMMYFUNCTION("""COMPUTED_VALUE"""),46205)</f>
        <v>46205</v>
      </c>
      <c r="H599" s="35">
        <f ca="1">IFERROR(__xludf.DUMMYFUNCTION("""COMPUTED_VALUE"""),103)</f>
        <v>103</v>
      </c>
      <c r="I599" s="35">
        <f ca="1">IFERROR(__xludf.DUMMYFUNCTION("""COMPUTED_VALUE"""),11)</f>
        <v>11</v>
      </c>
      <c r="J599" s="541">
        <f ca="1">IFERROR(__xludf.DUMMYFUNCTION("""COMPUTED_VALUE"""),98.6)</f>
        <v>98.6</v>
      </c>
      <c r="K599" s="541" t="str">
        <f ca="1">IFERROR(__xludf.DUMMYFUNCTION("""COMPUTED_VALUE"""),"75.3")</f>
        <v>75.3</v>
      </c>
      <c r="M599" s="539">
        <f ca="1">IFERROR(__xludf.DUMMYFUNCTION("""COMPUTED_VALUE"""),1)</f>
        <v>1</v>
      </c>
      <c r="N599" s="539">
        <f ca="1">IFERROR(__xludf.DUMMYFUNCTION("""COMPUTED_VALUE"""),1)</f>
        <v>1</v>
      </c>
      <c r="O599" s="539">
        <f ca="1">IFERROR(__xludf.DUMMYFUNCTION("""COMPUTED_VALUE"""),0)</f>
        <v>0</v>
      </c>
    </row>
    <row r="600" spans="1:15" ht="12.75">
      <c r="A600" s="539">
        <f ca="1"/>
        <v>594</v>
      </c>
      <c r="B600" s="35" t="str">
        <f ca="1">IFERROR(__xludf.DUMMYFUNCTION("""COMPUTED_VALUE"""),"Tổ Hạ tầng Kiến Tường")</f>
        <v>Tổ Hạ tầng Kiến Tường</v>
      </c>
      <c r="C600" s="35" t="str">
        <f ca="1">IFERROR(__xludf.DUMMYFUNCTION("""COMPUTED_VALUE"""),"Lê Duy Bình")</f>
        <v>Lê Duy Bình</v>
      </c>
      <c r="D600" s="35">
        <f ca="1">IFERROR(__xludf.DUMMYFUNCTION("""COMPUTED_VALUE"""),826549949)</f>
        <v>826549949</v>
      </c>
      <c r="E600" s="35" t="str">
        <f ca="1">IFERROR(__xludf.DUMMYFUNCTION("""COMPUTED_VALUE"""),"binhld.tnh@vnpt.vn")</f>
        <v>binhld.tnh@vnpt.vn</v>
      </c>
      <c r="F600" s="540" t="str">
        <f ca="1">IFERROR(__xludf.DUMMYFUNCTION("""COMPUTED_VALUE"""),"Lần 2")</f>
        <v>Lần 2</v>
      </c>
      <c r="G600" s="278">
        <f ca="1">IFERROR(__xludf.DUMMYFUNCTION("""COMPUTED_VALUE"""),46205)</f>
        <v>46205</v>
      </c>
      <c r="H600" s="35">
        <f ca="1">IFERROR(__xludf.DUMMYFUNCTION("""COMPUTED_VALUE"""),119)</f>
        <v>119</v>
      </c>
      <c r="I600" s="542">
        <f ca="1">IFERROR(__xludf.DUMMYFUNCTION("""COMPUTED_VALUE"""),46064)</f>
        <v>46064</v>
      </c>
      <c r="J600" s="541">
        <f ca="1">IFERROR(__xludf.DUMMYFUNCTION("""COMPUTED_VALUE"""),79.6)</f>
        <v>79.599999999999994</v>
      </c>
      <c r="K600" s="541">
        <f ca="1">IFERROR(__xludf.DUMMYFUNCTION("""COMPUTED_VALUE"""),79)</f>
        <v>79</v>
      </c>
      <c r="M600" s="539">
        <f ca="1">IFERROR(__xludf.DUMMYFUNCTION("""COMPUTED_VALUE"""),1)</f>
        <v>1</v>
      </c>
      <c r="N600" s="539">
        <f ca="1">IFERROR(__xludf.DUMMYFUNCTION("""COMPUTED_VALUE"""),1)</f>
        <v>1</v>
      </c>
      <c r="O600" s="539">
        <f ca="1">IFERROR(__xludf.DUMMYFUNCTION("""COMPUTED_VALUE"""),0)</f>
        <v>0</v>
      </c>
    </row>
    <row r="601" spans="1:15" ht="12.75">
      <c r="A601" s="539">
        <f ca="1"/>
        <v>595</v>
      </c>
      <c r="B601" s="35" t="str">
        <f ca="1">IFERROR(__xludf.DUMMYFUNCTION("""COMPUTED_VALUE"""),"Tổ Hạ tầng Kiến Tường")</f>
        <v>Tổ Hạ tầng Kiến Tường</v>
      </c>
      <c r="C601" s="35" t="str">
        <f ca="1">IFERROR(__xludf.DUMMYFUNCTION("""COMPUTED_VALUE"""),"Lê Duy Bình")</f>
        <v>Lê Duy Bình</v>
      </c>
      <c r="D601" s="35">
        <f ca="1">IFERROR(__xludf.DUMMYFUNCTION("""COMPUTED_VALUE"""),826549949)</f>
        <v>826549949</v>
      </c>
      <c r="E601" s="35" t="str">
        <f ca="1">IFERROR(__xludf.DUMMYFUNCTION("""COMPUTED_VALUE"""),"binhld.tnh@vnpt.vn")</f>
        <v>binhld.tnh@vnpt.vn</v>
      </c>
      <c r="F601" s="540" t="str">
        <f ca="1">IFERROR(__xludf.DUMMYFUNCTION("""COMPUTED_VALUE"""),"Lần 3")</f>
        <v>Lần 3</v>
      </c>
      <c r="G601" s="278">
        <f ca="1">IFERROR(__xludf.DUMMYFUNCTION("""COMPUTED_VALUE"""),46206)</f>
        <v>46206</v>
      </c>
      <c r="H601" s="35">
        <f ca="1">IFERROR(__xludf.DUMMYFUNCTION("""COMPUTED_VALUE"""),102)</f>
        <v>102</v>
      </c>
      <c r="I601" s="542">
        <f ca="1">IFERROR(__xludf.DUMMYFUNCTION("""COMPUTED_VALUE"""),46064)</f>
        <v>46064</v>
      </c>
      <c r="J601" s="541">
        <f ca="1">IFERROR(__xludf.DUMMYFUNCTION("""COMPUTED_VALUE"""),91.2)</f>
        <v>91.2</v>
      </c>
      <c r="K601" s="541" t="str">
        <f ca="1">IFERROR(__xludf.DUMMYFUNCTION("""COMPUTED_VALUE"""),"54.2")</f>
        <v>54.2</v>
      </c>
      <c r="M601" s="539">
        <f ca="1">IFERROR(__xludf.DUMMYFUNCTION("""COMPUTED_VALUE"""),1)</f>
        <v>1</v>
      </c>
      <c r="N601" s="539">
        <f ca="1">IFERROR(__xludf.DUMMYFUNCTION("""COMPUTED_VALUE"""),1)</f>
        <v>1</v>
      </c>
      <c r="O601" s="539">
        <f ca="1">IFERROR(__xludf.DUMMYFUNCTION("""COMPUTED_VALUE"""),0)</f>
        <v>0</v>
      </c>
    </row>
    <row r="602" spans="1:15" ht="12.75">
      <c r="A602" s="539">
        <f ca="1"/>
        <v>596</v>
      </c>
      <c r="B602" s="35" t="str">
        <f ca="1">IFERROR(__xludf.DUMMYFUNCTION("""COMPUTED_VALUE"""),"Tổ Hạ tầng Kiến Tường")</f>
        <v>Tổ Hạ tầng Kiến Tường</v>
      </c>
      <c r="C602" s="35" t="str">
        <f ca="1">IFERROR(__xludf.DUMMYFUNCTION("""COMPUTED_VALUE"""),"Lê Duy Bình")</f>
        <v>Lê Duy Bình</v>
      </c>
      <c r="D602" s="35">
        <f ca="1">IFERROR(__xludf.DUMMYFUNCTION("""COMPUTED_VALUE"""),826549949)</f>
        <v>826549949</v>
      </c>
      <c r="E602" s="35" t="str">
        <f ca="1">IFERROR(__xludf.DUMMYFUNCTION("""COMPUTED_VALUE"""),"binhld.tnh@vnpt.vn")</f>
        <v>binhld.tnh@vnpt.vn</v>
      </c>
      <c r="F602" s="540" t="str">
        <f ca="1">IFERROR(__xludf.DUMMYFUNCTION("""COMPUTED_VALUE"""),"Lần 4")</f>
        <v>Lần 4</v>
      </c>
      <c r="G602" s="278">
        <f ca="1">IFERROR(__xludf.DUMMYFUNCTION("""COMPUTED_VALUE"""),46206)</f>
        <v>46206</v>
      </c>
      <c r="H602" s="35">
        <f ca="1">IFERROR(__xludf.DUMMYFUNCTION("""COMPUTED_VALUE"""),86)</f>
        <v>86</v>
      </c>
      <c r="I602" s="542">
        <f ca="1">IFERROR(__xludf.DUMMYFUNCTION("""COMPUTED_VALUE"""),46183)</f>
        <v>46183</v>
      </c>
      <c r="J602" s="541">
        <f ca="1">IFERROR(__xludf.DUMMYFUNCTION("""COMPUTED_VALUE"""),80.7)</f>
        <v>80.7</v>
      </c>
      <c r="K602" s="35" t="str">
        <f ca="1">IFERROR(__xludf.DUMMYFUNCTION("""COMPUTED_VALUE"""),"51.6")</f>
        <v>51.6</v>
      </c>
      <c r="M602" s="539">
        <f ca="1">IFERROR(__xludf.DUMMYFUNCTION("""COMPUTED_VALUE"""),1)</f>
        <v>1</v>
      </c>
      <c r="N602" s="539">
        <f ca="1">IFERROR(__xludf.DUMMYFUNCTION("""COMPUTED_VALUE"""),1)</f>
        <v>1</v>
      </c>
      <c r="O602" s="539">
        <f ca="1">IFERROR(__xludf.DUMMYFUNCTION("""COMPUTED_VALUE"""),0)</f>
        <v>0</v>
      </c>
    </row>
    <row r="603" spans="1:15" ht="12.75">
      <c r="A603" s="539">
        <f ca="1"/>
        <v>597</v>
      </c>
      <c r="B603" s="35" t="str">
        <f ca="1">IFERROR(__xludf.DUMMYFUNCTION("""COMPUTED_VALUE"""),"Tổ Hạ tầng Kiến Tường")</f>
        <v>Tổ Hạ tầng Kiến Tường</v>
      </c>
      <c r="C603" s="35" t="str">
        <f ca="1">IFERROR(__xludf.DUMMYFUNCTION("""COMPUTED_VALUE"""),"Lê Duy Bình")</f>
        <v>Lê Duy Bình</v>
      </c>
      <c r="D603" s="35">
        <f ca="1">IFERROR(__xludf.DUMMYFUNCTION("""COMPUTED_VALUE"""),826549949)</f>
        <v>826549949</v>
      </c>
      <c r="E603" s="35" t="str">
        <f ca="1">IFERROR(__xludf.DUMMYFUNCTION("""COMPUTED_VALUE"""),"binhld.tnh@vnpt.vn")</f>
        <v>binhld.tnh@vnpt.vn</v>
      </c>
      <c r="F603" s="540" t="str">
        <f ca="1">IFERROR(__xludf.DUMMYFUNCTION("""COMPUTED_VALUE"""),"Lần 5")</f>
        <v>Lần 5</v>
      </c>
      <c r="G603" s="278">
        <f ca="1">IFERROR(__xludf.DUMMYFUNCTION("""COMPUTED_VALUE"""),46206)</f>
        <v>46206</v>
      </c>
      <c r="H603" s="35" t="str">
        <f ca="1">IFERROR(__xludf.DUMMYFUNCTION("""COMPUTED_VALUE"""),"85.7")</f>
        <v>85.7</v>
      </c>
      <c r="I603" s="542">
        <f ca="1">IFERROR(__xludf.DUMMYFUNCTION("""COMPUTED_VALUE"""),46034)</f>
        <v>46034</v>
      </c>
      <c r="J603" s="541">
        <f ca="1">IFERROR(__xludf.DUMMYFUNCTION("""COMPUTED_VALUE"""),96)</f>
        <v>96</v>
      </c>
      <c r="K603" s="541" t="str">
        <f ca="1">IFERROR(__xludf.DUMMYFUNCTION("""COMPUTED_VALUE"""),"47.3")</f>
        <v>47.3</v>
      </c>
      <c r="M603" s="539">
        <f ca="1">IFERROR(__xludf.DUMMYFUNCTION("""COMPUTED_VALUE"""),1)</f>
        <v>1</v>
      </c>
      <c r="N603" s="539">
        <f ca="1">IFERROR(__xludf.DUMMYFUNCTION("""COMPUTED_VALUE"""),1)</f>
        <v>1</v>
      </c>
      <c r="O603" s="539">
        <f ca="1">IFERROR(__xludf.DUMMYFUNCTION("""COMPUTED_VALUE"""),0)</f>
        <v>0</v>
      </c>
    </row>
    <row r="604" spans="1:15" ht="12.75">
      <c r="A604" s="539">
        <f ca="1"/>
        <v>598</v>
      </c>
      <c r="B604" s="35" t="str">
        <f ca="1">IFERROR(__xludf.DUMMYFUNCTION("""COMPUTED_VALUE"""),"Tổ Hạ tầng Kiến Tường")</f>
        <v>Tổ Hạ tầng Kiến Tường</v>
      </c>
      <c r="C604" s="35" t="str">
        <f ca="1">IFERROR(__xludf.DUMMYFUNCTION("""COMPUTED_VALUE"""),"Lê Duy Bình")</f>
        <v>Lê Duy Bình</v>
      </c>
      <c r="D604" s="35">
        <f ca="1">IFERROR(__xludf.DUMMYFUNCTION("""COMPUTED_VALUE"""),826549949)</f>
        <v>826549949</v>
      </c>
      <c r="E604" s="35" t="str">
        <f ca="1">IFERROR(__xludf.DUMMYFUNCTION("""COMPUTED_VALUE"""),"binhld.tnh@vnpt.vn")</f>
        <v>binhld.tnh@vnpt.vn</v>
      </c>
      <c r="F604" s="540" t="str">
        <f ca="1">IFERROR(__xludf.DUMMYFUNCTION("""COMPUTED_VALUE"""),"Lần 6")</f>
        <v>Lần 6</v>
      </c>
      <c r="G604" s="278">
        <f ca="1">IFERROR(__xludf.DUMMYFUNCTION("""COMPUTED_VALUE"""),46209)</f>
        <v>46209</v>
      </c>
      <c r="H604" s="35">
        <f ca="1">IFERROR(__xludf.DUMMYFUNCTION("""COMPUTED_VALUE"""),150)</f>
        <v>150</v>
      </c>
      <c r="I604" s="542">
        <f ca="1">IFERROR(__xludf.DUMMYFUNCTION("""COMPUTED_VALUE"""),46034)</f>
        <v>46034</v>
      </c>
      <c r="J604" s="541">
        <f ca="1">IFERROR(__xludf.DUMMYFUNCTION("""COMPUTED_VALUE"""),147)</f>
        <v>147</v>
      </c>
      <c r="K604" s="541" t="str">
        <f ca="1">IFERROR(__xludf.DUMMYFUNCTION("""COMPUTED_VALUE"""),"80.1")</f>
        <v>80.1</v>
      </c>
      <c r="M604" s="539">
        <f ca="1">IFERROR(__xludf.DUMMYFUNCTION("""COMPUTED_VALUE"""),1)</f>
        <v>1</v>
      </c>
      <c r="N604" s="539">
        <f ca="1">IFERROR(__xludf.DUMMYFUNCTION("""COMPUTED_VALUE"""),1)</f>
        <v>1</v>
      </c>
      <c r="O604" s="539">
        <f ca="1">IFERROR(__xludf.DUMMYFUNCTION("""COMPUTED_VALUE"""),0)</f>
        <v>0</v>
      </c>
    </row>
    <row r="605" spans="1:15" ht="12.75">
      <c r="A605" s="539">
        <f ca="1"/>
        <v>599</v>
      </c>
      <c r="B605" s="35" t="str">
        <f ca="1">IFERROR(__xludf.DUMMYFUNCTION("""COMPUTED_VALUE"""),"Tổ Hạ tầng Kiến Tường")</f>
        <v>Tổ Hạ tầng Kiến Tường</v>
      </c>
      <c r="C605" s="35" t="str">
        <f ca="1">IFERROR(__xludf.DUMMYFUNCTION("""COMPUTED_VALUE"""),"Lê Duy Bình")</f>
        <v>Lê Duy Bình</v>
      </c>
      <c r="D605" s="35">
        <f ca="1">IFERROR(__xludf.DUMMYFUNCTION("""COMPUTED_VALUE"""),826549949)</f>
        <v>826549949</v>
      </c>
      <c r="E605" s="35" t="str">
        <f ca="1">IFERROR(__xludf.DUMMYFUNCTION("""COMPUTED_VALUE"""),"binhld.tnh@vnpt.vn")</f>
        <v>binhld.tnh@vnpt.vn</v>
      </c>
      <c r="F605" s="540" t="str">
        <f ca="1">IFERROR(__xludf.DUMMYFUNCTION("""COMPUTED_VALUE"""),"Lần 7")</f>
        <v>Lần 7</v>
      </c>
      <c r="G605" s="278">
        <f ca="1">IFERROR(__xludf.DUMMYFUNCTION("""COMPUTED_VALUE"""),46209)</f>
        <v>46209</v>
      </c>
      <c r="H605" s="35">
        <f ca="1">IFERROR(__xludf.DUMMYFUNCTION("""COMPUTED_VALUE"""),147)</f>
        <v>147</v>
      </c>
      <c r="I605" s="542">
        <f ca="1">IFERROR(__xludf.DUMMYFUNCTION("""COMPUTED_VALUE"""),46245)</f>
        <v>46245</v>
      </c>
      <c r="J605" s="541">
        <f ca="1">IFERROR(__xludf.DUMMYFUNCTION("""COMPUTED_VALUE"""),141)</f>
        <v>141</v>
      </c>
      <c r="K605" s="541" t="str">
        <f ca="1">IFERROR(__xludf.DUMMYFUNCTION("""COMPUTED_VALUE"""),"78.8")</f>
        <v>78.8</v>
      </c>
      <c r="M605" s="539">
        <f ca="1">IFERROR(__xludf.DUMMYFUNCTION("""COMPUTED_VALUE"""),1)</f>
        <v>1</v>
      </c>
      <c r="N605" s="539">
        <f ca="1">IFERROR(__xludf.DUMMYFUNCTION("""COMPUTED_VALUE"""),1)</f>
        <v>1</v>
      </c>
      <c r="O605" s="539">
        <f ca="1">IFERROR(__xludf.DUMMYFUNCTION("""COMPUTED_VALUE"""),0)</f>
        <v>0</v>
      </c>
    </row>
    <row r="606" spans="1:15" ht="12.75">
      <c r="A606" s="539">
        <f ca="1"/>
        <v>600</v>
      </c>
      <c r="B606" s="35" t="str">
        <f ca="1">IFERROR(__xludf.DUMMYFUNCTION("""COMPUTED_VALUE"""),"Tổ Hạ tầng Kiến Tường")</f>
        <v>Tổ Hạ tầng Kiến Tường</v>
      </c>
      <c r="C606" s="35" t="str">
        <f ca="1">IFERROR(__xludf.DUMMYFUNCTION("""COMPUTED_VALUE"""),"Lê Duy Bình")</f>
        <v>Lê Duy Bình</v>
      </c>
      <c r="D606" s="35">
        <f ca="1">IFERROR(__xludf.DUMMYFUNCTION("""COMPUTED_VALUE"""),826549949)</f>
        <v>826549949</v>
      </c>
      <c r="E606" s="35" t="str">
        <f ca="1">IFERROR(__xludf.DUMMYFUNCTION("""COMPUTED_VALUE"""),"binhld.tnh@vnpt.vn")</f>
        <v>binhld.tnh@vnpt.vn</v>
      </c>
      <c r="F606" s="540" t="str">
        <f ca="1">IFERROR(__xludf.DUMMYFUNCTION("""COMPUTED_VALUE"""),"Lần 8")</f>
        <v>Lần 8</v>
      </c>
      <c r="G606" s="278">
        <f ca="1">IFERROR(__xludf.DUMMYFUNCTION("""COMPUTED_VALUE"""),46209)</f>
        <v>46209</v>
      </c>
      <c r="H606" s="35">
        <f ca="1">IFERROR(__xludf.DUMMYFUNCTION("""COMPUTED_VALUE"""),150)</f>
        <v>150</v>
      </c>
      <c r="I606" s="542">
        <f ca="1">IFERROR(__xludf.DUMMYFUNCTION("""COMPUTED_VALUE"""),46094)</f>
        <v>46094</v>
      </c>
      <c r="J606" s="541">
        <f ca="1">IFERROR(__xludf.DUMMYFUNCTION("""COMPUTED_VALUE"""),166)</f>
        <v>166</v>
      </c>
      <c r="K606" s="541" t="str">
        <f ca="1">IFERROR(__xludf.DUMMYFUNCTION("""COMPUTED_VALUE"""),"73.8")</f>
        <v>73.8</v>
      </c>
      <c r="M606" s="539">
        <f ca="1">IFERROR(__xludf.DUMMYFUNCTION("""COMPUTED_VALUE"""),1)</f>
        <v>1</v>
      </c>
      <c r="N606" s="539">
        <f ca="1">IFERROR(__xludf.DUMMYFUNCTION("""COMPUTED_VALUE"""),1)</f>
        <v>1</v>
      </c>
      <c r="O606" s="539">
        <f ca="1">IFERROR(__xludf.DUMMYFUNCTION("""COMPUTED_VALUE"""),0)</f>
        <v>0</v>
      </c>
    </row>
    <row r="607" spans="1:15" ht="12.75">
      <c r="A607" s="539">
        <f ca="1"/>
        <v>601</v>
      </c>
      <c r="B607" s="35" t="str">
        <f ca="1">IFERROR(__xludf.DUMMYFUNCTION("""COMPUTED_VALUE"""),"Tổ Hạ tầng Kiến Tường")</f>
        <v>Tổ Hạ tầng Kiến Tường</v>
      </c>
      <c r="C607" s="35" t="str">
        <f ca="1">IFERROR(__xludf.DUMMYFUNCTION("""COMPUTED_VALUE"""),"Lê Duy Bình")</f>
        <v>Lê Duy Bình</v>
      </c>
      <c r="D607" s="35">
        <f ca="1">IFERROR(__xludf.DUMMYFUNCTION("""COMPUTED_VALUE"""),826549949)</f>
        <v>826549949</v>
      </c>
      <c r="E607" s="35" t="str">
        <f ca="1">IFERROR(__xludf.DUMMYFUNCTION("""COMPUTED_VALUE"""),"binhld.tnh@vnpt.vn")</f>
        <v>binhld.tnh@vnpt.vn</v>
      </c>
      <c r="F607" s="540" t="str">
        <f ca="1">IFERROR(__xludf.DUMMYFUNCTION("""COMPUTED_VALUE"""),"Lần 9")</f>
        <v>Lần 9</v>
      </c>
      <c r="G607" s="278">
        <f ca="1">IFERROR(__xludf.DUMMYFUNCTION("""COMPUTED_VALUE"""),46209)</f>
        <v>46209</v>
      </c>
      <c r="H607" s="35">
        <f ca="1">IFERROR(__xludf.DUMMYFUNCTION("""COMPUTED_VALUE"""),167)</f>
        <v>167</v>
      </c>
      <c r="I607" s="542">
        <f ca="1">IFERROR(__xludf.DUMMYFUNCTION("""COMPUTED_VALUE"""),46155)</f>
        <v>46155</v>
      </c>
      <c r="J607" s="541">
        <f ca="1">IFERROR(__xludf.DUMMYFUNCTION("""COMPUTED_VALUE"""),172)</f>
        <v>172</v>
      </c>
      <c r="K607" s="541" t="str">
        <f ca="1">IFERROR(__xludf.DUMMYFUNCTION("""COMPUTED_VALUE"""),"79.9")</f>
        <v>79.9</v>
      </c>
      <c r="M607" s="539">
        <f ca="1">IFERROR(__xludf.DUMMYFUNCTION("""COMPUTED_VALUE"""),1)</f>
        <v>1</v>
      </c>
      <c r="N607" s="539">
        <f ca="1">IFERROR(__xludf.DUMMYFUNCTION("""COMPUTED_VALUE"""),1)</f>
        <v>1</v>
      </c>
      <c r="O607" s="539">
        <f ca="1">IFERROR(__xludf.DUMMYFUNCTION("""COMPUTED_VALUE"""),0)</f>
        <v>0</v>
      </c>
    </row>
    <row r="608" spans="1:15" ht="12.75">
      <c r="A608" s="539">
        <f ca="1"/>
        <v>602</v>
      </c>
      <c r="B608" s="35" t="str">
        <f ca="1">IFERROR(__xludf.DUMMYFUNCTION("""COMPUTED_VALUE"""),"Tổ Hạ tầng Kiến Tường")</f>
        <v>Tổ Hạ tầng Kiến Tường</v>
      </c>
      <c r="C608" s="35" t="str">
        <f ca="1">IFERROR(__xludf.DUMMYFUNCTION("""COMPUTED_VALUE"""),"Lê Duy Bình")</f>
        <v>Lê Duy Bình</v>
      </c>
      <c r="D608" s="35">
        <f ca="1">IFERROR(__xludf.DUMMYFUNCTION("""COMPUTED_VALUE"""),826549949)</f>
        <v>826549949</v>
      </c>
      <c r="E608" s="35" t="str">
        <f ca="1">IFERROR(__xludf.DUMMYFUNCTION("""COMPUTED_VALUE"""),"binhld.tnh@vnpt.vn")</f>
        <v>binhld.tnh@vnpt.vn</v>
      </c>
      <c r="F608" s="540" t="str">
        <f ca="1">IFERROR(__xludf.DUMMYFUNCTION("""COMPUTED_VALUE"""),"Lần 10")</f>
        <v>Lần 10</v>
      </c>
      <c r="G608" s="278">
        <f ca="1">IFERROR(__xludf.DUMMYFUNCTION("""COMPUTED_VALUE"""),46209)</f>
        <v>46209</v>
      </c>
      <c r="H608" s="35">
        <f ca="1">IFERROR(__xludf.DUMMYFUNCTION("""COMPUTED_VALUE"""),160)</f>
        <v>160</v>
      </c>
      <c r="I608" s="542">
        <f ca="1">IFERROR(__xludf.DUMMYFUNCTION("""COMPUTED_VALUE"""),46154)</f>
        <v>46154</v>
      </c>
      <c r="J608" s="541">
        <f ca="1">IFERROR(__xludf.DUMMYFUNCTION("""COMPUTED_VALUE"""),154)</f>
        <v>154</v>
      </c>
      <c r="K608" s="35" t="str">
        <f ca="1">IFERROR(__xludf.DUMMYFUNCTION("""COMPUTED_VALUE"""),"80.5")</f>
        <v>80.5</v>
      </c>
      <c r="M608" s="539">
        <f ca="1">IFERROR(__xludf.DUMMYFUNCTION("""COMPUTED_VALUE"""),1)</f>
        <v>1</v>
      </c>
      <c r="N608" s="539">
        <f ca="1">IFERROR(__xludf.DUMMYFUNCTION("""COMPUTED_VALUE"""),1)</f>
        <v>1</v>
      </c>
      <c r="O608" s="539">
        <f ca="1">IFERROR(__xludf.DUMMYFUNCTION("""COMPUTED_VALUE"""),0)</f>
        <v>0</v>
      </c>
    </row>
    <row r="609" spans="1:15" ht="12.75">
      <c r="A609" s="539">
        <f ca="1"/>
        <v>603</v>
      </c>
      <c r="B609" s="35" t="str">
        <f ca="1">IFERROR(__xludf.DUMMYFUNCTION("""COMPUTED_VALUE"""),"Tổ Hạ tầng Kiến Tường")</f>
        <v>Tổ Hạ tầng Kiến Tường</v>
      </c>
      <c r="C609" s="35" t="str">
        <f ca="1">IFERROR(__xludf.DUMMYFUNCTION("""COMPUTED_VALUE"""),"Lê Duy Bình")</f>
        <v>Lê Duy Bình</v>
      </c>
      <c r="D609" s="35">
        <f ca="1">IFERROR(__xludf.DUMMYFUNCTION("""COMPUTED_VALUE"""),826549949)</f>
        <v>826549949</v>
      </c>
      <c r="E609" s="35" t="str">
        <f ca="1">IFERROR(__xludf.DUMMYFUNCTION("""COMPUTED_VALUE"""),"binhld.tnh@vnpt.vn")</f>
        <v>binhld.tnh@vnpt.vn</v>
      </c>
      <c r="F609" s="540" t="str">
        <f ca="1">IFERROR(__xludf.DUMMYFUNCTION("""COMPUTED_VALUE"""),"Lần 11")</f>
        <v>Lần 11</v>
      </c>
      <c r="G609" s="278">
        <f ca="1">IFERROR(__xludf.DUMMYFUNCTION("""COMPUTED_VALUE"""),46214)</f>
        <v>46214</v>
      </c>
      <c r="H609" s="35">
        <f ca="1">IFERROR(__xludf.DUMMYFUNCTION("""COMPUTED_VALUE"""),100)</f>
        <v>100</v>
      </c>
      <c r="I609" s="35" t="str">
        <f ca="1">IFERROR(__xludf.DUMMYFUNCTION("""COMPUTED_VALUE"""),"9.82")</f>
        <v>9.82</v>
      </c>
      <c r="J609" s="541">
        <f ca="1">IFERROR(__xludf.DUMMYFUNCTION("""COMPUTED_VALUE"""),84.8)</f>
        <v>84.8</v>
      </c>
      <c r="K609" s="541" t="str">
        <f ca="1">IFERROR(__xludf.DUMMYFUNCTION("""COMPUTED_VALUE"""),"66.5")</f>
        <v>66.5</v>
      </c>
      <c r="M609" s="539">
        <f ca="1">IFERROR(__xludf.DUMMYFUNCTION("""COMPUTED_VALUE"""),1)</f>
        <v>1</v>
      </c>
      <c r="N609" s="539">
        <f ca="1">IFERROR(__xludf.DUMMYFUNCTION("""COMPUTED_VALUE"""),1)</f>
        <v>1</v>
      </c>
      <c r="O609" s="539">
        <f ca="1">IFERROR(__xludf.DUMMYFUNCTION("""COMPUTED_VALUE"""),0)</f>
        <v>0</v>
      </c>
    </row>
    <row r="610" spans="1:15" ht="12.75">
      <c r="A610" s="539">
        <f ca="1"/>
        <v>604</v>
      </c>
      <c r="B610" s="35" t="str">
        <f ca="1">IFERROR(__xludf.DUMMYFUNCTION("""COMPUTED_VALUE"""),"Tổ Hạ tầng Kiến Tường")</f>
        <v>Tổ Hạ tầng Kiến Tường</v>
      </c>
      <c r="C610" s="35" t="str">
        <f ca="1">IFERROR(__xludf.DUMMYFUNCTION("""COMPUTED_VALUE"""),"Lê Duy Bình")</f>
        <v>Lê Duy Bình</v>
      </c>
      <c r="D610" s="35">
        <f ca="1">IFERROR(__xludf.DUMMYFUNCTION("""COMPUTED_VALUE"""),826549949)</f>
        <v>826549949</v>
      </c>
      <c r="E610" s="35" t="str">
        <f ca="1">IFERROR(__xludf.DUMMYFUNCTION("""COMPUTED_VALUE"""),"binhld.tnh@vnpt.vn")</f>
        <v>binhld.tnh@vnpt.vn</v>
      </c>
      <c r="F610" s="540" t="str">
        <f ca="1">IFERROR(__xludf.DUMMYFUNCTION("""COMPUTED_VALUE"""),"Lần 12")</f>
        <v>Lần 12</v>
      </c>
      <c r="G610" s="278">
        <f ca="1">IFERROR(__xludf.DUMMYFUNCTION("""COMPUTED_VALUE"""),46214)</f>
        <v>46214</v>
      </c>
      <c r="H610" s="35">
        <f ca="1">IFERROR(__xludf.DUMMYFUNCTION("""COMPUTED_VALUE"""),73)</f>
        <v>73</v>
      </c>
      <c r="I610" s="542">
        <f ca="1">IFERROR(__xludf.DUMMYFUNCTION("""COMPUTED_VALUE"""),46183)</f>
        <v>46183</v>
      </c>
      <c r="J610" s="541">
        <f ca="1">IFERROR(__xludf.DUMMYFUNCTION("""COMPUTED_VALUE"""),75.5)</f>
        <v>75.5</v>
      </c>
      <c r="K610" s="541" t="str">
        <f ca="1">IFERROR(__xludf.DUMMYFUNCTION("""COMPUTED_VALUE"""),"70.6")</f>
        <v>70.6</v>
      </c>
      <c r="M610" s="539">
        <f ca="1">IFERROR(__xludf.DUMMYFUNCTION("""COMPUTED_VALUE"""),1)</f>
        <v>1</v>
      </c>
      <c r="N610" s="539">
        <f ca="1">IFERROR(__xludf.DUMMYFUNCTION("""COMPUTED_VALUE"""),1)</f>
        <v>1</v>
      </c>
      <c r="O610" s="539">
        <f ca="1">IFERROR(__xludf.DUMMYFUNCTION("""COMPUTED_VALUE"""),0)</f>
        <v>0</v>
      </c>
    </row>
    <row r="611" spans="1:15" ht="12.75">
      <c r="A611" s="539">
        <f ca="1"/>
        <v>605</v>
      </c>
      <c r="B611" s="35" t="str">
        <f ca="1">IFERROR(__xludf.DUMMYFUNCTION("""COMPUTED_VALUE"""),"Tổ Hạ tầng Kiến Tường")</f>
        <v>Tổ Hạ tầng Kiến Tường</v>
      </c>
      <c r="C611" s="35" t="str">
        <f ca="1">IFERROR(__xludf.DUMMYFUNCTION("""COMPUTED_VALUE"""),"Lê Duy Bình")</f>
        <v>Lê Duy Bình</v>
      </c>
      <c r="D611" s="35">
        <f ca="1">IFERROR(__xludf.DUMMYFUNCTION("""COMPUTED_VALUE"""),826549949)</f>
        <v>826549949</v>
      </c>
      <c r="E611" s="35" t="str">
        <f ca="1">IFERROR(__xludf.DUMMYFUNCTION("""COMPUTED_VALUE"""),"binhld.tnh@vnpt.vn")</f>
        <v>binhld.tnh@vnpt.vn</v>
      </c>
      <c r="F611" s="540" t="str">
        <f ca="1">IFERROR(__xludf.DUMMYFUNCTION("""COMPUTED_VALUE"""),"Lần 13")</f>
        <v>Lần 13</v>
      </c>
      <c r="G611" s="278">
        <f ca="1">IFERROR(__xludf.DUMMYFUNCTION("""COMPUTED_VALUE"""),46184)</f>
        <v>46184</v>
      </c>
      <c r="H611" s="35" t="str">
        <f ca="1">IFERROR(__xludf.DUMMYFUNCTION("""COMPUTED_VALUE"""),"93.1")</f>
        <v>93.1</v>
      </c>
      <c r="I611" s="35" t="str">
        <f ca="1">IFERROR(__xludf.DUMMYFUNCTION("""COMPUTED_VALUE"""),"8.68")</f>
        <v>8.68</v>
      </c>
      <c r="J611" s="541">
        <f ca="1">IFERROR(__xludf.DUMMYFUNCTION("""COMPUTED_VALUE"""),78.8)</f>
        <v>78.8</v>
      </c>
      <c r="K611" s="541" t="str">
        <f ca="1">IFERROR(__xludf.DUMMYFUNCTION("""COMPUTED_VALUE"""),"64.7")</f>
        <v>64.7</v>
      </c>
      <c r="M611" s="539">
        <f ca="1">IFERROR(__xludf.DUMMYFUNCTION("""COMPUTED_VALUE"""),1)</f>
        <v>1</v>
      </c>
      <c r="N611" s="539">
        <f ca="1">IFERROR(__xludf.DUMMYFUNCTION("""COMPUTED_VALUE"""),1)</f>
        <v>1</v>
      </c>
      <c r="O611" s="539">
        <f ca="1">IFERROR(__xludf.DUMMYFUNCTION("""COMPUTED_VALUE"""),0)</f>
        <v>0</v>
      </c>
    </row>
    <row r="612" spans="1:15" ht="12.75">
      <c r="A612" s="539">
        <f ca="1"/>
        <v>606</v>
      </c>
      <c r="B612" s="35" t="str">
        <f ca="1">IFERROR(__xludf.DUMMYFUNCTION("""COMPUTED_VALUE"""),"Tổ Hạ tầng Kiến Tường")</f>
        <v>Tổ Hạ tầng Kiến Tường</v>
      </c>
      <c r="C612" s="35" t="str">
        <f ca="1">IFERROR(__xludf.DUMMYFUNCTION("""COMPUTED_VALUE"""),"Lê Duy Bình")</f>
        <v>Lê Duy Bình</v>
      </c>
      <c r="D612" s="35">
        <f ca="1">IFERROR(__xludf.DUMMYFUNCTION("""COMPUTED_VALUE"""),826549949)</f>
        <v>826549949</v>
      </c>
      <c r="E612" s="35" t="str">
        <f ca="1">IFERROR(__xludf.DUMMYFUNCTION("""COMPUTED_VALUE"""),"binhld.tnh@vnpt.vn")</f>
        <v>binhld.tnh@vnpt.vn</v>
      </c>
      <c r="F612" s="540" t="str">
        <f ca="1">IFERROR(__xludf.DUMMYFUNCTION("""COMPUTED_VALUE"""),"Lần 14")</f>
        <v>Lần 14</v>
      </c>
      <c r="G612" s="278">
        <f ca="1">IFERROR(__xludf.DUMMYFUNCTION("""COMPUTED_VALUE"""),46214)</f>
        <v>46214</v>
      </c>
      <c r="H612" s="35">
        <f ca="1">IFERROR(__xludf.DUMMYFUNCTION("""COMPUTED_VALUE"""),98)</f>
        <v>98</v>
      </c>
      <c r="I612" s="542">
        <f ca="1">IFERROR(__xludf.DUMMYFUNCTION("""COMPUTED_VALUE"""),46214)</f>
        <v>46214</v>
      </c>
      <c r="J612" s="541">
        <f ca="1">IFERROR(__xludf.DUMMYFUNCTION("""COMPUTED_VALUE"""),89.8)</f>
        <v>89.8</v>
      </c>
      <c r="K612" s="541" t="str">
        <f ca="1">IFERROR(__xludf.DUMMYFUNCTION("""COMPUTED_VALUE"""),"57.6")</f>
        <v>57.6</v>
      </c>
      <c r="M612" s="539">
        <f ca="1">IFERROR(__xludf.DUMMYFUNCTION("""COMPUTED_VALUE"""),1)</f>
        <v>1</v>
      </c>
      <c r="N612" s="539">
        <f ca="1">IFERROR(__xludf.DUMMYFUNCTION("""COMPUTED_VALUE"""),1)</f>
        <v>1</v>
      </c>
      <c r="O612" s="539">
        <f ca="1">IFERROR(__xludf.DUMMYFUNCTION("""COMPUTED_VALUE"""),0)</f>
        <v>0</v>
      </c>
    </row>
    <row r="613" spans="1:15" ht="12.75">
      <c r="A613" s="539">
        <f ca="1"/>
        <v>607</v>
      </c>
      <c r="B613" s="35" t="str">
        <f ca="1">IFERROR(__xludf.DUMMYFUNCTION("""COMPUTED_VALUE"""),"Tổ Hạ tầng Kiến Tường")</f>
        <v>Tổ Hạ tầng Kiến Tường</v>
      </c>
      <c r="C613" s="35" t="str">
        <f ca="1">IFERROR(__xludf.DUMMYFUNCTION("""COMPUTED_VALUE"""),"Lê Duy Bình")</f>
        <v>Lê Duy Bình</v>
      </c>
      <c r="D613" s="35">
        <f ca="1">IFERROR(__xludf.DUMMYFUNCTION("""COMPUTED_VALUE"""),826549949)</f>
        <v>826549949</v>
      </c>
      <c r="E613" s="35" t="str">
        <f ca="1">IFERROR(__xludf.DUMMYFUNCTION("""COMPUTED_VALUE"""),"binhld.tnh@vnpt.vn")</f>
        <v>binhld.tnh@vnpt.vn</v>
      </c>
      <c r="F613" s="540" t="str">
        <f ca="1">IFERROR(__xludf.DUMMYFUNCTION("""COMPUTED_VALUE"""),"Lần 15")</f>
        <v>Lần 15</v>
      </c>
      <c r="G613" s="278">
        <f ca="1">IFERROR(__xludf.DUMMYFUNCTION("""COMPUTED_VALUE"""),46214)</f>
        <v>46214</v>
      </c>
      <c r="H613" s="35" t="str">
        <f ca="1">IFERROR(__xludf.DUMMYFUNCTION("""COMPUTED_VALUE"""),"75.6")</f>
        <v>75.6</v>
      </c>
      <c r="I613" s="542">
        <f ca="1">IFERROR(__xludf.DUMMYFUNCTION("""COMPUTED_VALUE"""),46092)</f>
        <v>46092</v>
      </c>
      <c r="J613" s="541">
        <f ca="1">IFERROR(__xludf.DUMMYFUNCTION("""COMPUTED_VALUE"""),96.5)</f>
        <v>96.5</v>
      </c>
      <c r="K613" s="541" t="str">
        <f ca="1">IFERROR(__xludf.DUMMYFUNCTION("""COMPUTED_VALUE"""),"59.7")</f>
        <v>59.7</v>
      </c>
      <c r="M613" s="539">
        <f ca="1">IFERROR(__xludf.DUMMYFUNCTION("""COMPUTED_VALUE"""),1)</f>
        <v>1</v>
      </c>
      <c r="N613" s="539">
        <f ca="1">IFERROR(__xludf.DUMMYFUNCTION("""COMPUTED_VALUE"""),1)</f>
        <v>1</v>
      </c>
      <c r="O613" s="539">
        <f ca="1">IFERROR(__xludf.DUMMYFUNCTION("""COMPUTED_VALUE"""),0)</f>
        <v>0</v>
      </c>
    </row>
    <row r="614" spans="1:15" ht="12.75">
      <c r="A614" s="539">
        <f ca="1"/>
        <v>608</v>
      </c>
      <c r="B614" s="35" t="str">
        <f ca="1">IFERROR(__xludf.DUMMYFUNCTION("""COMPUTED_VALUE"""),"Tổ Hạ tầng Kiến Tường")</f>
        <v>Tổ Hạ tầng Kiến Tường</v>
      </c>
      <c r="C614" s="35" t="str">
        <f ca="1">IFERROR(__xludf.DUMMYFUNCTION("""COMPUTED_VALUE"""),"Lê Duy Bình")</f>
        <v>Lê Duy Bình</v>
      </c>
      <c r="D614" s="35">
        <f ca="1">IFERROR(__xludf.DUMMYFUNCTION("""COMPUTED_VALUE"""),826549949)</f>
        <v>826549949</v>
      </c>
      <c r="E614" s="35" t="str">
        <f ca="1">IFERROR(__xludf.DUMMYFUNCTION("""COMPUTED_VALUE"""),"binhld.tnh@vnpt.vn")</f>
        <v>binhld.tnh@vnpt.vn</v>
      </c>
      <c r="F614" s="540" t="str">
        <f ca="1">IFERROR(__xludf.DUMMYFUNCTION("""COMPUTED_VALUE"""),"Lần 16")</f>
        <v>Lần 16</v>
      </c>
      <c r="G614" s="278">
        <f ca="1">IFERROR(__xludf.DUMMYFUNCTION("""COMPUTED_VALUE"""),46214)</f>
        <v>46214</v>
      </c>
      <c r="H614" s="35">
        <f ca="1">IFERROR(__xludf.DUMMYFUNCTION("""COMPUTED_VALUE"""),71)</f>
        <v>71</v>
      </c>
      <c r="I614" s="542">
        <f ca="1">IFERROR(__xludf.DUMMYFUNCTION("""COMPUTED_VALUE"""),46032)</f>
        <v>46032</v>
      </c>
      <c r="J614" s="541">
        <f ca="1">IFERROR(__xludf.DUMMYFUNCTION("""COMPUTED_VALUE"""),102)</f>
        <v>102</v>
      </c>
      <c r="K614" s="541" t="str">
        <f ca="1">IFERROR(__xludf.DUMMYFUNCTION("""COMPUTED_VALUE"""),"57.2")</f>
        <v>57.2</v>
      </c>
      <c r="M614" s="539">
        <f ca="1">IFERROR(__xludf.DUMMYFUNCTION("""COMPUTED_VALUE"""),1)</f>
        <v>1</v>
      </c>
      <c r="N614" s="539">
        <f ca="1">IFERROR(__xludf.DUMMYFUNCTION("""COMPUTED_VALUE"""),1)</f>
        <v>1</v>
      </c>
      <c r="O614" s="539">
        <f ca="1">IFERROR(__xludf.DUMMYFUNCTION("""COMPUTED_VALUE"""),0)</f>
        <v>0</v>
      </c>
    </row>
    <row r="615" spans="1:15" ht="12.75">
      <c r="A615" s="539">
        <f ca="1"/>
        <v>609</v>
      </c>
      <c r="B615" s="35" t="str">
        <f ca="1">IFERROR(__xludf.DUMMYFUNCTION("""COMPUTED_VALUE"""),"Tổ Hạ tầng Kiến Tường")</f>
        <v>Tổ Hạ tầng Kiến Tường</v>
      </c>
      <c r="C615" s="35" t="str">
        <f ca="1">IFERROR(__xludf.DUMMYFUNCTION("""COMPUTED_VALUE"""),"Tiêu Văn Y")</f>
        <v>Tiêu Văn Y</v>
      </c>
      <c r="D615" s="35">
        <f ca="1">IFERROR(__xludf.DUMMYFUNCTION("""COMPUTED_VALUE"""),948445577)</f>
        <v>948445577</v>
      </c>
      <c r="E615" s="35" t="str">
        <f ca="1">IFERROR(__xludf.DUMMYFUNCTION("""COMPUTED_VALUE"""),"ytv.lan@vnpt.vn")</f>
        <v>ytv.lan@vnpt.vn</v>
      </c>
      <c r="F615" s="540" t="str">
        <f ca="1">IFERROR(__xludf.DUMMYFUNCTION("""COMPUTED_VALUE"""),"Lần 1")</f>
        <v>Lần 1</v>
      </c>
      <c r="G615" s="278"/>
      <c r="H615" s="35"/>
      <c r="I615" s="35"/>
      <c r="J615" s="541"/>
      <c r="K615" s="541"/>
      <c r="M615" s="539">
        <f ca="1">IFERROR(__xludf.DUMMYFUNCTION("""COMPUTED_VALUE"""),0)</f>
        <v>0</v>
      </c>
      <c r="N615" s="539">
        <f ca="1">IFERROR(__xludf.DUMMYFUNCTION("""COMPUTED_VALUE"""),0)</f>
        <v>0</v>
      </c>
      <c r="O615" s="539">
        <f ca="1">IFERROR(__xludf.DUMMYFUNCTION("""COMPUTED_VALUE"""),0)</f>
        <v>0</v>
      </c>
    </row>
    <row r="616" spans="1:15" ht="12.75">
      <c r="A616" s="539">
        <f ca="1"/>
        <v>610</v>
      </c>
      <c r="B616" s="35" t="str">
        <f ca="1">IFERROR(__xludf.DUMMYFUNCTION("""COMPUTED_VALUE"""),"Tổ Hạ tầng Kiến Tường")</f>
        <v>Tổ Hạ tầng Kiến Tường</v>
      </c>
      <c r="C616" s="35" t="str">
        <f ca="1">IFERROR(__xludf.DUMMYFUNCTION("""COMPUTED_VALUE"""),"Tiêu Văn Y")</f>
        <v>Tiêu Văn Y</v>
      </c>
      <c r="D616" s="35">
        <f ca="1">IFERROR(__xludf.DUMMYFUNCTION("""COMPUTED_VALUE"""),948445577)</f>
        <v>948445577</v>
      </c>
      <c r="E616" s="35" t="str">
        <f ca="1">IFERROR(__xludf.DUMMYFUNCTION("""COMPUTED_VALUE"""),"ytv.lan@vnpt.vn")</f>
        <v>ytv.lan@vnpt.vn</v>
      </c>
      <c r="F616" s="540" t="str">
        <f ca="1">IFERROR(__xludf.DUMMYFUNCTION("""COMPUTED_VALUE"""),"Lần 2")</f>
        <v>Lần 2</v>
      </c>
      <c r="G616" s="278"/>
      <c r="H616" s="35"/>
      <c r="I616" s="35"/>
      <c r="J616" s="541"/>
      <c r="K616" s="541"/>
      <c r="M616" s="539">
        <f ca="1">IFERROR(__xludf.DUMMYFUNCTION("""COMPUTED_VALUE"""),0)</f>
        <v>0</v>
      </c>
      <c r="N616" s="539">
        <f ca="1">IFERROR(__xludf.DUMMYFUNCTION("""COMPUTED_VALUE"""),0)</f>
        <v>0</v>
      </c>
      <c r="O616" s="539">
        <f ca="1">IFERROR(__xludf.DUMMYFUNCTION("""COMPUTED_VALUE"""),0)</f>
        <v>0</v>
      </c>
    </row>
    <row r="617" spans="1:15" ht="12.75">
      <c r="A617" s="539">
        <f ca="1"/>
        <v>611</v>
      </c>
      <c r="B617" s="35" t="str">
        <f ca="1">IFERROR(__xludf.DUMMYFUNCTION("""COMPUTED_VALUE"""),"Tổ Hạ tầng Kiến Tường")</f>
        <v>Tổ Hạ tầng Kiến Tường</v>
      </c>
      <c r="C617" s="35" t="str">
        <f ca="1">IFERROR(__xludf.DUMMYFUNCTION("""COMPUTED_VALUE"""),"Tiêu Văn Y")</f>
        <v>Tiêu Văn Y</v>
      </c>
      <c r="D617" s="35">
        <f ca="1">IFERROR(__xludf.DUMMYFUNCTION("""COMPUTED_VALUE"""),948445577)</f>
        <v>948445577</v>
      </c>
      <c r="E617" s="35" t="str">
        <f ca="1">IFERROR(__xludf.DUMMYFUNCTION("""COMPUTED_VALUE"""),"ytv.lan@vnpt.vn")</f>
        <v>ytv.lan@vnpt.vn</v>
      </c>
      <c r="F617" s="540" t="str">
        <f ca="1">IFERROR(__xludf.DUMMYFUNCTION("""COMPUTED_VALUE"""),"Lần 3")</f>
        <v>Lần 3</v>
      </c>
      <c r="G617" s="278"/>
      <c r="H617" s="35"/>
      <c r="I617" s="35"/>
      <c r="J617" s="541"/>
      <c r="K617" s="541"/>
      <c r="M617" s="539">
        <f ca="1">IFERROR(__xludf.DUMMYFUNCTION("""COMPUTED_VALUE"""),0)</f>
        <v>0</v>
      </c>
      <c r="N617" s="539">
        <f ca="1">IFERROR(__xludf.DUMMYFUNCTION("""COMPUTED_VALUE"""),0)</f>
        <v>0</v>
      </c>
      <c r="O617" s="539">
        <f ca="1">IFERROR(__xludf.DUMMYFUNCTION("""COMPUTED_VALUE"""),0)</f>
        <v>0</v>
      </c>
    </row>
    <row r="618" spans="1:15" ht="12.75">
      <c r="A618" s="539">
        <f ca="1"/>
        <v>612</v>
      </c>
      <c r="B618" s="35" t="str">
        <f ca="1">IFERROR(__xludf.DUMMYFUNCTION("""COMPUTED_VALUE"""),"Tổ Hạ tầng Kiến Tường")</f>
        <v>Tổ Hạ tầng Kiến Tường</v>
      </c>
      <c r="C618" s="35" t="str">
        <f ca="1">IFERROR(__xludf.DUMMYFUNCTION("""COMPUTED_VALUE"""),"Tiêu Văn Y")</f>
        <v>Tiêu Văn Y</v>
      </c>
      <c r="D618" s="35">
        <f ca="1">IFERROR(__xludf.DUMMYFUNCTION("""COMPUTED_VALUE"""),948445577)</f>
        <v>948445577</v>
      </c>
      <c r="E618" s="35" t="str">
        <f ca="1">IFERROR(__xludf.DUMMYFUNCTION("""COMPUTED_VALUE"""),"ytv.lan@vnpt.vn")</f>
        <v>ytv.lan@vnpt.vn</v>
      </c>
      <c r="F618" s="540" t="str">
        <f ca="1">IFERROR(__xludf.DUMMYFUNCTION("""COMPUTED_VALUE"""),"Lần 4")</f>
        <v>Lần 4</v>
      </c>
      <c r="G618" s="278"/>
      <c r="H618" s="35"/>
      <c r="I618" s="35"/>
      <c r="J618" s="541"/>
      <c r="K618" s="541"/>
      <c r="M618" s="539">
        <f ca="1">IFERROR(__xludf.DUMMYFUNCTION("""COMPUTED_VALUE"""),0)</f>
        <v>0</v>
      </c>
      <c r="N618" s="539">
        <f ca="1">IFERROR(__xludf.DUMMYFUNCTION("""COMPUTED_VALUE"""),0)</f>
        <v>0</v>
      </c>
      <c r="O618" s="539">
        <f ca="1">IFERROR(__xludf.DUMMYFUNCTION("""COMPUTED_VALUE"""),0)</f>
        <v>0</v>
      </c>
    </row>
    <row r="619" spans="1:15" ht="12.75">
      <c r="A619" s="539">
        <f ca="1"/>
        <v>613</v>
      </c>
      <c r="B619" s="35" t="str">
        <f ca="1">IFERROR(__xludf.DUMMYFUNCTION("""COMPUTED_VALUE"""),"Tổ Hạ tầng Kiến Tường")</f>
        <v>Tổ Hạ tầng Kiến Tường</v>
      </c>
      <c r="C619" s="35" t="str">
        <f ca="1">IFERROR(__xludf.DUMMYFUNCTION("""COMPUTED_VALUE"""),"Tiêu Văn Y")</f>
        <v>Tiêu Văn Y</v>
      </c>
      <c r="D619" s="35">
        <f ca="1">IFERROR(__xludf.DUMMYFUNCTION("""COMPUTED_VALUE"""),948445577)</f>
        <v>948445577</v>
      </c>
      <c r="E619" s="35" t="str">
        <f ca="1">IFERROR(__xludf.DUMMYFUNCTION("""COMPUTED_VALUE"""),"ytv.lan@vnpt.vn")</f>
        <v>ytv.lan@vnpt.vn</v>
      </c>
      <c r="F619" s="540" t="str">
        <f ca="1">IFERROR(__xludf.DUMMYFUNCTION("""COMPUTED_VALUE"""),"Lần 5")</f>
        <v>Lần 5</v>
      </c>
      <c r="G619" s="278"/>
      <c r="H619" s="35"/>
      <c r="I619" s="35"/>
      <c r="J619" s="541"/>
      <c r="K619" s="541"/>
      <c r="M619" s="539">
        <f ca="1">IFERROR(__xludf.DUMMYFUNCTION("""COMPUTED_VALUE"""),0)</f>
        <v>0</v>
      </c>
      <c r="N619" s="539">
        <f ca="1">IFERROR(__xludf.DUMMYFUNCTION("""COMPUTED_VALUE"""),0)</f>
        <v>0</v>
      </c>
      <c r="O619" s="539">
        <f ca="1">IFERROR(__xludf.DUMMYFUNCTION("""COMPUTED_VALUE"""),0)</f>
        <v>0</v>
      </c>
    </row>
    <row r="620" spans="1:15" ht="12.75">
      <c r="A620" s="539">
        <f ca="1"/>
        <v>614</v>
      </c>
      <c r="B620" s="35" t="str">
        <f ca="1">IFERROR(__xludf.DUMMYFUNCTION("""COMPUTED_VALUE"""),"Tổ Hạ tầng Kiến Tường")</f>
        <v>Tổ Hạ tầng Kiến Tường</v>
      </c>
      <c r="C620" s="35" t="str">
        <f ca="1">IFERROR(__xludf.DUMMYFUNCTION("""COMPUTED_VALUE"""),"Tiêu Văn Y")</f>
        <v>Tiêu Văn Y</v>
      </c>
      <c r="D620" s="35">
        <f ca="1">IFERROR(__xludf.DUMMYFUNCTION("""COMPUTED_VALUE"""),948445577)</f>
        <v>948445577</v>
      </c>
      <c r="E620" s="35" t="str">
        <f ca="1">IFERROR(__xludf.DUMMYFUNCTION("""COMPUTED_VALUE"""),"ytv.lan@vnpt.vn")</f>
        <v>ytv.lan@vnpt.vn</v>
      </c>
      <c r="F620" s="540" t="str">
        <f ca="1">IFERROR(__xludf.DUMMYFUNCTION("""COMPUTED_VALUE"""),"Lần 6")</f>
        <v>Lần 6</v>
      </c>
      <c r="G620" s="278"/>
      <c r="H620" s="35"/>
      <c r="I620" s="35"/>
      <c r="J620" s="541"/>
      <c r="K620" s="541"/>
      <c r="M620" s="539">
        <f ca="1">IFERROR(__xludf.DUMMYFUNCTION("""COMPUTED_VALUE"""),0)</f>
        <v>0</v>
      </c>
      <c r="N620" s="539">
        <f ca="1">IFERROR(__xludf.DUMMYFUNCTION("""COMPUTED_VALUE"""),0)</f>
        <v>0</v>
      </c>
      <c r="O620" s="539">
        <f ca="1">IFERROR(__xludf.DUMMYFUNCTION("""COMPUTED_VALUE"""),0)</f>
        <v>0</v>
      </c>
    </row>
    <row r="621" spans="1:15" ht="12.75">
      <c r="A621" s="539">
        <f ca="1"/>
        <v>615</v>
      </c>
      <c r="B621" s="35" t="str">
        <f ca="1">IFERROR(__xludf.DUMMYFUNCTION("""COMPUTED_VALUE"""),"Tổ Hạ tầng Kiến Tường")</f>
        <v>Tổ Hạ tầng Kiến Tường</v>
      </c>
      <c r="C621" s="35" t="str">
        <f ca="1">IFERROR(__xludf.DUMMYFUNCTION("""COMPUTED_VALUE"""),"Tiêu Văn Y")</f>
        <v>Tiêu Văn Y</v>
      </c>
      <c r="D621" s="35">
        <f ca="1">IFERROR(__xludf.DUMMYFUNCTION("""COMPUTED_VALUE"""),948445577)</f>
        <v>948445577</v>
      </c>
      <c r="E621" s="35" t="str">
        <f ca="1">IFERROR(__xludf.DUMMYFUNCTION("""COMPUTED_VALUE"""),"ytv.lan@vnpt.vn")</f>
        <v>ytv.lan@vnpt.vn</v>
      </c>
      <c r="F621" s="540" t="str">
        <f ca="1">IFERROR(__xludf.DUMMYFUNCTION("""COMPUTED_VALUE"""),"Lần 7")</f>
        <v>Lần 7</v>
      </c>
      <c r="G621" s="278"/>
      <c r="H621" s="35"/>
      <c r="I621" s="35"/>
      <c r="J621" s="541"/>
      <c r="K621" s="541"/>
      <c r="M621" s="539">
        <f ca="1">IFERROR(__xludf.DUMMYFUNCTION("""COMPUTED_VALUE"""),0)</f>
        <v>0</v>
      </c>
      <c r="N621" s="539">
        <f ca="1">IFERROR(__xludf.DUMMYFUNCTION("""COMPUTED_VALUE"""),0)</f>
        <v>0</v>
      </c>
      <c r="O621" s="539">
        <f ca="1">IFERROR(__xludf.DUMMYFUNCTION("""COMPUTED_VALUE"""),0)</f>
        <v>0</v>
      </c>
    </row>
    <row r="622" spans="1:15" ht="12.75">
      <c r="A622" s="539">
        <f ca="1"/>
        <v>616</v>
      </c>
      <c r="B622" s="35" t="str">
        <f ca="1">IFERROR(__xludf.DUMMYFUNCTION("""COMPUTED_VALUE"""),"Tổ Hạ tầng Kiến Tường")</f>
        <v>Tổ Hạ tầng Kiến Tường</v>
      </c>
      <c r="C622" s="35" t="str">
        <f ca="1">IFERROR(__xludf.DUMMYFUNCTION("""COMPUTED_VALUE"""),"Tiêu Văn Y")</f>
        <v>Tiêu Văn Y</v>
      </c>
      <c r="D622" s="35">
        <f ca="1">IFERROR(__xludf.DUMMYFUNCTION("""COMPUTED_VALUE"""),948445577)</f>
        <v>948445577</v>
      </c>
      <c r="E622" s="35" t="str">
        <f ca="1">IFERROR(__xludf.DUMMYFUNCTION("""COMPUTED_VALUE"""),"ytv.lan@vnpt.vn")</f>
        <v>ytv.lan@vnpt.vn</v>
      </c>
      <c r="F622" s="540" t="str">
        <f ca="1">IFERROR(__xludf.DUMMYFUNCTION("""COMPUTED_VALUE"""),"Lần 8")</f>
        <v>Lần 8</v>
      </c>
      <c r="G622" s="278"/>
      <c r="H622" s="35"/>
      <c r="I622" s="35"/>
      <c r="J622" s="541"/>
      <c r="K622" s="541"/>
      <c r="M622" s="539">
        <f ca="1">IFERROR(__xludf.DUMMYFUNCTION("""COMPUTED_VALUE"""),0)</f>
        <v>0</v>
      </c>
      <c r="N622" s="539">
        <f ca="1">IFERROR(__xludf.DUMMYFUNCTION("""COMPUTED_VALUE"""),0)</f>
        <v>0</v>
      </c>
      <c r="O622" s="539">
        <f ca="1">IFERROR(__xludf.DUMMYFUNCTION("""COMPUTED_VALUE"""),0)</f>
        <v>0</v>
      </c>
    </row>
    <row r="623" spans="1:15" ht="12.75">
      <c r="A623" s="539">
        <f ca="1"/>
        <v>617</v>
      </c>
      <c r="B623" s="35" t="str">
        <f ca="1">IFERROR(__xludf.DUMMYFUNCTION("""COMPUTED_VALUE"""),"Tổ Hạ tầng Kiến Tường")</f>
        <v>Tổ Hạ tầng Kiến Tường</v>
      </c>
      <c r="C623" s="35" t="str">
        <f ca="1">IFERROR(__xludf.DUMMYFUNCTION("""COMPUTED_VALUE"""),"Tiêu Văn Y")</f>
        <v>Tiêu Văn Y</v>
      </c>
      <c r="D623" s="35">
        <f ca="1">IFERROR(__xludf.DUMMYFUNCTION("""COMPUTED_VALUE"""),948445577)</f>
        <v>948445577</v>
      </c>
      <c r="E623" s="35" t="str">
        <f ca="1">IFERROR(__xludf.DUMMYFUNCTION("""COMPUTED_VALUE"""),"ytv.lan@vnpt.vn")</f>
        <v>ytv.lan@vnpt.vn</v>
      </c>
      <c r="F623" s="540" t="str">
        <f ca="1">IFERROR(__xludf.DUMMYFUNCTION("""COMPUTED_VALUE"""),"Lần 9")</f>
        <v>Lần 9</v>
      </c>
      <c r="G623" s="278"/>
      <c r="H623" s="35"/>
      <c r="I623" s="35"/>
      <c r="J623" s="541"/>
      <c r="K623" s="541"/>
      <c r="M623" s="539">
        <f ca="1">IFERROR(__xludf.DUMMYFUNCTION("""COMPUTED_VALUE"""),0)</f>
        <v>0</v>
      </c>
      <c r="N623" s="539">
        <f ca="1">IFERROR(__xludf.DUMMYFUNCTION("""COMPUTED_VALUE"""),0)</f>
        <v>0</v>
      </c>
      <c r="O623" s="539">
        <f ca="1">IFERROR(__xludf.DUMMYFUNCTION("""COMPUTED_VALUE"""),0)</f>
        <v>0</v>
      </c>
    </row>
    <row r="624" spans="1:15" ht="12.75">
      <c r="A624" s="539">
        <f ca="1"/>
        <v>618</v>
      </c>
      <c r="B624" s="35" t="str">
        <f ca="1">IFERROR(__xludf.DUMMYFUNCTION("""COMPUTED_VALUE"""),"Tổ Hạ tầng Kiến Tường")</f>
        <v>Tổ Hạ tầng Kiến Tường</v>
      </c>
      <c r="C624" s="35" t="str">
        <f ca="1">IFERROR(__xludf.DUMMYFUNCTION("""COMPUTED_VALUE"""),"Tiêu Văn Y")</f>
        <v>Tiêu Văn Y</v>
      </c>
      <c r="D624" s="35">
        <f ca="1">IFERROR(__xludf.DUMMYFUNCTION("""COMPUTED_VALUE"""),948445577)</f>
        <v>948445577</v>
      </c>
      <c r="E624" s="35" t="str">
        <f ca="1">IFERROR(__xludf.DUMMYFUNCTION("""COMPUTED_VALUE"""),"ytv.lan@vnpt.vn")</f>
        <v>ytv.lan@vnpt.vn</v>
      </c>
      <c r="F624" s="540" t="str">
        <f ca="1">IFERROR(__xludf.DUMMYFUNCTION("""COMPUTED_VALUE"""),"Lần 10")</f>
        <v>Lần 10</v>
      </c>
      <c r="G624" s="278"/>
      <c r="H624" s="35"/>
      <c r="I624" s="35"/>
      <c r="J624" s="541"/>
      <c r="K624" s="541"/>
      <c r="M624" s="539">
        <f ca="1">IFERROR(__xludf.DUMMYFUNCTION("""COMPUTED_VALUE"""),0)</f>
        <v>0</v>
      </c>
      <c r="N624" s="539">
        <f ca="1">IFERROR(__xludf.DUMMYFUNCTION("""COMPUTED_VALUE"""),0)</f>
        <v>0</v>
      </c>
      <c r="O624" s="539">
        <f ca="1">IFERROR(__xludf.DUMMYFUNCTION("""COMPUTED_VALUE"""),0)</f>
        <v>0</v>
      </c>
    </row>
    <row r="625" spans="1:15" ht="12.75">
      <c r="A625" s="539">
        <f ca="1"/>
        <v>619</v>
      </c>
      <c r="B625" s="35" t="str">
        <f ca="1">IFERROR(__xludf.DUMMYFUNCTION("""COMPUTED_VALUE"""),"Tổ Hạ tầng Kiến Tường")</f>
        <v>Tổ Hạ tầng Kiến Tường</v>
      </c>
      <c r="C625" s="35" t="str">
        <f ca="1">IFERROR(__xludf.DUMMYFUNCTION("""COMPUTED_VALUE"""),"Tiêu Văn Y")</f>
        <v>Tiêu Văn Y</v>
      </c>
      <c r="D625" s="35">
        <f ca="1">IFERROR(__xludf.DUMMYFUNCTION("""COMPUTED_VALUE"""),948445577)</f>
        <v>948445577</v>
      </c>
      <c r="E625" s="35" t="str">
        <f ca="1">IFERROR(__xludf.DUMMYFUNCTION("""COMPUTED_VALUE"""),"ytv.lan@vnpt.vn")</f>
        <v>ytv.lan@vnpt.vn</v>
      </c>
      <c r="F625" s="540" t="str">
        <f ca="1">IFERROR(__xludf.DUMMYFUNCTION("""COMPUTED_VALUE"""),"Lần 11")</f>
        <v>Lần 11</v>
      </c>
      <c r="G625" s="278"/>
      <c r="H625" s="35"/>
      <c r="I625" s="35"/>
      <c r="J625" s="541"/>
      <c r="K625" s="541"/>
      <c r="M625" s="539">
        <f ca="1">IFERROR(__xludf.DUMMYFUNCTION("""COMPUTED_VALUE"""),0)</f>
        <v>0</v>
      </c>
      <c r="N625" s="539">
        <f ca="1">IFERROR(__xludf.DUMMYFUNCTION("""COMPUTED_VALUE"""),0)</f>
        <v>0</v>
      </c>
      <c r="O625" s="539">
        <f ca="1">IFERROR(__xludf.DUMMYFUNCTION("""COMPUTED_VALUE"""),0)</f>
        <v>0</v>
      </c>
    </row>
    <row r="626" spans="1:15" ht="12.75">
      <c r="A626" s="539">
        <f ca="1"/>
        <v>620</v>
      </c>
      <c r="B626" s="35" t="str">
        <f ca="1">IFERROR(__xludf.DUMMYFUNCTION("""COMPUTED_VALUE"""),"Tổ Hạ tầng Kiến Tường")</f>
        <v>Tổ Hạ tầng Kiến Tường</v>
      </c>
      <c r="C626" s="35" t="str">
        <f ca="1">IFERROR(__xludf.DUMMYFUNCTION("""COMPUTED_VALUE"""),"Tiêu Văn Y")</f>
        <v>Tiêu Văn Y</v>
      </c>
      <c r="D626" s="35">
        <f ca="1">IFERROR(__xludf.DUMMYFUNCTION("""COMPUTED_VALUE"""),948445577)</f>
        <v>948445577</v>
      </c>
      <c r="E626" s="35" t="str">
        <f ca="1">IFERROR(__xludf.DUMMYFUNCTION("""COMPUTED_VALUE"""),"ytv.lan@vnpt.vn")</f>
        <v>ytv.lan@vnpt.vn</v>
      </c>
      <c r="F626" s="540" t="str">
        <f ca="1">IFERROR(__xludf.DUMMYFUNCTION("""COMPUTED_VALUE"""),"Lần 12")</f>
        <v>Lần 12</v>
      </c>
      <c r="G626" s="278"/>
      <c r="H626" s="35"/>
      <c r="I626" s="35"/>
      <c r="J626" s="541"/>
      <c r="K626" s="541"/>
      <c r="M626" s="539">
        <f ca="1">IFERROR(__xludf.DUMMYFUNCTION("""COMPUTED_VALUE"""),0)</f>
        <v>0</v>
      </c>
      <c r="N626" s="539">
        <f ca="1">IFERROR(__xludf.DUMMYFUNCTION("""COMPUTED_VALUE"""),0)</f>
        <v>0</v>
      </c>
      <c r="O626" s="539">
        <f ca="1">IFERROR(__xludf.DUMMYFUNCTION("""COMPUTED_VALUE"""),0)</f>
        <v>0</v>
      </c>
    </row>
    <row r="627" spans="1:15" ht="12.75">
      <c r="A627" s="539">
        <f ca="1"/>
        <v>621</v>
      </c>
      <c r="B627" s="35" t="str">
        <f ca="1">IFERROR(__xludf.DUMMYFUNCTION("""COMPUTED_VALUE"""),"Tổ Hạ tầng Kiến Tường")</f>
        <v>Tổ Hạ tầng Kiến Tường</v>
      </c>
      <c r="C627" s="35" t="str">
        <f ca="1">IFERROR(__xludf.DUMMYFUNCTION("""COMPUTED_VALUE"""),"Tiêu Văn Y")</f>
        <v>Tiêu Văn Y</v>
      </c>
      <c r="D627" s="35">
        <f ca="1">IFERROR(__xludf.DUMMYFUNCTION("""COMPUTED_VALUE"""),948445577)</f>
        <v>948445577</v>
      </c>
      <c r="E627" s="35" t="str">
        <f ca="1">IFERROR(__xludf.DUMMYFUNCTION("""COMPUTED_VALUE"""),"ytv.lan@vnpt.vn")</f>
        <v>ytv.lan@vnpt.vn</v>
      </c>
      <c r="F627" s="540" t="str">
        <f ca="1">IFERROR(__xludf.DUMMYFUNCTION("""COMPUTED_VALUE"""),"Lần 13")</f>
        <v>Lần 13</v>
      </c>
      <c r="G627" s="278"/>
      <c r="H627" s="35"/>
      <c r="I627" s="35"/>
      <c r="J627" s="541"/>
      <c r="K627" s="541"/>
      <c r="M627" s="539">
        <f ca="1">IFERROR(__xludf.DUMMYFUNCTION("""COMPUTED_VALUE"""),0)</f>
        <v>0</v>
      </c>
      <c r="N627" s="539">
        <f ca="1">IFERROR(__xludf.DUMMYFUNCTION("""COMPUTED_VALUE"""),0)</f>
        <v>0</v>
      </c>
      <c r="O627" s="539">
        <f ca="1">IFERROR(__xludf.DUMMYFUNCTION("""COMPUTED_VALUE"""),0)</f>
        <v>0</v>
      </c>
    </row>
    <row r="628" spans="1:15" ht="12.75">
      <c r="A628" s="539">
        <f ca="1"/>
        <v>622</v>
      </c>
      <c r="B628" s="35" t="str">
        <f ca="1">IFERROR(__xludf.DUMMYFUNCTION("""COMPUTED_VALUE"""),"Tổ Hạ tầng Kiến Tường")</f>
        <v>Tổ Hạ tầng Kiến Tường</v>
      </c>
      <c r="C628" s="35" t="str">
        <f ca="1">IFERROR(__xludf.DUMMYFUNCTION("""COMPUTED_VALUE"""),"Tiêu Văn Y")</f>
        <v>Tiêu Văn Y</v>
      </c>
      <c r="D628" s="35">
        <f ca="1">IFERROR(__xludf.DUMMYFUNCTION("""COMPUTED_VALUE"""),948445577)</f>
        <v>948445577</v>
      </c>
      <c r="E628" s="35" t="str">
        <f ca="1">IFERROR(__xludf.DUMMYFUNCTION("""COMPUTED_VALUE"""),"ytv.lan@vnpt.vn")</f>
        <v>ytv.lan@vnpt.vn</v>
      </c>
      <c r="F628" s="540" t="str">
        <f ca="1">IFERROR(__xludf.DUMMYFUNCTION("""COMPUTED_VALUE"""),"Lần 14")</f>
        <v>Lần 14</v>
      </c>
      <c r="G628" s="278"/>
      <c r="H628" s="35"/>
      <c r="I628" s="35"/>
      <c r="J628" s="541"/>
      <c r="K628" s="541"/>
      <c r="M628" s="539">
        <f ca="1">IFERROR(__xludf.DUMMYFUNCTION("""COMPUTED_VALUE"""),0)</f>
        <v>0</v>
      </c>
      <c r="N628" s="539">
        <f ca="1">IFERROR(__xludf.DUMMYFUNCTION("""COMPUTED_VALUE"""),0)</f>
        <v>0</v>
      </c>
      <c r="O628" s="539">
        <f ca="1">IFERROR(__xludf.DUMMYFUNCTION("""COMPUTED_VALUE"""),0)</f>
        <v>0</v>
      </c>
    </row>
    <row r="629" spans="1:15" ht="12.75">
      <c r="A629" s="539">
        <f ca="1"/>
        <v>623</v>
      </c>
      <c r="B629" s="35" t="str">
        <f ca="1">IFERROR(__xludf.DUMMYFUNCTION("""COMPUTED_VALUE"""),"Tổ Hạ tầng Kiến Tường")</f>
        <v>Tổ Hạ tầng Kiến Tường</v>
      </c>
      <c r="C629" s="35" t="str">
        <f ca="1">IFERROR(__xludf.DUMMYFUNCTION("""COMPUTED_VALUE"""),"Tiêu Văn Y")</f>
        <v>Tiêu Văn Y</v>
      </c>
      <c r="D629" s="35">
        <f ca="1">IFERROR(__xludf.DUMMYFUNCTION("""COMPUTED_VALUE"""),948445577)</f>
        <v>948445577</v>
      </c>
      <c r="E629" s="35" t="str">
        <f ca="1">IFERROR(__xludf.DUMMYFUNCTION("""COMPUTED_VALUE"""),"ytv.lan@vnpt.vn")</f>
        <v>ytv.lan@vnpt.vn</v>
      </c>
      <c r="F629" s="540" t="str">
        <f ca="1">IFERROR(__xludf.DUMMYFUNCTION("""COMPUTED_VALUE"""),"Lần 15")</f>
        <v>Lần 15</v>
      </c>
      <c r="G629" s="278"/>
      <c r="H629" s="35"/>
      <c r="I629" s="35"/>
      <c r="J629" s="541"/>
      <c r="K629" s="541"/>
      <c r="M629" s="539">
        <f ca="1">IFERROR(__xludf.DUMMYFUNCTION("""COMPUTED_VALUE"""),0)</f>
        <v>0</v>
      </c>
      <c r="N629" s="539">
        <f ca="1">IFERROR(__xludf.DUMMYFUNCTION("""COMPUTED_VALUE"""),0)</f>
        <v>0</v>
      </c>
      <c r="O629" s="539">
        <f ca="1">IFERROR(__xludf.DUMMYFUNCTION("""COMPUTED_VALUE"""),0)</f>
        <v>0</v>
      </c>
    </row>
    <row r="630" spans="1:15" ht="12.75">
      <c r="A630" s="539">
        <f ca="1"/>
        <v>624</v>
      </c>
      <c r="B630" s="35" t="str">
        <f ca="1">IFERROR(__xludf.DUMMYFUNCTION("""COMPUTED_VALUE"""),"Tổ Hạ tầng Kiến Tường")</f>
        <v>Tổ Hạ tầng Kiến Tường</v>
      </c>
      <c r="C630" s="35" t="str">
        <f ca="1">IFERROR(__xludf.DUMMYFUNCTION("""COMPUTED_VALUE"""),"Tiêu Văn Y")</f>
        <v>Tiêu Văn Y</v>
      </c>
      <c r="D630" s="35">
        <f ca="1">IFERROR(__xludf.DUMMYFUNCTION("""COMPUTED_VALUE"""),948445577)</f>
        <v>948445577</v>
      </c>
      <c r="E630" s="35" t="str">
        <f ca="1">IFERROR(__xludf.DUMMYFUNCTION("""COMPUTED_VALUE"""),"ytv.lan@vnpt.vn")</f>
        <v>ytv.lan@vnpt.vn</v>
      </c>
      <c r="F630" s="540" t="str">
        <f ca="1">IFERROR(__xludf.DUMMYFUNCTION("""COMPUTED_VALUE"""),"Lần 16")</f>
        <v>Lần 16</v>
      </c>
      <c r="G630" s="278"/>
      <c r="H630" s="35"/>
      <c r="I630" s="35"/>
      <c r="J630" s="541"/>
      <c r="K630" s="541"/>
      <c r="M630" s="539">
        <f ca="1">IFERROR(__xludf.DUMMYFUNCTION("""COMPUTED_VALUE"""),0)</f>
        <v>0</v>
      </c>
      <c r="N630" s="539">
        <f ca="1">IFERROR(__xludf.DUMMYFUNCTION("""COMPUTED_VALUE"""),0)</f>
        <v>0</v>
      </c>
      <c r="O630" s="539">
        <f ca="1">IFERROR(__xludf.DUMMYFUNCTION("""COMPUTED_VALUE"""),0)</f>
        <v>0</v>
      </c>
    </row>
    <row r="631" spans="1:15" ht="12.75">
      <c r="A631" s="539">
        <f ca="1"/>
        <v>625</v>
      </c>
      <c r="B631" s="35" t="str">
        <f ca="1">IFERROR(__xludf.DUMMYFUNCTION("""COMPUTED_VALUE"""),"Tổ Hạ tầng Kiến Tường")</f>
        <v>Tổ Hạ tầng Kiến Tường</v>
      </c>
      <c r="C631" s="35" t="str">
        <f ca="1">IFERROR(__xludf.DUMMYFUNCTION("""COMPUTED_VALUE"""),"Thiệu Thái An")</f>
        <v>Thiệu Thái An</v>
      </c>
      <c r="D631" s="35">
        <f ca="1">IFERROR(__xludf.DUMMYFUNCTION("""COMPUTED_VALUE"""),911685484)</f>
        <v>911685484</v>
      </c>
      <c r="E631" s="35" t="str">
        <f ca="1">IFERROR(__xludf.DUMMYFUNCTION("""COMPUTED_VALUE"""),"antt.lan@vnpt.vn")</f>
        <v>antt.lan@vnpt.vn</v>
      </c>
      <c r="F631" s="540" t="str">
        <f ca="1">IFERROR(__xludf.DUMMYFUNCTION("""COMPUTED_VALUE"""),"Lần 1")</f>
        <v>Lần 1</v>
      </c>
      <c r="G631" s="278"/>
      <c r="H631" s="35"/>
      <c r="I631" s="35"/>
      <c r="J631" s="541"/>
      <c r="K631" s="541"/>
      <c r="M631" s="539">
        <f ca="1">IFERROR(__xludf.DUMMYFUNCTION("""COMPUTED_VALUE"""),0)</f>
        <v>0</v>
      </c>
      <c r="N631" s="539">
        <f ca="1">IFERROR(__xludf.DUMMYFUNCTION("""COMPUTED_VALUE"""),0)</f>
        <v>0</v>
      </c>
      <c r="O631" s="539">
        <f ca="1">IFERROR(__xludf.DUMMYFUNCTION("""COMPUTED_VALUE"""),0)</f>
        <v>0</v>
      </c>
    </row>
    <row r="632" spans="1:15" ht="12.75">
      <c r="A632" s="539">
        <f ca="1"/>
        <v>626</v>
      </c>
      <c r="B632" s="35" t="str">
        <f ca="1">IFERROR(__xludf.DUMMYFUNCTION("""COMPUTED_VALUE"""),"Tổ Hạ tầng Kiến Tường")</f>
        <v>Tổ Hạ tầng Kiến Tường</v>
      </c>
      <c r="C632" s="35" t="str">
        <f ca="1">IFERROR(__xludf.DUMMYFUNCTION("""COMPUTED_VALUE"""),"Thiệu Thái An")</f>
        <v>Thiệu Thái An</v>
      </c>
      <c r="D632" s="35">
        <f ca="1">IFERROR(__xludf.DUMMYFUNCTION("""COMPUTED_VALUE"""),911685484)</f>
        <v>911685484</v>
      </c>
      <c r="E632" s="35" t="str">
        <f ca="1">IFERROR(__xludf.DUMMYFUNCTION("""COMPUTED_VALUE"""),"antt.lan@vnpt.vn")</f>
        <v>antt.lan@vnpt.vn</v>
      </c>
      <c r="F632" s="540" t="str">
        <f ca="1">IFERROR(__xludf.DUMMYFUNCTION("""COMPUTED_VALUE"""),"Lần 2")</f>
        <v>Lần 2</v>
      </c>
      <c r="G632" s="278"/>
      <c r="H632" s="35"/>
      <c r="I632" s="35"/>
      <c r="J632" s="541"/>
      <c r="K632" s="541"/>
      <c r="M632" s="539">
        <f ca="1">IFERROR(__xludf.DUMMYFUNCTION("""COMPUTED_VALUE"""),0)</f>
        <v>0</v>
      </c>
      <c r="N632" s="539">
        <f ca="1">IFERROR(__xludf.DUMMYFUNCTION("""COMPUTED_VALUE"""),0)</f>
        <v>0</v>
      </c>
      <c r="O632" s="539">
        <f ca="1">IFERROR(__xludf.DUMMYFUNCTION("""COMPUTED_VALUE"""),0)</f>
        <v>0</v>
      </c>
    </row>
    <row r="633" spans="1:15" ht="12.75">
      <c r="A633" s="539">
        <f ca="1"/>
        <v>627</v>
      </c>
      <c r="B633" s="35" t="str">
        <f ca="1">IFERROR(__xludf.DUMMYFUNCTION("""COMPUTED_VALUE"""),"Tổ Hạ tầng Kiến Tường")</f>
        <v>Tổ Hạ tầng Kiến Tường</v>
      </c>
      <c r="C633" s="35" t="str">
        <f ca="1">IFERROR(__xludf.DUMMYFUNCTION("""COMPUTED_VALUE"""),"Thiệu Thái An")</f>
        <v>Thiệu Thái An</v>
      </c>
      <c r="D633" s="35">
        <f ca="1">IFERROR(__xludf.DUMMYFUNCTION("""COMPUTED_VALUE"""),911685484)</f>
        <v>911685484</v>
      </c>
      <c r="E633" s="35" t="str">
        <f ca="1">IFERROR(__xludf.DUMMYFUNCTION("""COMPUTED_VALUE"""),"antt.lan@vnpt.vn")</f>
        <v>antt.lan@vnpt.vn</v>
      </c>
      <c r="F633" s="540" t="str">
        <f ca="1">IFERROR(__xludf.DUMMYFUNCTION("""COMPUTED_VALUE"""),"Lần 3")</f>
        <v>Lần 3</v>
      </c>
      <c r="G633" s="278"/>
      <c r="H633" s="35"/>
      <c r="I633" s="35"/>
      <c r="J633" s="541"/>
      <c r="K633" s="541"/>
      <c r="M633" s="539">
        <f ca="1">IFERROR(__xludf.DUMMYFUNCTION("""COMPUTED_VALUE"""),0)</f>
        <v>0</v>
      </c>
      <c r="N633" s="539">
        <f ca="1">IFERROR(__xludf.DUMMYFUNCTION("""COMPUTED_VALUE"""),0)</f>
        <v>0</v>
      </c>
      <c r="O633" s="539">
        <f ca="1">IFERROR(__xludf.DUMMYFUNCTION("""COMPUTED_VALUE"""),0)</f>
        <v>0</v>
      </c>
    </row>
    <row r="634" spans="1:15" ht="12.75">
      <c r="A634" s="539">
        <f ca="1"/>
        <v>628</v>
      </c>
      <c r="B634" s="35" t="str">
        <f ca="1">IFERROR(__xludf.DUMMYFUNCTION("""COMPUTED_VALUE"""),"Tổ Hạ tầng Kiến Tường")</f>
        <v>Tổ Hạ tầng Kiến Tường</v>
      </c>
      <c r="C634" s="35" t="str">
        <f ca="1">IFERROR(__xludf.DUMMYFUNCTION("""COMPUTED_VALUE"""),"Thiệu Thái An")</f>
        <v>Thiệu Thái An</v>
      </c>
      <c r="D634" s="35">
        <f ca="1">IFERROR(__xludf.DUMMYFUNCTION("""COMPUTED_VALUE"""),911685484)</f>
        <v>911685484</v>
      </c>
      <c r="E634" s="35" t="str">
        <f ca="1">IFERROR(__xludf.DUMMYFUNCTION("""COMPUTED_VALUE"""),"antt.lan@vnpt.vn")</f>
        <v>antt.lan@vnpt.vn</v>
      </c>
      <c r="F634" s="540" t="str">
        <f ca="1">IFERROR(__xludf.DUMMYFUNCTION("""COMPUTED_VALUE"""),"Lần 4")</f>
        <v>Lần 4</v>
      </c>
      <c r="G634" s="278"/>
      <c r="H634" s="35"/>
      <c r="I634" s="35"/>
      <c r="J634" s="541"/>
      <c r="K634" s="541"/>
      <c r="M634" s="539">
        <f ca="1">IFERROR(__xludf.DUMMYFUNCTION("""COMPUTED_VALUE"""),0)</f>
        <v>0</v>
      </c>
      <c r="N634" s="539">
        <f ca="1">IFERROR(__xludf.DUMMYFUNCTION("""COMPUTED_VALUE"""),0)</f>
        <v>0</v>
      </c>
      <c r="O634" s="539">
        <f ca="1">IFERROR(__xludf.DUMMYFUNCTION("""COMPUTED_VALUE"""),0)</f>
        <v>0</v>
      </c>
    </row>
    <row r="635" spans="1:15" ht="12.75">
      <c r="A635" s="539">
        <f ca="1"/>
        <v>629</v>
      </c>
      <c r="B635" s="35" t="str">
        <f ca="1">IFERROR(__xludf.DUMMYFUNCTION("""COMPUTED_VALUE"""),"Tổ Hạ tầng Kiến Tường")</f>
        <v>Tổ Hạ tầng Kiến Tường</v>
      </c>
      <c r="C635" s="35" t="str">
        <f ca="1">IFERROR(__xludf.DUMMYFUNCTION("""COMPUTED_VALUE"""),"Thiệu Thái An")</f>
        <v>Thiệu Thái An</v>
      </c>
      <c r="D635" s="35">
        <f ca="1">IFERROR(__xludf.DUMMYFUNCTION("""COMPUTED_VALUE"""),911685484)</f>
        <v>911685484</v>
      </c>
      <c r="E635" s="35" t="str">
        <f ca="1">IFERROR(__xludf.DUMMYFUNCTION("""COMPUTED_VALUE"""),"antt.lan@vnpt.vn")</f>
        <v>antt.lan@vnpt.vn</v>
      </c>
      <c r="F635" s="540" t="str">
        <f ca="1">IFERROR(__xludf.DUMMYFUNCTION("""COMPUTED_VALUE"""),"Lần 5")</f>
        <v>Lần 5</v>
      </c>
      <c r="G635" s="278"/>
      <c r="H635" s="35"/>
      <c r="I635" s="35"/>
      <c r="J635" s="541"/>
      <c r="K635" s="541"/>
      <c r="M635" s="539">
        <f ca="1">IFERROR(__xludf.DUMMYFUNCTION("""COMPUTED_VALUE"""),0)</f>
        <v>0</v>
      </c>
      <c r="N635" s="539">
        <f ca="1">IFERROR(__xludf.DUMMYFUNCTION("""COMPUTED_VALUE"""),0)</f>
        <v>0</v>
      </c>
      <c r="O635" s="539">
        <f ca="1">IFERROR(__xludf.DUMMYFUNCTION("""COMPUTED_VALUE"""),0)</f>
        <v>0</v>
      </c>
    </row>
    <row r="636" spans="1:15" ht="12.75">
      <c r="A636" s="539">
        <f ca="1"/>
        <v>630</v>
      </c>
      <c r="B636" s="35" t="str">
        <f ca="1">IFERROR(__xludf.DUMMYFUNCTION("""COMPUTED_VALUE"""),"Tổ Hạ tầng Kiến Tường")</f>
        <v>Tổ Hạ tầng Kiến Tường</v>
      </c>
      <c r="C636" s="35" t="str">
        <f ca="1">IFERROR(__xludf.DUMMYFUNCTION("""COMPUTED_VALUE"""),"Thiệu Thái An")</f>
        <v>Thiệu Thái An</v>
      </c>
      <c r="D636" s="35">
        <f ca="1">IFERROR(__xludf.DUMMYFUNCTION("""COMPUTED_VALUE"""),911685484)</f>
        <v>911685484</v>
      </c>
      <c r="E636" s="35" t="str">
        <f ca="1">IFERROR(__xludf.DUMMYFUNCTION("""COMPUTED_VALUE"""),"antt.lan@vnpt.vn")</f>
        <v>antt.lan@vnpt.vn</v>
      </c>
      <c r="F636" s="540" t="str">
        <f ca="1">IFERROR(__xludf.DUMMYFUNCTION("""COMPUTED_VALUE"""),"Lần 6")</f>
        <v>Lần 6</v>
      </c>
      <c r="G636" s="278"/>
      <c r="H636" s="35"/>
      <c r="I636" s="35"/>
      <c r="J636" s="541"/>
      <c r="K636" s="541"/>
      <c r="M636" s="539">
        <f ca="1">IFERROR(__xludf.DUMMYFUNCTION("""COMPUTED_VALUE"""),0)</f>
        <v>0</v>
      </c>
      <c r="N636" s="539">
        <f ca="1">IFERROR(__xludf.DUMMYFUNCTION("""COMPUTED_VALUE"""),0)</f>
        <v>0</v>
      </c>
      <c r="O636" s="539">
        <f ca="1">IFERROR(__xludf.DUMMYFUNCTION("""COMPUTED_VALUE"""),0)</f>
        <v>0</v>
      </c>
    </row>
    <row r="637" spans="1:15" ht="12.75">
      <c r="A637" s="539">
        <f ca="1"/>
        <v>631</v>
      </c>
      <c r="B637" s="35" t="str">
        <f ca="1">IFERROR(__xludf.DUMMYFUNCTION("""COMPUTED_VALUE"""),"Tổ Hạ tầng Kiến Tường")</f>
        <v>Tổ Hạ tầng Kiến Tường</v>
      </c>
      <c r="C637" s="35" t="str">
        <f ca="1">IFERROR(__xludf.DUMMYFUNCTION("""COMPUTED_VALUE"""),"Thiệu Thái An")</f>
        <v>Thiệu Thái An</v>
      </c>
      <c r="D637" s="35">
        <f ca="1">IFERROR(__xludf.DUMMYFUNCTION("""COMPUTED_VALUE"""),911685484)</f>
        <v>911685484</v>
      </c>
      <c r="E637" s="35" t="str">
        <f ca="1">IFERROR(__xludf.DUMMYFUNCTION("""COMPUTED_VALUE"""),"antt.lan@vnpt.vn")</f>
        <v>antt.lan@vnpt.vn</v>
      </c>
      <c r="F637" s="540" t="str">
        <f ca="1">IFERROR(__xludf.DUMMYFUNCTION("""COMPUTED_VALUE"""),"Lần 7")</f>
        <v>Lần 7</v>
      </c>
      <c r="G637" s="278"/>
      <c r="H637" s="35"/>
      <c r="I637" s="35"/>
      <c r="J637" s="541"/>
      <c r="K637" s="541"/>
      <c r="M637" s="539">
        <f ca="1">IFERROR(__xludf.DUMMYFUNCTION("""COMPUTED_VALUE"""),0)</f>
        <v>0</v>
      </c>
      <c r="N637" s="539">
        <f ca="1">IFERROR(__xludf.DUMMYFUNCTION("""COMPUTED_VALUE"""),0)</f>
        <v>0</v>
      </c>
      <c r="O637" s="539">
        <f ca="1">IFERROR(__xludf.DUMMYFUNCTION("""COMPUTED_VALUE"""),0)</f>
        <v>0</v>
      </c>
    </row>
    <row r="638" spans="1:15" ht="12.75">
      <c r="A638" s="539">
        <f ca="1"/>
        <v>632</v>
      </c>
      <c r="B638" s="35" t="str">
        <f ca="1">IFERROR(__xludf.DUMMYFUNCTION("""COMPUTED_VALUE"""),"Tổ Hạ tầng Kiến Tường")</f>
        <v>Tổ Hạ tầng Kiến Tường</v>
      </c>
      <c r="C638" s="35" t="str">
        <f ca="1">IFERROR(__xludf.DUMMYFUNCTION("""COMPUTED_VALUE"""),"Thiệu Thái An")</f>
        <v>Thiệu Thái An</v>
      </c>
      <c r="D638" s="35">
        <f ca="1">IFERROR(__xludf.DUMMYFUNCTION("""COMPUTED_VALUE"""),911685484)</f>
        <v>911685484</v>
      </c>
      <c r="E638" s="35" t="str">
        <f ca="1">IFERROR(__xludf.DUMMYFUNCTION("""COMPUTED_VALUE"""),"antt.lan@vnpt.vn")</f>
        <v>antt.lan@vnpt.vn</v>
      </c>
      <c r="F638" s="540" t="str">
        <f ca="1">IFERROR(__xludf.DUMMYFUNCTION("""COMPUTED_VALUE"""),"Lần 8")</f>
        <v>Lần 8</v>
      </c>
      <c r="G638" s="278"/>
      <c r="H638" s="35"/>
      <c r="I638" s="35"/>
      <c r="J638" s="541"/>
      <c r="K638" s="541"/>
      <c r="M638" s="539">
        <f ca="1">IFERROR(__xludf.DUMMYFUNCTION("""COMPUTED_VALUE"""),0)</f>
        <v>0</v>
      </c>
      <c r="N638" s="539">
        <f ca="1">IFERROR(__xludf.DUMMYFUNCTION("""COMPUTED_VALUE"""),0)</f>
        <v>0</v>
      </c>
      <c r="O638" s="539">
        <f ca="1">IFERROR(__xludf.DUMMYFUNCTION("""COMPUTED_VALUE"""),0)</f>
        <v>0</v>
      </c>
    </row>
    <row r="639" spans="1:15" ht="12.75">
      <c r="A639" s="539">
        <f ca="1"/>
        <v>633</v>
      </c>
      <c r="B639" s="35" t="str">
        <f ca="1">IFERROR(__xludf.DUMMYFUNCTION("""COMPUTED_VALUE"""),"Tổ Hạ tầng Kiến Tường")</f>
        <v>Tổ Hạ tầng Kiến Tường</v>
      </c>
      <c r="C639" s="35" t="str">
        <f ca="1">IFERROR(__xludf.DUMMYFUNCTION("""COMPUTED_VALUE"""),"Thiệu Thái An")</f>
        <v>Thiệu Thái An</v>
      </c>
      <c r="D639" s="35">
        <f ca="1">IFERROR(__xludf.DUMMYFUNCTION("""COMPUTED_VALUE"""),911685484)</f>
        <v>911685484</v>
      </c>
      <c r="E639" s="35" t="str">
        <f ca="1">IFERROR(__xludf.DUMMYFUNCTION("""COMPUTED_VALUE"""),"antt.lan@vnpt.vn")</f>
        <v>antt.lan@vnpt.vn</v>
      </c>
      <c r="F639" s="540" t="str">
        <f ca="1">IFERROR(__xludf.DUMMYFUNCTION("""COMPUTED_VALUE"""),"Lần 9")</f>
        <v>Lần 9</v>
      </c>
      <c r="G639" s="278"/>
      <c r="H639" s="35"/>
      <c r="I639" s="35"/>
      <c r="J639" s="541"/>
      <c r="K639" s="541"/>
      <c r="M639" s="539">
        <f ca="1">IFERROR(__xludf.DUMMYFUNCTION("""COMPUTED_VALUE"""),0)</f>
        <v>0</v>
      </c>
      <c r="N639" s="539">
        <f ca="1">IFERROR(__xludf.DUMMYFUNCTION("""COMPUTED_VALUE"""),0)</f>
        <v>0</v>
      </c>
      <c r="O639" s="539">
        <f ca="1">IFERROR(__xludf.DUMMYFUNCTION("""COMPUTED_VALUE"""),0)</f>
        <v>0</v>
      </c>
    </row>
    <row r="640" spans="1:15" ht="12.75">
      <c r="A640" s="539">
        <f ca="1"/>
        <v>634</v>
      </c>
      <c r="B640" s="35" t="str">
        <f ca="1">IFERROR(__xludf.DUMMYFUNCTION("""COMPUTED_VALUE"""),"Tổ Hạ tầng Kiến Tường")</f>
        <v>Tổ Hạ tầng Kiến Tường</v>
      </c>
      <c r="C640" s="35" t="str">
        <f ca="1">IFERROR(__xludf.DUMMYFUNCTION("""COMPUTED_VALUE"""),"Thiệu Thái An")</f>
        <v>Thiệu Thái An</v>
      </c>
      <c r="D640" s="35">
        <f ca="1">IFERROR(__xludf.DUMMYFUNCTION("""COMPUTED_VALUE"""),911685484)</f>
        <v>911685484</v>
      </c>
      <c r="E640" s="35" t="str">
        <f ca="1">IFERROR(__xludf.DUMMYFUNCTION("""COMPUTED_VALUE"""),"antt.lan@vnpt.vn")</f>
        <v>antt.lan@vnpt.vn</v>
      </c>
      <c r="F640" s="540" t="str">
        <f ca="1">IFERROR(__xludf.DUMMYFUNCTION("""COMPUTED_VALUE"""),"Lần 10")</f>
        <v>Lần 10</v>
      </c>
      <c r="G640" s="278"/>
      <c r="H640" s="35"/>
      <c r="I640" s="35"/>
      <c r="J640" s="541"/>
      <c r="K640" s="541"/>
      <c r="M640" s="539">
        <f ca="1">IFERROR(__xludf.DUMMYFUNCTION("""COMPUTED_VALUE"""),0)</f>
        <v>0</v>
      </c>
      <c r="N640" s="539">
        <f ca="1">IFERROR(__xludf.DUMMYFUNCTION("""COMPUTED_VALUE"""),0)</f>
        <v>0</v>
      </c>
      <c r="O640" s="539">
        <f ca="1">IFERROR(__xludf.DUMMYFUNCTION("""COMPUTED_VALUE"""),0)</f>
        <v>0</v>
      </c>
    </row>
    <row r="641" spans="1:15" ht="12.75">
      <c r="A641" s="539">
        <f ca="1"/>
        <v>635</v>
      </c>
      <c r="B641" s="35" t="str">
        <f ca="1">IFERROR(__xludf.DUMMYFUNCTION("""COMPUTED_VALUE"""),"Tổ Hạ tầng Kiến Tường")</f>
        <v>Tổ Hạ tầng Kiến Tường</v>
      </c>
      <c r="C641" s="35" t="str">
        <f ca="1">IFERROR(__xludf.DUMMYFUNCTION("""COMPUTED_VALUE"""),"Thiệu Thái An")</f>
        <v>Thiệu Thái An</v>
      </c>
      <c r="D641" s="35">
        <f ca="1">IFERROR(__xludf.DUMMYFUNCTION("""COMPUTED_VALUE"""),911685484)</f>
        <v>911685484</v>
      </c>
      <c r="E641" s="35" t="str">
        <f ca="1">IFERROR(__xludf.DUMMYFUNCTION("""COMPUTED_VALUE"""),"antt.lan@vnpt.vn")</f>
        <v>antt.lan@vnpt.vn</v>
      </c>
      <c r="F641" s="540" t="str">
        <f ca="1">IFERROR(__xludf.DUMMYFUNCTION("""COMPUTED_VALUE"""),"Lần 11")</f>
        <v>Lần 11</v>
      </c>
      <c r="G641" s="278"/>
      <c r="H641" s="35"/>
      <c r="I641" s="35"/>
      <c r="J641" s="541"/>
      <c r="K641" s="541"/>
      <c r="M641" s="539">
        <f ca="1">IFERROR(__xludf.DUMMYFUNCTION("""COMPUTED_VALUE"""),0)</f>
        <v>0</v>
      </c>
      <c r="N641" s="539">
        <f ca="1">IFERROR(__xludf.DUMMYFUNCTION("""COMPUTED_VALUE"""),0)</f>
        <v>0</v>
      </c>
      <c r="O641" s="539">
        <f ca="1">IFERROR(__xludf.DUMMYFUNCTION("""COMPUTED_VALUE"""),0)</f>
        <v>0</v>
      </c>
    </row>
    <row r="642" spans="1:15" ht="12.75">
      <c r="A642" s="539">
        <f ca="1"/>
        <v>636</v>
      </c>
      <c r="B642" s="35" t="str">
        <f ca="1">IFERROR(__xludf.DUMMYFUNCTION("""COMPUTED_VALUE"""),"Tổ Hạ tầng Kiến Tường")</f>
        <v>Tổ Hạ tầng Kiến Tường</v>
      </c>
      <c r="C642" s="35" t="str">
        <f ca="1">IFERROR(__xludf.DUMMYFUNCTION("""COMPUTED_VALUE"""),"Thiệu Thái An")</f>
        <v>Thiệu Thái An</v>
      </c>
      <c r="D642" s="35">
        <f ca="1">IFERROR(__xludf.DUMMYFUNCTION("""COMPUTED_VALUE"""),911685484)</f>
        <v>911685484</v>
      </c>
      <c r="E642" s="35" t="str">
        <f ca="1">IFERROR(__xludf.DUMMYFUNCTION("""COMPUTED_VALUE"""),"antt.lan@vnpt.vn")</f>
        <v>antt.lan@vnpt.vn</v>
      </c>
      <c r="F642" s="540" t="str">
        <f ca="1">IFERROR(__xludf.DUMMYFUNCTION("""COMPUTED_VALUE"""),"Lần 12")</f>
        <v>Lần 12</v>
      </c>
      <c r="G642" s="278"/>
      <c r="H642" s="35"/>
      <c r="I642" s="35"/>
      <c r="J642" s="541"/>
      <c r="K642" s="541"/>
      <c r="M642" s="539">
        <f ca="1">IFERROR(__xludf.DUMMYFUNCTION("""COMPUTED_VALUE"""),0)</f>
        <v>0</v>
      </c>
      <c r="N642" s="539">
        <f ca="1">IFERROR(__xludf.DUMMYFUNCTION("""COMPUTED_VALUE"""),0)</f>
        <v>0</v>
      </c>
      <c r="O642" s="539">
        <f ca="1">IFERROR(__xludf.DUMMYFUNCTION("""COMPUTED_VALUE"""),0)</f>
        <v>0</v>
      </c>
    </row>
    <row r="643" spans="1:15" ht="12.75">
      <c r="A643" s="539">
        <f ca="1"/>
        <v>637</v>
      </c>
      <c r="B643" s="35" t="str">
        <f ca="1">IFERROR(__xludf.DUMMYFUNCTION("""COMPUTED_VALUE"""),"Tổ Hạ tầng Kiến Tường")</f>
        <v>Tổ Hạ tầng Kiến Tường</v>
      </c>
      <c r="C643" s="35" t="str">
        <f ca="1">IFERROR(__xludf.DUMMYFUNCTION("""COMPUTED_VALUE"""),"Thiệu Thái An")</f>
        <v>Thiệu Thái An</v>
      </c>
      <c r="D643" s="35">
        <f ca="1">IFERROR(__xludf.DUMMYFUNCTION("""COMPUTED_VALUE"""),911685484)</f>
        <v>911685484</v>
      </c>
      <c r="E643" s="35" t="str">
        <f ca="1">IFERROR(__xludf.DUMMYFUNCTION("""COMPUTED_VALUE"""),"antt.lan@vnpt.vn")</f>
        <v>antt.lan@vnpt.vn</v>
      </c>
      <c r="F643" s="540" t="str">
        <f ca="1">IFERROR(__xludf.DUMMYFUNCTION("""COMPUTED_VALUE"""),"Lần 13")</f>
        <v>Lần 13</v>
      </c>
      <c r="G643" s="278"/>
      <c r="H643" s="35"/>
      <c r="I643" s="35"/>
      <c r="J643" s="541"/>
      <c r="K643" s="541"/>
      <c r="M643" s="539">
        <f ca="1">IFERROR(__xludf.DUMMYFUNCTION("""COMPUTED_VALUE"""),0)</f>
        <v>0</v>
      </c>
      <c r="N643" s="539">
        <f ca="1">IFERROR(__xludf.DUMMYFUNCTION("""COMPUTED_VALUE"""),0)</f>
        <v>0</v>
      </c>
      <c r="O643" s="539">
        <f ca="1">IFERROR(__xludf.DUMMYFUNCTION("""COMPUTED_VALUE"""),0)</f>
        <v>0</v>
      </c>
    </row>
    <row r="644" spans="1:15" ht="12.75">
      <c r="A644" s="539">
        <f ca="1"/>
        <v>638</v>
      </c>
      <c r="B644" s="35" t="str">
        <f ca="1">IFERROR(__xludf.DUMMYFUNCTION("""COMPUTED_VALUE"""),"Tổ Hạ tầng Kiến Tường")</f>
        <v>Tổ Hạ tầng Kiến Tường</v>
      </c>
      <c r="C644" s="35" t="str">
        <f ca="1">IFERROR(__xludf.DUMMYFUNCTION("""COMPUTED_VALUE"""),"Thiệu Thái An")</f>
        <v>Thiệu Thái An</v>
      </c>
      <c r="D644" s="35">
        <f ca="1">IFERROR(__xludf.DUMMYFUNCTION("""COMPUTED_VALUE"""),911685484)</f>
        <v>911685484</v>
      </c>
      <c r="E644" s="35" t="str">
        <f ca="1">IFERROR(__xludf.DUMMYFUNCTION("""COMPUTED_VALUE"""),"antt.lan@vnpt.vn")</f>
        <v>antt.lan@vnpt.vn</v>
      </c>
      <c r="F644" s="540" t="str">
        <f ca="1">IFERROR(__xludf.DUMMYFUNCTION("""COMPUTED_VALUE"""),"Lần 14")</f>
        <v>Lần 14</v>
      </c>
      <c r="G644" s="278"/>
      <c r="H644" s="35"/>
      <c r="I644" s="35"/>
      <c r="J644" s="541"/>
      <c r="K644" s="541"/>
      <c r="M644" s="539">
        <f ca="1">IFERROR(__xludf.DUMMYFUNCTION("""COMPUTED_VALUE"""),0)</f>
        <v>0</v>
      </c>
      <c r="N644" s="539">
        <f ca="1">IFERROR(__xludf.DUMMYFUNCTION("""COMPUTED_VALUE"""),0)</f>
        <v>0</v>
      </c>
      <c r="O644" s="539">
        <f ca="1">IFERROR(__xludf.DUMMYFUNCTION("""COMPUTED_VALUE"""),0)</f>
        <v>0</v>
      </c>
    </row>
    <row r="645" spans="1:15" ht="12.75">
      <c r="A645" s="539">
        <f ca="1"/>
        <v>639</v>
      </c>
      <c r="B645" s="35" t="str">
        <f ca="1">IFERROR(__xludf.DUMMYFUNCTION("""COMPUTED_VALUE"""),"Tổ Hạ tầng Kiến Tường")</f>
        <v>Tổ Hạ tầng Kiến Tường</v>
      </c>
      <c r="C645" s="35" t="str">
        <f ca="1">IFERROR(__xludf.DUMMYFUNCTION("""COMPUTED_VALUE"""),"Thiệu Thái An")</f>
        <v>Thiệu Thái An</v>
      </c>
      <c r="D645" s="35">
        <f ca="1">IFERROR(__xludf.DUMMYFUNCTION("""COMPUTED_VALUE"""),911685484)</f>
        <v>911685484</v>
      </c>
      <c r="E645" s="35" t="str">
        <f ca="1">IFERROR(__xludf.DUMMYFUNCTION("""COMPUTED_VALUE"""),"antt.lan@vnpt.vn")</f>
        <v>antt.lan@vnpt.vn</v>
      </c>
      <c r="F645" s="540" t="str">
        <f ca="1">IFERROR(__xludf.DUMMYFUNCTION("""COMPUTED_VALUE"""),"Lần 15")</f>
        <v>Lần 15</v>
      </c>
      <c r="G645" s="278"/>
      <c r="H645" s="35"/>
      <c r="I645" s="35"/>
      <c r="J645" s="541"/>
      <c r="K645" s="541"/>
      <c r="M645" s="539">
        <f ca="1">IFERROR(__xludf.DUMMYFUNCTION("""COMPUTED_VALUE"""),0)</f>
        <v>0</v>
      </c>
      <c r="N645" s="539">
        <f ca="1">IFERROR(__xludf.DUMMYFUNCTION("""COMPUTED_VALUE"""),0)</f>
        <v>0</v>
      </c>
      <c r="O645" s="539">
        <f ca="1">IFERROR(__xludf.DUMMYFUNCTION("""COMPUTED_VALUE"""),0)</f>
        <v>0</v>
      </c>
    </row>
    <row r="646" spans="1:15" ht="12.75">
      <c r="A646" s="539">
        <f ca="1"/>
        <v>640</v>
      </c>
      <c r="B646" s="35" t="str">
        <f ca="1">IFERROR(__xludf.DUMMYFUNCTION("""COMPUTED_VALUE"""),"Tổ Hạ tầng Kiến Tường")</f>
        <v>Tổ Hạ tầng Kiến Tường</v>
      </c>
      <c r="C646" s="35" t="str">
        <f ca="1">IFERROR(__xludf.DUMMYFUNCTION("""COMPUTED_VALUE"""),"Thiệu Thái An")</f>
        <v>Thiệu Thái An</v>
      </c>
      <c r="D646" s="35">
        <f ca="1">IFERROR(__xludf.DUMMYFUNCTION("""COMPUTED_VALUE"""),911685484)</f>
        <v>911685484</v>
      </c>
      <c r="E646" s="35" t="str">
        <f ca="1">IFERROR(__xludf.DUMMYFUNCTION("""COMPUTED_VALUE"""),"antt.lan@vnpt.vn")</f>
        <v>antt.lan@vnpt.vn</v>
      </c>
      <c r="F646" s="540" t="str">
        <f ca="1">IFERROR(__xludf.DUMMYFUNCTION("""COMPUTED_VALUE"""),"Lần 16")</f>
        <v>Lần 16</v>
      </c>
      <c r="G646" s="278"/>
      <c r="H646" s="35"/>
      <c r="I646" s="35"/>
      <c r="J646" s="541"/>
      <c r="K646" s="541"/>
      <c r="M646" s="539">
        <f ca="1">IFERROR(__xludf.DUMMYFUNCTION("""COMPUTED_VALUE"""),0)</f>
        <v>0</v>
      </c>
      <c r="N646" s="539">
        <f ca="1">IFERROR(__xludf.DUMMYFUNCTION("""COMPUTED_VALUE"""),0)</f>
        <v>0</v>
      </c>
      <c r="O646" s="539">
        <f ca="1">IFERROR(__xludf.DUMMYFUNCTION("""COMPUTED_VALUE"""),0)</f>
        <v>0</v>
      </c>
    </row>
    <row r="647" spans="1:15" ht="12.75">
      <c r="A647" s="539">
        <f ca="1"/>
        <v>641</v>
      </c>
      <c r="B647" s="35" t="str">
        <f ca="1">IFERROR(__xludf.DUMMYFUNCTION("""COMPUTED_VALUE"""),"Tổ Hạ tầng Kiến Tường")</f>
        <v>Tổ Hạ tầng Kiến Tường</v>
      </c>
      <c r="C647" s="35" t="str">
        <f ca="1">IFERROR(__xludf.DUMMYFUNCTION("""COMPUTED_VALUE"""),"Nguyễn Vĩnh Thiên")</f>
        <v>Nguyễn Vĩnh Thiên</v>
      </c>
      <c r="D647" s="35">
        <f ca="1">IFERROR(__xludf.DUMMYFUNCTION("""COMPUTED_VALUE"""),839195567)</f>
        <v>839195567</v>
      </c>
      <c r="E647" s="35" t="str">
        <f ca="1">IFERROR(__xludf.DUMMYFUNCTION("""COMPUTED_VALUE"""),"thiennv.lan@vnpt.vn")</f>
        <v>thiennv.lan@vnpt.vn</v>
      </c>
      <c r="F647" s="540" t="str">
        <f ca="1">IFERROR(__xludf.DUMMYFUNCTION("""COMPUTED_VALUE"""),"Lần 1")</f>
        <v>Lần 1</v>
      </c>
      <c r="G647" s="278"/>
      <c r="H647" s="35"/>
      <c r="I647" s="35"/>
      <c r="J647" s="541"/>
      <c r="K647" s="541"/>
      <c r="M647" s="539">
        <f ca="1">IFERROR(__xludf.DUMMYFUNCTION("""COMPUTED_VALUE"""),0)</f>
        <v>0</v>
      </c>
      <c r="N647" s="539">
        <f ca="1">IFERROR(__xludf.DUMMYFUNCTION("""COMPUTED_VALUE"""),0)</f>
        <v>0</v>
      </c>
      <c r="O647" s="539">
        <f ca="1">IFERROR(__xludf.DUMMYFUNCTION("""COMPUTED_VALUE"""),0)</f>
        <v>0</v>
      </c>
    </row>
    <row r="648" spans="1:15" ht="12.75">
      <c r="A648" s="539">
        <f ca="1"/>
        <v>642</v>
      </c>
      <c r="B648" s="35" t="str">
        <f ca="1">IFERROR(__xludf.DUMMYFUNCTION("""COMPUTED_VALUE"""),"Tổ Hạ tầng Kiến Tường")</f>
        <v>Tổ Hạ tầng Kiến Tường</v>
      </c>
      <c r="C648" s="35" t="str">
        <f ca="1">IFERROR(__xludf.DUMMYFUNCTION("""COMPUTED_VALUE"""),"Nguyễn Vĩnh Thiên")</f>
        <v>Nguyễn Vĩnh Thiên</v>
      </c>
      <c r="D648" s="35">
        <f ca="1">IFERROR(__xludf.DUMMYFUNCTION("""COMPUTED_VALUE"""),839195567)</f>
        <v>839195567</v>
      </c>
      <c r="E648" s="35" t="str">
        <f ca="1">IFERROR(__xludf.DUMMYFUNCTION("""COMPUTED_VALUE"""),"thiennv.lan@vnpt.vn")</f>
        <v>thiennv.lan@vnpt.vn</v>
      </c>
      <c r="F648" s="540" t="str">
        <f ca="1">IFERROR(__xludf.DUMMYFUNCTION("""COMPUTED_VALUE"""),"Lần 2")</f>
        <v>Lần 2</v>
      </c>
      <c r="G648" s="278"/>
      <c r="H648" s="35"/>
      <c r="I648" s="35"/>
      <c r="J648" s="541"/>
      <c r="K648" s="541"/>
      <c r="M648" s="539">
        <f ca="1">IFERROR(__xludf.DUMMYFUNCTION("""COMPUTED_VALUE"""),0)</f>
        <v>0</v>
      </c>
      <c r="N648" s="539">
        <f ca="1">IFERROR(__xludf.DUMMYFUNCTION("""COMPUTED_VALUE"""),0)</f>
        <v>0</v>
      </c>
      <c r="O648" s="539">
        <f ca="1">IFERROR(__xludf.DUMMYFUNCTION("""COMPUTED_VALUE"""),0)</f>
        <v>0</v>
      </c>
    </row>
    <row r="649" spans="1:15" ht="12.75">
      <c r="A649" s="539">
        <f ca="1"/>
        <v>643</v>
      </c>
      <c r="B649" s="35" t="str">
        <f ca="1">IFERROR(__xludf.DUMMYFUNCTION("""COMPUTED_VALUE"""),"Tổ Hạ tầng Kiến Tường")</f>
        <v>Tổ Hạ tầng Kiến Tường</v>
      </c>
      <c r="C649" s="35" t="str">
        <f ca="1">IFERROR(__xludf.DUMMYFUNCTION("""COMPUTED_VALUE"""),"Nguyễn Vĩnh Thiên")</f>
        <v>Nguyễn Vĩnh Thiên</v>
      </c>
      <c r="D649" s="35">
        <f ca="1">IFERROR(__xludf.DUMMYFUNCTION("""COMPUTED_VALUE"""),839195567)</f>
        <v>839195567</v>
      </c>
      <c r="E649" s="35" t="str">
        <f ca="1">IFERROR(__xludf.DUMMYFUNCTION("""COMPUTED_VALUE"""),"thiennv.lan@vnpt.vn")</f>
        <v>thiennv.lan@vnpt.vn</v>
      </c>
      <c r="F649" s="540" t="str">
        <f ca="1">IFERROR(__xludf.DUMMYFUNCTION("""COMPUTED_VALUE"""),"Lần 3")</f>
        <v>Lần 3</v>
      </c>
      <c r="G649" s="278"/>
      <c r="H649" s="35"/>
      <c r="I649" s="35"/>
      <c r="J649" s="541"/>
      <c r="K649" s="541"/>
      <c r="M649" s="539">
        <f ca="1">IFERROR(__xludf.DUMMYFUNCTION("""COMPUTED_VALUE"""),0)</f>
        <v>0</v>
      </c>
      <c r="N649" s="539">
        <f ca="1">IFERROR(__xludf.DUMMYFUNCTION("""COMPUTED_VALUE"""),0)</f>
        <v>0</v>
      </c>
      <c r="O649" s="539">
        <f ca="1">IFERROR(__xludf.DUMMYFUNCTION("""COMPUTED_VALUE"""),0)</f>
        <v>0</v>
      </c>
    </row>
    <row r="650" spans="1:15" ht="12.75">
      <c r="A650" s="539">
        <f ca="1"/>
        <v>644</v>
      </c>
      <c r="B650" s="35" t="str">
        <f ca="1">IFERROR(__xludf.DUMMYFUNCTION("""COMPUTED_VALUE"""),"Tổ Hạ tầng Kiến Tường")</f>
        <v>Tổ Hạ tầng Kiến Tường</v>
      </c>
      <c r="C650" s="35" t="str">
        <f ca="1">IFERROR(__xludf.DUMMYFUNCTION("""COMPUTED_VALUE"""),"Nguyễn Vĩnh Thiên")</f>
        <v>Nguyễn Vĩnh Thiên</v>
      </c>
      <c r="D650" s="35">
        <f ca="1">IFERROR(__xludf.DUMMYFUNCTION("""COMPUTED_VALUE"""),839195567)</f>
        <v>839195567</v>
      </c>
      <c r="E650" s="35" t="str">
        <f ca="1">IFERROR(__xludf.DUMMYFUNCTION("""COMPUTED_VALUE"""),"thiennv.lan@vnpt.vn")</f>
        <v>thiennv.lan@vnpt.vn</v>
      </c>
      <c r="F650" s="540" t="str">
        <f ca="1">IFERROR(__xludf.DUMMYFUNCTION("""COMPUTED_VALUE"""),"Lần 4")</f>
        <v>Lần 4</v>
      </c>
      <c r="G650" s="278"/>
      <c r="H650" s="35"/>
      <c r="I650" s="35"/>
      <c r="J650" s="541"/>
      <c r="K650" s="541"/>
      <c r="M650" s="539">
        <f ca="1">IFERROR(__xludf.DUMMYFUNCTION("""COMPUTED_VALUE"""),0)</f>
        <v>0</v>
      </c>
      <c r="N650" s="539">
        <f ca="1">IFERROR(__xludf.DUMMYFUNCTION("""COMPUTED_VALUE"""),0)</f>
        <v>0</v>
      </c>
      <c r="O650" s="539">
        <f ca="1">IFERROR(__xludf.DUMMYFUNCTION("""COMPUTED_VALUE"""),0)</f>
        <v>0</v>
      </c>
    </row>
    <row r="651" spans="1:15" ht="12.75">
      <c r="A651" s="539">
        <f ca="1"/>
        <v>645</v>
      </c>
      <c r="B651" s="35" t="str">
        <f ca="1">IFERROR(__xludf.DUMMYFUNCTION("""COMPUTED_VALUE"""),"Tổ Hạ tầng Kiến Tường")</f>
        <v>Tổ Hạ tầng Kiến Tường</v>
      </c>
      <c r="C651" s="35" t="str">
        <f ca="1">IFERROR(__xludf.DUMMYFUNCTION("""COMPUTED_VALUE"""),"Nguyễn Vĩnh Thiên")</f>
        <v>Nguyễn Vĩnh Thiên</v>
      </c>
      <c r="D651" s="35">
        <f ca="1">IFERROR(__xludf.DUMMYFUNCTION("""COMPUTED_VALUE"""),839195567)</f>
        <v>839195567</v>
      </c>
      <c r="E651" s="35" t="str">
        <f ca="1">IFERROR(__xludf.DUMMYFUNCTION("""COMPUTED_VALUE"""),"thiennv.lan@vnpt.vn")</f>
        <v>thiennv.lan@vnpt.vn</v>
      </c>
      <c r="F651" s="540" t="str">
        <f ca="1">IFERROR(__xludf.DUMMYFUNCTION("""COMPUTED_VALUE"""),"Lần 5")</f>
        <v>Lần 5</v>
      </c>
      <c r="G651" s="278"/>
      <c r="H651" s="35"/>
      <c r="I651" s="35"/>
      <c r="J651" s="541"/>
      <c r="K651" s="541"/>
      <c r="M651" s="539">
        <f ca="1">IFERROR(__xludf.DUMMYFUNCTION("""COMPUTED_VALUE"""),0)</f>
        <v>0</v>
      </c>
      <c r="N651" s="539">
        <f ca="1">IFERROR(__xludf.DUMMYFUNCTION("""COMPUTED_VALUE"""),0)</f>
        <v>0</v>
      </c>
      <c r="O651" s="539">
        <f ca="1">IFERROR(__xludf.DUMMYFUNCTION("""COMPUTED_VALUE"""),0)</f>
        <v>0</v>
      </c>
    </row>
    <row r="652" spans="1:15" ht="12.75">
      <c r="A652" s="539">
        <f ca="1"/>
        <v>646</v>
      </c>
      <c r="B652" s="35" t="str">
        <f ca="1">IFERROR(__xludf.DUMMYFUNCTION("""COMPUTED_VALUE"""),"Tổ Hạ tầng Kiến Tường")</f>
        <v>Tổ Hạ tầng Kiến Tường</v>
      </c>
      <c r="C652" s="35" t="str">
        <f ca="1">IFERROR(__xludf.DUMMYFUNCTION("""COMPUTED_VALUE"""),"Nguyễn Vĩnh Thiên")</f>
        <v>Nguyễn Vĩnh Thiên</v>
      </c>
      <c r="D652" s="35">
        <f ca="1">IFERROR(__xludf.DUMMYFUNCTION("""COMPUTED_VALUE"""),839195567)</f>
        <v>839195567</v>
      </c>
      <c r="E652" s="35" t="str">
        <f ca="1">IFERROR(__xludf.DUMMYFUNCTION("""COMPUTED_VALUE"""),"thiennv.lan@vnpt.vn")</f>
        <v>thiennv.lan@vnpt.vn</v>
      </c>
      <c r="F652" s="540" t="str">
        <f ca="1">IFERROR(__xludf.DUMMYFUNCTION("""COMPUTED_VALUE"""),"Lần 6")</f>
        <v>Lần 6</v>
      </c>
      <c r="G652" s="278"/>
      <c r="H652" s="35"/>
      <c r="I652" s="35"/>
      <c r="J652" s="541"/>
      <c r="K652" s="541"/>
      <c r="M652" s="539">
        <f ca="1">IFERROR(__xludf.DUMMYFUNCTION("""COMPUTED_VALUE"""),0)</f>
        <v>0</v>
      </c>
      <c r="N652" s="539">
        <f ca="1">IFERROR(__xludf.DUMMYFUNCTION("""COMPUTED_VALUE"""),0)</f>
        <v>0</v>
      </c>
      <c r="O652" s="539">
        <f ca="1">IFERROR(__xludf.DUMMYFUNCTION("""COMPUTED_VALUE"""),0)</f>
        <v>0</v>
      </c>
    </row>
    <row r="653" spans="1:15" ht="12.75">
      <c r="A653" s="539">
        <f ca="1"/>
        <v>647</v>
      </c>
      <c r="B653" s="35" t="str">
        <f ca="1">IFERROR(__xludf.DUMMYFUNCTION("""COMPUTED_VALUE"""),"Tổ Hạ tầng Kiến Tường")</f>
        <v>Tổ Hạ tầng Kiến Tường</v>
      </c>
      <c r="C653" s="35" t="str">
        <f ca="1">IFERROR(__xludf.DUMMYFUNCTION("""COMPUTED_VALUE"""),"Nguyễn Vĩnh Thiên")</f>
        <v>Nguyễn Vĩnh Thiên</v>
      </c>
      <c r="D653" s="35">
        <f ca="1">IFERROR(__xludf.DUMMYFUNCTION("""COMPUTED_VALUE"""),839195567)</f>
        <v>839195567</v>
      </c>
      <c r="E653" s="35" t="str">
        <f ca="1">IFERROR(__xludf.DUMMYFUNCTION("""COMPUTED_VALUE"""),"thiennv.lan@vnpt.vn")</f>
        <v>thiennv.lan@vnpt.vn</v>
      </c>
      <c r="F653" s="540" t="str">
        <f ca="1">IFERROR(__xludf.DUMMYFUNCTION("""COMPUTED_VALUE"""),"Lần 7")</f>
        <v>Lần 7</v>
      </c>
      <c r="G653" s="278"/>
      <c r="H653" s="35"/>
      <c r="I653" s="35"/>
      <c r="J653" s="541"/>
      <c r="K653" s="541"/>
      <c r="M653" s="539">
        <f ca="1">IFERROR(__xludf.DUMMYFUNCTION("""COMPUTED_VALUE"""),0)</f>
        <v>0</v>
      </c>
      <c r="N653" s="539">
        <f ca="1">IFERROR(__xludf.DUMMYFUNCTION("""COMPUTED_VALUE"""),0)</f>
        <v>0</v>
      </c>
      <c r="O653" s="539">
        <f ca="1">IFERROR(__xludf.DUMMYFUNCTION("""COMPUTED_VALUE"""),0)</f>
        <v>0</v>
      </c>
    </row>
    <row r="654" spans="1:15" ht="12.75">
      <c r="A654" s="539">
        <f ca="1"/>
        <v>648</v>
      </c>
      <c r="B654" s="35" t="str">
        <f ca="1">IFERROR(__xludf.DUMMYFUNCTION("""COMPUTED_VALUE"""),"Tổ Hạ tầng Kiến Tường")</f>
        <v>Tổ Hạ tầng Kiến Tường</v>
      </c>
      <c r="C654" s="35" t="str">
        <f ca="1">IFERROR(__xludf.DUMMYFUNCTION("""COMPUTED_VALUE"""),"Nguyễn Vĩnh Thiên")</f>
        <v>Nguyễn Vĩnh Thiên</v>
      </c>
      <c r="D654" s="35">
        <f ca="1">IFERROR(__xludf.DUMMYFUNCTION("""COMPUTED_VALUE"""),839195567)</f>
        <v>839195567</v>
      </c>
      <c r="E654" s="35" t="str">
        <f ca="1">IFERROR(__xludf.DUMMYFUNCTION("""COMPUTED_VALUE"""),"thiennv.lan@vnpt.vn")</f>
        <v>thiennv.lan@vnpt.vn</v>
      </c>
      <c r="F654" s="540" t="str">
        <f ca="1">IFERROR(__xludf.DUMMYFUNCTION("""COMPUTED_VALUE"""),"Lần 8")</f>
        <v>Lần 8</v>
      </c>
      <c r="G654" s="278"/>
      <c r="H654" s="35"/>
      <c r="I654" s="35"/>
      <c r="J654" s="541"/>
      <c r="K654" s="541"/>
      <c r="M654" s="539">
        <f ca="1">IFERROR(__xludf.DUMMYFUNCTION("""COMPUTED_VALUE"""),0)</f>
        <v>0</v>
      </c>
      <c r="N654" s="539">
        <f ca="1">IFERROR(__xludf.DUMMYFUNCTION("""COMPUTED_VALUE"""),0)</f>
        <v>0</v>
      </c>
      <c r="O654" s="539">
        <f ca="1">IFERROR(__xludf.DUMMYFUNCTION("""COMPUTED_VALUE"""),0)</f>
        <v>0</v>
      </c>
    </row>
    <row r="655" spans="1:15" ht="12.75">
      <c r="A655" s="539">
        <f ca="1"/>
        <v>649</v>
      </c>
      <c r="B655" s="35" t="str">
        <f ca="1">IFERROR(__xludf.DUMMYFUNCTION("""COMPUTED_VALUE"""),"Tổ Hạ tầng Kiến Tường")</f>
        <v>Tổ Hạ tầng Kiến Tường</v>
      </c>
      <c r="C655" s="35" t="str">
        <f ca="1">IFERROR(__xludf.DUMMYFUNCTION("""COMPUTED_VALUE"""),"Nguyễn Vĩnh Thiên")</f>
        <v>Nguyễn Vĩnh Thiên</v>
      </c>
      <c r="D655" s="35">
        <f ca="1">IFERROR(__xludf.DUMMYFUNCTION("""COMPUTED_VALUE"""),839195567)</f>
        <v>839195567</v>
      </c>
      <c r="E655" s="35" t="str">
        <f ca="1">IFERROR(__xludf.DUMMYFUNCTION("""COMPUTED_VALUE"""),"thiennv.lan@vnpt.vn")</f>
        <v>thiennv.lan@vnpt.vn</v>
      </c>
      <c r="F655" s="540" t="str">
        <f ca="1">IFERROR(__xludf.DUMMYFUNCTION("""COMPUTED_VALUE"""),"Lần 9")</f>
        <v>Lần 9</v>
      </c>
      <c r="G655" s="278"/>
      <c r="H655" s="35"/>
      <c r="I655" s="35"/>
      <c r="J655" s="541"/>
      <c r="K655" s="541"/>
      <c r="M655" s="539">
        <f ca="1">IFERROR(__xludf.DUMMYFUNCTION("""COMPUTED_VALUE"""),0)</f>
        <v>0</v>
      </c>
      <c r="N655" s="539">
        <f ca="1">IFERROR(__xludf.DUMMYFUNCTION("""COMPUTED_VALUE"""),0)</f>
        <v>0</v>
      </c>
      <c r="O655" s="539">
        <f ca="1">IFERROR(__xludf.DUMMYFUNCTION("""COMPUTED_VALUE"""),0)</f>
        <v>0</v>
      </c>
    </row>
    <row r="656" spans="1:15" ht="12.75">
      <c r="A656" s="539">
        <f ca="1"/>
        <v>650</v>
      </c>
      <c r="B656" s="35" t="str">
        <f ca="1">IFERROR(__xludf.DUMMYFUNCTION("""COMPUTED_VALUE"""),"Tổ Hạ tầng Kiến Tường")</f>
        <v>Tổ Hạ tầng Kiến Tường</v>
      </c>
      <c r="C656" s="35" t="str">
        <f ca="1">IFERROR(__xludf.DUMMYFUNCTION("""COMPUTED_VALUE"""),"Nguyễn Vĩnh Thiên")</f>
        <v>Nguyễn Vĩnh Thiên</v>
      </c>
      <c r="D656" s="35">
        <f ca="1">IFERROR(__xludf.DUMMYFUNCTION("""COMPUTED_VALUE"""),839195567)</f>
        <v>839195567</v>
      </c>
      <c r="E656" s="35" t="str">
        <f ca="1">IFERROR(__xludf.DUMMYFUNCTION("""COMPUTED_VALUE"""),"thiennv.lan@vnpt.vn")</f>
        <v>thiennv.lan@vnpt.vn</v>
      </c>
      <c r="F656" s="540" t="str">
        <f ca="1">IFERROR(__xludf.DUMMYFUNCTION("""COMPUTED_VALUE"""),"Lần 10")</f>
        <v>Lần 10</v>
      </c>
      <c r="G656" s="278"/>
      <c r="H656" s="35"/>
      <c r="I656" s="35"/>
      <c r="J656" s="541"/>
      <c r="K656" s="541"/>
      <c r="M656" s="539">
        <f ca="1">IFERROR(__xludf.DUMMYFUNCTION("""COMPUTED_VALUE"""),0)</f>
        <v>0</v>
      </c>
      <c r="N656" s="539">
        <f ca="1">IFERROR(__xludf.DUMMYFUNCTION("""COMPUTED_VALUE"""),0)</f>
        <v>0</v>
      </c>
      <c r="O656" s="539">
        <f ca="1">IFERROR(__xludf.DUMMYFUNCTION("""COMPUTED_VALUE"""),0)</f>
        <v>0</v>
      </c>
    </row>
    <row r="657" spans="1:15" ht="12.75">
      <c r="A657" s="539">
        <f ca="1"/>
        <v>651</v>
      </c>
      <c r="B657" s="35" t="str">
        <f ca="1">IFERROR(__xludf.DUMMYFUNCTION("""COMPUTED_VALUE"""),"Tổ Hạ tầng Kiến Tường")</f>
        <v>Tổ Hạ tầng Kiến Tường</v>
      </c>
      <c r="C657" s="35" t="str">
        <f ca="1">IFERROR(__xludf.DUMMYFUNCTION("""COMPUTED_VALUE"""),"Nguyễn Vĩnh Thiên")</f>
        <v>Nguyễn Vĩnh Thiên</v>
      </c>
      <c r="D657" s="35">
        <f ca="1">IFERROR(__xludf.DUMMYFUNCTION("""COMPUTED_VALUE"""),839195567)</f>
        <v>839195567</v>
      </c>
      <c r="E657" s="35" t="str">
        <f ca="1">IFERROR(__xludf.DUMMYFUNCTION("""COMPUTED_VALUE"""),"thiennv.lan@vnpt.vn")</f>
        <v>thiennv.lan@vnpt.vn</v>
      </c>
      <c r="F657" s="540" t="str">
        <f ca="1">IFERROR(__xludf.DUMMYFUNCTION("""COMPUTED_VALUE"""),"Lần 11")</f>
        <v>Lần 11</v>
      </c>
      <c r="G657" s="278"/>
      <c r="H657" s="35"/>
      <c r="I657" s="35"/>
      <c r="J657" s="541"/>
      <c r="K657" s="541"/>
      <c r="M657" s="539">
        <f ca="1">IFERROR(__xludf.DUMMYFUNCTION("""COMPUTED_VALUE"""),0)</f>
        <v>0</v>
      </c>
      <c r="N657" s="539">
        <f ca="1">IFERROR(__xludf.DUMMYFUNCTION("""COMPUTED_VALUE"""),0)</f>
        <v>0</v>
      </c>
      <c r="O657" s="539">
        <f ca="1">IFERROR(__xludf.DUMMYFUNCTION("""COMPUTED_VALUE"""),0)</f>
        <v>0</v>
      </c>
    </row>
    <row r="658" spans="1:15" ht="12.75">
      <c r="A658" s="539">
        <f ca="1"/>
        <v>652</v>
      </c>
      <c r="B658" s="35" t="str">
        <f ca="1">IFERROR(__xludf.DUMMYFUNCTION("""COMPUTED_VALUE"""),"Tổ Hạ tầng Kiến Tường")</f>
        <v>Tổ Hạ tầng Kiến Tường</v>
      </c>
      <c r="C658" s="35" t="str">
        <f ca="1">IFERROR(__xludf.DUMMYFUNCTION("""COMPUTED_VALUE"""),"Nguyễn Vĩnh Thiên")</f>
        <v>Nguyễn Vĩnh Thiên</v>
      </c>
      <c r="D658" s="35">
        <f ca="1">IFERROR(__xludf.DUMMYFUNCTION("""COMPUTED_VALUE"""),839195567)</f>
        <v>839195567</v>
      </c>
      <c r="E658" s="35" t="str">
        <f ca="1">IFERROR(__xludf.DUMMYFUNCTION("""COMPUTED_VALUE"""),"thiennv.lan@vnpt.vn")</f>
        <v>thiennv.lan@vnpt.vn</v>
      </c>
      <c r="F658" s="540" t="str">
        <f ca="1">IFERROR(__xludf.DUMMYFUNCTION("""COMPUTED_VALUE"""),"Lần 12")</f>
        <v>Lần 12</v>
      </c>
      <c r="G658" s="278"/>
      <c r="H658" s="35"/>
      <c r="I658" s="35"/>
      <c r="J658" s="541"/>
      <c r="K658" s="541"/>
      <c r="M658" s="539">
        <f ca="1">IFERROR(__xludf.DUMMYFUNCTION("""COMPUTED_VALUE"""),0)</f>
        <v>0</v>
      </c>
      <c r="N658" s="539">
        <f ca="1">IFERROR(__xludf.DUMMYFUNCTION("""COMPUTED_VALUE"""),0)</f>
        <v>0</v>
      </c>
      <c r="O658" s="539">
        <f ca="1">IFERROR(__xludf.DUMMYFUNCTION("""COMPUTED_VALUE"""),0)</f>
        <v>0</v>
      </c>
    </row>
    <row r="659" spans="1:15" ht="12.75">
      <c r="A659" s="539">
        <f ca="1"/>
        <v>653</v>
      </c>
      <c r="B659" s="35" t="str">
        <f ca="1">IFERROR(__xludf.DUMMYFUNCTION("""COMPUTED_VALUE"""),"Tổ Hạ tầng Kiến Tường")</f>
        <v>Tổ Hạ tầng Kiến Tường</v>
      </c>
      <c r="C659" s="35" t="str">
        <f ca="1">IFERROR(__xludf.DUMMYFUNCTION("""COMPUTED_VALUE"""),"Nguyễn Vĩnh Thiên")</f>
        <v>Nguyễn Vĩnh Thiên</v>
      </c>
      <c r="D659" s="35">
        <f ca="1">IFERROR(__xludf.DUMMYFUNCTION("""COMPUTED_VALUE"""),839195567)</f>
        <v>839195567</v>
      </c>
      <c r="E659" s="35" t="str">
        <f ca="1">IFERROR(__xludf.DUMMYFUNCTION("""COMPUTED_VALUE"""),"thiennv.lan@vnpt.vn")</f>
        <v>thiennv.lan@vnpt.vn</v>
      </c>
      <c r="F659" s="540" t="str">
        <f ca="1">IFERROR(__xludf.DUMMYFUNCTION("""COMPUTED_VALUE"""),"Lần 13")</f>
        <v>Lần 13</v>
      </c>
      <c r="G659" s="278"/>
      <c r="H659" s="35"/>
      <c r="I659" s="35"/>
      <c r="J659" s="541"/>
      <c r="K659" s="541"/>
      <c r="M659" s="539">
        <f ca="1">IFERROR(__xludf.DUMMYFUNCTION("""COMPUTED_VALUE"""),0)</f>
        <v>0</v>
      </c>
      <c r="N659" s="539">
        <f ca="1">IFERROR(__xludf.DUMMYFUNCTION("""COMPUTED_VALUE"""),0)</f>
        <v>0</v>
      </c>
      <c r="O659" s="539">
        <f ca="1">IFERROR(__xludf.DUMMYFUNCTION("""COMPUTED_VALUE"""),0)</f>
        <v>0</v>
      </c>
    </row>
    <row r="660" spans="1:15" ht="12.75">
      <c r="A660" s="539">
        <f ca="1"/>
        <v>654</v>
      </c>
      <c r="B660" s="35" t="str">
        <f ca="1">IFERROR(__xludf.DUMMYFUNCTION("""COMPUTED_VALUE"""),"Tổ Hạ tầng Kiến Tường")</f>
        <v>Tổ Hạ tầng Kiến Tường</v>
      </c>
      <c r="C660" s="35" t="str">
        <f ca="1">IFERROR(__xludf.DUMMYFUNCTION("""COMPUTED_VALUE"""),"Nguyễn Vĩnh Thiên")</f>
        <v>Nguyễn Vĩnh Thiên</v>
      </c>
      <c r="D660" s="35">
        <f ca="1">IFERROR(__xludf.DUMMYFUNCTION("""COMPUTED_VALUE"""),839195567)</f>
        <v>839195567</v>
      </c>
      <c r="E660" s="35" t="str">
        <f ca="1">IFERROR(__xludf.DUMMYFUNCTION("""COMPUTED_VALUE"""),"thiennv.lan@vnpt.vn")</f>
        <v>thiennv.lan@vnpt.vn</v>
      </c>
      <c r="F660" s="540" t="str">
        <f ca="1">IFERROR(__xludf.DUMMYFUNCTION("""COMPUTED_VALUE"""),"Lần 14")</f>
        <v>Lần 14</v>
      </c>
      <c r="G660" s="278"/>
      <c r="H660" s="35"/>
      <c r="I660" s="35"/>
      <c r="J660" s="541"/>
      <c r="K660" s="541"/>
      <c r="M660" s="539">
        <f ca="1">IFERROR(__xludf.DUMMYFUNCTION("""COMPUTED_VALUE"""),0)</f>
        <v>0</v>
      </c>
      <c r="N660" s="539">
        <f ca="1">IFERROR(__xludf.DUMMYFUNCTION("""COMPUTED_VALUE"""),0)</f>
        <v>0</v>
      </c>
      <c r="O660" s="539">
        <f ca="1">IFERROR(__xludf.DUMMYFUNCTION("""COMPUTED_VALUE"""),0)</f>
        <v>0</v>
      </c>
    </row>
    <row r="661" spans="1:15" ht="12.75">
      <c r="A661" s="539">
        <f ca="1"/>
        <v>655</v>
      </c>
      <c r="B661" s="35" t="str">
        <f ca="1">IFERROR(__xludf.DUMMYFUNCTION("""COMPUTED_VALUE"""),"Tổ Hạ tầng Kiến Tường")</f>
        <v>Tổ Hạ tầng Kiến Tường</v>
      </c>
      <c r="C661" s="35" t="str">
        <f ca="1">IFERROR(__xludf.DUMMYFUNCTION("""COMPUTED_VALUE"""),"Nguyễn Vĩnh Thiên")</f>
        <v>Nguyễn Vĩnh Thiên</v>
      </c>
      <c r="D661" s="35">
        <f ca="1">IFERROR(__xludf.DUMMYFUNCTION("""COMPUTED_VALUE"""),839195567)</f>
        <v>839195567</v>
      </c>
      <c r="E661" s="35" t="str">
        <f ca="1">IFERROR(__xludf.DUMMYFUNCTION("""COMPUTED_VALUE"""),"thiennv.lan@vnpt.vn")</f>
        <v>thiennv.lan@vnpt.vn</v>
      </c>
      <c r="F661" s="540" t="str">
        <f ca="1">IFERROR(__xludf.DUMMYFUNCTION("""COMPUTED_VALUE"""),"Lần 15")</f>
        <v>Lần 15</v>
      </c>
      <c r="G661" s="278"/>
      <c r="H661" s="35"/>
      <c r="I661" s="35"/>
      <c r="J661" s="541"/>
      <c r="K661" s="541"/>
      <c r="M661" s="539">
        <f ca="1">IFERROR(__xludf.DUMMYFUNCTION("""COMPUTED_VALUE"""),0)</f>
        <v>0</v>
      </c>
      <c r="N661" s="539">
        <f ca="1">IFERROR(__xludf.DUMMYFUNCTION("""COMPUTED_VALUE"""),0)</f>
        <v>0</v>
      </c>
      <c r="O661" s="539">
        <f ca="1">IFERROR(__xludf.DUMMYFUNCTION("""COMPUTED_VALUE"""),0)</f>
        <v>0</v>
      </c>
    </row>
    <row r="662" spans="1:15" ht="12.75">
      <c r="A662" s="539">
        <f ca="1"/>
        <v>656</v>
      </c>
      <c r="B662" s="35" t="str">
        <f ca="1">IFERROR(__xludf.DUMMYFUNCTION("""COMPUTED_VALUE"""),"Tổ Hạ tầng Kiến Tường")</f>
        <v>Tổ Hạ tầng Kiến Tường</v>
      </c>
      <c r="C662" s="35" t="str">
        <f ca="1">IFERROR(__xludf.DUMMYFUNCTION("""COMPUTED_VALUE"""),"Nguyễn Vĩnh Thiên")</f>
        <v>Nguyễn Vĩnh Thiên</v>
      </c>
      <c r="D662" s="35">
        <f ca="1">IFERROR(__xludf.DUMMYFUNCTION("""COMPUTED_VALUE"""),839195567)</f>
        <v>839195567</v>
      </c>
      <c r="E662" s="35" t="str">
        <f ca="1">IFERROR(__xludf.DUMMYFUNCTION("""COMPUTED_VALUE"""),"thiennv.lan@vnpt.vn")</f>
        <v>thiennv.lan@vnpt.vn</v>
      </c>
      <c r="F662" s="540" t="str">
        <f ca="1">IFERROR(__xludf.DUMMYFUNCTION("""COMPUTED_VALUE"""),"Lần 16")</f>
        <v>Lần 16</v>
      </c>
      <c r="G662" s="278"/>
      <c r="H662" s="35"/>
      <c r="I662" s="35"/>
      <c r="J662" s="541"/>
      <c r="K662" s="541"/>
      <c r="M662" s="539">
        <f ca="1">IFERROR(__xludf.DUMMYFUNCTION("""COMPUTED_VALUE"""),0)</f>
        <v>0</v>
      </c>
      <c r="N662" s="539">
        <f ca="1">IFERROR(__xludf.DUMMYFUNCTION("""COMPUTED_VALUE"""),0)</f>
        <v>0</v>
      </c>
      <c r="O662" s="539">
        <f ca="1">IFERROR(__xludf.DUMMYFUNCTION("""COMPUTED_VALUE"""),0)</f>
        <v>0</v>
      </c>
    </row>
    <row r="663" spans="1:15" ht="12.75">
      <c r="A663" s="539">
        <f ca="1"/>
        <v>657</v>
      </c>
      <c r="B663" s="35" t="str">
        <f ca="1">IFERROR(__xludf.DUMMYFUNCTION("""COMPUTED_VALUE"""),"Tổ Hạ tầng Kiến Tường")</f>
        <v>Tổ Hạ tầng Kiến Tường</v>
      </c>
      <c r="C663" s="35" t="str">
        <f ca="1">IFERROR(__xludf.DUMMYFUNCTION("""COMPUTED_VALUE"""),"Bùi Hoàng Tường")</f>
        <v>Bùi Hoàng Tường</v>
      </c>
      <c r="D663" s="35">
        <f ca="1">IFERROR(__xludf.DUMMYFUNCTION("""COMPUTED_VALUE"""),916659889)</f>
        <v>916659889</v>
      </c>
      <c r="E663" s="35" t="str">
        <f ca="1">IFERROR(__xludf.DUMMYFUNCTION("""COMPUTED_VALUE"""),"tuongbh.lan@vnpt.vn")</f>
        <v>tuongbh.lan@vnpt.vn</v>
      </c>
      <c r="F663" s="540" t="str">
        <f ca="1">IFERROR(__xludf.DUMMYFUNCTION("""COMPUTED_VALUE"""),"Lần 1")</f>
        <v>Lần 1</v>
      </c>
      <c r="G663" s="278"/>
      <c r="H663" s="35"/>
      <c r="I663" s="35"/>
      <c r="J663" s="541"/>
      <c r="K663" s="541"/>
      <c r="M663" s="539">
        <f ca="1">IFERROR(__xludf.DUMMYFUNCTION("""COMPUTED_VALUE"""),0)</f>
        <v>0</v>
      </c>
      <c r="N663" s="539">
        <f ca="1">IFERROR(__xludf.DUMMYFUNCTION("""COMPUTED_VALUE"""),0)</f>
        <v>0</v>
      </c>
      <c r="O663" s="539">
        <f ca="1">IFERROR(__xludf.DUMMYFUNCTION("""COMPUTED_VALUE"""),0)</f>
        <v>0</v>
      </c>
    </row>
    <row r="664" spans="1:15" ht="12.75">
      <c r="A664" s="539">
        <f ca="1"/>
        <v>658</v>
      </c>
      <c r="B664" s="35" t="str">
        <f ca="1">IFERROR(__xludf.DUMMYFUNCTION("""COMPUTED_VALUE"""),"Tổ Hạ tầng Kiến Tường")</f>
        <v>Tổ Hạ tầng Kiến Tường</v>
      </c>
      <c r="C664" s="35" t="str">
        <f ca="1">IFERROR(__xludf.DUMMYFUNCTION("""COMPUTED_VALUE"""),"Bùi Hoàng Tường")</f>
        <v>Bùi Hoàng Tường</v>
      </c>
      <c r="D664" s="35">
        <f ca="1">IFERROR(__xludf.DUMMYFUNCTION("""COMPUTED_VALUE"""),916659889)</f>
        <v>916659889</v>
      </c>
      <c r="E664" s="35" t="str">
        <f ca="1">IFERROR(__xludf.DUMMYFUNCTION("""COMPUTED_VALUE"""),"tuongbh.lan@vnpt.vn")</f>
        <v>tuongbh.lan@vnpt.vn</v>
      </c>
      <c r="F664" s="540" t="str">
        <f ca="1">IFERROR(__xludf.DUMMYFUNCTION("""COMPUTED_VALUE"""),"Lần 2")</f>
        <v>Lần 2</v>
      </c>
      <c r="G664" s="278"/>
      <c r="H664" s="35"/>
      <c r="I664" s="35"/>
      <c r="J664" s="541"/>
      <c r="K664" s="541"/>
      <c r="M664" s="539">
        <f ca="1">IFERROR(__xludf.DUMMYFUNCTION("""COMPUTED_VALUE"""),0)</f>
        <v>0</v>
      </c>
      <c r="N664" s="539">
        <f ca="1">IFERROR(__xludf.DUMMYFUNCTION("""COMPUTED_VALUE"""),0)</f>
        <v>0</v>
      </c>
      <c r="O664" s="539">
        <f ca="1">IFERROR(__xludf.DUMMYFUNCTION("""COMPUTED_VALUE"""),0)</f>
        <v>0</v>
      </c>
    </row>
    <row r="665" spans="1:15" ht="12.75">
      <c r="A665" s="539">
        <f ca="1"/>
        <v>659</v>
      </c>
      <c r="B665" s="35" t="str">
        <f ca="1">IFERROR(__xludf.DUMMYFUNCTION("""COMPUTED_VALUE"""),"Tổ Hạ tầng Kiến Tường")</f>
        <v>Tổ Hạ tầng Kiến Tường</v>
      </c>
      <c r="C665" s="35" t="str">
        <f ca="1">IFERROR(__xludf.DUMMYFUNCTION("""COMPUTED_VALUE"""),"Bùi Hoàng Tường")</f>
        <v>Bùi Hoàng Tường</v>
      </c>
      <c r="D665" s="35">
        <f ca="1">IFERROR(__xludf.DUMMYFUNCTION("""COMPUTED_VALUE"""),916659889)</f>
        <v>916659889</v>
      </c>
      <c r="E665" s="35" t="str">
        <f ca="1">IFERROR(__xludf.DUMMYFUNCTION("""COMPUTED_VALUE"""),"tuongbh.lan@vnpt.vn")</f>
        <v>tuongbh.lan@vnpt.vn</v>
      </c>
      <c r="F665" s="540" t="str">
        <f ca="1">IFERROR(__xludf.DUMMYFUNCTION("""COMPUTED_VALUE"""),"Lần 3")</f>
        <v>Lần 3</v>
      </c>
      <c r="G665" s="278"/>
      <c r="H665" s="35"/>
      <c r="I665" s="35"/>
      <c r="J665" s="541"/>
      <c r="K665" s="541"/>
      <c r="M665" s="539">
        <f ca="1">IFERROR(__xludf.DUMMYFUNCTION("""COMPUTED_VALUE"""),0)</f>
        <v>0</v>
      </c>
      <c r="N665" s="539">
        <f ca="1">IFERROR(__xludf.DUMMYFUNCTION("""COMPUTED_VALUE"""),0)</f>
        <v>0</v>
      </c>
      <c r="O665" s="539">
        <f ca="1">IFERROR(__xludf.DUMMYFUNCTION("""COMPUTED_VALUE"""),0)</f>
        <v>0</v>
      </c>
    </row>
    <row r="666" spans="1:15" ht="12.75">
      <c r="A666" s="539">
        <f ca="1"/>
        <v>660</v>
      </c>
      <c r="B666" s="35" t="str">
        <f ca="1">IFERROR(__xludf.DUMMYFUNCTION("""COMPUTED_VALUE"""),"Tổ Hạ tầng Kiến Tường")</f>
        <v>Tổ Hạ tầng Kiến Tường</v>
      </c>
      <c r="C666" s="35" t="str">
        <f ca="1">IFERROR(__xludf.DUMMYFUNCTION("""COMPUTED_VALUE"""),"Bùi Hoàng Tường")</f>
        <v>Bùi Hoàng Tường</v>
      </c>
      <c r="D666" s="35">
        <f ca="1">IFERROR(__xludf.DUMMYFUNCTION("""COMPUTED_VALUE"""),916659889)</f>
        <v>916659889</v>
      </c>
      <c r="E666" s="35" t="str">
        <f ca="1">IFERROR(__xludf.DUMMYFUNCTION("""COMPUTED_VALUE"""),"tuongbh.lan@vnpt.vn")</f>
        <v>tuongbh.lan@vnpt.vn</v>
      </c>
      <c r="F666" s="540" t="str">
        <f ca="1">IFERROR(__xludf.DUMMYFUNCTION("""COMPUTED_VALUE"""),"Lần 4")</f>
        <v>Lần 4</v>
      </c>
      <c r="G666" s="278"/>
      <c r="H666" s="35"/>
      <c r="I666" s="35"/>
      <c r="J666" s="541"/>
      <c r="K666" s="541"/>
      <c r="M666" s="539">
        <f ca="1">IFERROR(__xludf.DUMMYFUNCTION("""COMPUTED_VALUE"""),0)</f>
        <v>0</v>
      </c>
      <c r="N666" s="539">
        <f ca="1">IFERROR(__xludf.DUMMYFUNCTION("""COMPUTED_VALUE"""),0)</f>
        <v>0</v>
      </c>
      <c r="O666" s="539">
        <f ca="1">IFERROR(__xludf.DUMMYFUNCTION("""COMPUTED_VALUE"""),0)</f>
        <v>0</v>
      </c>
    </row>
    <row r="667" spans="1:15" ht="12.75">
      <c r="A667" s="539">
        <f ca="1"/>
        <v>661</v>
      </c>
      <c r="B667" s="35" t="str">
        <f ca="1">IFERROR(__xludf.DUMMYFUNCTION("""COMPUTED_VALUE"""),"Tổ Hạ tầng Kiến Tường")</f>
        <v>Tổ Hạ tầng Kiến Tường</v>
      </c>
      <c r="C667" s="35" t="str">
        <f ca="1">IFERROR(__xludf.DUMMYFUNCTION("""COMPUTED_VALUE"""),"Bùi Hoàng Tường")</f>
        <v>Bùi Hoàng Tường</v>
      </c>
      <c r="D667" s="35">
        <f ca="1">IFERROR(__xludf.DUMMYFUNCTION("""COMPUTED_VALUE"""),916659889)</f>
        <v>916659889</v>
      </c>
      <c r="E667" s="35" t="str">
        <f ca="1">IFERROR(__xludf.DUMMYFUNCTION("""COMPUTED_VALUE"""),"tuongbh.lan@vnpt.vn")</f>
        <v>tuongbh.lan@vnpt.vn</v>
      </c>
      <c r="F667" s="540" t="str">
        <f ca="1">IFERROR(__xludf.DUMMYFUNCTION("""COMPUTED_VALUE"""),"Lần 5")</f>
        <v>Lần 5</v>
      </c>
      <c r="G667" s="278"/>
      <c r="H667" s="35"/>
      <c r="I667" s="35"/>
      <c r="J667" s="541"/>
      <c r="K667" s="541"/>
      <c r="M667" s="539">
        <f ca="1">IFERROR(__xludf.DUMMYFUNCTION("""COMPUTED_VALUE"""),0)</f>
        <v>0</v>
      </c>
      <c r="N667" s="539">
        <f ca="1">IFERROR(__xludf.DUMMYFUNCTION("""COMPUTED_VALUE"""),0)</f>
        <v>0</v>
      </c>
      <c r="O667" s="539">
        <f ca="1">IFERROR(__xludf.DUMMYFUNCTION("""COMPUTED_VALUE"""),0)</f>
        <v>0</v>
      </c>
    </row>
    <row r="668" spans="1:15" ht="12.75">
      <c r="A668" s="539">
        <f ca="1"/>
        <v>662</v>
      </c>
      <c r="B668" s="35" t="str">
        <f ca="1">IFERROR(__xludf.DUMMYFUNCTION("""COMPUTED_VALUE"""),"Tổ Hạ tầng Kiến Tường")</f>
        <v>Tổ Hạ tầng Kiến Tường</v>
      </c>
      <c r="C668" s="35" t="str">
        <f ca="1">IFERROR(__xludf.DUMMYFUNCTION("""COMPUTED_VALUE"""),"Bùi Hoàng Tường")</f>
        <v>Bùi Hoàng Tường</v>
      </c>
      <c r="D668" s="35">
        <f ca="1">IFERROR(__xludf.DUMMYFUNCTION("""COMPUTED_VALUE"""),916659889)</f>
        <v>916659889</v>
      </c>
      <c r="E668" s="35" t="str">
        <f ca="1">IFERROR(__xludf.DUMMYFUNCTION("""COMPUTED_VALUE"""),"tuongbh.lan@vnpt.vn")</f>
        <v>tuongbh.lan@vnpt.vn</v>
      </c>
      <c r="F668" s="540" t="str">
        <f ca="1">IFERROR(__xludf.DUMMYFUNCTION("""COMPUTED_VALUE"""),"Lần 6")</f>
        <v>Lần 6</v>
      </c>
      <c r="G668" s="278"/>
      <c r="H668" s="35"/>
      <c r="I668" s="35"/>
      <c r="J668" s="541"/>
      <c r="K668" s="541"/>
      <c r="M668" s="539">
        <f ca="1">IFERROR(__xludf.DUMMYFUNCTION("""COMPUTED_VALUE"""),0)</f>
        <v>0</v>
      </c>
      <c r="N668" s="539">
        <f ca="1">IFERROR(__xludf.DUMMYFUNCTION("""COMPUTED_VALUE"""),0)</f>
        <v>0</v>
      </c>
      <c r="O668" s="539">
        <f ca="1">IFERROR(__xludf.DUMMYFUNCTION("""COMPUTED_VALUE"""),0)</f>
        <v>0</v>
      </c>
    </row>
    <row r="669" spans="1:15" ht="12.75">
      <c r="A669" s="539">
        <f ca="1"/>
        <v>663</v>
      </c>
      <c r="B669" s="35" t="str">
        <f ca="1">IFERROR(__xludf.DUMMYFUNCTION("""COMPUTED_VALUE"""),"Tổ Hạ tầng Kiến Tường")</f>
        <v>Tổ Hạ tầng Kiến Tường</v>
      </c>
      <c r="C669" s="35" t="str">
        <f ca="1">IFERROR(__xludf.DUMMYFUNCTION("""COMPUTED_VALUE"""),"Bùi Hoàng Tường")</f>
        <v>Bùi Hoàng Tường</v>
      </c>
      <c r="D669" s="35">
        <f ca="1">IFERROR(__xludf.DUMMYFUNCTION("""COMPUTED_VALUE"""),916659889)</f>
        <v>916659889</v>
      </c>
      <c r="E669" s="35" t="str">
        <f ca="1">IFERROR(__xludf.DUMMYFUNCTION("""COMPUTED_VALUE"""),"tuongbh.lan@vnpt.vn")</f>
        <v>tuongbh.lan@vnpt.vn</v>
      </c>
      <c r="F669" s="540" t="str">
        <f ca="1">IFERROR(__xludf.DUMMYFUNCTION("""COMPUTED_VALUE"""),"Lần 7")</f>
        <v>Lần 7</v>
      </c>
      <c r="G669" s="278"/>
      <c r="H669" s="35"/>
      <c r="I669" s="35"/>
      <c r="J669" s="541"/>
      <c r="K669" s="541"/>
      <c r="M669" s="539">
        <f ca="1">IFERROR(__xludf.DUMMYFUNCTION("""COMPUTED_VALUE"""),0)</f>
        <v>0</v>
      </c>
      <c r="N669" s="539">
        <f ca="1">IFERROR(__xludf.DUMMYFUNCTION("""COMPUTED_VALUE"""),0)</f>
        <v>0</v>
      </c>
      <c r="O669" s="539">
        <f ca="1">IFERROR(__xludf.DUMMYFUNCTION("""COMPUTED_VALUE"""),0)</f>
        <v>0</v>
      </c>
    </row>
    <row r="670" spans="1:15" ht="12.75">
      <c r="A670" s="539">
        <f ca="1"/>
        <v>664</v>
      </c>
      <c r="B670" s="35" t="str">
        <f ca="1">IFERROR(__xludf.DUMMYFUNCTION("""COMPUTED_VALUE"""),"Tổ Hạ tầng Kiến Tường")</f>
        <v>Tổ Hạ tầng Kiến Tường</v>
      </c>
      <c r="C670" s="35" t="str">
        <f ca="1">IFERROR(__xludf.DUMMYFUNCTION("""COMPUTED_VALUE"""),"Bùi Hoàng Tường")</f>
        <v>Bùi Hoàng Tường</v>
      </c>
      <c r="D670" s="35">
        <f ca="1">IFERROR(__xludf.DUMMYFUNCTION("""COMPUTED_VALUE"""),916659889)</f>
        <v>916659889</v>
      </c>
      <c r="E670" s="35" t="str">
        <f ca="1">IFERROR(__xludf.DUMMYFUNCTION("""COMPUTED_VALUE"""),"tuongbh.lan@vnpt.vn")</f>
        <v>tuongbh.lan@vnpt.vn</v>
      </c>
      <c r="F670" s="540" t="str">
        <f ca="1">IFERROR(__xludf.DUMMYFUNCTION("""COMPUTED_VALUE"""),"Lần 8")</f>
        <v>Lần 8</v>
      </c>
      <c r="G670" s="278"/>
      <c r="H670" s="35"/>
      <c r="I670" s="35"/>
      <c r="J670" s="541"/>
      <c r="K670" s="541"/>
      <c r="M670" s="539">
        <f ca="1">IFERROR(__xludf.DUMMYFUNCTION("""COMPUTED_VALUE"""),0)</f>
        <v>0</v>
      </c>
      <c r="N670" s="539">
        <f ca="1">IFERROR(__xludf.DUMMYFUNCTION("""COMPUTED_VALUE"""),0)</f>
        <v>0</v>
      </c>
      <c r="O670" s="539">
        <f ca="1">IFERROR(__xludf.DUMMYFUNCTION("""COMPUTED_VALUE"""),0)</f>
        <v>0</v>
      </c>
    </row>
    <row r="671" spans="1:15" ht="12.75">
      <c r="A671" s="539">
        <f ca="1"/>
        <v>665</v>
      </c>
      <c r="B671" s="35" t="str">
        <f ca="1">IFERROR(__xludf.DUMMYFUNCTION("""COMPUTED_VALUE"""),"Tổ Hạ tầng Kiến Tường")</f>
        <v>Tổ Hạ tầng Kiến Tường</v>
      </c>
      <c r="C671" s="35" t="str">
        <f ca="1">IFERROR(__xludf.DUMMYFUNCTION("""COMPUTED_VALUE"""),"Bùi Hoàng Tường")</f>
        <v>Bùi Hoàng Tường</v>
      </c>
      <c r="D671" s="35">
        <f ca="1">IFERROR(__xludf.DUMMYFUNCTION("""COMPUTED_VALUE"""),916659889)</f>
        <v>916659889</v>
      </c>
      <c r="E671" s="35" t="str">
        <f ca="1">IFERROR(__xludf.DUMMYFUNCTION("""COMPUTED_VALUE"""),"tuongbh.lan@vnpt.vn")</f>
        <v>tuongbh.lan@vnpt.vn</v>
      </c>
      <c r="F671" s="540" t="str">
        <f ca="1">IFERROR(__xludf.DUMMYFUNCTION("""COMPUTED_VALUE"""),"Lần 9")</f>
        <v>Lần 9</v>
      </c>
      <c r="G671" s="278"/>
      <c r="H671" s="35"/>
      <c r="I671" s="35"/>
      <c r="J671" s="541"/>
      <c r="K671" s="541"/>
      <c r="M671" s="539">
        <f ca="1">IFERROR(__xludf.DUMMYFUNCTION("""COMPUTED_VALUE"""),0)</f>
        <v>0</v>
      </c>
      <c r="N671" s="539">
        <f ca="1">IFERROR(__xludf.DUMMYFUNCTION("""COMPUTED_VALUE"""),0)</f>
        <v>0</v>
      </c>
      <c r="O671" s="539">
        <f ca="1">IFERROR(__xludf.DUMMYFUNCTION("""COMPUTED_VALUE"""),0)</f>
        <v>0</v>
      </c>
    </row>
    <row r="672" spans="1:15" ht="12.75">
      <c r="A672" s="539">
        <f ca="1"/>
        <v>666</v>
      </c>
      <c r="B672" s="35" t="str">
        <f ca="1">IFERROR(__xludf.DUMMYFUNCTION("""COMPUTED_VALUE"""),"Tổ Hạ tầng Kiến Tường")</f>
        <v>Tổ Hạ tầng Kiến Tường</v>
      </c>
      <c r="C672" s="35" t="str">
        <f ca="1">IFERROR(__xludf.DUMMYFUNCTION("""COMPUTED_VALUE"""),"Bùi Hoàng Tường")</f>
        <v>Bùi Hoàng Tường</v>
      </c>
      <c r="D672" s="35">
        <f ca="1">IFERROR(__xludf.DUMMYFUNCTION("""COMPUTED_VALUE"""),916659889)</f>
        <v>916659889</v>
      </c>
      <c r="E672" s="35" t="str">
        <f ca="1">IFERROR(__xludf.DUMMYFUNCTION("""COMPUTED_VALUE"""),"tuongbh.lan@vnpt.vn")</f>
        <v>tuongbh.lan@vnpt.vn</v>
      </c>
      <c r="F672" s="540" t="str">
        <f ca="1">IFERROR(__xludf.DUMMYFUNCTION("""COMPUTED_VALUE"""),"Lần 10")</f>
        <v>Lần 10</v>
      </c>
      <c r="G672" s="278"/>
      <c r="H672" s="35"/>
      <c r="I672" s="35"/>
      <c r="J672" s="541"/>
      <c r="K672" s="541"/>
      <c r="M672" s="539">
        <f ca="1">IFERROR(__xludf.DUMMYFUNCTION("""COMPUTED_VALUE"""),0)</f>
        <v>0</v>
      </c>
      <c r="N672" s="539">
        <f ca="1">IFERROR(__xludf.DUMMYFUNCTION("""COMPUTED_VALUE"""),0)</f>
        <v>0</v>
      </c>
      <c r="O672" s="539">
        <f ca="1">IFERROR(__xludf.DUMMYFUNCTION("""COMPUTED_VALUE"""),0)</f>
        <v>0</v>
      </c>
    </row>
    <row r="673" spans="1:15" ht="12.75">
      <c r="A673" s="539">
        <f ca="1"/>
        <v>667</v>
      </c>
      <c r="B673" s="35" t="str">
        <f ca="1">IFERROR(__xludf.DUMMYFUNCTION("""COMPUTED_VALUE"""),"Tổ Hạ tầng Kiến Tường")</f>
        <v>Tổ Hạ tầng Kiến Tường</v>
      </c>
      <c r="C673" s="35" t="str">
        <f ca="1">IFERROR(__xludf.DUMMYFUNCTION("""COMPUTED_VALUE"""),"Bùi Hoàng Tường")</f>
        <v>Bùi Hoàng Tường</v>
      </c>
      <c r="D673" s="35">
        <f ca="1">IFERROR(__xludf.DUMMYFUNCTION("""COMPUTED_VALUE"""),916659889)</f>
        <v>916659889</v>
      </c>
      <c r="E673" s="35" t="str">
        <f ca="1">IFERROR(__xludf.DUMMYFUNCTION("""COMPUTED_VALUE"""),"tuongbh.lan@vnpt.vn")</f>
        <v>tuongbh.lan@vnpt.vn</v>
      </c>
      <c r="F673" s="540" t="str">
        <f ca="1">IFERROR(__xludf.DUMMYFUNCTION("""COMPUTED_VALUE"""),"Lần 11")</f>
        <v>Lần 11</v>
      </c>
      <c r="G673" s="278"/>
      <c r="H673" s="35"/>
      <c r="I673" s="35"/>
      <c r="J673" s="541"/>
      <c r="K673" s="541"/>
      <c r="M673" s="539">
        <f ca="1">IFERROR(__xludf.DUMMYFUNCTION("""COMPUTED_VALUE"""),0)</f>
        <v>0</v>
      </c>
      <c r="N673" s="539">
        <f ca="1">IFERROR(__xludf.DUMMYFUNCTION("""COMPUTED_VALUE"""),0)</f>
        <v>0</v>
      </c>
      <c r="O673" s="539">
        <f ca="1">IFERROR(__xludf.DUMMYFUNCTION("""COMPUTED_VALUE"""),0)</f>
        <v>0</v>
      </c>
    </row>
    <row r="674" spans="1:15" ht="12.75">
      <c r="A674" s="539">
        <f ca="1"/>
        <v>668</v>
      </c>
      <c r="B674" s="35" t="str">
        <f ca="1">IFERROR(__xludf.DUMMYFUNCTION("""COMPUTED_VALUE"""),"Tổ Hạ tầng Kiến Tường")</f>
        <v>Tổ Hạ tầng Kiến Tường</v>
      </c>
      <c r="C674" s="35" t="str">
        <f ca="1">IFERROR(__xludf.DUMMYFUNCTION("""COMPUTED_VALUE"""),"Bùi Hoàng Tường")</f>
        <v>Bùi Hoàng Tường</v>
      </c>
      <c r="D674" s="35">
        <f ca="1">IFERROR(__xludf.DUMMYFUNCTION("""COMPUTED_VALUE"""),916659889)</f>
        <v>916659889</v>
      </c>
      <c r="E674" s="35" t="str">
        <f ca="1">IFERROR(__xludf.DUMMYFUNCTION("""COMPUTED_VALUE"""),"tuongbh.lan@vnpt.vn")</f>
        <v>tuongbh.lan@vnpt.vn</v>
      </c>
      <c r="F674" s="540" t="str">
        <f ca="1">IFERROR(__xludf.DUMMYFUNCTION("""COMPUTED_VALUE"""),"Lần 12")</f>
        <v>Lần 12</v>
      </c>
      <c r="G674" s="278"/>
      <c r="H674" s="35"/>
      <c r="I674" s="35"/>
      <c r="J674" s="541"/>
      <c r="K674" s="541"/>
      <c r="M674" s="539">
        <f ca="1">IFERROR(__xludf.DUMMYFUNCTION("""COMPUTED_VALUE"""),0)</f>
        <v>0</v>
      </c>
      <c r="N674" s="539">
        <f ca="1">IFERROR(__xludf.DUMMYFUNCTION("""COMPUTED_VALUE"""),0)</f>
        <v>0</v>
      </c>
      <c r="O674" s="539">
        <f ca="1">IFERROR(__xludf.DUMMYFUNCTION("""COMPUTED_VALUE"""),0)</f>
        <v>0</v>
      </c>
    </row>
    <row r="675" spans="1:15" ht="12.75">
      <c r="A675" s="539">
        <f ca="1"/>
        <v>669</v>
      </c>
      <c r="B675" s="35" t="str">
        <f ca="1">IFERROR(__xludf.DUMMYFUNCTION("""COMPUTED_VALUE"""),"Tổ Hạ tầng Kiến Tường")</f>
        <v>Tổ Hạ tầng Kiến Tường</v>
      </c>
      <c r="C675" s="35" t="str">
        <f ca="1">IFERROR(__xludf.DUMMYFUNCTION("""COMPUTED_VALUE"""),"Bùi Hoàng Tường")</f>
        <v>Bùi Hoàng Tường</v>
      </c>
      <c r="D675" s="35">
        <f ca="1">IFERROR(__xludf.DUMMYFUNCTION("""COMPUTED_VALUE"""),916659889)</f>
        <v>916659889</v>
      </c>
      <c r="E675" s="35" t="str">
        <f ca="1">IFERROR(__xludf.DUMMYFUNCTION("""COMPUTED_VALUE"""),"tuongbh.lan@vnpt.vn")</f>
        <v>tuongbh.lan@vnpt.vn</v>
      </c>
      <c r="F675" s="540" t="str">
        <f ca="1">IFERROR(__xludf.DUMMYFUNCTION("""COMPUTED_VALUE"""),"Lần 13")</f>
        <v>Lần 13</v>
      </c>
      <c r="G675" s="278"/>
      <c r="H675" s="35"/>
      <c r="I675" s="35"/>
      <c r="J675" s="541"/>
      <c r="K675" s="541"/>
      <c r="M675" s="539">
        <f ca="1">IFERROR(__xludf.DUMMYFUNCTION("""COMPUTED_VALUE"""),0)</f>
        <v>0</v>
      </c>
      <c r="N675" s="539">
        <f ca="1">IFERROR(__xludf.DUMMYFUNCTION("""COMPUTED_VALUE"""),0)</f>
        <v>0</v>
      </c>
      <c r="O675" s="539">
        <f ca="1">IFERROR(__xludf.DUMMYFUNCTION("""COMPUTED_VALUE"""),0)</f>
        <v>0</v>
      </c>
    </row>
    <row r="676" spans="1:15" ht="12.75">
      <c r="A676" s="539">
        <f ca="1"/>
        <v>670</v>
      </c>
      <c r="B676" s="35" t="str">
        <f ca="1">IFERROR(__xludf.DUMMYFUNCTION("""COMPUTED_VALUE"""),"Tổ Hạ tầng Kiến Tường")</f>
        <v>Tổ Hạ tầng Kiến Tường</v>
      </c>
      <c r="C676" s="35" t="str">
        <f ca="1">IFERROR(__xludf.DUMMYFUNCTION("""COMPUTED_VALUE"""),"Bùi Hoàng Tường")</f>
        <v>Bùi Hoàng Tường</v>
      </c>
      <c r="D676" s="35">
        <f ca="1">IFERROR(__xludf.DUMMYFUNCTION("""COMPUTED_VALUE"""),916659889)</f>
        <v>916659889</v>
      </c>
      <c r="E676" s="35" t="str">
        <f ca="1">IFERROR(__xludf.DUMMYFUNCTION("""COMPUTED_VALUE"""),"tuongbh.lan@vnpt.vn")</f>
        <v>tuongbh.lan@vnpt.vn</v>
      </c>
      <c r="F676" s="540" t="str">
        <f ca="1">IFERROR(__xludf.DUMMYFUNCTION("""COMPUTED_VALUE"""),"Lần 14")</f>
        <v>Lần 14</v>
      </c>
      <c r="G676" s="278"/>
      <c r="H676" s="35"/>
      <c r="I676" s="35"/>
      <c r="J676" s="541"/>
      <c r="K676" s="541"/>
      <c r="M676" s="539">
        <f ca="1">IFERROR(__xludf.DUMMYFUNCTION("""COMPUTED_VALUE"""),0)</f>
        <v>0</v>
      </c>
      <c r="N676" s="539">
        <f ca="1">IFERROR(__xludf.DUMMYFUNCTION("""COMPUTED_VALUE"""),0)</f>
        <v>0</v>
      </c>
      <c r="O676" s="539">
        <f ca="1">IFERROR(__xludf.DUMMYFUNCTION("""COMPUTED_VALUE"""),0)</f>
        <v>0</v>
      </c>
    </row>
    <row r="677" spans="1:15" ht="12.75">
      <c r="A677" s="539">
        <f ca="1"/>
        <v>671</v>
      </c>
      <c r="B677" s="35" t="str">
        <f ca="1">IFERROR(__xludf.DUMMYFUNCTION("""COMPUTED_VALUE"""),"Tổ Hạ tầng Kiến Tường")</f>
        <v>Tổ Hạ tầng Kiến Tường</v>
      </c>
      <c r="C677" s="35" t="str">
        <f ca="1">IFERROR(__xludf.DUMMYFUNCTION("""COMPUTED_VALUE"""),"Bùi Hoàng Tường")</f>
        <v>Bùi Hoàng Tường</v>
      </c>
      <c r="D677" s="35">
        <f ca="1">IFERROR(__xludf.DUMMYFUNCTION("""COMPUTED_VALUE"""),916659889)</f>
        <v>916659889</v>
      </c>
      <c r="E677" s="35" t="str">
        <f ca="1">IFERROR(__xludf.DUMMYFUNCTION("""COMPUTED_VALUE"""),"tuongbh.lan@vnpt.vn")</f>
        <v>tuongbh.lan@vnpt.vn</v>
      </c>
      <c r="F677" s="540" t="str">
        <f ca="1">IFERROR(__xludf.DUMMYFUNCTION("""COMPUTED_VALUE"""),"Lần 15")</f>
        <v>Lần 15</v>
      </c>
      <c r="G677" s="278"/>
      <c r="H677" s="35"/>
      <c r="I677" s="35"/>
      <c r="J677" s="541"/>
      <c r="K677" s="541"/>
      <c r="M677" s="539">
        <f ca="1">IFERROR(__xludf.DUMMYFUNCTION("""COMPUTED_VALUE"""),0)</f>
        <v>0</v>
      </c>
      <c r="N677" s="539">
        <f ca="1">IFERROR(__xludf.DUMMYFUNCTION("""COMPUTED_VALUE"""),0)</f>
        <v>0</v>
      </c>
      <c r="O677" s="539">
        <f ca="1">IFERROR(__xludf.DUMMYFUNCTION("""COMPUTED_VALUE"""),0)</f>
        <v>0</v>
      </c>
    </row>
    <row r="678" spans="1:15" ht="12.75">
      <c r="A678" s="539">
        <f ca="1"/>
        <v>672</v>
      </c>
      <c r="B678" s="35" t="str">
        <f ca="1">IFERROR(__xludf.DUMMYFUNCTION("""COMPUTED_VALUE"""),"Tổ Hạ tầng Kiến Tường")</f>
        <v>Tổ Hạ tầng Kiến Tường</v>
      </c>
      <c r="C678" s="35" t="str">
        <f ca="1">IFERROR(__xludf.DUMMYFUNCTION("""COMPUTED_VALUE"""),"Bùi Hoàng Tường")</f>
        <v>Bùi Hoàng Tường</v>
      </c>
      <c r="D678" s="35">
        <f ca="1">IFERROR(__xludf.DUMMYFUNCTION("""COMPUTED_VALUE"""),916659889)</f>
        <v>916659889</v>
      </c>
      <c r="E678" s="35" t="str">
        <f ca="1">IFERROR(__xludf.DUMMYFUNCTION("""COMPUTED_VALUE"""),"tuongbh.lan@vnpt.vn")</f>
        <v>tuongbh.lan@vnpt.vn</v>
      </c>
      <c r="F678" s="540" t="str">
        <f ca="1">IFERROR(__xludf.DUMMYFUNCTION("""COMPUTED_VALUE"""),"Lần 16")</f>
        <v>Lần 16</v>
      </c>
      <c r="G678" s="278"/>
      <c r="H678" s="35"/>
      <c r="I678" s="35"/>
      <c r="J678" s="541"/>
      <c r="K678" s="541"/>
      <c r="M678" s="539">
        <f ca="1">IFERROR(__xludf.DUMMYFUNCTION("""COMPUTED_VALUE"""),0)</f>
        <v>0</v>
      </c>
      <c r="N678" s="539">
        <f ca="1">IFERROR(__xludf.DUMMYFUNCTION("""COMPUTED_VALUE"""),0)</f>
        <v>0</v>
      </c>
      <c r="O678" s="539">
        <f ca="1">IFERROR(__xludf.DUMMYFUNCTION("""COMPUTED_VALUE"""),0)</f>
        <v>0</v>
      </c>
    </row>
    <row r="679" spans="1:15" ht="12.75">
      <c r="A679" s="539">
        <f ca="1"/>
        <v>673</v>
      </c>
      <c r="B679" s="35" t="str">
        <f ca="1">IFERROR(__xludf.DUMMYFUNCTION("""COMPUTED_VALUE"""),"Tổ Hạ tầng Kiến Tường")</f>
        <v>Tổ Hạ tầng Kiến Tường</v>
      </c>
      <c r="C679" s="35" t="str">
        <f ca="1">IFERROR(__xludf.DUMMYFUNCTION("""COMPUTED_VALUE"""),"Trần Thuận Thiên")</f>
        <v>Trần Thuận Thiên</v>
      </c>
      <c r="D679" s="543" t="str">
        <f ca="1">IFERROR(__xludf.DUMMYFUNCTION("""COMPUTED_VALUE"""),"0916186172")</f>
        <v>0916186172</v>
      </c>
      <c r="E679" s="35" t="str">
        <f ca="1">IFERROR(__xludf.DUMMYFUNCTION("""COMPUTED_VALUE"""),"thientt.tnh@vnpt.vn")</f>
        <v>thientt.tnh@vnpt.vn</v>
      </c>
      <c r="F679" s="540" t="str">
        <f ca="1">IFERROR(__xludf.DUMMYFUNCTION("""COMPUTED_VALUE"""),"Lần 1")</f>
        <v>Lần 1</v>
      </c>
      <c r="G679" s="278">
        <f ca="1">IFERROR(__xludf.DUMMYFUNCTION("""COMPUTED_VALUE"""),46212)</f>
        <v>46212</v>
      </c>
      <c r="H679" s="35">
        <f ca="1">IFERROR(__xludf.DUMMYFUNCTION("""COMPUTED_VALUE"""),140)</f>
        <v>140</v>
      </c>
      <c r="I679" s="35">
        <f ca="1">IFERROR(__xludf.DUMMYFUNCTION("""COMPUTED_VALUE"""),63.5)</f>
        <v>63.5</v>
      </c>
      <c r="J679" s="35">
        <f ca="1">IFERROR(__xludf.DUMMYFUNCTION("""COMPUTED_VALUE"""),139)</f>
        <v>139</v>
      </c>
      <c r="K679" s="35">
        <f ca="1">IFERROR(__xludf.DUMMYFUNCTION("""COMPUTED_VALUE"""),48.7)</f>
        <v>48.7</v>
      </c>
      <c r="M679" s="539">
        <f ca="1">IFERROR(__xludf.DUMMYFUNCTION("""COMPUTED_VALUE"""),1)</f>
        <v>1</v>
      </c>
      <c r="N679" s="539">
        <f ca="1">IFERROR(__xludf.DUMMYFUNCTION("""COMPUTED_VALUE"""),1)</f>
        <v>1</v>
      </c>
      <c r="O679" s="539">
        <f ca="1">IFERROR(__xludf.DUMMYFUNCTION("""COMPUTED_VALUE"""),0)</f>
        <v>0</v>
      </c>
    </row>
    <row r="680" spans="1:15" ht="12.75">
      <c r="A680" s="539">
        <f ca="1"/>
        <v>674</v>
      </c>
      <c r="B680" s="35" t="str">
        <f ca="1">IFERROR(__xludf.DUMMYFUNCTION("""COMPUTED_VALUE"""),"Tổ Hạ tầng Kiến Tường")</f>
        <v>Tổ Hạ tầng Kiến Tường</v>
      </c>
      <c r="C680" s="35" t="str">
        <f ca="1">IFERROR(__xludf.DUMMYFUNCTION("""COMPUTED_VALUE"""),"Trần Thuận Thiên")</f>
        <v>Trần Thuận Thiên</v>
      </c>
      <c r="D680" s="543" t="str">
        <f ca="1">IFERROR(__xludf.DUMMYFUNCTION("""COMPUTED_VALUE"""),"0916186172")</f>
        <v>0916186172</v>
      </c>
      <c r="E680" s="35" t="str">
        <f ca="1">IFERROR(__xludf.DUMMYFUNCTION("""COMPUTED_VALUE"""),"thientt.tnh@vnpt.vn")</f>
        <v>thientt.tnh@vnpt.vn</v>
      </c>
      <c r="F680" s="540" t="str">
        <f ca="1">IFERROR(__xludf.DUMMYFUNCTION("""COMPUTED_VALUE"""),"Lần 2")</f>
        <v>Lần 2</v>
      </c>
      <c r="G680" s="278">
        <f ca="1">IFERROR(__xludf.DUMMYFUNCTION("""COMPUTED_VALUE"""),46212)</f>
        <v>46212</v>
      </c>
      <c r="H680" s="35">
        <f ca="1">IFERROR(__xludf.DUMMYFUNCTION("""COMPUTED_VALUE"""),156)</f>
        <v>156</v>
      </c>
      <c r="I680" s="35">
        <f ca="1">IFERROR(__xludf.DUMMYFUNCTION("""COMPUTED_VALUE"""),59.8)</f>
        <v>59.8</v>
      </c>
      <c r="J680" s="35">
        <f ca="1">IFERROR(__xludf.DUMMYFUNCTION("""COMPUTED_VALUE"""),130)</f>
        <v>130</v>
      </c>
      <c r="K680" s="35">
        <f ca="1">IFERROR(__xludf.DUMMYFUNCTION("""COMPUTED_VALUE"""),49.2)</f>
        <v>49.2</v>
      </c>
      <c r="M680" s="539">
        <f ca="1">IFERROR(__xludf.DUMMYFUNCTION("""COMPUTED_VALUE"""),1)</f>
        <v>1</v>
      </c>
      <c r="N680" s="539">
        <f ca="1">IFERROR(__xludf.DUMMYFUNCTION("""COMPUTED_VALUE"""),1)</f>
        <v>1</v>
      </c>
      <c r="O680" s="539">
        <f ca="1">IFERROR(__xludf.DUMMYFUNCTION("""COMPUTED_VALUE"""),0)</f>
        <v>0</v>
      </c>
    </row>
    <row r="681" spans="1:15" ht="12.75">
      <c r="A681" s="539">
        <f ca="1"/>
        <v>675</v>
      </c>
      <c r="B681" s="35" t="str">
        <f ca="1">IFERROR(__xludf.DUMMYFUNCTION("""COMPUTED_VALUE"""),"Tổ Hạ tầng Kiến Tường")</f>
        <v>Tổ Hạ tầng Kiến Tường</v>
      </c>
      <c r="C681" s="35" t="str">
        <f ca="1">IFERROR(__xludf.DUMMYFUNCTION("""COMPUTED_VALUE"""),"Trần Thuận Thiên")</f>
        <v>Trần Thuận Thiên</v>
      </c>
      <c r="D681" s="543" t="str">
        <f ca="1">IFERROR(__xludf.DUMMYFUNCTION("""COMPUTED_VALUE"""),"0916186172")</f>
        <v>0916186172</v>
      </c>
      <c r="E681" s="35" t="str">
        <f ca="1">IFERROR(__xludf.DUMMYFUNCTION("""COMPUTED_VALUE"""),"thientt.tnh@vnpt.vn")</f>
        <v>thientt.tnh@vnpt.vn</v>
      </c>
      <c r="F681" s="540" t="str">
        <f ca="1">IFERROR(__xludf.DUMMYFUNCTION("""COMPUTED_VALUE"""),"Lần 3")</f>
        <v>Lần 3</v>
      </c>
      <c r="G681" s="278">
        <f ca="1">IFERROR(__xludf.DUMMYFUNCTION("""COMPUTED_VALUE"""),46212)</f>
        <v>46212</v>
      </c>
      <c r="H681" s="35">
        <f ca="1">IFERROR(__xludf.DUMMYFUNCTION("""COMPUTED_VALUE"""),134)</f>
        <v>134</v>
      </c>
      <c r="I681" s="35">
        <f ca="1">IFERROR(__xludf.DUMMYFUNCTION("""COMPUTED_VALUE"""),59.5)</f>
        <v>59.5</v>
      </c>
      <c r="J681" s="35">
        <f ca="1">IFERROR(__xludf.DUMMYFUNCTION("""COMPUTED_VALUE"""),130)</f>
        <v>130</v>
      </c>
      <c r="K681" s="35">
        <f ca="1">IFERROR(__xludf.DUMMYFUNCTION("""COMPUTED_VALUE"""),51.6)</f>
        <v>51.6</v>
      </c>
      <c r="M681" s="539">
        <f ca="1">IFERROR(__xludf.DUMMYFUNCTION("""COMPUTED_VALUE"""),1)</f>
        <v>1</v>
      </c>
      <c r="N681" s="539">
        <f ca="1">IFERROR(__xludf.DUMMYFUNCTION("""COMPUTED_VALUE"""),1)</f>
        <v>1</v>
      </c>
      <c r="O681" s="539">
        <f ca="1">IFERROR(__xludf.DUMMYFUNCTION("""COMPUTED_VALUE"""),0)</f>
        <v>0</v>
      </c>
    </row>
    <row r="682" spans="1:15" ht="12.75">
      <c r="A682" s="539">
        <f ca="1"/>
        <v>676</v>
      </c>
      <c r="B682" s="35" t="str">
        <f ca="1">IFERROR(__xludf.DUMMYFUNCTION("""COMPUTED_VALUE"""),"Tổ Hạ tầng Kiến Tường")</f>
        <v>Tổ Hạ tầng Kiến Tường</v>
      </c>
      <c r="C682" s="35" t="str">
        <f ca="1">IFERROR(__xludf.DUMMYFUNCTION("""COMPUTED_VALUE"""),"Trần Thuận Thiên")</f>
        <v>Trần Thuận Thiên</v>
      </c>
      <c r="D682" s="543" t="str">
        <f ca="1">IFERROR(__xludf.DUMMYFUNCTION("""COMPUTED_VALUE"""),"0916186172")</f>
        <v>0916186172</v>
      </c>
      <c r="E682" s="35" t="str">
        <f ca="1">IFERROR(__xludf.DUMMYFUNCTION("""COMPUTED_VALUE"""),"thientt.tnh@vnpt.vn")</f>
        <v>thientt.tnh@vnpt.vn</v>
      </c>
      <c r="F682" s="540" t="str">
        <f ca="1">IFERROR(__xludf.DUMMYFUNCTION("""COMPUTED_VALUE"""),"Lần 4")</f>
        <v>Lần 4</v>
      </c>
      <c r="G682" s="278">
        <f ca="1">IFERROR(__xludf.DUMMYFUNCTION("""COMPUTED_VALUE"""),46212)</f>
        <v>46212</v>
      </c>
      <c r="H682" s="35">
        <f ca="1">IFERROR(__xludf.DUMMYFUNCTION("""COMPUTED_VALUE"""),139)</f>
        <v>139</v>
      </c>
      <c r="I682" s="35">
        <f ca="1">IFERROR(__xludf.DUMMYFUNCTION("""COMPUTED_VALUE"""),57.6)</f>
        <v>57.6</v>
      </c>
      <c r="J682" s="35">
        <f ca="1">IFERROR(__xludf.DUMMYFUNCTION("""COMPUTED_VALUE"""),132)</f>
        <v>132</v>
      </c>
      <c r="K682" s="35">
        <f ca="1">IFERROR(__xludf.DUMMYFUNCTION("""COMPUTED_VALUE"""),50.8)</f>
        <v>50.8</v>
      </c>
      <c r="M682" s="539">
        <f ca="1">IFERROR(__xludf.DUMMYFUNCTION("""COMPUTED_VALUE"""),1)</f>
        <v>1</v>
      </c>
      <c r="N682" s="539">
        <f ca="1">IFERROR(__xludf.DUMMYFUNCTION("""COMPUTED_VALUE"""),1)</f>
        <v>1</v>
      </c>
      <c r="O682" s="539">
        <f ca="1">IFERROR(__xludf.DUMMYFUNCTION("""COMPUTED_VALUE"""),0)</f>
        <v>0</v>
      </c>
    </row>
    <row r="683" spans="1:15" ht="12.75">
      <c r="A683" s="539">
        <f ca="1"/>
        <v>677</v>
      </c>
      <c r="B683" s="35" t="str">
        <f ca="1">IFERROR(__xludf.DUMMYFUNCTION("""COMPUTED_VALUE"""),"Tổ Hạ tầng Kiến Tường")</f>
        <v>Tổ Hạ tầng Kiến Tường</v>
      </c>
      <c r="C683" s="35" t="str">
        <f ca="1">IFERROR(__xludf.DUMMYFUNCTION("""COMPUTED_VALUE"""),"Trần Thuận Thiên")</f>
        <v>Trần Thuận Thiên</v>
      </c>
      <c r="D683" s="543" t="str">
        <f ca="1">IFERROR(__xludf.DUMMYFUNCTION("""COMPUTED_VALUE"""),"0916186172")</f>
        <v>0916186172</v>
      </c>
      <c r="E683" s="35" t="str">
        <f ca="1">IFERROR(__xludf.DUMMYFUNCTION("""COMPUTED_VALUE"""),"thientt.tnh@vnpt.vn")</f>
        <v>thientt.tnh@vnpt.vn</v>
      </c>
      <c r="F683" s="540" t="str">
        <f ca="1">IFERROR(__xludf.DUMMYFUNCTION("""COMPUTED_VALUE"""),"Lần 5")</f>
        <v>Lần 5</v>
      </c>
      <c r="G683" s="278">
        <f ca="1">IFERROR(__xludf.DUMMYFUNCTION("""COMPUTED_VALUE"""),46212)</f>
        <v>46212</v>
      </c>
      <c r="H683" s="35">
        <f ca="1">IFERROR(__xludf.DUMMYFUNCTION("""COMPUTED_VALUE"""),128)</f>
        <v>128</v>
      </c>
      <c r="I683" s="35">
        <f ca="1">IFERROR(__xludf.DUMMYFUNCTION("""COMPUTED_VALUE"""),59.8)</f>
        <v>59.8</v>
      </c>
      <c r="J683" s="35">
        <f ca="1">IFERROR(__xludf.DUMMYFUNCTION("""COMPUTED_VALUE"""),144)</f>
        <v>144</v>
      </c>
      <c r="K683" s="35">
        <f ca="1">IFERROR(__xludf.DUMMYFUNCTION("""COMPUTED_VALUE"""),54)</f>
        <v>54</v>
      </c>
      <c r="M683" s="539">
        <f ca="1">IFERROR(__xludf.DUMMYFUNCTION("""COMPUTED_VALUE"""),1)</f>
        <v>1</v>
      </c>
      <c r="N683" s="539">
        <f ca="1">IFERROR(__xludf.DUMMYFUNCTION("""COMPUTED_VALUE"""),1)</f>
        <v>1</v>
      </c>
      <c r="O683" s="539">
        <f ca="1">IFERROR(__xludf.DUMMYFUNCTION("""COMPUTED_VALUE"""),0)</f>
        <v>0</v>
      </c>
    </row>
    <row r="684" spans="1:15" ht="12.75">
      <c r="A684" s="539">
        <f ca="1"/>
        <v>678</v>
      </c>
      <c r="B684" s="35" t="str">
        <f ca="1">IFERROR(__xludf.DUMMYFUNCTION("""COMPUTED_VALUE"""),"Tổ Hạ tầng Kiến Tường")</f>
        <v>Tổ Hạ tầng Kiến Tường</v>
      </c>
      <c r="C684" s="35" t="str">
        <f ca="1">IFERROR(__xludf.DUMMYFUNCTION("""COMPUTED_VALUE"""),"Trần Thuận Thiên")</f>
        <v>Trần Thuận Thiên</v>
      </c>
      <c r="D684" s="543" t="str">
        <f ca="1">IFERROR(__xludf.DUMMYFUNCTION("""COMPUTED_VALUE"""),"0916186172")</f>
        <v>0916186172</v>
      </c>
      <c r="E684" s="35" t="str">
        <f ca="1">IFERROR(__xludf.DUMMYFUNCTION("""COMPUTED_VALUE"""),"thientt.tnh@vnpt.vn")</f>
        <v>thientt.tnh@vnpt.vn</v>
      </c>
      <c r="F684" s="540" t="str">
        <f ca="1">IFERROR(__xludf.DUMMYFUNCTION("""COMPUTED_VALUE"""),"Lần 6")</f>
        <v>Lần 6</v>
      </c>
      <c r="G684" s="278">
        <f ca="1">IFERROR(__xludf.DUMMYFUNCTION("""COMPUTED_VALUE"""),46212)</f>
        <v>46212</v>
      </c>
      <c r="H684" s="35">
        <f ca="1">IFERROR(__xludf.DUMMYFUNCTION("""COMPUTED_VALUE"""),137)</f>
        <v>137</v>
      </c>
      <c r="I684" s="35">
        <f ca="1">IFERROR(__xludf.DUMMYFUNCTION("""COMPUTED_VALUE"""),58.2)</f>
        <v>58.2</v>
      </c>
      <c r="J684" s="35">
        <f ca="1">IFERROR(__xludf.DUMMYFUNCTION("""COMPUTED_VALUE"""),128)</f>
        <v>128</v>
      </c>
      <c r="K684" s="35">
        <f ca="1">IFERROR(__xludf.DUMMYFUNCTION("""COMPUTED_VALUE"""),58.4)</f>
        <v>58.4</v>
      </c>
      <c r="M684" s="539">
        <f ca="1">IFERROR(__xludf.DUMMYFUNCTION("""COMPUTED_VALUE"""),1)</f>
        <v>1</v>
      </c>
      <c r="N684" s="539">
        <f ca="1">IFERROR(__xludf.DUMMYFUNCTION("""COMPUTED_VALUE"""),1)</f>
        <v>1</v>
      </c>
      <c r="O684" s="539">
        <f ca="1">IFERROR(__xludf.DUMMYFUNCTION("""COMPUTED_VALUE"""),0)</f>
        <v>0</v>
      </c>
    </row>
    <row r="685" spans="1:15" ht="12.75">
      <c r="A685" s="539">
        <f ca="1"/>
        <v>679</v>
      </c>
      <c r="B685" s="35" t="str">
        <f ca="1">IFERROR(__xludf.DUMMYFUNCTION("""COMPUTED_VALUE"""),"Tổ Hạ tầng Kiến Tường")</f>
        <v>Tổ Hạ tầng Kiến Tường</v>
      </c>
      <c r="C685" s="35" t="str">
        <f ca="1">IFERROR(__xludf.DUMMYFUNCTION("""COMPUTED_VALUE"""),"Trần Thuận Thiên")</f>
        <v>Trần Thuận Thiên</v>
      </c>
      <c r="D685" s="543" t="str">
        <f ca="1">IFERROR(__xludf.DUMMYFUNCTION("""COMPUTED_VALUE"""),"0916186172")</f>
        <v>0916186172</v>
      </c>
      <c r="E685" s="35" t="str">
        <f ca="1">IFERROR(__xludf.DUMMYFUNCTION("""COMPUTED_VALUE"""),"thientt.tnh@vnpt.vn")</f>
        <v>thientt.tnh@vnpt.vn</v>
      </c>
      <c r="F685" s="540" t="str">
        <f ca="1">IFERROR(__xludf.DUMMYFUNCTION("""COMPUTED_VALUE"""),"Lần 7")</f>
        <v>Lần 7</v>
      </c>
      <c r="G685" s="278">
        <f ca="1">IFERROR(__xludf.DUMMYFUNCTION("""COMPUTED_VALUE"""),46212)</f>
        <v>46212</v>
      </c>
      <c r="H685" s="35">
        <f ca="1">IFERROR(__xludf.DUMMYFUNCTION("""COMPUTED_VALUE"""),121)</f>
        <v>121</v>
      </c>
      <c r="I685" s="35">
        <f ca="1">IFERROR(__xludf.DUMMYFUNCTION("""COMPUTED_VALUE"""),58.7)</f>
        <v>58.7</v>
      </c>
      <c r="J685" s="35">
        <f ca="1">IFERROR(__xludf.DUMMYFUNCTION("""COMPUTED_VALUE"""),135)</f>
        <v>135</v>
      </c>
      <c r="K685" s="35">
        <f ca="1">IFERROR(__xludf.DUMMYFUNCTION("""COMPUTED_VALUE"""),55.5)</f>
        <v>55.5</v>
      </c>
      <c r="M685" s="539">
        <f ca="1">IFERROR(__xludf.DUMMYFUNCTION("""COMPUTED_VALUE"""),1)</f>
        <v>1</v>
      </c>
      <c r="N685" s="539">
        <f ca="1">IFERROR(__xludf.DUMMYFUNCTION("""COMPUTED_VALUE"""),1)</f>
        <v>1</v>
      </c>
      <c r="O685" s="539">
        <f ca="1">IFERROR(__xludf.DUMMYFUNCTION("""COMPUTED_VALUE"""),0)</f>
        <v>0</v>
      </c>
    </row>
    <row r="686" spans="1:15" ht="12.75">
      <c r="A686" s="539">
        <f ca="1"/>
        <v>680</v>
      </c>
      <c r="B686" s="35" t="str">
        <f ca="1">IFERROR(__xludf.DUMMYFUNCTION("""COMPUTED_VALUE"""),"Tổ Hạ tầng Kiến Tường")</f>
        <v>Tổ Hạ tầng Kiến Tường</v>
      </c>
      <c r="C686" s="35" t="str">
        <f ca="1">IFERROR(__xludf.DUMMYFUNCTION("""COMPUTED_VALUE"""),"Trần Thuận Thiên")</f>
        <v>Trần Thuận Thiên</v>
      </c>
      <c r="D686" s="543" t="str">
        <f ca="1">IFERROR(__xludf.DUMMYFUNCTION("""COMPUTED_VALUE"""),"0916186172")</f>
        <v>0916186172</v>
      </c>
      <c r="E686" s="35" t="str">
        <f ca="1">IFERROR(__xludf.DUMMYFUNCTION("""COMPUTED_VALUE"""),"thientt.tnh@vnpt.vn")</f>
        <v>thientt.tnh@vnpt.vn</v>
      </c>
      <c r="F686" s="540" t="str">
        <f ca="1">IFERROR(__xludf.DUMMYFUNCTION("""COMPUTED_VALUE"""),"Lần 8")</f>
        <v>Lần 8</v>
      </c>
      <c r="G686" s="278">
        <f ca="1">IFERROR(__xludf.DUMMYFUNCTION("""COMPUTED_VALUE"""),46212)</f>
        <v>46212</v>
      </c>
      <c r="H686" s="35">
        <f ca="1">IFERROR(__xludf.DUMMYFUNCTION("""COMPUTED_VALUE"""),130)</f>
        <v>130</v>
      </c>
      <c r="I686" s="35">
        <f ca="1">IFERROR(__xludf.DUMMYFUNCTION("""COMPUTED_VALUE"""),57.4)</f>
        <v>57.4</v>
      </c>
      <c r="J686" s="35">
        <f ca="1">IFERROR(__xludf.DUMMYFUNCTION("""COMPUTED_VALUE"""),137)</f>
        <v>137</v>
      </c>
      <c r="K686" s="35">
        <f ca="1">IFERROR(__xludf.DUMMYFUNCTION("""COMPUTED_VALUE"""),56.3)</f>
        <v>56.3</v>
      </c>
      <c r="M686" s="539">
        <f ca="1">IFERROR(__xludf.DUMMYFUNCTION("""COMPUTED_VALUE"""),1)</f>
        <v>1</v>
      </c>
      <c r="N686" s="539">
        <f ca="1">IFERROR(__xludf.DUMMYFUNCTION("""COMPUTED_VALUE"""),1)</f>
        <v>1</v>
      </c>
      <c r="O686" s="539">
        <f ca="1">IFERROR(__xludf.DUMMYFUNCTION("""COMPUTED_VALUE"""),0)</f>
        <v>0</v>
      </c>
    </row>
    <row r="687" spans="1:15" ht="12.75">
      <c r="A687" s="539">
        <f ca="1"/>
        <v>681</v>
      </c>
      <c r="B687" s="35" t="str">
        <f ca="1">IFERROR(__xludf.DUMMYFUNCTION("""COMPUTED_VALUE"""),"Tổ Hạ tầng Kiến Tường")</f>
        <v>Tổ Hạ tầng Kiến Tường</v>
      </c>
      <c r="C687" s="35" t="str">
        <f ca="1">IFERROR(__xludf.DUMMYFUNCTION("""COMPUTED_VALUE"""),"Trần Thuận Thiên")</f>
        <v>Trần Thuận Thiên</v>
      </c>
      <c r="D687" s="543" t="str">
        <f ca="1">IFERROR(__xludf.DUMMYFUNCTION("""COMPUTED_VALUE"""),"0916186172")</f>
        <v>0916186172</v>
      </c>
      <c r="E687" s="35" t="str">
        <f ca="1">IFERROR(__xludf.DUMMYFUNCTION("""COMPUTED_VALUE"""),"thientt.tnh@vnpt.vn")</f>
        <v>thientt.tnh@vnpt.vn</v>
      </c>
      <c r="F687" s="540" t="str">
        <f ca="1">IFERROR(__xludf.DUMMYFUNCTION("""COMPUTED_VALUE"""),"Lần 9")</f>
        <v>Lần 9</v>
      </c>
      <c r="G687" s="278">
        <f ca="1">IFERROR(__xludf.DUMMYFUNCTION("""COMPUTED_VALUE"""),46212)</f>
        <v>46212</v>
      </c>
      <c r="H687" s="35">
        <f ca="1">IFERROR(__xludf.DUMMYFUNCTION("""COMPUTED_VALUE"""),138)</f>
        <v>138</v>
      </c>
      <c r="I687" s="35">
        <f ca="1">IFERROR(__xludf.DUMMYFUNCTION("""COMPUTED_VALUE"""),58.6)</f>
        <v>58.6</v>
      </c>
      <c r="J687" s="35">
        <f ca="1">IFERROR(__xludf.DUMMYFUNCTION("""COMPUTED_VALUE"""),141)</f>
        <v>141</v>
      </c>
      <c r="K687" s="35">
        <f ca="1">IFERROR(__xludf.DUMMYFUNCTION("""COMPUTED_VALUE"""),60.6)</f>
        <v>60.6</v>
      </c>
      <c r="M687" s="539">
        <f ca="1">IFERROR(__xludf.DUMMYFUNCTION("""COMPUTED_VALUE"""),1)</f>
        <v>1</v>
      </c>
      <c r="N687" s="539">
        <f ca="1">IFERROR(__xludf.DUMMYFUNCTION("""COMPUTED_VALUE"""),1)</f>
        <v>1</v>
      </c>
      <c r="O687" s="539">
        <f ca="1">IFERROR(__xludf.DUMMYFUNCTION("""COMPUTED_VALUE"""),0)</f>
        <v>0</v>
      </c>
    </row>
    <row r="688" spans="1:15" ht="12.75">
      <c r="A688" s="539">
        <f ca="1"/>
        <v>682</v>
      </c>
      <c r="B688" s="35" t="str">
        <f ca="1">IFERROR(__xludf.DUMMYFUNCTION("""COMPUTED_VALUE"""),"Tổ Hạ tầng Kiến Tường")</f>
        <v>Tổ Hạ tầng Kiến Tường</v>
      </c>
      <c r="C688" s="35" t="str">
        <f ca="1">IFERROR(__xludf.DUMMYFUNCTION("""COMPUTED_VALUE"""),"Trần Thuận Thiên")</f>
        <v>Trần Thuận Thiên</v>
      </c>
      <c r="D688" s="543" t="str">
        <f ca="1">IFERROR(__xludf.DUMMYFUNCTION("""COMPUTED_VALUE"""),"0916186172")</f>
        <v>0916186172</v>
      </c>
      <c r="E688" s="35" t="str">
        <f ca="1">IFERROR(__xludf.DUMMYFUNCTION("""COMPUTED_VALUE"""),"thientt.tnh@vnpt.vn")</f>
        <v>thientt.tnh@vnpt.vn</v>
      </c>
      <c r="F688" s="540" t="str">
        <f ca="1">IFERROR(__xludf.DUMMYFUNCTION("""COMPUTED_VALUE"""),"Lần 10")</f>
        <v>Lần 10</v>
      </c>
      <c r="G688" s="278">
        <f ca="1">IFERROR(__xludf.DUMMYFUNCTION("""COMPUTED_VALUE"""),46212)</f>
        <v>46212</v>
      </c>
      <c r="H688" s="35">
        <f ca="1">IFERROR(__xludf.DUMMYFUNCTION("""COMPUTED_VALUE"""),133)</f>
        <v>133</v>
      </c>
      <c r="I688" s="35">
        <f ca="1">IFERROR(__xludf.DUMMYFUNCTION("""COMPUTED_VALUE"""),56.5)</f>
        <v>56.5</v>
      </c>
      <c r="J688" s="35">
        <f ca="1">IFERROR(__xludf.DUMMYFUNCTION("""COMPUTED_VALUE"""),145)</f>
        <v>145</v>
      </c>
      <c r="K688" s="35">
        <f ca="1">IFERROR(__xludf.DUMMYFUNCTION("""COMPUTED_VALUE"""),57.6)</f>
        <v>57.6</v>
      </c>
      <c r="M688" s="539">
        <f ca="1">IFERROR(__xludf.DUMMYFUNCTION("""COMPUTED_VALUE"""),1)</f>
        <v>1</v>
      </c>
      <c r="N688" s="539">
        <f ca="1">IFERROR(__xludf.DUMMYFUNCTION("""COMPUTED_VALUE"""),1)</f>
        <v>1</v>
      </c>
      <c r="O688" s="539">
        <f ca="1">IFERROR(__xludf.DUMMYFUNCTION("""COMPUTED_VALUE"""),0)</f>
        <v>0</v>
      </c>
    </row>
    <row r="689" spans="1:15" ht="12.75">
      <c r="A689" s="539">
        <f ca="1"/>
        <v>683</v>
      </c>
      <c r="B689" s="35" t="str">
        <f ca="1">IFERROR(__xludf.DUMMYFUNCTION("""COMPUTED_VALUE"""),"Tổ Hạ tầng Kiến Tường")</f>
        <v>Tổ Hạ tầng Kiến Tường</v>
      </c>
      <c r="C689" s="35" t="str">
        <f ca="1">IFERROR(__xludf.DUMMYFUNCTION("""COMPUTED_VALUE"""),"Trần Thuận Thiên")</f>
        <v>Trần Thuận Thiên</v>
      </c>
      <c r="D689" s="543" t="str">
        <f ca="1">IFERROR(__xludf.DUMMYFUNCTION("""COMPUTED_VALUE"""),"0916186172")</f>
        <v>0916186172</v>
      </c>
      <c r="E689" s="35" t="str">
        <f ca="1">IFERROR(__xludf.DUMMYFUNCTION("""COMPUTED_VALUE"""),"thientt.tnh@vnpt.vn")</f>
        <v>thientt.tnh@vnpt.vn</v>
      </c>
      <c r="F689" s="540" t="str">
        <f ca="1">IFERROR(__xludf.DUMMYFUNCTION("""COMPUTED_VALUE"""),"Lần 11")</f>
        <v>Lần 11</v>
      </c>
      <c r="G689" s="278">
        <f ca="1">IFERROR(__xludf.DUMMYFUNCTION("""COMPUTED_VALUE"""),46212)</f>
        <v>46212</v>
      </c>
      <c r="H689" s="35">
        <f ca="1">IFERROR(__xludf.DUMMYFUNCTION("""COMPUTED_VALUE"""),137)</f>
        <v>137</v>
      </c>
      <c r="I689" s="35">
        <f ca="1">IFERROR(__xludf.DUMMYFUNCTION("""COMPUTED_VALUE"""),58.2)</f>
        <v>58.2</v>
      </c>
      <c r="J689" s="35">
        <f ca="1">IFERROR(__xludf.DUMMYFUNCTION("""COMPUTED_VALUE"""),137)</f>
        <v>137</v>
      </c>
      <c r="K689" s="35">
        <f ca="1">IFERROR(__xludf.DUMMYFUNCTION("""COMPUTED_VALUE"""),54)</f>
        <v>54</v>
      </c>
      <c r="M689" s="539">
        <f ca="1">IFERROR(__xludf.DUMMYFUNCTION("""COMPUTED_VALUE"""),1)</f>
        <v>1</v>
      </c>
      <c r="N689" s="539">
        <f ca="1">IFERROR(__xludf.DUMMYFUNCTION("""COMPUTED_VALUE"""),1)</f>
        <v>1</v>
      </c>
      <c r="O689" s="539">
        <f ca="1">IFERROR(__xludf.DUMMYFUNCTION("""COMPUTED_VALUE"""),0)</f>
        <v>0</v>
      </c>
    </row>
    <row r="690" spans="1:15" ht="12.75">
      <c r="A690" s="539">
        <f ca="1"/>
        <v>684</v>
      </c>
      <c r="B690" s="35" t="str">
        <f ca="1">IFERROR(__xludf.DUMMYFUNCTION("""COMPUTED_VALUE"""),"Tổ Hạ tầng Kiến Tường")</f>
        <v>Tổ Hạ tầng Kiến Tường</v>
      </c>
      <c r="C690" s="35" t="str">
        <f ca="1">IFERROR(__xludf.DUMMYFUNCTION("""COMPUTED_VALUE"""),"Trần Thuận Thiên")</f>
        <v>Trần Thuận Thiên</v>
      </c>
      <c r="D690" s="543" t="str">
        <f ca="1">IFERROR(__xludf.DUMMYFUNCTION("""COMPUTED_VALUE"""),"0916186172")</f>
        <v>0916186172</v>
      </c>
      <c r="E690" s="35" t="str">
        <f ca="1">IFERROR(__xludf.DUMMYFUNCTION("""COMPUTED_VALUE"""),"thientt.tnh@vnpt.vn")</f>
        <v>thientt.tnh@vnpt.vn</v>
      </c>
      <c r="F690" s="540" t="str">
        <f ca="1">IFERROR(__xludf.DUMMYFUNCTION("""COMPUTED_VALUE"""),"Lần 12")</f>
        <v>Lần 12</v>
      </c>
      <c r="G690" s="278">
        <f ca="1">IFERROR(__xludf.DUMMYFUNCTION("""COMPUTED_VALUE"""),46212)</f>
        <v>46212</v>
      </c>
      <c r="H690" s="35">
        <f ca="1">IFERROR(__xludf.DUMMYFUNCTION("""COMPUTED_VALUE"""),140)</f>
        <v>140</v>
      </c>
      <c r="I690" s="35">
        <f ca="1">IFERROR(__xludf.DUMMYFUNCTION("""COMPUTED_VALUE"""),57.1)</f>
        <v>57.1</v>
      </c>
      <c r="J690" s="35">
        <f ca="1">IFERROR(__xludf.DUMMYFUNCTION("""COMPUTED_VALUE"""),149)</f>
        <v>149</v>
      </c>
      <c r="K690" s="35">
        <f ca="1">IFERROR(__xludf.DUMMYFUNCTION("""COMPUTED_VALUE"""),60.8)</f>
        <v>60.8</v>
      </c>
      <c r="M690" s="539">
        <f ca="1">IFERROR(__xludf.DUMMYFUNCTION("""COMPUTED_VALUE"""),1)</f>
        <v>1</v>
      </c>
      <c r="N690" s="539">
        <f ca="1">IFERROR(__xludf.DUMMYFUNCTION("""COMPUTED_VALUE"""),1)</f>
        <v>1</v>
      </c>
      <c r="O690" s="539">
        <f ca="1">IFERROR(__xludf.DUMMYFUNCTION("""COMPUTED_VALUE"""),0)</f>
        <v>0</v>
      </c>
    </row>
    <row r="691" spans="1:15" ht="12.75">
      <c r="A691" s="539">
        <f ca="1"/>
        <v>685</v>
      </c>
      <c r="B691" s="35" t="str">
        <f ca="1">IFERROR(__xludf.DUMMYFUNCTION("""COMPUTED_VALUE"""),"Tổ Hạ tầng Kiến Tường")</f>
        <v>Tổ Hạ tầng Kiến Tường</v>
      </c>
      <c r="C691" s="35" t="str">
        <f ca="1">IFERROR(__xludf.DUMMYFUNCTION("""COMPUTED_VALUE"""),"Trần Thuận Thiên")</f>
        <v>Trần Thuận Thiên</v>
      </c>
      <c r="D691" s="543" t="str">
        <f ca="1">IFERROR(__xludf.DUMMYFUNCTION("""COMPUTED_VALUE"""),"0916186172")</f>
        <v>0916186172</v>
      </c>
      <c r="E691" s="35" t="str">
        <f ca="1">IFERROR(__xludf.DUMMYFUNCTION("""COMPUTED_VALUE"""),"thientt.tnh@vnpt.vn")</f>
        <v>thientt.tnh@vnpt.vn</v>
      </c>
      <c r="F691" s="540" t="str">
        <f ca="1">IFERROR(__xludf.DUMMYFUNCTION("""COMPUTED_VALUE"""),"Lần 13")</f>
        <v>Lần 13</v>
      </c>
      <c r="G691" s="278">
        <f ca="1">IFERROR(__xludf.DUMMYFUNCTION("""COMPUTED_VALUE"""),46212)</f>
        <v>46212</v>
      </c>
      <c r="H691" s="35">
        <f ca="1">IFERROR(__xludf.DUMMYFUNCTION("""COMPUTED_VALUE"""),129)</f>
        <v>129</v>
      </c>
      <c r="I691" s="35">
        <f ca="1">IFERROR(__xludf.DUMMYFUNCTION("""COMPUTED_VALUE"""),57.1)</f>
        <v>57.1</v>
      </c>
      <c r="J691" s="35">
        <f ca="1">IFERROR(__xludf.DUMMYFUNCTION("""COMPUTED_VALUE"""),144)</f>
        <v>144</v>
      </c>
      <c r="K691" s="35">
        <f ca="1">IFERROR(__xludf.DUMMYFUNCTION("""COMPUTED_VALUE"""),58.1)</f>
        <v>58.1</v>
      </c>
      <c r="M691" s="539">
        <f ca="1">IFERROR(__xludf.DUMMYFUNCTION("""COMPUTED_VALUE"""),1)</f>
        <v>1</v>
      </c>
      <c r="N691" s="539">
        <f ca="1">IFERROR(__xludf.DUMMYFUNCTION("""COMPUTED_VALUE"""),1)</f>
        <v>1</v>
      </c>
      <c r="O691" s="539">
        <f ca="1">IFERROR(__xludf.DUMMYFUNCTION("""COMPUTED_VALUE"""),0)</f>
        <v>0</v>
      </c>
    </row>
    <row r="692" spans="1:15" ht="12.75">
      <c r="A692" s="539">
        <f ca="1"/>
        <v>686</v>
      </c>
      <c r="B692" s="35" t="str">
        <f ca="1">IFERROR(__xludf.DUMMYFUNCTION("""COMPUTED_VALUE"""),"Tổ Hạ tầng Kiến Tường")</f>
        <v>Tổ Hạ tầng Kiến Tường</v>
      </c>
      <c r="C692" s="35" t="str">
        <f ca="1">IFERROR(__xludf.DUMMYFUNCTION("""COMPUTED_VALUE"""),"Trần Thuận Thiên")</f>
        <v>Trần Thuận Thiên</v>
      </c>
      <c r="D692" s="543" t="str">
        <f ca="1">IFERROR(__xludf.DUMMYFUNCTION("""COMPUTED_VALUE"""),"0916186172")</f>
        <v>0916186172</v>
      </c>
      <c r="E692" s="35" t="str">
        <f ca="1">IFERROR(__xludf.DUMMYFUNCTION("""COMPUTED_VALUE"""),"thientt.tnh@vnpt.vn")</f>
        <v>thientt.tnh@vnpt.vn</v>
      </c>
      <c r="F692" s="540" t="str">
        <f ca="1">IFERROR(__xludf.DUMMYFUNCTION("""COMPUTED_VALUE"""),"Lần 14")</f>
        <v>Lần 14</v>
      </c>
      <c r="G692" s="278">
        <f ca="1">IFERROR(__xludf.DUMMYFUNCTION("""COMPUTED_VALUE"""),46212)</f>
        <v>46212</v>
      </c>
      <c r="H692" s="35">
        <f ca="1">IFERROR(__xludf.DUMMYFUNCTION("""COMPUTED_VALUE"""),137)</f>
        <v>137</v>
      </c>
      <c r="I692" s="35">
        <f ca="1">IFERROR(__xludf.DUMMYFUNCTION("""COMPUTED_VALUE"""),56.9)</f>
        <v>56.9</v>
      </c>
      <c r="J692" s="35">
        <f ca="1">IFERROR(__xludf.DUMMYFUNCTION("""COMPUTED_VALUE"""),133)</f>
        <v>133</v>
      </c>
      <c r="K692" s="35">
        <f ca="1">IFERROR(__xludf.DUMMYFUNCTION("""COMPUTED_VALUE"""),60.9)</f>
        <v>60.9</v>
      </c>
      <c r="M692" s="539">
        <f ca="1">IFERROR(__xludf.DUMMYFUNCTION("""COMPUTED_VALUE"""),1)</f>
        <v>1</v>
      </c>
      <c r="N692" s="539">
        <f ca="1">IFERROR(__xludf.DUMMYFUNCTION("""COMPUTED_VALUE"""),1)</f>
        <v>1</v>
      </c>
      <c r="O692" s="539">
        <f ca="1">IFERROR(__xludf.DUMMYFUNCTION("""COMPUTED_VALUE"""),0)</f>
        <v>0</v>
      </c>
    </row>
    <row r="693" spans="1:15" ht="12.75">
      <c r="A693" s="539">
        <f ca="1"/>
        <v>687</v>
      </c>
      <c r="B693" s="35" t="str">
        <f ca="1">IFERROR(__xludf.DUMMYFUNCTION("""COMPUTED_VALUE"""),"Tổ Hạ tầng Kiến Tường")</f>
        <v>Tổ Hạ tầng Kiến Tường</v>
      </c>
      <c r="C693" s="35" t="str">
        <f ca="1">IFERROR(__xludf.DUMMYFUNCTION("""COMPUTED_VALUE"""),"Trần Thuận Thiên")</f>
        <v>Trần Thuận Thiên</v>
      </c>
      <c r="D693" s="543" t="str">
        <f ca="1">IFERROR(__xludf.DUMMYFUNCTION("""COMPUTED_VALUE"""),"0916186172")</f>
        <v>0916186172</v>
      </c>
      <c r="E693" s="35" t="str">
        <f ca="1">IFERROR(__xludf.DUMMYFUNCTION("""COMPUTED_VALUE"""),"thientt.tnh@vnpt.vn")</f>
        <v>thientt.tnh@vnpt.vn</v>
      </c>
      <c r="F693" s="540" t="str">
        <f ca="1">IFERROR(__xludf.DUMMYFUNCTION("""COMPUTED_VALUE"""),"Lần 15")</f>
        <v>Lần 15</v>
      </c>
      <c r="G693" s="278">
        <f ca="1">IFERROR(__xludf.DUMMYFUNCTION("""COMPUTED_VALUE"""),46212)</f>
        <v>46212</v>
      </c>
      <c r="H693" s="35">
        <f ca="1">IFERROR(__xludf.DUMMYFUNCTION("""COMPUTED_VALUE"""),142)</f>
        <v>142</v>
      </c>
      <c r="I693" s="35">
        <f ca="1">IFERROR(__xludf.DUMMYFUNCTION("""COMPUTED_VALUE"""),60.2)</f>
        <v>60.2</v>
      </c>
      <c r="J693" s="35">
        <f ca="1">IFERROR(__xludf.DUMMYFUNCTION("""COMPUTED_VALUE"""),120)</f>
        <v>120</v>
      </c>
      <c r="K693" s="35">
        <f ca="1">IFERROR(__xludf.DUMMYFUNCTION("""COMPUTED_VALUE"""),56.8)</f>
        <v>56.8</v>
      </c>
      <c r="M693" s="539">
        <f ca="1">IFERROR(__xludf.DUMMYFUNCTION("""COMPUTED_VALUE"""),1)</f>
        <v>1</v>
      </c>
      <c r="N693" s="539">
        <f ca="1">IFERROR(__xludf.DUMMYFUNCTION("""COMPUTED_VALUE"""),1)</f>
        <v>1</v>
      </c>
      <c r="O693" s="539">
        <f ca="1">IFERROR(__xludf.DUMMYFUNCTION("""COMPUTED_VALUE"""),0)</f>
        <v>0</v>
      </c>
    </row>
    <row r="694" spans="1:15" ht="12.75">
      <c r="A694" s="539">
        <f ca="1"/>
        <v>688</v>
      </c>
      <c r="B694" s="35" t="str">
        <f ca="1">IFERROR(__xludf.DUMMYFUNCTION("""COMPUTED_VALUE"""),"Tổ Hạ tầng Kiến Tường")</f>
        <v>Tổ Hạ tầng Kiến Tường</v>
      </c>
      <c r="C694" s="35" t="str">
        <f ca="1">IFERROR(__xludf.DUMMYFUNCTION("""COMPUTED_VALUE"""),"Trần Thuận Thiên")</f>
        <v>Trần Thuận Thiên</v>
      </c>
      <c r="D694" s="543" t="str">
        <f ca="1">IFERROR(__xludf.DUMMYFUNCTION("""COMPUTED_VALUE"""),"0916186172")</f>
        <v>0916186172</v>
      </c>
      <c r="E694" s="35" t="str">
        <f ca="1">IFERROR(__xludf.DUMMYFUNCTION("""COMPUTED_VALUE"""),"thientt.tnh@vnpt.vn")</f>
        <v>thientt.tnh@vnpt.vn</v>
      </c>
      <c r="F694" s="540" t="str">
        <f ca="1">IFERROR(__xludf.DUMMYFUNCTION("""COMPUTED_VALUE"""),"Lần 16")</f>
        <v>Lần 16</v>
      </c>
      <c r="G694" s="278">
        <f ca="1">IFERROR(__xludf.DUMMYFUNCTION("""COMPUTED_VALUE"""),46212)</f>
        <v>46212</v>
      </c>
      <c r="H694" s="35">
        <f ca="1">IFERROR(__xludf.DUMMYFUNCTION("""COMPUTED_VALUE"""),128)</f>
        <v>128</v>
      </c>
      <c r="I694" s="35">
        <f ca="1">IFERROR(__xludf.DUMMYFUNCTION("""COMPUTED_VALUE"""),61.5)</f>
        <v>61.5</v>
      </c>
      <c r="J694" s="35">
        <f ca="1">IFERROR(__xludf.DUMMYFUNCTION("""COMPUTED_VALUE"""),134)</f>
        <v>134</v>
      </c>
      <c r="K694" s="35">
        <f ca="1">IFERROR(__xludf.DUMMYFUNCTION("""COMPUTED_VALUE"""),53.2)</f>
        <v>53.2</v>
      </c>
      <c r="M694" s="539">
        <f ca="1">IFERROR(__xludf.DUMMYFUNCTION("""COMPUTED_VALUE"""),1)</f>
        <v>1</v>
      </c>
      <c r="N694" s="539">
        <f ca="1">IFERROR(__xludf.DUMMYFUNCTION("""COMPUTED_VALUE"""),1)</f>
        <v>1</v>
      </c>
      <c r="O694" s="539">
        <f ca="1">IFERROR(__xludf.DUMMYFUNCTION("""COMPUTED_VALUE"""),0)</f>
        <v>0</v>
      </c>
    </row>
    <row r="695" spans="1:15" ht="12.75">
      <c r="A695" s="539">
        <f ca="1"/>
        <v>689</v>
      </c>
      <c r="B695" s="35" t="str">
        <f ca="1">IFERROR(__xludf.DUMMYFUNCTION("""COMPUTED_VALUE"""),"Tổ Hạ tầng Kiến Tường")</f>
        <v>Tổ Hạ tầng Kiến Tường</v>
      </c>
      <c r="C695" s="35" t="str">
        <f ca="1">IFERROR(__xludf.DUMMYFUNCTION("""COMPUTED_VALUE"""),"Bùi Văn Quí")</f>
        <v>Bùi Văn Quí</v>
      </c>
      <c r="D695" s="543" t="str">
        <f ca="1">IFERROR(__xludf.DUMMYFUNCTION("""COMPUTED_VALUE"""),"0919584123")</f>
        <v>0919584123</v>
      </c>
      <c r="E695" s="35" t="str">
        <f ca="1">IFERROR(__xludf.DUMMYFUNCTION("""COMPUTED_VALUE"""),"quibv.lan@vnpt.vn")</f>
        <v>quibv.lan@vnpt.vn</v>
      </c>
      <c r="F695" s="540" t="str">
        <f ca="1">IFERROR(__xludf.DUMMYFUNCTION("""COMPUTED_VALUE"""),"Lần 1")</f>
        <v>Lần 1</v>
      </c>
      <c r="G695" s="278"/>
      <c r="H695" s="35"/>
      <c r="I695" s="35"/>
      <c r="J695" s="541"/>
      <c r="K695" s="541"/>
      <c r="M695" s="539">
        <f ca="1">IFERROR(__xludf.DUMMYFUNCTION("""COMPUTED_VALUE"""),0)</f>
        <v>0</v>
      </c>
      <c r="N695" s="539">
        <f ca="1">IFERROR(__xludf.DUMMYFUNCTION("""COMPUTED_VALUE"""),0)</f>
        <v>0</v>
      </c>
      <c r="O695" s="539">
        <f ca="1">IFERROR(__xludf.DUMMYFUNCTION("""COMPUTED_VALUE"""),0)</f>
        <v>0</v>
      </c>
    </row>
    <row r="696" spans="1:15" ht="12.75">
      <c r="A696" s="539">
        <f ca="1"/>
        <v>690</v>
      </c>
      <c r="B696" s="35" t="str">
        <f ca="1">IFERROR(__xludf.DUMMYFUNCTION("""COMPUTED_VALUE"""),"Tổ Hạ tầng Kiến Tường")</f>
        <v>Tổ Hạ tầng Kiến Tường</v>
      </c>
      <c r="C696" s="35" t="str">
        <f ca="1">IFERROR(__xludf.DUMMYFUNCTION("""COMPUTED_VALUE"""),"Bùi Văn Quí")</f>
        <v>Bùi Văn Quí</v>
      </c>
      <c r="D696" s="543" t="str">
        <f ca="1">IFERROR(__xludf.DUMMYFUNCTION("""COMPUTED_VALUE"""),"0919584123")</f>
        <v>0919584123</v>
      </c>
      <c r="E696" s="35" t="str">
        <f ca="1">IFERROR(__xludf.DUMMYFUNCTION("""COMPUTED_VALUE"""),"quibv.lan@vnpt.vn")</f>
        <v>quibv.lan@vnpt.vn</v>
      </c>
      <c r="F696" s="540" t="str">
        <f ca="1">IFERROR(__xludf.DUMMYFUNCTION("""COMPUTED_VALUE"""),"Lần 2")</f>
        <v>Lần 2</v>
      </c>
      <c r="G696" s="278"/>
      <c r="H696" s="35"/>
      <c r="I696" s="35"/>
      <c r="J696" s="541"/>
      <c r="K696" s="541"/>
      <c r="M696" s="539">
        <f ca="1">IFERROR(__xludf.DUMMYFUNCTION("""COMPUTED_VALUE"""),0)</f>
        <v>0</v>
      </c>
      <c r="N696" s="539">
        <f ca="1">IFERROR(__xludf.DUMMYFUNCTION("""COMPUTED_VALUE"""),0)</f>
        <v>0</v>
      </c>
      <c r="O696" s="539">
        <f ca="1">IFERROR(__xludf.DUMMYFUNCTION("""COMPUTED_VALUE"""),0)</f>
        <v>0</v>
      </c>
    </row>
    <row r="697" spans="1:15" ht="12.75">
      <c r="A697" s="539">
        <f ca="1"/>
        <v>691</v>
      </c>
      <c r="B697" s="35" t="str">
        <f ca="1">IFERROR(__xludf.DUMMYFUNCTION("""COMPUTED_VALUE"""),"Tổ Hạ tầng Kiến Tường")</f>
        <v>Tổ Hạ tầng Kiến Tường</v>
      </c>
      <c r="C697" s="35" t="str">
        <f ca="1">IFERROR(__xludf.DUMMYFUNCTION("""COMPUTED_VALUE"""),"Bùi Văn Quí")</f>
        <v>Bùi Văn Quí</v>
      </c>
      <c r="D697" s="543" t="str">
        <f ca="1">IFERROR(__xludf.DUMMYFUNCTION("""COMPUTED_VALUE"""),"0919584123")</f>
        <v>0919584123</v>
      </c>
      <c r="E697" s="35" t="str">
        <f ca="1">IFERROR(__xludf.DUMMYFUNCTION("""COMPUTED_VALUE"""),"quibv.lan@vnpt.vn")</f>
        <v>quibv.lan@vnpt.vn</v>
      </c>
      <c r="F697" s="540" t="str">
        <f ca="1">IFERROR(__xludf.DUMMYFUNCTION("""COMPUTED_VALUE"""),"Lần 3")</f>
        <v>Lần 3</v>
      </c>
      <c r="G697" s="278"/>
      <c r="H697" s="35"/>
      <c r="I697" s="35"/>
      <c r="J697" s="541"/>
      <c r="K697" s="541"/>
      <c r="M697" s="539">
        <f ca="1">IFERROR(__xludf.DUMMYFUNCTION("""COMPUTED_VALUE"""),0)</f>
        <v>0</v>
      </c>
      <c r="N697" s="539">
        <f ca="1">IFERROR(__xludf.DUMMYFUNCTION("""COMPUTED_VALUE"""),0)</f>
        <v>0</v>
      </c>
      <c r="O697" s="539">
        <f ca="1">IFERROR(__xludf.DUMMYFUNCTION("""COMPUTED_VALUE"""),0)</f>
        <v>0</v>
      </c>
    </row>
    <row r="698" spans="1:15" ht="12.75">
      <c r="A698" s="539">
        <f ca="1"/>
        <v>692</v>
      </c>
      <c r="B698" s="35" t="str">
        <f ca="1">IFERROR(__xludf.DUMMYFUNCTION("""COMPUTED_VALUE"""),"Tổ Hạ tầng Kiến Tường")</f>
        <v>Tổ Hạ tầng Kiến Tường</v>
      </c>
      <c r="C698" s="35" t="str">
        <f ca="1">IFERROR(__xludf.DUMMYFUNCTION("""COMPUTED_VALUE"""),"Bùi Văn Quí")</f>
        <v>Bùi Văn Quí</v>
      </c>
      <c r="D698" s="543" t="str">
        <f ca="1">IFERROR(__xludf.DUMMYFUNCTION("""COMPUTED_VALUE"""),"0919584123")</f>
        <v>0919584123</v>
      </c>
      <c r="E698" s="35" t="str">
        <f ca="1">IFERROR(__xludf.DUMMYFUNCTION("""COMPUTED_VALUE"""),"quibv.lan@vnpt.vn")</f>
        <v>quibv.lan@vnpt.vn</v>
      </c>
      <c r="F698" s="540" t="str">
        <f ca="1">IFERROR(__xludf.DUMMYFUNCTION("""COMPUTED_VALUE"""),"Lần 4")</f>
        <v>Lần 4</v>
      </c>
      <c r="G698" s="278"/>
      <c r="H698" s="35"/>
      <c r="I698" s="35"/>
      <c r="J698" s="541"/>
      <c r="K698" s="541"/>
      <c r="M698" s="539">
        <f ca="1">IFERROR(__xludf.DUMMYFUNCTION("""COMPUTED_VALUE"""),0)</f>
        <v>0</v>
      </c>
      <c r="N698" s="539">
        <f ca="1">IFERROR(__xludf.DUMMYFUNCTION("""COMPUTED_VALUE"""),0)</f>
        <v>0</v>
      </c>
      <c r="O698" s="539">
        <f ca="1">IFERROR(__xludf.DUMMYFUNCTION("""COMPUTED_VALUE"""),0)</f>
        <v>0</v>
      </c>
    </row>
    <row r="699" spans="1:15" ht="12.75">
      <c r="A699" s="539">
        <f ca="1"/>
        <v>693</v>
      </c>
      <c r="B699" s="35" t="str">
        <f ca="1">IFERROR(__xludf.DUMMYFUNCTION("""COMPUTED_VALUE"""),"Tổ Hạ tầng Kiến Tường")</f>
        <v>Tổ Hạ tầng Kiến Tường</v>
      </c>
      <c r="C699" s="35" t="str">
        <f ca="1">IFERROR(__xludf.DUMMYFUNCTION("""COMPUTED_VALUE"""),"Bùi Văn Quí")</f>
        <v>Bùi Văn Quí</v>
      </c>
      <c r="D699" s="543" t="str">
        <f ca="1">IFERROR(__xludf.DUMMYFUNCTION("""COMPUTED_VALUE"""),"0919584123")</f>
        <v>0919584123</v>
      </c>
      <c r="E699" s="35" t="str">
        <f ca="1">IFERROR(__xludf.DUMMYFUNCTION("""COMPUTED_VALUE"""),"quibv.lan@vnpt.vn")</f>
        <v>quibv.lan@vnpt.vn</v>
      </c>
      <c r="F699" s="540" t="str">
        <f ca="1">IFERROR(__xludf.DUMMYFUNCTION("""COMPUTED_VALUE"""),"Lần 5")</f>
        <v>Lần 5</v>
      </c>
      <c r="G699" s="278"/>
      <c r="H699" s="35"/>
      <c r="I699" s="35"/>
      <c r="J699" s="541"/>
      <c r="K699" s="541"/>
      <c r="M699" s="539">
        <f ca="1">IFERROR(__xludf.DUMMYFUNCTION("""COMPUTED_VALUE"""),0)</f>
        <v>0</v>
      </c>
      <c r="N699" s="539">
        <f ca="1">IFERROR(__xludf.DUMMYFUNCTION("""COMPUTED_VALUE"""),0)</f>
        <v>0</v>
      </c>
      <c r="O699" s="539">
        <f ca="1">IFERROR(__xludf.DUMMYFUNCTION("""COMPUTED_VALUE"""),0)</f>
        <v>0</v>
      </c>
    </row>
    <row r="700" spans="1:15" ht="12.75">
      <c r="A700" s="539">
        <f ca="1"/>
        <v>694</v>
      </c>
      <c r="B700" s="35" t="str">
        <f ca="1">IFERROR(__xludf.DUMMYFUNCTION("""COMPUTED_VALUE"""),"Tổ Hạ tầng Kiến Tường")</f>
        <v>Tổ Hạ tầng Kiến Tường</v>
      </c>
      <c r="C700" s="35" t="str">
        <f ca="1">IFERROR(__xludf.DUMMYFUNCTION("""COMPUTED_VALUE"""),"Bùi Văn Quí")</f>
        <v>Bùi Văn Quí</v>
      </c>
      <c r="D700" s="543" t="str">
        <f ca="1">IFERROR(__xludf.DUMMYFUNCTION("""COMPUTED_VALUE"""),"0919584123")</f>
        <v>0919584123</v>
      </c>
      <c r="E700" s="35" t="str">
        <f ca="1">IFERROR(__xludf.DUMMYFUNCTION("""COMPUTED_VALUE"""),"quibv.lan@vnpt.vn")</f>
        <v>quibv.lan@vnpt.vn</v>
      </c>
      <c r="F700" s="540" t="str">
        <f ca="1">IFERROR(__xludf.DUMMYFUNCTION("""COMPUTED_VALUE"""),"Lần 6")</f>
        <v>Lần 6</v>
      </c>
      <c r="G700" s="278"/>
      <c r="H700" s="35"/>
      <c r="I700" s="35"/>
      <c r="J700" s="541"/>
      <c r="K700" s="541"/>
      <c r="M700" s="539">
        <f ca="1">IFERROR(__xludf.DUMMYFUNCTION("""COMPUTED_VALUE"""),0)</f>
        <v>0</v>
      </c>
      <c r="N700" s="539">
        <f ca="1">IFERROR(__xludf.DUMMYFUNCTION("""COMPUTED_VALUE"""),0)</f>
        <v>0</v>
      </c>
      <c r="O700" s="539">
        <f ca="1">IFERROR(__xludf.DUMMYFUNCTION("""COMPUTED_VALUE"""),0)</f>
        <v>0</v>
      </c>
    </row>
    <row r="701" spans="1:15" ht="12.75">
      <c r="A701" s="539">
        <f ca="1"/>
        <v>695</v>
      </c>
      <c r="B701" s="35" t="str">
        <f ca="1">IFERROR(__xludf.DUMMYFUNCTION("""COMPUTED_VALUE"""),"Tổ Hạ tầng Kiến Tường")</f>
        <v>Tổ Hạ tầng Kiến Tường</v>
      </c>
      <c r="C701" s="35" t="str">
        <f ca="1">IFERROR(__xludf.DUMMYFUNCTION("""COMPUTED_VALUE"""),"Bùi Văn Quí")</f>
        <v>Bùi Văn Quí</v>
      </c>
      <c r="D701" s="543" t="str">
        <f ca="1">IFERROR(__xludf.DUMMYFUNCTION("""COMPUTED_VALUE"""),"0919584123")</f>
        <v>0919584123</v>
      </c>
      <c r="E701" s="35" t="str">
        <f ca="1">IFERROR(__xludf.DUMMYFUNCTION("""COMPUTED_VALUE"""),"quibv.lan@vnpt.vn")</f>
        <v>quibv.lan@vnpt.vn</v>
      </c>
      <c r="F701" s="540" t="str">
        <f ca="1">IFERROR(__xludf.DUMMYFUNCTION("""COMPUTED_VALUE"""),"Lần 7")</f>
        <v>Lần 7</v>
      </c>
      <c r="G701" s="278"/>
      <c r="H701" s="35"/>
      <c r="I701" s="35"/>
      <c r="J701" s="541"/>
      <c r="K701" s="541"/>
      <c r="M701" s="539">
        <f ca="1">IFERROR(__xludf.DUMMYFUNCTION("""COMPUTED_VALUE"""),0)</f>
        <v>0</v>
      </c>
      <c r="N701" s="539">
        <f ca="1">IFERROR(__xludf.DUMMYFUNCTION("""COMPUTED_VALUE"""),0)</f>
        <v>0</v>
      </c>
      <c r="O701" s="539">
        <f ca="1">IFERROR(__xludf.DUMMYFUNCTION("""COMPUTED_VALUE"""),0)</f>
        <v>0</v>
      </c>
    </row>
    <row r="702" spans="1:15" ht="12.75">
      <c r="A702" s="539">
        <f ca="1"/>
        <v>696</v>
      </c>
      <c r="B702" s="35" t="str">
        <f ca="1">IFERROR(__xludf.DUMMYFUNCTION("""COMPUTED_VALUE"""),"Tổ Hạ tầng Kiến Tường")</f>
        <v>Tổ Hạ tầng Kiến Tường</v>
      </c>
      <c r="C702" s="35" t="str">
        <f ca="1">IFERROR(__xludf.DUMMYFUNCTION("""COMPUTED_VALUE"""),"Bùi Văn Quí")</f>
        <v>Bùi Văn Quí</v>
      </c>
      <c r="D702" s="543" t="str">
        <f ca="1">IFERROR(__xludf.DUMMYFUNCTION("""COMPUTED_VALUE"""),"0919584123")</f>
        <v>0919584123</v>
      </c>
      <c r="E702" s="35" t="str">
        <f ca="1">IFERROR(__xludf.DUMMYFUNCTION("""COMPUTED_VALUE"""),"quibv.lan@vnpt.vn")</f>
        <v>quibv.lan@vnpt.vn</v>
      </c>
      <c r="F702" s="540" t="str">
        <f ca="1">IFERROR(__xludf.DUMMYFUNCTION("""COMPUTED_VALUE"""),"Lần 8")</f>
        <v>Lần 8</v>
      </c>
      <c r="G702" s="278"/>
      <c r="H702" s="35"/>
      <c r="I702" s="35"/>
      <c r="J702" s="541"/>
      <c r="K702" s="541"/>
      <c r="M702" s="539">
        <f ca="1">IFERROR(__xludf.DUMMYFUNCTION("""COMPUTED_VALUE"""),0)</f>
        <v>0</v>
      </c>
      <c r="N702" s="539">
        <f ca="1">IFERROR(__xludf.DUMMYFUNCTION("""COMPUTED_VALUE"""),0)</f>
        <v>0</v>
      </c>
      <c r="O702" s="539">
        <f ca="1">IFERROR(__xludf.DUMMYFUNCTION("""COMPUTED_VALUE"""),0)</f>
        <v>0</v>
      </c>
    </row>
    <row r="703" spans="1:15" ht="12.75">
      <c r="A703" s="539">
        <f ca="1"/>
        <v>697</v>
      </c>
      <c r="B703" s="35" t="str">
        <f ca="1">IFERROR(__xludf.DUMMYFUNCTION("""COMPUTED_VALUE"""),"Tổ Hạ tầng Kiến Tường")</f>
        <v>Tổ Hạ tầng Kiến Tường</v>
      </c>
      <c r="C703" s="35" t="str">
        <f ca="1">IFERROR(__xludf.DUMMYFUNCTION("""COMPUTED_VALUE"""),"Bùi Văn Quí")</f>
        <v>Bùi Văn Quí</v>
      </c>
      <c r="D703" s="543" t="str">
        <f ca="1">IFERROR(__xludf.DUMMYFUNCTION("""COMPUTED_VALUE"""),"0919584123")</f>
        <v>0919584123</v>
      </c>
      <c r="E703" s="35" t="str">
        <f ca="1">IFERROR(__xludf.DUMMYFUNCTION("""COMPUTED_VALUE"""),"quibv.lan@vnpt.vn")</f>
        <v>quibv.lan@vnpt.vn</v>
      </c>
      <c r="F703" s="540" t="str">
        <f ca="1">IFERROR(__xludf.DUMMYFUNCTION("""COMPUTED_VALUE"""),"Lần 9")</f>
        <v>Lần 9</v>
      </c>
      <c r="G703" s="278"/>
      <c r="H703" s="35"/>
      <c r="I703" s="35"/>
      <c r="J703" s="541"/>
      <c r="K703" s="541"/>
      <c r="M703" s="539">
        <f ca="1">IFERROR(__xludf.DUMMYFUNCTION("""COMPUTED_VALUE"""),0)</f>
        <v>0</v>
      </c>
      <c r="N703" s="539">
        <f ca="1">IFERROR(__xludf.DUMMYFUNCTION("""COMPUTED_VALUE"""),0)</f>
        <v>0</v>
      </c>
      <c r="O703" s="539">
        <f ca="1">IFERROR(__xludf.DUMMYFUNCTION("""COMPUTED_VALUE"""),0)</f>
        <v>0</v>
      </c>
    </row>
    <row r="704" spans="1:15" ht="12.75">
      <c r="A704" s="539">
        <f ca="1"/>
        <v>698</v>
      </c>
      <c r="B704" s="35" t="str">
        <f ca="1">IFERROR(__xludf.DUMMYFUNCTION("""COMPUTED_VALUE"""),"Tổ Hạ tầng Kiến Tường")</f>
        <v>Tổ Hạ tầng Kiến Tường</v>
      </c>
      <c r="C704" s="35" t="str">
        <f ca="1">IFERROR(__xludf.DUMMYFUNCTION("""COMPUTED_VALUE"""),"Bùi Văn Quí")</f>
        <v>Bùi Văn Quí</v>
      </c>
      <c r="D704" s="543" t="str">
        <f ca="1">IFERROR(__xludf.DUMMYFUNCTION("""COMPUTED_VALUE"""),"0919584123")</f>
        <v>0919584123</v>
      </c>
      <c r="E704" s="35" t="str">
        <f ca="1">IFERROR(__xludf.DUMMYFUNCTION("""COMPUTED_VALUE"""),"quibv.lan@vnpt.vn")</f>
        <v>quibv.lan@vnpt.vn</v>
      </c>
      <c r="F704" s="540" t="str">
        <f ca="1">IFERROR(__xludf.DUMMYFUNCTION("""COMPUTED_VALUE"""),"Lần 10")</f>
        <v>Lần 10</v>
      </c>
      <c r="G704" s="278"/>
      <c r="H704" s="35"/>
      <c r="I704" s="35"/>
      <c r="J704" s="541"/>
      <c r="K704" s="541"/>
      <c r="M704" s="539">
        <f ca="1">IFERROR(__xludf.DUMMYFUNCTION("""COMPUTED_VALUE"""),0)</f>
        <v>0</v>
      </c>
      <c r="N704" s="539">
        <f ca="1">IFERROR(__xludf.DUMMYFUNCTION("""COMPUTED_VALUE"""),0)</f>
        <v>0</v>
      </c>
      <c r="O704" s="539">
        <f ca="1">IFERROR(__xludf.DUMMYFUNCTION("""COMPUTED_VALUE"""),0)</f>
        <v>0</v>
      </c>
    </row>
    <row r="705" spans="1:15" ht="12.75">
      <c r="A705" s="539">
        <f ca="1"/>
        <v>699</v>
      </c>
      <c r="B705" s="35" t="str">
        <f ca="1">IFERROR(__xludf.DUMMYFUNCTION("""COMPUTED_VALUE"""),"Tổ Hạ tầng Kiến Tường")</f>
        <v>Tổ Hạ tầng Kiến Tường</v>
      </c>
      <c r="C705" s="35" t="str">
        <f ca="1">IFERROR(__xludf.DUMMYFUNCTION("""COMPUTED_VALUE"""),"Bùi Văn Quí")</f>
        <v>Bùi Văn Quí</v>
      </c>
      <c r="D705" s="543" t="str">
        <f ca="1">IFERROR(__xludf.DUMMYFUNCTION("""COMPUTED_VALUE"""),"0919584123")</f>
        <v>0919584123</v>
      </c>
      <c r="E705" s="35" t="str">
        <f ca="1">IFERROR(__xludf.DUMMYFUNCTION("""COMPUTED_VALUE"""),"quibv.lan@vnpt.vn")</f>
        <v>quibv.lan@vnpt.vn</v>
      </c>
      <c r="F705" s="540" t="str">
        <f ca="1">IFERROR(__xludf.DUMMYFUNCTION("""COMPUTED_VALUE"""),"Lần 11")</f>
        <v>Lần 11</v>
      </c>
      <c r="G705" s="278"/>
      <c r="H705" s="35"/>
      <c r="I705" s="35"/>
      <c r="J705" s="541"/>
      <c r="K705" s="541"/>
      <c r="M705" s="539">
        <f ca="1">IFERROR(__xludf.DUMMYFUNCTION("""COMPUTED_VALUE"""),0)</f>
        <v>0</v>
      </c>
      <c r="N705" s="539">
        <f ca="1">IFERROR(__xludf.DUMMYFUNCTION("""COMPUTED_VALUE"""),0)</f>
        <v>0</v>
      </c>
      <c r="O705" s="539">
        <f ca="1">IFERROR(__xludf.DUMMYFUNCTION("""COMPUTED_VALUE"""),0)</f>
        <v>0</v>
      </c>
    </row>
    <row r="706" spans="1:15" ht="12.75">
      <c r="A706" s="539">
        <f ca="1"/>
        <v>700</v>
      </c>
      <c r="B706" s="35" t="str">
        <f ca="1">IFERROR(__xludf.DUMMYFUNCTION("""COMPUTED_VALUE"""),"Tổ Hạ tầng Kiến Tường")</f>
        <v>Tổ Hạ tầng Kiến Tường</v>
      </c>
      <c r="C706" s="35" t="str">
        <f ca="1">IFERROR(__xludf.DUMMYFUNCTION("""COMPUTED_VALUE"""),"Bùi Văn Quí")</f>
        <v>Bùi Văn Quí</v>
      </c>
      <c r="D706" s="543" t="str">
        <f ca="1">IFERROR(__xludf.DUMMYFUNCTION("""COMPUTED_VALUE"""),"0919584123")</f>
        <v>0919584123</v>
      </c>
      <c r="E706" s="35" t="str">
        <f ca="1">IFERROR(__xludf.DUMMYFUNCTION("""COMPUTED_VALUE"""),"quibv.lan@vnpt.vn")</f>
        <v>quibv.lan@vnpt.vn</v>
      </c>
      <c r="F706" s="540" t="str">
        <f ca="1">IFERROR(__xludf.DUMMYFUNCTION("""COMPUTED_VALUE"""),"Lần 12")</f>
        <v>Lần 12</v>
      </c>
      <c r="G706" s="278"/>
      <c r="H706" s="35"/>
      <c r="I706" s="35"/>
      <c r="J706" s="541"/>
      <c r="K706" s="541"/>
      <c r="M706" s="539">
        <f ca="1">IFERROR(__xludf.DUMMYFUNCTION("""COMPUTED_VALUE"""),0)</f>
        <v>0</v>
      </c>
      <c r="N706" s="539">
        <f ca="1">IFERROR(__xludf.DUMMYFUNCTION("""COMPUTED_VALUE"""),0)</f>
        <v>0</v>
      </c>
      <c r="O706" s="539">
        <f ca="1">IFERROR(__xludf.DUMMYFUNCTION("""COMPUTED_VALUE"""),0)</f>
        <v>0</v>
      </c>
    </row>
    <row r="707" spans="1:15" ht="12.75">
      <c r="A707" s="539">
        <f ca="1"/>
        <v>701</v>
      </c>
      <c r="B707" s="35" t="str">
        <f ca="1">IFERROR(__xludf.DUMMYFUNCTION("""COMPUTED_VALUE"""),"Tổ Hạ tầng Kiến Tường")</f>
        <v>Tổ Hạ tầng Kiến Tường</v>
      </c>
      <c r="C707" s="35" t="str">
        <f ca="1">IFERROR(__xludf.DUMMYFUNCTION("""COMPUTED_VALUE"""),"Bùi Văn Quí")</f>
        <v>Bùi Văn Quí</v>
      </c>
      <c r="D707" s="543" t="str">
        <f ca="1">IFERROR(__xludf.DUMMYFUNCTION("""COMPUTED_VALUE"""),"0919584123")</f>
        <v>0919584123</v>
      </c>
      <c r="E707" s="35" t="str">
        <f ca="1">IFERROR(__xludf.DUMMYFUNCTION("""COMPUTED_VALUE"""),"quibv.lan@vnpt.vn")</f>
        <v>quibv.lan@vnpt.vn</v>
      </c>
      <c r="F707" s="540" t="str">
        <f ca="1">IFERROR(__xludf.DUMMYFUNCTION("""COMPUTED_VALUE"""),"Lần 13")</f>
        <v>Lần 13</v>
      </c>
      <c r="G707" s="278"/>
      <c r="H707" s="35"/>
      <c r="I707" s="35"/>
      <c r="J707" s="541"/>
      <c r="K707" s="541"/>
      <c r="M707" s="539">
        <f ca="1">IFERROR(__xludf.DUMMYFUNCTION("""COMPUTED_VALUE"""),0)</f>
        <v>0</v>
      </c>
      <c r="N707" s="539">
        <f ca="1">IFERROR(__xludf.DUMMYFUNCTION("""COMPUTED_VALUE"""),0)</f>
        <v>0</v>
      </c>
      <c r="O707" s="539">
        <f ca="1">IFERROR(__xludf.DUMMYFUNCTION("""COMPUTED_VALUE"""),0)</f>
        <v>0</v>
      </c>
    </row>
    <row r="708" spans="1:15" ht="12.75">
      <c r="A708" s="539">
        <f ca="1"/>
        <v>702</v>
      </c>
      <c r="B708" s="35" t="str">
        <f ca="1">IFERROR(__xludf.DUMMYFUNCTION("""COMPUTED_VALUE"""),"Tổ Hạ tầng Kiến Tường")</f>
        <v>Tổ Hạ tầng Kiến Tường</v>
      </c>
      <c r="C708" s="35" t="str">
        <f ca="1">IFERROR(__xludf.DUMMYFUNCTION("""COMPUTED_VALUE"""),"Bùi Văn Quí")</f>
        <v>Bùi Văn Quí</v>
      </c>
      <c r="D708" s="543" t="str">
        <f ca="1">IFERROR(__xludf.DUMMYFUNCTION("""COMPUTED_VALUE"""),"0919584123")</f>
        <v>0919584123</v>
      </c>
      <c r="E708" s="35" t="str">
        <f ca="1">IFERROR(__xludf.DUMMYFUNCTION("""COMPUTED_VALUE"""),"quibv.lan@vnpt.vn")</f>
        <v>quibv.lan@vnpt.vn</v>
      </c>
      <c r="F708" s="540" t="str">
        <f ca="1">IFERROR(__xludf.DUMMYFUNCTION("""COMPUTED_VALUE"""),"Lần 14")</f>
        <v>Lần 14</v>
      </c>
      <c r="G708" s="278"/>
      <c r="H708" s="35"/>
      <c r="I708" s="35"/>
      <c r="J708" s="541"/>
      <c r="K708" s="541"/>
      <c r="M708" s="539">
        <f ca="1">IFERROR(__xludf.DUMMYFUNCTION("""COMPUTED_VALUE"""),0)</f>
        <v>0</v>
      </c>
      <c r="N708" s="539">
        <f ca="1">IFERROR(__xludf.DUMMYFUNCTION("""COMPUTED_VALUE"""),0)</f>
        <v>0</v>
      </c>
      <c r="O708" s="539">
        <f ca="1">IFERROR(__xludf.DUMMYFUNCTION("""COMPUTED_VALUE"""),0)</f>
        <v>0</v>
      </c>
    </row>
    <row r="709" spans="1:15" ht="12.75">
      <c r="A709" s="539">
        <f ca="1"/>
        <v>703</v>
      </c>
      <c r="B709" s="35" t="str">
        <f ca="1">IFERROR(__xludf.DUMMYFUNCTION("""COMPUTED_VALUE"""),"Tổ Hạ tầng Kiến Tường")</f>
        <v>Tổ Hạ tầng Kiến Tường</v>
      </c>
      <c r="C709" s="35" t="str">
        <f ca="1">IFERROR(__xludf.DUMMYFUNCTION("""COMPUTED_VALUE"""),"Bùi Văn Quí")</f>
        <v>Bùi Văn Quí</v>
      </c>
      <c r="D709" s="543" t="str">
        <f ca="1">IFERROR(__xludf.DUMMYFUNCTION("""COMPUTED_VALUE"""),"0919584123")</f>
        <v>0919584123</v>
      </c>
      <c r="E709" s="35" t="str">
        <f ca="1">IFERROR(__xludf.DUMMYFUNCTION("""COMPUTED_VALUE"""),"quibv.lan@vnpt.vn")</f>
        <v>quibv.lan@vnpt.vn</v>
      </c>
      <c r="F709" s="540" t="str">
        <f ca="1">IFERROR(__xludf.DUMMYFUNCTION("""COMPUTED_VALUE"""),"Lần 15")</f>
        <v>Lần 15</v>
      </c>
      <c r="G709" s="278"/>
      <c r="H709" s="35"/>
      <c r="I709" s="35"/>
      <c r="J709" s="541"/>
      <c r="K709" s="541"/>
      <c r="M709" s="539">
        <f ca="1">IFERROR(__xludf.DUMMYFUNCTION("""COMPUTED_VALUE"""),0)</f>
        <v>0</v>
      </c>
      <c r="N709" s="539">
        <f ca="1">IFERROR(__xludf.DUMMYFUNCTION("""COMPUTED_VALUE"""),0)</f>
        <v>0</v>
      </c>
      <c r="O709" s="539">
        <f ca="1">IFERROR(__xludf.DUMMYFUNCTION("""COMPUTED_VALUE"""),0)</f>
        <v>0</v>
      </c>
    </row>
    <row r="710" spans="1:15" ht="12.75">
      <c r="A710" s="539">
        <f ca="1"/>
        <v>704</v>
      </c>
      <c r="B710" s="35" t="str">
        <f ca="1">IFERROR(__xludf.DUMMYFUNCTION("""COMPUTED_VALUE"""),"Tổ Hạ tầng Kiến Tường")</f>
        <v>Tổ Hạ tầng Kiến Tường</v>
      </c>
      <c r="C710" s="35" t="str">
        <f ca="1">IFERROR(__xludf.DUMMYFUNCTION("""COMPUTED_VALUE"""),"Bùi Văn Quí")</f>
        <v>Bùi Văn Quí</v>
      </c>
      <c r="D710" s="543" t="str">
        <f ca="1">IFERROR(__xludf.DUMMYFUNCTION("""COMPUTED_VALUE"""),"0919584123")</f>
        <v>0919584123</v>
      </c>
      <c r="E710" s="35" t="str">
        <f ca="1">IFERROR(__xludf.DUMMYFUNCTION("""COMPUTED_VALUE"""),"quibv.lan@vnpt.vn")</f>
        <v>quibv.lan@vnpt.vn</v>
      </c>
      <c r="F710" s="540" t="str">
        <f ca="1">IFERROR(__xludf.DUMMYFUNCTION("""COMPUTED_VALUE"""),"Lần 16")</f>
        <v>Lần 16</v>
      </c>
      <c r="G710" s="278"/>
      <c r="H710" s="35"/>
      <c r="I710" s="35"/>
      <c r="J710" s="541"/>
      <c r="K710" s="541"/>
      <c r="M710" s="539">
        <f ca="1">IFERROR(__xludf.DUMMYFUNCTION("""COMPUTED_VALUE"""),0)</f>
        <v>0</v>
      </c>
      <c r="N710" s="539">
        <f ca="1">IFERROR(__xludf.DUMMYFUNCTION("""COMPUTED_VALUE"""),0)</f>
        <v>0</v>
      </c>
      <c r="O710" s="539">
        <f ca="1">IFERROR(__xludf.DUMMYFUNCTION("""COMPUTED_VALUE"""),0)</f>
        <v>0</v>
      </c>
    </row>
    <row r="711" spans="1:15" ht="12.75">
      <c r="A711" s="539">
        <f ca="1"/>
        <v>705</v>
      </c>
      <c r="B711" s="35" t="str">
        <f ca="1">IFERROR(__xludf.DUMMYFUNCTION("""COMPUTED_VALUE"""),"Tổ Hạ tầng Kiến Tường")</f>
        <v>Tổ Hạ tầng Kiến Tường</v>
      </c>
      <c r="C711" s="35" t="str">
        <f ca="1">IFERROR(__xludf.DUMMYFUNCTION("""COMPUTED_VALUE"""),"Đoàn Nguyễn Tuấn Anh")</f>
        <v>Đoàn Nguyễn Tuấn Anh</v>
      </c>
      <c r="D711" s="35">
        <f ca="1">IFERROR(__xludf.DUMMYFUNCTION("""COMPUTED_VALUE"""),943541776)</f>
        <v>943541776</v>
      </c>
      <c r="E711" s="35" t="str">
        <f ca="1">IFERROR(__xludf.DUMMYFUNCTION("""COMPUTED_VALUE"""),"dntanh.lan@vnpt.vn")</f>
        <v>dntanh.lan@vnpt.vn</v>
      </c>
      <c r="F711" s="540" t="str">
        <f ca="1">IFERROR(__xludf.DUMMYFUNCTION("""COMPUTED_VALUE"""),"Lần 1")</f>
        <v>Lần 1</v>
      </c>
      <c r="G711" s="278"/>
      <c r="H711" s="35"/>
      <c r="I711" s="35"/>
      <c r="J711" s="541"/>
      <c r="K711" s="541"/>
      <c r="M711" s="539">
        <f ca="1">IFERROR(__xludf.DUMMYFUNCTION("""COMPUTED_VALUE"""),0)</f>
        <v>0</v>
      </c>
      <c r="N711" s="539">
        <f ca="1">IFERROR(__xludf.DUMMYFUNCTION("""COMPUTED_VALUE"""),0)</f>
        <v>0</v>
      </c>
      <c r="O711" s="539">
        <f ca="1">IFERROR(__xludf.DUMMYFUNCTION("""COMPUTED_VALUE"""),0)</f>
        <v>0</v>
      </c>
    </row>
    <row r="712" spans="1:15" ht="12.75">
      <c r="A712" s="539">
        <f ca="1"/>
        <v>706</v>
      </c>
      <c r="B712" s="35" t="str">
        <f ca="1">IFERROR(__xludf.DUMMYFUNCTION("""COMPUTED_VALUE"""),"Tổ Hạ tầng Kiến Tường")</f>
        <v>Tổ Hạ tầng Kiến Tường</v>
      </c>
      <c r="C712" s="35" t="str">
        <f ca="1">IFERROR(__xludf.DUMMYFUNCTION("""COMPUTED_VALUE"""),"Đoàn Nguyễn Tuấn Anh")</f>
        <v>Đoàn Nguyễn Tuấn Anh</v>
      </c>
      <c r="D712" s="35">
        <f ca="1">IFERROR(__xludf.DUMMYFUNCTION("""COMPUTED_VALUE"""),943541776)</f>
        <v>943541776</v>
      </c>
      <c r="E712" s="35" t="str">
        <f ca="1">IFERROR(__xludf.DUMMYFUNCTION("""COMPUTED_VALUE"""),"dntanh.lan@vnpt.vn")</f>
        <v>dntanh.lan@vnpt.vn</v>
      </c>
      <c r="F712" s="540" t="str">
        <f ca="1">IFERROR(__xludf.DUMMYFUNCTION("""COMPUTED_VALUE"""),"Lần 2")</f>
        <v>Lần 2</v>
      </c>
      <c r="G712" s="278"/>
      <c r="H712" s="35"/>
      <c r="I712" s="35"/>
      <c r="J712" s="541"/>
      <c r="K712" s="541"/>
      <c r="M712" s="539">
        <f ca="1">IFERROR(__xludf.DUMMYFUNCTION("""COMPUTED_VALUE"""),0)</f>
        <v>0</v>
      </c>
      <c r="N712" s="539">
        <f ca="1">IFERROR(__xludf.DUMMYFUNCTION("""COMPUTED_VALUE"""),0)</f>
        <v>0</v>
      </c>
      <c r="O712" s="539">
        <f ca="1">IFERROR(__xludf.DUMMYFUNCTION("""COMPUTED_VALUE"""),0)</f>
        <v>0</v>
      </c>
    </row>
    <row r="713" spans="1:15" ht="12.75">
      <c r="A713" s="539">
        <f ca="1"/>
        <v>707</v>
      </c>
      <c r="B713" s="35" t="str">
        <f ca="1">IFERROR(__xludf.DUMMYFUNCTION("""COMPUTED_VALUE"""),"Tổ Hạ tầng Kiến Tường")</f>
        <v>Tổ Hạ tầng Kiến Tường</v>
      </c>
      <c r="C713" s="35" t="str">
        <f ca="1">IFERROR(__xludf.DUMMYFUNCTION("""COMPUTED_VALUE"""),"Đoàn Nguyễn Tuấn Anh")</f>
        <v>Đoàn Nguyễn Tuấn Anh</v>
      </c>
      <c r="D713" s="35">
        <f ca="1">IFERROR(__xludf.DUMMYFUNCTION("""COMPUTED_VALUE"""),943541776)</f>
        <v>943541776</v>
      </c>
      <c r="E713" s="35" t="str">
        <f ca="1">IFERROR(__xludf.DUMMYFUNCTION("""COMPUTED_VALUE"""),"dntanh.lan@vnpt.vn")</f>
        <v>dntanh.lan@vnpt.vn</v>
      </c>
      <c r="F713" s="540" t="str">
        <f ca="1">IFERROR(__xludf.DUMMYFUNCTION("""COMPUTED_VALUE"""),"Lần 3")</f>
        <v>Lần 3</v>
      </c>
      <c r="G713" s="278"/>
      <c r="H713" s="35"/>
      <c r="I713" s="35"/>
      <c r="J713" s="541"/>
      <c r="K713" s="541"/>
      <c r="M713" s="539">
        <f ca="1">IFERROR(__xludf.DUMMYFUNCTION("""COMPUTED_VALUE"""),0)</f>
        <v>0</v>
      </c>
      <c r="N713" s="539">
        <f ca="1">IFERROR(__xludf.DUMMYFUNCTION("""COMPUTED_VALUE"""),0)</f>
        <v>0</v>
      </c>
      <c r="O713" s="539">
        <f ca="1">IFERROR(__xludf.DUMMYFUNCTION("""COMPUTED_VALUE"""),0)</f>
        <v>0</v>
      </c>
    </row>
    <row r="714" spans="1:15" ht="12.75">
      <c r="A714" s="539">
        <f ca="1"/>
        <v>708</v>
      </c>
      <c r="B714" s="35" t="str">
        <f ca="1">IFERROR(__xludf.DUMMYFUNCTION("""COMPUTED_VALUE"""),"Tổ Hạ tầng Kiến Tường")</f>
        <v>Tổ Hạ tầng Kiến Tường</v>
      </c>
      <c r="C714" s="35" t="str">
        <f ca="1">IFERROR(__xludf.DUMMYFUNCTION("""COMPUTED_VALUE"""),"Đoàn Nguyễn Tuấn Anh")</f>
        <v>Đoàn Nguyễn Tuấn Anh</v>
      </c>
      <c r="D714" s="35">
        <f ca="1">IFERROR(__xludf.DUMMYFUNCTION("""COMPUTED_VALUE"""),943541776)</f>
        <v>943541776</v>
      </c>
      <c r="E714" s="35" t="str">
        <f ca="1">IFERROR(__xludf.DUMMYFUNCTION("""COMPUTED_VALUE"""),"dntanh.lan@vnpt.vn")</f>
        <v>dntanh.lan@vnpt.vn</v>
      </c>
      <c r="F714" s="540" t="str">
        <f ca="1">IFERROR(__xludf.DUMMYFUNCTION("""COMPUTED_VALUE"""),"Lần 4")</f>
        <v>Lần 4</v>
      </c>
      <c r="G714" s="278"/>
      <c r="H714" s="35"/>
      <c r="I714" s="35"/>
      <c r="J714" s="541"/>
      <c r="K714" s="541"/>
      <c r="M714" s="539">
        <f ca="1">IFERROR(__xludf.DUMMYFUNCTION("""COMPUTED_VALUE"""),0)</f>
        <v>0</v>
      </c>
      <c r="N714" s="539">
        <f ca="1">IFERROR(__xludf.DUMMYFUNCTION("""COMPUTED_VALUE"""),0)</f>
        <v>0</v>
      </c>
      <c r="O714" s="539">
        <f ca="1">IFERROR(__xludf.DUMMYFUNCTION("""COMPUTED_VALUE"""),0)</f>
        <v>0</v>
      </c>
    </row>
    <row r="715" spans="1:15" ht="12.75">
      <c r="A715" s="539">
        <f ca="1"/>
        <v>709</v>
      </c>
      <c r="B715" s="35" t="str">
        <f ca="1">IFERROR(__xludf.DUMMYFUNCTION("""COMPUTED_VALUE"""),"Tổ Hạ tầng Kiến Tường")</f>
        <v>Tổ Hạ tầng Kiến Tường</v>
      </c>
      <c r="C715" s="35" t="str">
        <f ca="1">IFERROR(__xludf.DUMMYFUNCTION("""COMPUTED_VALUE"""),"Đoàn Nguyễn Tuấn Anh")</f>
        <v>Đoàn Nguyễn Tuấn Anh</v>
      </c>
      <c r="D715" s="35">
        <f ca="1">IFERROR(__xludf.DUMMYFUNCTION("""COMPUTED_VALUE"""),943541776)</f>
        <v>943541776</v>
      </c>
      <c r="E715" s="35" t="str">
        <f ca="1">IFERROR(__xludf.DUMMYFUNCTION("""COMPUTED_VALUE"""),"dntanh.lan@vnpt.vn")</f>
        <v>dntanh.lan@vnpt.vn</v>
      </c>
      <c r="F715" s="540" t="str">
        <f ca="1">IFERROR(__xludf.DUMMYFUNCTION("""COMPUTED_VALUE"""),"Lần 5")</f>
        <v>Lần 5</v>
      </c>
      <c r="G715" s="278"/>
      <c r="H715" s="35"/>
      <c r="I715" s="35"/>
      <c r="J715" s="541"/>
      <c r="K715" s="541"/>
      <c r="M715" s="539">
        <f ca="1">IFERROR(__xludf.DUMMYFUNCTION("""COMPUTED_VALUE"""),0)</f>
        <v>0</v>
      </c>
      <c r="N715" s="539">
        <f ca="1">IFERROR(__xludf.DUMMYFUNCTION("""COMPUTED_VALUE"""),0)</f>
        <v>0</v>
      </c>
      <c r="O715" s="539">
        <f ca="1">IFERROR(__xludf.DUMMYFUNCTION("""COMPUTED_VALUE"""),0)</f>
        <v>0</v>
      </c>
    </row>
    <row r="716" spans="1:15" ht="12.75">
      <c r="A716" s="539">
        <f ca="1"/>
        <v>710</v>
      </c>
      <c r="B716" s="35" t="str">
        <f ca="1">IFERROR(__xludf.DUMMYFUNCTION("""COMPUTED_VALUE"""),"Tổ Hạ tầng Kiến Tường")</f>
        <v>Tổ Hạ tầng Kiến Tường</v>
      </c>
      <c r="C716" s="35" t="str">
        <f ca="1">IFERROR(__xludf.DUMMYFUNCTION("""COMPUTED_VALUE"""),"Đoàn Nguyễn Tuấn Anh")</f>
        <v>Đoàn Nguyễn Tuấn Anh</v>
      </c>
      <c r="D716" s="35">
        <f ca="1">IFERROR(__xludf.DUMMYFUNCTION("""COMPUTED_VALUE"""),943541776)</f>
        <v>943541776</v>
      </c>
      <c r="E716" s="35" t="str">
        <f ca="1">IFERROR(__xludf.DUMMYFUNCTION("""COMPUTED_VALUE"""),"dntanh.lan@vnpt.vn")</f>
        <v>dntanh.lan@vnpt.vn</v>
      </c>
      <c r="F716" s="540" t="str">
        <f ca="1">IFERROR(__xludf.DUMMYFUNCTION("""COMPUTED_VALUE"""),"Lần 6")</f>
        <v>Lần 6</v>
      </c>
      <c r="G716" s="278"/>
      <c r="H716" s="35"/>
      <c r="I716" s="35"/>
      <c r="J716" s="541"/>
      <c r="K716" s="541"/>
      <c r="M716" s="539">
        <f ca="1">IFERROR(__xludf.DUMMYFUNCTION("""COMPUTED_VALUE"""),0)</f>
        <v>0</v>
      </c>
      <c r="N716" s="539">
        <f ca="1">IFERROR(__xludf.DUMMYFUNCTION("""COMPUTED_VALUE"""),0)</f>
        <v>0</v>
      </c>
      <c r="O716" s="539">
        <f ca="1">IFERROR(__xludf.DUMMYFUNCTION("""COMPUTED_VALUE"""),0)</f>
        <v>0</v>
      </c>
    </row>
    <row r="717" spans="1:15" ht="12.75">
      <c r="A717" s="539">
        <f ca="1"/>
        <v>711</v>
      </c>
      <c r="B717" s="35" t="str">
        <f ca="1">IFERROR(__xludf.DUMMYFUNCTION("""COMPUTED_VALUE"""),"Tổ Hạ tầng Kiến Tường")</f>
        <v>Tổ Hạ tầng Kiến Tường</v>
      </c>
      <c r="C717" s="35" t="str">
        <f ca="1">IFERROR(__xludf.DUMMYFUNCTION("""COMPUTED_VALUE"""),"Đoàn Nguyễn Tuấn Anh")</f>
        <v>Đoàn Nguyễn Tuấn Anh</v>
      </c>
      <c r="D717" s="35">
        <f ca="1">IFERROR(__xludf.DUMMYFUNCTION("""COMPUTED_VALUE"""),943541776)</f>
        <v>943541776</v>
      </c>
      <c r="E717" s="35" t="str">
        <f ca="1">IFERROR(__xludf.DUMMYFUNCTION("""COMPUTED_VALUE"""),"dntanh.lan@vnpt.vn")</f>
        <v>dntanh.lan@vnpt.vn</v>
      </c>
      <c r="F717" s="540" t="str">
        <f ca="1">IFERROR(__xludf.DUMMYFUNCTION("""COMPUTED_VALUE"""),"Lần 7")</f>
        <v>Lần 7</v>
      </c>
      <c r="G717" s="278"/>
      <c r="H717" s="35"/>
      <c r="I717" s="35"/>
      <c r="J717" s="541"/>
      <c r="K717" s="541"/>
      <c r="M717" s="539">
        <f ca="1">IFERROR(__xludf.DUMMYFUNCTION("""COMPUTED_VALUE"""),0)</f>
        <v>0</v>
      </c>
      <c r="N717" s="539">
        <f ca="1">IFERROR(__xludf.DUMMYFUNCTION("""COMPUTED_VALUE"""),0)</f>
        <v>0</v>
      </c>
      <c r="O717" s="539">
        <f ca="1">IFERROR(__xludf.DUMMYFUNCTION("""COMPUTED_VALUE"""),0)</f>
        <v>0</v>
      </c>
    </row>
    <row r="718" spans="1:15" ht="12.75">
      <c r="A718" s="539">
        <f ca="1"/>
        <v>712</v>
      </c>
      <c r="B718" s="35" t="str">
        <f ca="1">IFERROR(__xludf.DUMMYFUNCTION("""COMPUTED_VALUE"""),"Tổ Hạ tầng Kiến Tường")</f>
        <v>Tổ Hạ tầng Kiến Tường</v>
      </c>
      <c r="C718" s="35" t="str">
        <f ca="1">IFERROR(__xludf.DUMMYFUNCTION("""COMPUTED_VALUE"""),"Đoàn Nguyễn Tuấn Anh")</f>
        <v>Đoàn Nguyễn Tuấn Anh</v>
      </c>
      <c r="D718" s="35">
        <f ca="1">IFERROR(__xludf.DUMMYFUNCTION("""COMPUTED_VALUE"""),943541776)</f>
        <v>943541776</v>
      </c>
      <c r="E718" s="35" t="str">
        <f ca="1">IFERROR(__xludf.DUMMYFUNCTION("""COMPUTED_VALUE"""),"dntanh.lan@vnpt.vn")</f>
        <v>dntanh.lan@vnpt.vn</v>
      </c>
      <c r="F718" s="540" t="str">
        <f ca="1">IFERROR(__xludf.DUMMYFUNCTION("""COMPUTED_VALUE"""),"Lần 8")</f>
        <v>Lần 8</v>
      </c>
      <c r="G718" s="278"/>
      <c r="H718" s="35"/>
      <c r="I718" s="35"/>
      <c r="J718" s="541"/>
      <c r="K718" s="541"/>
      <c r="M718" s="539">
        <f ca="1">IFERROR(__xludf.DUMMYFUNCTION("""COMPUTED_VALUE"""),0)</f>
        <v>0</v>
      </c>
      <c r="N718" s="539">
        <f ca="1">IFERROR(__xludf.DUMMYFUNCTION("""COMPUTED_VALUE"""),0)</f>
        <v>0</v>
      </c>
      <c r="O718" s="539">
        <f ca="1">IFERROR(__xludf.DUMMYFUNCTION("""COMPUTED_VALUE"""),0)</f>
        <v>0</v>
      </c>
    </row>
    <row r="719" spans="1:15" ht="12.75">
      <c r="A719" s="539">
        <f ca="1"/>
        <v>713</v>
      </c>
      <c r="B719" s="35" t="str">
        <f ca="1">IFERROR(__xludf.DUMMYFUNCTION("""COMPUTED_VALUE"""),"Tổ Hạ tầng Kiến Tường")</f>
        <v>Tổ Hạ tầng Kiến Tường</v>
      </c>
      <c r="C719" s="35" t="str">
        <f ca="1">IFERROR(__xludf.DUMMYFUNCTION("""COMPUTED_VALUE"""),"Đoàn Nguyễn Tuấn Anh")</f>
        <v>Đoàn Nguyễn Tuấn Anh</v>
      </c>
      <c r="D719" s="35">
        <f ca="1">IFERROR(__xludf.DUMMYFUNCTION("""COMPUTED_VALUE"""),943541776)</f>
        <v>943541776</v>
      </c>
      <c r="E719" s="35" t="str">
        <f ca="1">IFERROR(__xludf.DUMMYFUNCTION("""COMPUTED_VALUE"""),"dntanh.lan@vnpt.vn")</f>
        <v>dntanh.lan@vnpt.vn</v>
      </c>
      <c r="F719" s="540" t="str">
        <f ca="1">IFERROR(__xludf.DUMMYFUNCTION("""COMPUTED_VALUE"""),"Lần 9")</f>
        <v>Lần 9</v>
      </c>
      <c r="G719" s="278"/>
      <c r="H719" s="35"/>
      <c r="I719" s="35"/>
      <c r="J719" s="541"/>
      <c r="K719" s="541"/>
      <c r="M719" s="539">
        <f ca="1">IFERROR(__xludf.DUMMYFUNCTION("""COMPUTED_VALUE"""),0)</f>
        <v>0</v>
      </c>
      <c r="N719" s="539">
        <f ca="1">IFERROR(__xludf.DUMMYFUNCTION("""COMPUTED_VALUE"""),0)</f>
        <v>0</v>
      </c>
      <c r="O719" s="539">
        <f ca="1">IFERROR(__xludf.DUMMYFUNCTION("""COMPUTED_VALUE"""),0)</f>
        <v>0</v>
      </c>
    </row>
    <row r="720" spans="1:15" ht="12.75">
      <c r="A720" s="539">
        <f ca="1"/>
        <v>714</v>
      </c>
      <c r="B720" s="35" t="str">
        <f ca="1">IFERROR(__xludf.DUMMYFUNCTION("""COMPUTED_VALUE"""),"Tổ Hạ tầng Kiến Tường")</f>
        <v>Tổ Hạ tầng Kiến Tường</v>
      </c>
      <c r="C720" s="35" t="str">
        <f ca="1">IFERROR(__xludf.DUMMYFUNCTION("""COMPUTED_VALUE"""),"Đoàn Nguyễn Tuấn Anh")</f>
        <v>Đoàn Nguyễn Tuấn Anh</v>
      </c>
      <c r="D720" s="35">
        <f ca="1">IFERROR(__xludf.DUMMYFUNCTION("""COMPUTED_VALUE"""),943541776)</f>
        <v>943541776</v>
      </c>
      <c r="E720" s="35" t="str">
        <f ca="1">IFERROR(__xludf.DUMMYFUNCTION("""COMPUTED_VALUE"""),"dntanh.lan@vnpt.vn")</f>
        <v>dntanh.lan@vnpt.vn</v>
      </c>
      <c r="F720" s="540" t="str">
        <f ca="1">IFERROR(__xludf.DUMMYFUNCTION("""COMPUTED_VALUE"""),"Lần 10")</f>
        <v>Lần 10</v>
      </c>
      <c r="G720" s="278"/>
      <c r="H720" s="35"/>
      <c r="I720" s="35"/>
      <c r="J720" s="541"/>
      <c r="K720" s="541"/>
      <c r="M720" s="539">
        <f ca="1">IFERROR(__xludf.DUMMYFUNCTION("""COMPUTED_VALUE"""),0)</f>
        <v>0</v>
      </c>
      <c r="N720" s="539">
        <f ca="1">IFERROR(__xludf.DUMMYFUNCTION("""COMPUTED_VALUE"""),0)</f>
        <v>0</v>
      </c>
      <c r="O720" s="539">
        <f ca="1">IFERROR(__xludf.DUMMYFUNCTION("""COMPUTED_VALUE"""),0)</f>
        <v>0</v>
      </c>
    </row>
    <row r="721" spans="1:15" ht="12.75">
      <c r="A721" s="539">
        <f ca="1"/>
        <v>715</v>
      </c>
      <c r="B721" s="35" t="str">
        <f ca="1">IFERROR(__xludf.DUMMYFUNCTION("""COMPUTED_VALUE"""),"Tổ Hạ tầng Kiến Tường")</f>
        <v>Tổ Hạ tầng Kiến Tường</v>
      </c>
      <c r="C721" s="35" t="str">
        <f ca="1">IFERROR(__xludf.DUMMYFUNCTION("""COMPUTED_VALUE"""),"Đoàn Nguyễn Tuấn Anh")</f>
        <v>Đoàn Nguyễn Tuấn Anh</v>
      </c>
      <c r="D721" s="35">
        <f ca="1">IFERROR(__xludf.DUMMYFUNCTION("""COMPUTED_VALUE"""),943541776)</f>
        <v>943541776</v>
      </c>
      <c r="E721" s="35" t="str">
        <f ca="1">IFERROR(__xludf.DUMMYFUNCTION("""COMPUTED_VALUE"""),"dntanh.lan@vnpt.vn")</f>
        <v>dntanh.lan@vnpt.vn</v>
      </c>
      <c r="F721" s="540" t="str">
        <f ca="1">IFERROR(__xludf.DUMMYFUNCTION("""COMPUTED_VALUE"""),"Lần 11")</f>
        <v>Lần 11</v>
      </c>
      <c r="G721" s="278"/>
      <c r="H721" s="35"/>
      <c r="I721" s="35"/>
      <c r="J721" s="541"/>
      <c r="K721" s="541"/>
      <c r="M721" s="539">
        <f ca="1">IFERROR(__xludf.DUMMYFUNCTION("""COMPUTED_VALUE"""),0)</f>
        <v>0</v>
      </c>
      <c r="N721" s="539">
        <f ca="1">IFERROR(__xludf.DUMMYFUNCTION("""COMPUTED_VALUE"""),0)</f>
        <v>0</v>
      </c>
      <c r="O721" s="539">
        <f ca="1">IFERROR(__xludf.DUMMYFUNCTION("""COMPUTED_VALUE"""),0)</f>
        <v>0</v>
      </c>
    </row>
    <row r="722" spans="1:15" ht="12.75">
      <c r="A722" s="539">
        <f ca="1"/>
        <v>716</v>
      </c>
      <c r="B722" s="35" t="str">
        <f ca="1">IFERROR(__xludf.DUMMYFUNCTION("""COMPUTED_VALUE"""),"Tổ Hạ tầng Kiến Tường")</f>
        <v>Tổ Hạ tầng Kiến Tường</v>
      </c>
      <c r="C722" s="35" t="str">
        <f ca="1">IFERROR(__xludf.DUMMYFUNCTION("""COMPUTED_VALUE"""),"Đoàn Nguyễn Tuấn Anh")</f>
        <v>Đoàn Nguyễn Tuấn Anh</v>
      </c>
      <c r="D722" s="35">
        <f ca="1">IFERROR(__xludf.DUMMYFUNCTION("""COMPUTED_VALUE"""),943541776)</f>
        <v>943541776</v>
      </c>
      <c r="E722" s="35" t="str">
        <f ca="1">IFERROR(__xludf.DUMMYFUNCTION("""COMPUTED_VALUE"""),"dntanh.lan@vnpt.vn")</f>
        <v>dntanh.lan@vnpt.vn</v>
      </c>
      <c r="F722" s="540" t="str">
        <f ca="1">IFERROR(__xludf.DUMMYFUNCTION("""COMPUTED_VALUE"""),"Lần 12")</f>
        <v>Lần 12</v>
      </c>
      <c r="G722" s="278"/>
      <c r="H722" s="35"/>
      <c r="I722" s="35"/>
      <c r="J722" s="541"/>
      <c r="K722" s="541"/>
      <c r="M722" s="539">
        <f ca="1">IFERROR(__xludf.DUMMYFUNCTION("""COMPUTED_VALUE"""),0)</f>
        <v>0</v>
      </c>
      <c r="N722" s="539">
        <f ca="1">IFERROR(__xludf.DUMMYFUNCTION("""COMPUTED_VALUE"""),0)</f>
        <v>0</v>
      </c>
      <c r="O722" s="539">
        <f ca="1">IFERROR(__xludf.DUMMYFUNCTION("""COMPUTED_VALUE"""),0)</f>
        <v>0</v>
      </c>
    </row>
    <row r="723" spans="1:15" ht="12.75">
      <c r="A723" s="539">
        <f ca="1"/>
        <v>717</v>
      </c>
      <c r="B723" s="35" t="str">
        <f ca="1">IFERROR(__xludf.DUMMYFUNCTION("""COMPUTED_VALUE"""),"Tổ Hạ tầng Kiến Tường")</f>
        <v>Tổ Hạ tầng Kiến Tường</v>
      </c>
      <c r="C723" s="35" t="str">
        <f ca="1">IFERROR(__xludf.DUMMYFUNCTION("""COMPUTED_VALUE"""),"Đoàn Nguyễn Tuấn Anh")</f>
        <v>Đoàn Nguyễn Tuấn Anh</v>
      </c>
      <c r="D723" s="35">
        <f ca="1">IFERROR(__xludf.DUMMYFUNCTION("""COMPUTED_VALUE"""),943541776)</f>
        <v>943541776</v>
      </c>
      <c r="E723" s="35" t="str">
        <f ca="1">IFERROR(__xludf.DUMMYFUNCTION("""COMPUTED_VALUE"""),"dntanh.lan@vnpt.vn")</f>
        <v>dntanh.lan@vnpt.vn</v>
      </c>
      <c r="F723" s="540" t="str">
        <f ca="1">IFERROR(__xludf.DUMMYFUNCTION("""COMPUTED_VALUE"""),"Lần 13")</f>
        <v>Lần 13</v>
      </c>
      <c r="G723" s="278"/>
      <c r="H723" s="35"/>
      <c r="I723" s="35"/>
      <c r="J723" s="541"/>
      <c r="K723" s="541"/>
      <c r="M723" s="539">
        <f ca="1">IFERROR(__xludf.DUMMYFUNCTION("""COMPUTED_VALUE"""),0)</f>
        <v>0</v>
      </c>
      <c r="N723" s="539">
        <f ca="1">IFERROR(__xludf.DUMMYFUNCTION("""COMPUTED_VALUE"""),0)</f>
        <v>0</v>
      </c>
      <c r="O723" s="539">
        <f ca="1">IFERROR(__xludf.DUMMYFUNCTION("""COMPUTED_VALUE"""),0)</f>
        <v>0</v>
      </c>
    </row>
    <row r="724" spans="1:15" ht="12.75">
      <c r="A724" s="539">
        <f ca="1"/>
        <v>718</v>
      </c>
      <c r="B724" s="35" t="str">
        <f ca="1">IFERROR(__xludf.DUMMYFUNCTION("""COMPUTED_VALUE"""),"Tổ Hạ tầng Kiến Tường")</f>
        <v>Tổ Hạ tầng Kiến Tường</v>
      </c>
      <c r="C724" s="35" t="str">
        <f ca="1">IFERROR(__xludf.DUMMYFUNCTION("""COMPUTED_VALUE"""),"Đoàn Nguyễn Tuấn Anh")</f>
        <v>Đoàn Nguyễn Tuấn Anh</v>
      </c>
      <c r="D724" s="35">
        <f ca="1">IFERROR(__xludf.DUMMYFUNCTION("""COMPUTED_VALUE"""),943541776)</f>
        <v>943541776</v>
      </c>
      <c r="E724" s="35" t="str">
        <f ca="1">IFERROR(__xludf.DUMMYFUNCTION("""COMPUTED_VALUE"""),"dntanh.lan@vnpt.vn")</f>
        <v>dntanh.lan@vnpt.vn</v>
      </c>
      <c r="F724" s="540" t="str">
        <f ca="1">IFERROR(__xludf.DUMMYFUNCTION("""COMPUTED_VALUE"""),"Lần 14")</f>
        <v>Lần 14</v>
      </c>
      <c r="G724" s="278"/>
      <c r="H724" s="35"/>
      <c r="I724" s="35"/>
      <c r="J724" s="541"/>
      <c r="K724" s="541"/>
      <c r="M724" s="539">
        <f ca="1">IFERROR(__xludf.DUMMYFUNCTION("""COMPUTED_VALUE"""),0)</f>
        <v>0</v>
      </c>
      <c r="N724" s="539">
        <f ca="1">IFERROR(__xludf.DUMMYFUNCTION("""COMPUTED_VALUE"""),0)</f>
        <v>0</v>
      </c>
      <c r="O724" s="539">
        <f ca="1">IFERROR(__xludf.DUMMYFUNCTION("""COMPUTED_VALUE"""),0)</f>
        <v>0</v>
      </c>
    </row>
    <row r="725" spans="1:15" ht="12.75">
      <c r="A725" s="539">
        <f ca="1"/>
        <v>719</v>
      </c>
      <c r="B725" s="35" t="str">
        <f ca="1">IFERROR(__xludf.DUMMYFUNCTION("""COMPUTED_VALUE"""),"Tổ Hạ tầng Kiến Tường")</f>
        <v>Tổ Hạ tầng Kiến Tường</v>
      </c>
      <c r="C725" s="35" t="str">
        <f ca="1">IFERROR(__xludf.DUMMYFUNCTION("""COMPUTED_VALUE"""),"Đoàn Nguyễn Tuấn Anh")</f>
        <v>Đoàn Nguyễn Tuấn Anh</v>
      </c>
      <c r="D725" s="35">
        <f ca="1">IFERROR(__xludf.DUMMYFUNCTION("""COMPUTED_VALUE"""),943541776)</f>
        <v>943541776</v>
      </c>
      <c r="E725" s="35" t="str">
        <f ca="1">IFERROR(__xludf.DUMMYFUNCTION("""COMPUTED_VALUE"""),"dntanh.lan@vnpt.vn")</f>
        <v>dntanh.lan@vnpt.vn</v>
      </c>
      <c r="F725" s="540" t="str">
        <f ca="1">IFERROR(__xludf.DUMMYFUNCTION("""COMPUTED_VALUE"""),"Lần 15")</f>
        <v>Lần 15</v>
      </c>
      <c r="G725" s="278"/>
      <c r="H725" s="35"/>
      <c r="I725" s="35"/>
      <c r="J725" s="541"/>
      <c r="K725" s="541"/>
      <c r="M725" s="539">
        <f ca="1">IFERROR(__xludf.DUMMYFUNCTION("""COMPUTED_VALUE"""),0)</f>
        <v>0</v>
      </c>
      <c r="N725" s="539">
        <f ca="1">IFERROR(__xludf.DUMMYFUNCTION("""COMPUTED_VALUE"""),0)</f>
        <v>0</v>
      </c>
      <c r="O725" s="539">
        <f ca="1">IFERROR(__xludf.DUMMYFUNCTION("""COMPUTED_VALUE"""),0)</f>
        <v>0</v>
      </c>
    </row>
    <row r="726" spans="1:15" ht="12.75">
      <c r="A726" s="539">
        <f ca="1"/>
        <v>720</v>
      </c>
      <c r="B726" s="35" t="str">
        <f ca="1">IFERROR(__xludf.DUMMYFUNCTION("""COMPUTED_VALUE"""),"Tổ Hạ tầng Kiến Tường")</f>
        <v>Tổ Hạ tầng Kiến Tường</v>
      </c>
      <c r="C726" s="35" t="str">
        <f ca="1">IFERROR(__xludf.DUMMYFUNCTION("""COMPUTED_VALUE"""),"Đoàn Nguyễn Tuấn Anh")</f>
        <v>Đoàn Nguyễn Tuấn Anh</v>
      </c>
      <c r="D726" s="35">
        <f ca="1">IFERROR(__xludf.DUMMYFUNCTION("""COMPUTED_VALUE"""),943541776)</f>
        <v>943541776</v>
      </c>
      <c r="E726" s="35" t="str">
        <f ca="1">IFERROR(__xludf.DUMMYFUNCTION("""COMPUTED_VALUE"""),"dntanh.lan@vnpt.vn")</f>
        <v>dntanh.lan@vnpt.vn</v>
      </c>
      <c r="F726" s="540" t="str">
        <f ca="1">IFERROR(__xludf.DUMMYFUNCTION("""COMPUTED_VALUE"""),"Lần 16")</f>
        <v>Lần 16</v>
      </c>
      <c r="G726" s="278"/>
      <c r="H726" s="35"/>
      <c r="I726" s="35"/>
      <c r="J726" s="541"/>
      <c r="K726" s="541"/>
      <c r="M726" s="539">
        <f ca="1">IFERROR(__xludf.DUMMYFUNCTION("""COMPUTED_VALUE"""),0)</f>
        <v>0</v>
      </c>
      <c r="N726" s="539">
        <f ca="1">IFERROR(__xludf.DUMMYFUNCTION("""COMPUTED_VALUE"""),0)</f>
        <v>0</v>
      </c>
      <c r="O726" s="539">
        <f ca="1">IFERROR(__xludf.DUMMYFUNCTION("""COMPUTED_VALUE"""),0)</f>
        <v>0</v>
      </c>
    </row>
    <row r="727" spans="1:15" ht="12.75">
      <c r="A727" s="539">
        <f ca="1"/>
        <v>721</v>
      </c>
      <c r="B727" s="35" t="str">
        <f ca="1">IFERROR(__xludf.DUMMYFUNCTION("""COMPUTED_VALUE"""),"Tổ Hạ tầng Gò Dầu")</f>
        <v>Tổ Hạ tầng Gò Dầu</v>
      </c>
      <c r="C727" s="35" t="str">
        <f ca="1">IFERROR(__xludf.DUMMYFUNCTION("""COMPUTED_VALUE"""),"Nguyễn Hiếu Khương")</f>
        <v>Nguyễn Hiếu Khương</v>
      </c>
      <c r="D727" s="35">
        <f ca="1">IFERROR(__xludf.DUMMYFUNCTION("""COMPUTED_VALUE"""),942900404)</f>
        <v>942900404</v>
      </c>
      <c r="E727" s="35" t="str">
        <f ca="1">IFERROR(__xludf.DUMMYFUNCTION("""COMPUTED_VALUE"""),"khuongnh.tnh@vnpt.vn")</f>
        <v>khuongnh.tnh@vnpt.vn</v>
      </c>
      <c r="F727" s="540" t="str">
        <f ca="1">IFERROR(__xludf.DUMMYFUNCTION("""COMPUTED_VALUE"""),"Lần 1")</f>
        <v>Lần 1</v>
      </c>
      <c r="G727" s="278">
        <f ca="1">IFERROR(__xludf.DUMMYFUNCTION("""COMPUTED_VALUE"""),46206)</f>
        <v>46206</v>
      </c>
      <c r="H727" s="35">
        <f ca="1">IFERROR(__xludf.DUMMYFUNCTION("""COMPUTED_VALUE"""),167)</f>
        <v>167</v>
      </c>
      <c r="I727" s="35">
        <f ca="1">IFERROR(__xludf.DUMMYFUNCTION("""COMPUTED_VALUE"""),59)</f>
        <v>59</v>
      </c>
      <c r="J727" s="35">
        <f ca="1">IFERROR(__xludf.DUMMYFUNCTION("""COMPUTED_VALUE"""),159)</f>
        <v>159</v>
      </c>
      <c r="K727" s="35">
        <f ca="1">IFERROR(__xludf.DUMMYFUNCTION("""COMPUTED_VALUE"""),63)</f>
        <v>63</v>
      </c>
      <c r="M727" s="539">
        <f ca="1">IFERROR(__xludf.DUMMYFUNCTION("""COMPUTED_VALUE"""),1)</f>
        <v>1</v>
      </c>
      <c r="N727" s="539">
        <f ca="1">IFERROR(__xludf.DUMMYFUNCTION("""COMPUTED_VALUE"""),1)</f>
        <v>1</v>
      </c>
      <c r="O727" s="539">
        <f ca="1">IFERROR(__xludf.DUMMYFUNCTION("""COMPUTED_VALUE"""),0)</f>
        <v>0</v>
      </c>
    </row>
    <row r="728" spans="1:15" ht="12.75">
      <c r="A728" s="539">
        <f ca="1"/>
        <v>722</v>
      </c>
      <c r="B728" s="35" t="str">
        <f ca="1">IFERROR(__xludf.DUMMYFUNCTION("""COMPUTED_VALUE"""),"Tổ Hạ tầng Gò Dầu")</f>
        <v>Tổ Hạ tầng Gò Dầu</v>
      </c>
      <c r="C728" s="35" t="str">
        <f ca="1">IFERROR(__xludf.DUMMYFUNCTION("""COMPUTED_VALUE"""),"Nguyễn Hiếu Khương")</f>
        <v>Nguyễn Hiếu Khương</v>
      </c>
      <c r="D728" s="35">
        <f ca="1">IFERROR(__xludf.DUMMYFUNCTION("""COMPUTED_VALUE"""),942900404)</f>
        <v>942900404</v>
      </c>
      <c r="E728" s="35" t="str">
        <f ca="1">IFERROR(__xludf.DUMMYFUNCTION("""COMPUTED_VALUE"""),"khuongnh.tnh@vnpt.vn")</f>
        <v>khuongnh.tnh@vnpt.vn</v>
      </c>
      <c r="F728" s="540" t="str">
        <f ca="1">IFERROR(__xludf.DUMMYFUNCTION("""COMPUTED_VALUE"""),"Lần 2")</f>
        <v>Lần 2</v>
      </c>
      <c r="G728" s="278">
        <f ca="1">IFERROR(__xludf.DUMMYFUNCTION("""COMPUTED_VALUE"""),46206)</f>
        <v>46206</v>
      </c>
      <c r="H728" s="35">
        <f ca="1">IFERROR(__xludf.DUMMYFUNCTION("""COMPUTED_VALUE"""),77)</f>
        <v>77</v>
      </c>
      <c r="I728" s="35">
        <f ca="1">IFERROR(__xludf.DUMMYFUNCTION("""COMPUTED_VALUE"""),61)</f>
        <v>61</v>
      </c>
      <c r="J728" s="35">
        <f ca="1">IFERROR(__xludf.DUMMYFUNCTION("""COMPUTED_VALUE"""),256)</f>
        <v>256</v>
      </c>
      <c r="K728" s="35">
        <f ca="1">IFERROR(__xludf.DUMMYFUNCTION("""COMPUTED_VALUE"""),61)</f>
        <v>61</v>
      </c>
      <c r="M728" s="539">
        <f ca="1">IFERROR(__xludf.DUMMYFUNCTION("""COMPUTED_VALUE"""),1)</f>
        <v>1</v>
      </c>
      <c r="N728" s="539">
        <f ca="1">IFERROR(__xludf.DUMMYFUNCTION("""COMPUTED_VALUE"""),1)</f>
        <v>1</v>
      </c>
      <c r="O728" s="539">
        <f ca="1">IFERROR(__xludf.DUMMYFUNCTION("""COMPUTED_VALUE"""),1)</f>
        <v>1</v>
      </c>
    </row>
    <row r="729" spans="1:15" ht="12.75">
      <c r="A729" s="539">
        <f ca="1"/>
        <v>723</v>
      </c>
      <c r="B729" s="35" t="str">
        <f ca="1">IFERROR(__xludf.DUMMYFUNCTION("""COMPUTED_VALUE"""),"Tổ Hạ tầng Gò Dầu")</f>
        <v>Tổ Hạ tầng Gò Dầu</v>
      </c>
      <c r="C729" s="35" t="str">
        <f ca="1">IFERROR(__xludf.DUMMYFUNCTION("""COMPUTED_VALUE"""),"Nguyễn Hiếu Khương")</f>
        <v>Nguyễn Hiếu Khương</v>
      </c>
      <c r="D729" s="35">
        <f ca="1">IFERROR(__xludf.DUMMYFUNCTION("""COMPUTED_VALUE"""),942900404)</f>
        <v>942900404</v>
      </c>
      <c r="E729" s="35" t="str">
        <f ca="1">IFERROR(__xludf.DUMMYFUNCTION("""COMPUTED_VALUE"""),"khuongnh.tnh@vnpt.vn")</f>
        <v>khuongnh.tnh@vnpt.vn</v>
      </c>
      <c r="F729" s="540" t="str">
        <f ca="1">IFERROR(__xludf.DUMMYFUNCTION("""COMPUTED_VALUE"""),"Lần 3")</f>
        <v>Lần 3</v>
      </c>
      <c r="G729" s="278">
        <f ca="1">IFERROR(__xludf.DUMMYFUNCTION("""COMPUTED_VALUE"""),46206)</f>
        <v>46206</v>
      </c>
      <c r="H729" s="35">
        <f ca="1">IFERROR(__xludf.DUMMYFUNCTION("""COMPUTED_VALUE"""),197)</f>
        <v>197</v>
      </c>
      <c r="I729" s="35">
        <f ca="1">IFERROR(__xludf.DUMMYFUNCTION("""COMPUTED_VALUE"""),63)</f>
        <v>63</v>
      </c>
      <c r="J729" s="35">
        <f ca="1">IFERROR(__xludf.DUMMYFUNCTION("""COMPUTED_VALUE"""),255)</f>
        <v>255</v>
      </c>
      <c r="K729" s="35">
        <f ca="1">IFERROR(__xludf.DUMMYFUNCTION("""COMPUTED_VALUE"""),64)</f>
        <v>64</v>
      </c>
      <c r="M729" s="539">
        <f ca="1">IFERROR(__xludf.DUMMYFUNCTION("""COMPUTED_VALUE"""),1)</f>
        <v>1</v>
      </c>
      <c r="N729" s="539">
        <f ca="1">IFERROR(__xludf.DUMMYFUNCTION("""COMPUTED_VALUE"""),1)</f>
        <v>1</v>
      </c>
      <c r="O729" s="539">
        <f ca="1">IFERROR(__xludf.DUMMYFUNCTION("""COMPUTED_VALUE"""),1)</f>
        <v>1</v>
      </c>
    </row>
    <row r="730" spans="1:15" ht="12.75">
      <c r="A730" s="539">
        <f ca="1"/>
        <v>724</v>
      </c>
      <c r="B730" s="35" t="str">
        <f ca="1">IFERROR(__xludf.DUMMYFUNCTION("""COMPUTED_VALUE"""),"Tổ Hạ tầng Gò Dầu")</f>
        <v>Tổ Hạ tầng Gò Dầu</v>
      </c>
      <c r="C730" s="35" t="str">
        <f ca="1">IFERROR(__xludf.DUMMYFUNCTION("""COMPUTED_VALUE"""),"Nguyễn Hiếu Khương")</f>
        <v>Nguyễn Hiếu Khương</v>
      </c>
      <c r="D730" s="35">
        <f ca="1">IFERROR(__xludf.DUMMYFUNCTION("""COMPUTED_VALUE"""),942900404)</f>
        <v>942900404</v>
      </c>
      <c r="E730" s="35" t="str">
        <f ca="1">IFERROR(__xludf.DUMMYFUNCTION("""COMPUTED_VALUE"""),"khuongnh.tnh@vnpt.vn")</f>
        <v>khuongnh.tnh@vnpt.vn</v>
      </c>
      <c r="F730" s="540" t="str">
        <f ca="1">IFERROR(__xludf.DUMMYFUNCTION("""COMPUTED_VALUE"""),"Lần 4")</f>
        <v>Lần 4</v>
      </c>
      <c r="G730" s="278">
        <f ca="1">IFERROR(__xludf.DUMMYFUNCTION("""COMPUTED_VALUE"""),46206)</f>
        <v>46206</v>
      </c>
      <c r="H730" s="35">
        <f ca="1">IFERROR(__xludf.DUMMYFUNCTION("""COMPUTED_VALUE"""),116)</f>
        <v>116</v>
      </c>
      <c r="I730" s="35">
        <f ca="1">IFERROR(__xludf.DUMMYFUNCTION("""COMPUTED_VALUE"""),57)</f>
        <v>57</v>
      </c>
      <c r="J730" s="35">
        <f ca="1">IFERROR(__xludf.DUMMYFUNCTION("""COMPUTED_VALUE"""),243)</f>
        <v>243</v>
      </c>
      <c r="K730" s="35">
        <f ca="1">IFERROR(__xludf.DUMMYFUNCTION("""COMPUTED_VALUE"""),61)</f>
        <v>61</v>
      </c>
      <c r="M730" s="539">
        <f ca="1">IFERROR(__xludf.DUMMYFUNCTION("""COMPUTED_VALUE"""),1)</f>
        <v>1</v>
      </c>
      <c r="N730" s="539">
        <f ca="1">IFERROR(__xludf.DUMMYFUNCTION("""COMPUTED_VALUE"""),1)</f>
        <v>1</v>
      </c>
      <c r="O730" s="539">
        <f ca="1">IFERROR(__xludf.DUMMYFUNCTION("""COMPUTED_VALUE"""),1)</f>
        <v>1</v>
      </c>
    </row>
    <row r="731" spans="1:15" ht="12.75">
      <c r="A731" s="539">
        <f ca="1"/>
        <v>725</v>
      </c>
      <c r="B731" s="35" t="str">
        <f ca="1">IFERROR(__xludf.DUMMYFUNCTION("""COMPUTED_VALUE"""),"Tổ Hạ tầng Gò Dầu")</f>
        <v>Tổ Hạ tầng Gò Dầu</v>
      </c>
      <c r="C731" s="35" t="str">
        <f ca="1">IFERROR(__xludf.DUMMYFUNCTION("""COMPUTED_VALUE"""),"Nguyễn Hiếu Khương")</f>
        <v>Nguyễn Hiếu Khương</v>
      </c>
      <c r="D731" s="35">
        <f ca="1">IFERROR(__xludf.DUMMYFUNCTION("""COMPUTED_VALUE"""),942900404)</f>
        <v>942900404</v>
      </c>
      <c r="E731" s="35" t="str">
        <f ca="1">IFERROR(__xludf.DUMMYFUNCTION("""COMPUTED_VALUE"""),"khuongnh.tnh@vnpt.vn")</f>
        <v>khuongnh.tnh@vnpt.vn</v>
      </c>
      <c r="F731" s="540" t="str">
        <f ca="1">IFERROR(__xludf.DUMMYFUNCTION("""COMPUTED_VALUE"""),"Lần 5")</f>
        <v>Lần 5</v>
      </c>
      <c r="G731" s="278">
        <f ca="1">IFERROR(__xludf.DUMMYFUNCTION("""COMPUTED_VALUE"""),46211)</f>
        <v>46211</v>
      </c>
      <c r="H731" s="35">
        <f ca="1">IFERROR(__xludf.DUMMYFUNCTION("""COMPUTED_VALUE"""),121)</f>
        <v>121</v>
      </c>
      <c r="I731" s="35">
        <f ca="1">IFERROR(__xludf.DUMMYFUNCTION("""COMPUTED_VALUE"""),60)</f>
        <v>60</v>
      </c>
      <c r="J731" s="35">
        <f ca="1">IFERROR(__xludf.DUMMYFUNCTION("""COMPUTED_VALUE"""),154)</f>
        <v>154</v>
      </c>
      <c r="K731" s="35">
        <f ca="1">IFERROR(__xludf.DUMMYFUNCTION("""COMPUTED_VALUE"""),63)</f>
        <v>63</v>
      </c>
      <c r="M731" s="539">
        <f ca="1">IFERROR(__xludf.DUMMYFUNCTION("""COMPUTED_VALUE"""),1)</f>
        <v>1</v>
      </c>
      <c r="N731" s="539">
        <f ca="1">IFERROR(__xludf.DUMMYFUNCTION("""COMPUTED_VALUE"""),1)</f>
        <v>1</v>
      </c>
      <c r="O731" s="539">
        <f ca="1">IFERROR(__xludf.DUMMYFUNCTION("""COMPUTED_VALUE"""),0)</f>
        <v>0</v>
      </c>
    </row>
    <row r="732" spans="1:15" ht="12.75">
      <c r="A732" s="539">
        <f ca="1"/>
        <v>726</v>
      </c>
      <c r="B732" s="35" t="str">
        <f ca="1">IFERROR(__xludf.DUMMYFUNCTION("""COMPUTED_VALUE"""),"Tổ Hạ tầng Gò Dầu")</f>
        <v>Tổ Hạ tầng Gò Dầu</v>
      </c>
      <c r="C732" s="35" t="str">
        <f ca="1">IFERROR(__xludf.DUMMYFUNCTION("""COMPUTED_VALUE"""),"Nguyễn Hiếu Khương")</f>
        <v>Nguyễn Hiếu Khương</v>
      </c>
      <c r="D732" s="35">
        <f ca="1">IFERROR(__xludf.DUMMYFUNCTION("""COMPUTED_VALUE"""),942900404)</f>
        <v>942900404</v>
      </c>
      <c r="E732" s="35" t="str">
        <f ca="1">IFERROR(__xludf.DUMMYFUNCTION("""COMPUTED_VALUE"""),"khuongnh.tnh@vnpt.vn")</f>
        <v>khuongnh.tnh@vnpt.vn</v>
      </c>
      <c r="F732" s="540" t="str">
        <f ca="1">IFERROR(__xludf.DUMMYFUNCTION("""COMPUTED_VALUE"""),"Lần 6")</f>
        <v>Lần 6</v>
      </c>
      <c r="G732" s="278">
        <f ca="1">IFERROR(__xludf.DUMMYFUNCTION("""COMPUTED_VALUE"""),46211)</f>
        <v>46211</v>
      </c>
      <c r="H732" s="35">
        <f ca="1">IFERROR(__xludf.DUMMYFUNCTION("""COMPUTED_VALUE"""),75)</f>
        <v>75</v>
      </c>
      <c r="I732" s="35">
        <f ca="1">IFERROR(__xludf.DUMMYFUNCTION("""COMPUTED_VALUE"""),61)</f>
        <v>61</v>
      </c>
      <c r="J732" s="35">
        <f ca="1">IFERROR(__xludf.DUMMYFUNCTION("""COMPUTED_VALUE"""),187)</f>
        <v>187</v>
      </c>
      <c r="K732" s="35">
        <f ca="1">IFERROR(__xludf.DUMMYFUNCTION("""COMPUTED_VALUE"""),54)</f>
        <v>54</v>
      </c>
      <c r="M732" s="539">
        <f ca="1">IFERROR(__xludf.DUMMYFUNCTION("""COMPUTED_VALUE"""),1)</f>
        <v>1</v>
      </c>
      <c r="N732" s="539">
        <f ca="1">IFERROR(__xludf.DUMMYFUNCTION("""COMPUTED_VALUE"""),1)</f>
        <v>1</v>
      </c>
      <c r="O732" s="539">
        <f ca="1">IFERROR(__xludf.DUMMYFUNCTION("""COMPUTED_VALUE"""),0)</f>
        <v>0</v>
      </c>
    </row>
    <row r="733" spans="1:15" ht="12.75">
      <c r="A733" s="539">
        <f ca="1"/>
        <v>727</v>
      </c>
      <c r="B733" s="35" t="str">
        <f ca="1">IFERROR(__xludf.DUMMYFUNCTION("""COMPUTED_VALUE"""),"Tổ Hạ tầng Gò Dầu")</f>
        <v>Tổ Hạ tầng Gò Dầu</v>
      </c>
      <c r="C733" s="35" t="str">
        <f ca="1">IFERROR(__xludf.DUMMYFUNCTION("""COMPUTED_VALUE"""),"Nguyễn Hiếu Khương")</f>
        <v>Nguyễn Hiếu Khương</v>
      </c>
      <c r="D733" s="35">
        <f ca="1">IFERROR(__xludf.DUMMYFUNCTION("""COMPUTED_VALUE"""),942900404)</f>
        <v>942900404</v>
      </c>
      <c r="E733" s="35" t="str">
        <f ca="1">IFERROR(__xludf.DUMMYFUNCTION("""COMPUTED_VALUE"""),"khuongnh.tnh@vnpt.vn")</f>
        <v>khuongnh.tnh@vnpt.vn</v>
      </c>
      <c r="F733" s="540" t="str">
        <f ca="1">IFERROR(__xludf.DUMMYFUNCTION("""COMPUTED_VALUE"""),"Lần 7")</f>
        <v>Lần 7</v>
      </c>
      <c r="G733" s="278">
        <f ca="1">IFERROR(__xludf.DUMMYFUNCTION("""COMPUTED_VALUE"""),46211)</f>
        <v>46211</v>
      </c>
      <c r="H733" s="35">
        <f ca="1">IFERROR(__xludf.DUMMYFUNCTION("""COMPUTED_VALUE"""),170)</f>
        <v>170</v>
      </c>
      <c r="I733" s="35">
        <f ca="1">IFERROR(__xludf.DUMMYFUNCTION("""COMPUTED_VALUE"""),60)</f>
        <v>60</v>
      </c>
      <c r="J733" s="35">
        <f ca="1">IFERROR(__xludf.DUMMYFUNCTION("""COMPUTED_VALUE"""),265)</f>
        <v>265</v>
      </c>
      <c r="K733" s="35">
        <f ca="1">IFERROR(__xludf.DUMMYFUNCTION("""COMPUTED_VALUE"""),50)</f>
        <v>50</v>
      </c>
      <c r="M733" s="539">
        <f ca="1">IFERROR(__xludf.DUMMYFUNCTION("""COMPUTED_VALUE"""),1)</f>
        <v>1</v>
      </c>
      <c r="N733" s="539">
        <f ca="1">IFERROR(__xludf.DUMMYFUNCTION("""COMPUTED_VALUE"""),1)</f>
        <v>1</v>
      </c>
      <c r="O733" s="539">
        <f ca="1">IFERROR(__xludf.DUMMYFUNCTION("""COMPUTED_VALUE"""),1)</f>
        <v>1</v>
      </c>
    </row>
    <row r="734" spans="1:15" ht="12.75">
      <c r="A734" s="539">
        <f ca="1"/>
        <v>728</v>
      </c>
      <c r="B734" s="35" t="str">
        <f ca="1">IFERROR(__xludf.DUMMYFUNCTION("""COMPUTED_VALUE"""),"Tổ Hạ tầng Gò Dầu")</f>
        <v>Tổ Hạ tầng Gò Dầu</v>
      </c>
      <c r="C734" s="35" t="str">
        <f ca="1">IFERROR(__xludf.DUMMYFUNCTION("""COMPUTED_VALUE"""),"Nguyễn Hiếu Khương")</f>
        <v>Nguyễn Hiếu Khương</v>
      </c>
      <c r="D734" s="35">
        <f ca="1">IFERROR(__xludf.DUMMYFUNCTION("""COMPUTED_VALUE"""),942900404)</f>
        <v>942900404</v>
      </c>
      <c r="E734" s="35" t="str">
        <f ca="1">IFERROR(__xludf.DUMMYFUNCTION("""COMPUTED_VALUE"""),"khuongnh.tnh@vnpt.vn")</f>
        <v>khuongnh.tnh@vnpt.vn</v>
      </c>
      <c r="F734" s="540" t="str">
        <f ca="1">IFERROR(__xludf.DUMMYFUNCTION("""COMPUTED_VALUE"""),"Lần 8")</f>
        <v>Lần 8</v>
      </c>
      <c r="G734" s="278">
        <f ca="1">IFERROR(__xludf.DUMMYFUNCTION("""COMPUTED_VALUE"""),46211)</f>
        <v>46211</v>
      </c>
      <c r="H734" s="35">
        <f ca="1">IFERROR(__xludf.DUMMYFUNCTION("""COMPUTED_VALUE"""),181)</f>
        <v>181</v>
      </c>
      <c r="I734" s="35">
        <f ca="1">IFERROR(__xludf.DUMMYFUNCTION("""COMPUTED_VALUE"""),61)</f>
        <v>61</v>
      </c>
      <c r="J734" s="35">
        <f ca="1">IFERROR(__xludf.DUMMYFUNCTION("""COMPUTED_VALUE"""),193)</f>
        <v>193</v>
      </c>
      <c r="K734" s="35">
        <f ca="1">IFERROR(__xludf.DUMMYFUNCTION("""COMPUTED_VALUE"""),56)</f>
        <v>56</v>
      </c>
      <c r="M734" s="539">
        <f ca="1">IFERROR(__xludf.DUMMYFUNCTION("""COMPUTED_VALUE"""),1)</f>
        <v>1</v>
      </c>
      <c r="N734" s="539">
        <f ca="1">IFERROR(__xludf.DUMMYFUNCTION("""COMPUTED_VALUE"""),1)</f>
        <v>1</v>
      </c>
      <c r="O734" s="539">
        <f ca="1">IFERROR(__xludf.DUMMYFUNCTION("""COMPUTED_VALUE"""),0)</f>
        <v>0</v>
      </c>
    </row>
    <row r="735" spans="1:15" ht="12.75">
      <c r="A735" s="539">
        <f ca="1"/>
        <v>729</v>
      </c>
      <c r="B735" s="35" t="str">
        <f ca="1">IFERROR(__xludf.DUMMYFUNCTION("""COMPUTED_VALUE"""),"Tổ Hạ tầng Gò Dầu")</f>
        <v>Tổ Hạ tầng Gò Dầu</v>
      </c>
      <c r="C735" s="35" t="str">
        <f ca="1">IFERROR(__xludf.DUMMYFUNCTION("""COMPUTED_VALUE"""),"Nguyễn Hiếu Khương")</f>
        <v>Nguyễn Hiếu Khương</v>
      </c>
      <c r="D735" s="35">
        <f ca="1">IFERROR(__xludf.DUMMYFUNCTION("""COMPUTED_VALUE"""),942900404)</f>
        <v>942900404</v>
      </c>
      <c r="E735" s="35" t="str">
        <f ca="1">IFERROR(__xludf.DUMMYFUNCTION("""COMPUTED_VALUE"""),"khuongnh.tnh@vnpt.vn")</f>
        <v>khuongnh.tnh@vnpt.vn</v>
      </c>
      <c r="F735" s="540" t="str">
        <f ca="1">IFERROR(__xludf.DUMMYFUNCTION("""COMPUTED_VALUE"""),"Lần 9")</f>
        <v>Lần 9</v>
      </c>
      <c r="G735" s="278">
        <f ca="1">IFERROR(__xludf.DUMMYFUNCTION("""COMPUTED_VALUE"""),46217)</f>
        <v>46217</v>
      </c>
      <c r="H735" s="35">
        <f ca="1">IFERROR(__xludf.DUMMYFUNCTION("""COMPUTED_VALUE"""),140)</f>
        <v>140</v>
      </c>
      <c r="I735" s="35">
        <f ca="1">IFERROR(__xludf.DUMMYFUNCTION("""COMPUTED_VALUE"""),59)</f>
        <v>59</v>
      </c>
      <c r="J735" s="35">
        <f ca="1">IFERROR(__xludf.DUMMYFUNCTION("""COMPUTED_VALUE"""),206)</f>
        <v>206</v>
      </c>
      <c r="K735" s="35">
        <f ca="1">IFERROR(__xludf.DUMMYFUNCTION("""COMPUTED_VALUE"""),38)</f>
        <v>38</v>
      </c>
      <c r="M735" s="539">
        <f ca="1">IFERROR(__xludf.DUMMYFUNCTION("""COMPUTED_VALUE"""),1)</f>
        <v>1</v>
      </c>
      <c r="N735" s="539">
        <f ca="1">IFERROR(__xludf.DUMMYFUNCTION("""COMPUTED_VALUE"""),1)</f>
        <v>1</v>
      </c>
      <c r="O735" s="539">
        <f ca="1">IFERROR(__xludf.DUMMYFUNCTION("""COMPUTED_VALUE"""),1)</f>
        <v>1</v>
      </c>
    </row>
    <row r="736" spans="1:15" ht="12.75">
      <c r="A736" s="539">
        <f ca="1"/>
        <v>730</v>
      </c>
      <c r="B736" s="35" t="str">
        <f ca="1">IFERROR(__xludf.DUMMYFUNCTION("""COMPUTED_VALUE"""),"Tổ Hạ tầng Gò Dầu")</f>
        <v>Tổ Hạ tầng Gò Dầu</v>
      </c>
      <c r="C736" s="35" t="str">
        <f ca="1">IFERROR(__xludf.DUMMYFUNCTION("""COMPUTED_VALUE"""),"Nguyễn Hiếu Khương")</f>
        <v>Nguyễn Hiếu Khương</v>
      </c>
      <c r="D736" s="35">
        <f ca="1">IFERROR(__xludf.DUMMYFUNCTION("""COMPUTED_VALUE"""),942900404)</f>
        <v>942900404</v>
      </c>
      <c r="E736" s="35" t="str">
        <f ca="1">IFERROR(__xludf.DUMMYFUNCTION("""COMPUTED_VALUE"""),"khuongnh.tnh@vnpt.vn")</f>
        <v>khuongnh.tnh@vnpt.vn</v>
      </c>
      <c r="F736" s="540" t="str">
        <f ca="1">IFERROR(__xludf.DUMMYFUNCTION("""COMPUTED_VALUE"""),"Lần 10")</f>
        <v>Lần 10</v>
      </c>
      <c r="G736" s="278">
        <f ca="1">IFERROR(__xludf.DUMMYFUNCTION("""COMPUTED_VALUE"""),46217)</f>
        <v>46217</v>
      </c>
      <c r="H736" s="35">
        <f ca="1">IFERROR(__xludf.DUMMYFUNCTION("""COMPUTED_VALUE"""),167)</f>
        <v>167</v>
      </c>
      <c r="I736" s="35">
        <f ca="1">IFERROR(__xludf.DUMMYFUNCTION("""COMPUTED_VALUE"""),61)</f>
        <v>61</v>
      </c>
      <c r="J736" s="35">
        <f ca="1">IFERROR(__xludf.DUMMYFUNCTION("""COMPUTED_VALUE"""),193)</f>
        <v>193</v>
      </c>
      <c r="K736" s="35">
        <f ca="1">IFERROR(__xludf.DUMMYFUNCTION("""COMPUTED_VALUE"""),43)</f>
        <v>43</v>
      </c>
      <c r="M736" s="539">
        <f ca="1">IFERROR(__xludf.DUMMYFUNCTION("""COMPUTED_VALUE"""),1)</f>
        <v>1</v>
      </c>
      <c r="N736" s="539">
        <f ca="1">IFERROR(__xludf.DUMMYFUNCTION("""COMPUTED_VALUE"""),1)</f>
        <v>1</v>
      </c>
      <c r="O736" s="539">
        <f ca="1">IFERROR(__xludf.DUMMYFUNCTION("""COMPUTED_VALUE"""),0)</f>
        <v>0</v>
      </c>
    </row>
    <row r="737" spans="1:15" ht="12.75">
      <c r="A737" s="539">
        <f ca="1"/>
        <v>731</v>
      </c>
      <c r="B737" s="35" t="str">
        <f ca="1">IFERROR(__xludf.DUMMYFUNCTION("""COMPUTED_VALUE"""),"Tổ Hạ tầng Gò Dầu")</f>
        <v>Tổ Hạ tầng Gò Dầu</v>
      </c>
      <c r="C737" s="35" t="str">
        <f ca="1">IFERROR(__xludf.DUMMYFUNCTION("""COMPUTED_VALUE"""),"Nguyễn Hiếu Khương")</f>
        <v>Nguyễn Hiếu Khương</v>
      </c>
      <c r="D737" s="35">
        <f ca="1">IFERROR(__xludf.DUMMYFUNCTION("""COMPUTED_VALUE"""),942900404)</f>
        <v>942900404</v>
      </c>
      <c r="E737" s="35" t="str">
        <f ca="1">IFERROR(__xludf.DUMMYFUNCTION("""COMPUTED_VALUE"""),"khuongnh.tnh@vnpt.vn")</f>
        <v>khuongnh.tnh@vnpt.vn</v>
      </c>
      <c r="F737" s="540" t="str">
        <f ca="1">IFERROR(__xludf.DUMMYFUNCTION("""COMPUTED_VALUE"""),"Lần 11")</f>
        <v>Lần 11</v>
      </c>
      <c r="G737" s="278">
        <f ca="1">IFERROR(__xludf.DUMMYFUNCTION("""COMPUTED_VALUE"""),46217)</f>
        <v>46217</v>
      </c>
      <c r="H737" s="35">
        <f ca="1">IFERROR(__xludf.DUMMYFUNCTION("""COMPUTED_VALUE"""),163)</f>
        <v>163</v>
      </c>
      <c r="I737" s="35">
        <f ca="1">IFERROR(__xludf.DUMMYFUNCTION("""COMPUTED_VALUE"""),59)</f>
        <v>59</v>
      </c>
      <c r="J737" s="35">
        <f ca="1">IFERROR(__xludf.DUMMYFUNCTION("""COMPUTED_VALUE"""),154)</f>
        <v>154</v>
      </c>
      <c r="K737" s="35">
        <f ca="1">IFERROR(__xludf.DUMMYFUNCTION("""COMPUTED_VALUE"""),63)</f>
        <v>63</v>
      </c>
      <c r="M737" s="539">
        <f ca="1">IFERROR(__xludf.DUMMYFUNCTION("""COMPUTED_VALUE"""),1)</f>
        <v>1</v>
      </c>
      <c r="N737" s="539">
        <f ca="1">IFERROR(__xludf.DUMMYFUNCTION("""COMPUTED_VALUE"""),1)</f>
        <v>1</v>
      </c>
      <c r="O737" s="539">
        <f ca="1">IFERROR(__xludf.DUMMYFUNCTION("""COMPUTED_VALUE"""),0)</f>
        <v>0</v>
      </c>
    </row>
    <row r="738" spans="1:15" ht="12.75">
      <c r="A738" s="539">
        <f ca="1"/>
        <v>732</v>
      </c>
      <c r="B738" s="35" t="str">
        <f ca="1">IFERROR(__xludf.DUMMYFUNCTION("""COMPUTED_VALUE"""),"Tổ Hạ tầng Gò Dầu")</f>
        <v>Tổ Hạ tầng Gò Dầu</v>
      </c>
      <c r="C738" s="35" t="str">
        <f ca="1">IFERROR(__xludf.DUMMYFUNCTION("""COMPUTED_VALUE"""),"Nguyễn Hiếu Khương")</f>
        <v>Nguyễn Hiếu Khương</v>
      </c>
      <c r="D738" s="35">
        <f ca="1">IFERROR(__xludf.DUMMYFUNCTION("""COMPUTED_VALUE"""),942900404)</f>
        <v>942900404</v>
      </c>
      <c r="E738" s="35" t="str">
        <f ca="1">IFERROR(__xludf.DUMMYFUNCTION("""COMPUTED_VALUE"""),"khuongnh.tnh@vnpt.vn")</f>
        <v>khuongnh.tnh@vnpt.vn</v>
      </c>
      <c r="F738" s="540" t="str">
        <f ca="1">IFERROR(__xludf.DUMMYFUNCTION("""COMPUTED_VALUE"""),"Lần 12")</f>
        <v>Lần 12</v>
      </c>
      <c r="G738" s="278">
        <f ca="1">IFERROR(__xludf.DUMMYFUNCTION("""COMPUTED_VALUE"""),46217)</f>
        <v>46217</v>
      </c>
      <c r="H738" s="35">
        <f ca="1">IFERROR(__xludf.DUMMYFUNCTION("""COMPUTED_VALUE"""),169)</f>
        <v>169</v>
      </c>
      <c r="I738" s="35">
        <f ca="1">IFERROR(__xludf.DUMMYFUNCTION("""COMPUTED_VALUE"""),57)</f>
        <v>57</v>
      </c>
      <c r="J738" s="35">
        <f ca="1">IFERROR(__xludf.DUMMYFUNCTION("""COMPUTED_VALUE"""),187)</f>
        <v>187</v>
      </c>
      <c r="K738" s="35">
        <f ca="1">IFERROR(__xludf.DUMMYFUNCTION("""COMPUTED_VALUE"""),54)</f>
        <v>54</v>
      </c>
      <c r="M738" s="539">
        <f ca="1">IFERROR(__xludf.DUMMYFUNCTION("""COMPUTED_VALUE"""),1)</f>
        <v>1</v>
      </c>
      <c r="N738" s="539">
        <f ca="1">IFERROR(__xludf.DUMMYFUNCTION("""COMPUTED_VALUE"""),1)</f>
        <v>1</v>
      </c>
      <c r="O738" s="539">
        <f ca="1">IFERROR(__xludf.DUMMYFUNCTION("""COMPUTED_VALUE"""),0)</f>
        <v>0</v>
      </c>
    </row>
    <row r="739" spans="1:15" ht="12.75">
      <c r="A739" s="539">
        <f ca="1"/>
        <v>733</v>
      </c>
      <c r="B739" s="35" t="str">
        <f ca="1">IFERROR(__xludf.DUMMYFUNCTION("""COMPUTED_VALUE"""),"Tổ Hạ tầng Gò Dầu")</f>
        <v>Tổ Hạ tầng Gò Dầu</v>
      </c>
      <c r="C739" s="35" t="str">
        <f ca="1">IFERROR(__xludf.DUMMYFUNCTION("""COMPUTED_VALUE"""),"Nguyễn Hiếu Khương")</f>
        <v>Nguyễn Hiếu Khương</v>
      </c>
      <c r="D739" s="35">
        <f ca="1">IFERROR(__xludf.DUMMYFUNCTION("""COMPUTED_VALUE"""),942900404)</f>
        <v>942900404</v>
      </c>
      <c r="E739" s="35" t="str">
        <f ca="1">IFERROR(__xludf.DUMMYFUNCTION("""COMPUTED_VALUE"""),"khuongnh.tnh@vnpt.vn")</f>
        <v>khuongnh.tnh@vnpt.vn</v>
      </c>
      <c r="F739" s="540" t="str">
        <f ca="1">IFERROR(__xludf.DUMMYFUNCTION("""COMPUTED_VALUE"""),"Lần 13")</f>
        <v>Lần 13</v>
      </c>
      <c r="G739" s="278">
        <f ca="1">IFERROR(__xludf.DUMMYFUNCTION("""COMPUTED_VALUE"""),46223)</f>
        <v>46223</v>
      </c>
      <c r="H739" s="35"/>
      <c r="I739" s="35"/>
      <c r="J739" s="35"/>
      <c r="K739" s="35"/>
      <c r="M739" s="539">
        <f ca="1">IFERROR(__xludf.DUMMYFUNCTION("""COMPUTED_VALUE"""),0)</f>
        <v>0</v>
      </c>
      <c r="N739" s="539">
        <f ca="1">IFERROR(__xludf.DUMMYFUNCTION("""COMPUTED_VALUE"""),0)</f>
        <v>0</v>
      </c>
      <c r="O739" s="539">
        <f ca="1">IFERROR(__xludf.DUMMYFUNCTION("""COMPUTED_VALUE"""),0)</f>
        <v>0</v>
      </c>
    </row>
    <row r="740" spans="1:15" ht="12.75">
      <c r="A740" s="539">
        <f ca="1"/>
        <v>734</v>
      </c>
      <c r="B740" s="35" t="str">
        <f ca="1">IFERROR(__xludf.DUMMYFUNCTION("""COMPUTED_VALUE"""),"Tổ Hạ tầng Gò Dầu")</f>
        <v>Tổ Hạ tầng Gò Dầu</v>
      </c>
      <c r="C740" s="35" t="str">
        <f ca="1">IFERROR(__xludf.DUMMYFUNCTION("""COMPUTED_VALUE"""),"Nguyễn Hiếu Khương")</f>
        <v>Nguyễn Hiếu Khương</v>
      </c>
      <c r="D740" s="35">
        <f ca="1">IFERROR(__xludf.DUMMYFUNCTION("""COMPUTED_VALUE"""),942900404)</f>
        <v>942900404</v>
      </c>
      <c r="E740" s="35" t="str">
        <f ca="1">IFERROR(__xludf.DUMMYFUNCTION("""COMPUTED_VALUE"""),"khuongnh.tnh@vnpt.vn")</f>
        <v>khuongnh.tnh@vnpt.vn</v>
      </c>
      <c r="F740" s="540" t="str">
        <f ca="1">IFERROR(__xludf.DUMMYFUNCTION("""COMPUTED_VALUE"""),"Lần 14")</f>
        <v>Lần 14</v>
      </c>
      <c r="G740" s="278">
        <f ca="1">IFERROR(__xludf.DUMMYFUNCTION("""COMPUTED_VALUE"""),46223)</f>
        <v>46223</v>
      </c>
      <c r="H740" s="35"/>
      <c r="I740" s="35"/>
      <c r="J740" s="35"/>
      <c r="K740" s="35"/>
      <c r="M740" s="539">
        <f ca="1">IFERROR(__xludf.DUMMYFUNCTION("""COMPUTED_VALUE"""),0)</f>
        <v>0</v>
      </c>
      <c r="N740" s="539">
        <f ca="1">IFERROR(__xludf.DUMMYFUNCTION("""COMPUTED_VALUE"""),0)</f>
        <v>0</v>
      </c>
      <c r="O740" s="539">
        <f ca="1">IFERROR(__xludf.DUMMYFUNCTION("""COMPUTED_VALUE"""),0)</f>
        <v>0</v>
      </c>
    </row>
    <row r="741" spans="1:15" ht="12.75">
      <c r="A741" s="539">
        <f ca="1"/>
        <v>735</v>
      </c>
      <c r="B741" s="35" t="str">
        <f ca="1">IFERROR(__xludf.DUMMYFUNCTION("""COMPUTED_VALUE"""),"Tổ Hạ tầng Gò Dầu")</f>
        <v>Tổ Hạ tầng Gò Dầu</v>
      </c>
      <c r="C741" s="35" t="str">
        <f ca="1">IFERROR(__xludf.DUMMYFUNCTION("""COMPUTED_VALUE"""),"Nguyễn Hiếu Khương")</f>
        <v>Nguyễn Hiếu Khương</v>
      </c>
      <c r="D741" s="35">
        <f ca="1">IFERROR(__xludf.DUMMYFUNCTION("""COMPUTED_VALUE"""),942900404)</f>
        <v>942900404</v>
      </c>
      <c r="E741" s="35" t="str">
        <f ca="1">IFERROR(__xludf.DUMMYFUNCTION("""COMPUTED_VALUE"""),"khuongnh.tnh@vnpt.vn")</f>
        <v>khuongnh.tnh@vnpt.vn</v>
      </c>
      <c r="F741" s="540" t="str">
        <f ca="1">IFERROR(__xludf.DUMMYFUNCTION("""COMPUTED_VALUE"""),"Lần 15")</f>
        <v>Lần 15</v>
      </c>
      <c r="G741" s="278">
        <f ca="1">IFERROR(__xludf.DUMMYFUNCTION("""COMPUTED_VALUE"""),46223)</f>
        <v>46223</v>
      </c>
      <c r="H741" s="35"/>
      <c r="I741" s="35"/>
      <c r="J741" s="35"/>
      <c r="K741" s="35"/>
      <c r="M741" s="539">
        <f ca="1">IFERROR(__xludf.DUMMYFUNCTION("""COMPUTED_VALUE"""),0)</f>
        <v>0</v>
      </c>
      <c r="N741" s="539">
        <f ca="1">IFERROR(__xludf.DUMMYFUNCTION("""COMPUTED_VALUE"""),0)</f>
        <v>0</v>
      </c>
      <c r="O741" s="539">
        <f ca="1">IFERROR(__xludf.DUMMYFUNCTION("""COMPUTED_VALUE"""),0)</f>
        <v>0</v>
      </c>
    </row>
    <row r="742" spans="1:15" ht="12.75">
      <c r="A742" s="539">
        <f ca="1"/>
        <v>736</v>
      </c>
      <c r="B742" s="35" t="str">
        <f ca="1">IFERROR(__xludf.DUMMYFUNCTION("""COMPUTED_VALUE"""),"Tổ Hạ tầng Gò Dầu")</f>
        <v>Tổ Hạ tầng Gò Dầu</v>
      </c>
      <c r="C742" s="35" t="str">
        <f ca="1">IFERROR(__xludf.DUMMYFUNCTION("""COMPUTED_VALUE"""),"Nguyễn Hiếu Khương")</f>
        <v>Nguyễn Hiếu Khương</v>
      </c>
      <c r="D742" s="35">
        <f ca="1">IFERROR(__xludf.DUMMYFUNCTION("""COMPUTED_VALUE"""),942900404)</f>
        <v>942900404</v>
      </c>
      <c r="E742" s="35" t="str">
        <f ca="1">IFERROR(__xludf.DUMMYFUNCTION("""COMPUTED_VALUE"""),"khuongnh.tnh@vnpt.vn")</f>
        <v>khuongnh.tnh@vnpt.vn</v>
      </c>
      <c r="F742" s="540" t="str">
        <f ca="1">IFERROR(__xludf.DUMMYFUNCTION("""COMPUTED_VALUE"""),"Lần 16")</f>
        <v>Lần 16</v>
      </c>
      <c r="G742" s="545">
        <f ca="1">IFERROR(__xludf.DUMMYFUNCTION("""COMPUTED_VALUE"""),46223)</f>
        <v>46223</v>
      </c>
      <c r="H742" s="35"/>
      <c r="I742" s="35"/>
      <c r="J742" s="35"/>
      <c r="K742" s="35"/>
      <c r="M742" s="539">
        <f ca="1">IFERROR(__xludf.DUMMYFUNCTION("""COMPUTED_VALUE"""),0)</f>
        <v>0</v>
      </c>
      <c r="N742" s="539">
        <f ca="1">IFERROR(__xludf.DUMMYFUNCTION("""COMPUTED_VALUE"""),0)</f>
        <v>0</v>
      </c>
      <c r="O742" s="539">
        <f ca="1">IFERROR(__xludf.DUMMYFUNCTION("""COMPUTED_VALUE"""),0)</f>
        <v>0</v>
      </c>
    </row>
    <row r="743" spans="1:15" ht="12.75">
      <c r="A743" s="539">
        <f ca="1"/>
        <v>737</v>
      </c>
      <c r="B743" s="35" t="str">
        <f ca="1">IFERROR(__xludf.DUMMYFUNCTION("""COMPUTED_VALUE"""),"Tổ Hạ tầng Gò Dầu")</f>
        <v>Tổ Hạ tầng Gò Dầu</v>
      </c>
      <c r="C743" s="35" t="str">
        <f ca="1">IFERROR(__xludf.DUMMYFUNCTION("""COMPUTED_VALUE"""),"Nguyễn Phan Duy An")</f>
        <v>Nguyễn Phan Duy An</v>
      </c>
      <c r="D743" s="35">
        <f ca="1">IFERROR(__xludf.DUMMYFUNCTION("""COMPUTED_VALUE"""),888444008)</f>
        <v>888444008</v>
      </c>
      <c r="E743" s="35" t="str">
        <f ca="1">IFERROR(__xludf.DUMMYFUNCTION("""COMPUTED_VALUE"""),"x")</f>
        <v>x</v>
      </c>
      <c r="F743" s="540" t="str">
        <f ca="1">IFERROR(__xludf.DUMMYFUNCTION("""COMPUTED_VALUE"""),"Lần 1")</f>
        <v>Lần 1</v>
      </c>
      <c r="G743" s="278">
        <f ca="1">IFERROR(__xludf.DUMMYFUNCTION("""COMPUTED_VALUE"""),46206)</f>
        <v>46206</v>
      </c>
      <c r="H743" s="35">
        <f ca="1">IFERROR(__xludf.DUMMYFUNCTION("""COMPUTED_VALUE"""),132)</f>
        <v>132</v>
      </c>
      <c r="I743" s="35">
        <f ca="1">IFERROR(__xludf.DUMMYFUNCTION("""COMPUTED_VALUE"""),52)</f>
        <v>52</v>
      </c>
      <c r="J743" s="35">
        <f ca="1">IFERROR(__xludf.DUMMYFUNCTION("""COMPUTED_VALUE"""),161)</f>
        <v>161</v>
      </c>
      <c r="K743" s="35">
        <f ca="1">IFERROR(__xludf.DUMMYFUNCTION("""COMPUTED_VALUE"""),61)</f>
        <v>61</v>
      </c>
      <c r="M743" s="539">
        <f ca="1">IFERROR(__xludf.DUMMYFUNCTION("""COMPUTED_VALUE"""),1)</f>
        <v>1</v>
      </c>
      <c r="N743" s="539">
        <f ca="1">IFERROR(__xludf.DUMMYFUNCTION("""COMPUTED_VALUE"""),1)</f>
        <v>1</v>
      </c>
      <c r="O743" s="539">
        <f ca="1">IFERROR(__xludf.DUMMYFUNCTION("""COMPUTED_VALUE"""),0)</f>
        <v>0</v>
      </c>
    </row>
    <row r="744" spans="1:15" ht="12.75">
      <c r="A744" s="539">
        <f ca="1"/>
        <v>738</v>
      </c>
      <c r="B744" s="35" t="str">
        <f ca="1">IFERROR(__xludf.DUMMYFUNCTION("""COMPUTED_VALUE"""),"Tổ Hạ tầng Gò Dầu")</f>
        <v>Tổ Hạ tầng Gò Dầu</v>
      </c>
      <c r="C744" s="35" t="str">
        <f ca="1">IFERROR(__xludf.DUMMYFUNCTION("""COMPUTED_VALUE"""),"Nguyễn Phan Duy An")</f>
        <v>Nguyễn Phan Duy An</v>
      </c>
      <c r="D744" s="35">
        <f ca="1">IFERROR(__xludf.DUMMYFUNCTION("""COMPUTED_VALUE"""),888444008)</f>
        <v>888444008</v>
      </c>
      <c r="E744" s="35" t="str">
        <f ca="1">IFERROR(__xludf.DUMMYFUNCTION("""COMPUTED_VALUE"""),"x")</f>
        <v>x</v>
      </c>
      <c r="F744" s="540" t="str">
        <f ca="1">IFERROR(__xludf.DUMMYFUNCTION("""COMPUTED_VALUE"""),"Lần 2")</f>
        <v>Lần 2</v>
      </c>
      <c r="G744" s="278">
        <f ca="1">IFERROR(__xludf.DUMMYFUNCTION("""COMPUTED_VALUE"""),46206)</f>
        <v>46206</v>
      </c>
      <c r="H744" s="35">
        <f ca="1">IFERROR(__xludf.DUMMYFUNCTION("""COMPUTED_VALUE"""),89)</f>
        <v>89</v>
      </c>
      <c r="I744" s="35">
        <f ca="1">IFERROR(__xludf.DUMMYFUNCTION("""COMPUTED_VALUE"""),37)</f>
        <v>37</v>
      </c>
      <c r="J744" s="35">
        <f ca="1">IFERROR(__xludf.DUMMYFUNCTION("""COMPUTED_VALUE"""),154)</f>
        <v>154</v>
      </c>
      <c r="K744" s="35">
        <f ca="1">IFERROR(__xludf.DUMMYFUNCTION("""COMPUTED_VALUE"""),61)</f>
        <v>61</v>
      </c>
      <c r="M744" s="539">
        <f ca="1">IFERROR(__xludf.DUMMYFUNCTION("""COMPUTED_VALUE"""),1)</f>
        <v>1</v>
      </c>
      <c r="N744" s="539">
        <f ca="1">IFERROR(__xludf.DUMMYFUNCTION("""COMPUTED_VALUE"""),1)</f>
        <v>1</v>
      </c>
      <c r="O744" s="539">
        <f ca="1">IFERROR(__xludf.DUMMYFUNCTION("""COMPUTED_VALUE"""),0)</f>
        <v>0</v>
      </c>
    </row>
    <row r="745" spans="1:15" ht="12.75">
      <c r="A745" s="539">
        <f ca="1"/>
        <v>739</v>
      </c>
      <c r="B745" s="35" t="str">
        <f ca="1">IFERROR(__xludf.DUMMYFUNCTION("""COMPUTED_VALUE"""),"Tổ Hạ tầng Gò Dầu")</f>
        <v>Tổ Hạ tầng Gò Dầu</v>
      </c>
      <c r="C745" s="35" t="str">
        <f ca="1">IFERROR(__xludf.DUMMYFUNCTION("""COMPUTED_VALUE"""),"Nguyễn Phan Duy An")</f>
        <v>Nguyễn Phan Duy An</v>
      </c>
      <c r="D745" s="35">
        <f ca="1">IFERROR(__xludf.DUMMYFUNCTION("""COMPUTED_VALUE"""),888444008)</f>
        <v>888444008</v>
      </c>
      <c r="E745" s="35" t="str">
        <f ca="1">IFERROR(__xludf.DUMMYFUNCTION("""COMPUTED_VALUE"""),"x")</f>
        <v>x</v>
      </c>
      <c r="F745" s="540" t="str">
        <f ca="1">IFERROR(__xludf.DUMMYFUNCTION("""COMPUTED_VALUE"""),"Lần 3")</f>
        <v>Lần 3</v>
      </c>
      <c r="G745" s="278">
        <f ca="1">IFERROR(__xludf.DUMMYFUNCTION("""COMPUTED_VALUE"""),46206)</f>
        <v>46206</v>
      </c>
      <c r="H745" s="35">
        <f ca="1">IFERROR(__xludf.DUMMYFUNCTION("""COMPUTED_VALUE"""),75)</f>
        <v>75</v>
      </c>
      <c r="I745" s="35">
        <f ca="1">IFERROR(__xludf.DUMMYFUNCTION("""COMPUTED_VALUE"""),15)</f>
        <v>15</v>
      </c>
      <c r="J745" s="35">
        <f ca="1">IFERROR(__xludf.DUMMYFUNCTION("""COMPUTED_VALUE"""),149)</f>
        <v>149</v>
      </c>
      <c r="K745" s="35">
        <f ca="1">IFERROR(__xludf.DUMMYFUNCTION("""COMPUTED_VALUE"""),59)</f>
        <v>59</v>
      </c>
      <c r="M745" s="539">
        <f ca="1">IFERROR(__xludf.DUMMYFUNCTION("""COMPUTED_VALUE"""),1)</f>
        <v>1</v>
      </c>
      <c r="N745" s="539">
        <f ca="1">IFERROR(__xludf.DUMMYFUNCTION("""COMPUTED_VALUE"""),1)</f>
        <v>1</v>
      </c>
      <c r="O745" s="539">
        <f ca="1">IFERROR(__xludf.DUMMYFUNCTION("""COMPUTED_VALUE"""),0)</f>
        <v>0</v>
      </c>
    </row>
    <row r="746" spans="1:15" ht="12.75">
      <c r="A746" s="539">
        <f ca="1"/>
        <v>740</v>
      </c>
      <c r="B746" s="35" t="str">
        <f ca="1">IFERROR(__xludf.DUMMYFUNCTION("""COMPUTED_VALUE"""),"Tổ Hạ tầng Gò Dầu")</f>
        <v>Tổ Hạ tầng Gò Dầu</v>
      </c>
      <c r="C746" s="35" t="str">
        <f ca="1">IFERROR(__xludf.DUMMYFUNCTION("""COMPUTED_VALUE"""),"Nguyễn Phan Duy An")</f>
        <v>Nguyễn Phan Duy An</v>
      </c>
      <c r="D746" s="35">
        <f ca="1">IFERROR(__xludf.DUMMYFUNCTION("""COMPUTED_VALUE"""),888444008)</f>
        <v>888444008</v>
      </c>
      <c r="E746" s="35" t="str">
        <f ca="1">IFERROR(__xludf.DUMMYFUNCTION("""COMPUTED_VALUE"""),"x")</f>
        <v>x</v>
      </c>
      <c r="F746" s="540" t="str">
        <f ca="1">IFERROR(__xludf.DUMMYFUNCTION("""COMPUTED_VALUE"""),"Lần 4")</f>
        <v>Lần 4</v>
      </c>
      <c r="G746" s="278">
        <f ca="1">IFERROR(__xludf.DUMMYFUNCTION("""COMPUTED_VALUE"""),46206)</f>
        <v>46206</v>
      </c>
      <c r="H746" s="35">
        <f ca="1">IFERROR(__xludf.DUMMYFUNCTION("""COMPUTED_VALUE"""),94)</f>
        <v>94</v>
      </c>
      <c r="I746" s="35">
        <f ca="1">IFERROR(__xludf.DUMMYFUNCTION("""COMPUTED_VALUE"""),52)</f>
        <v>52</v>
      </c>
      <c r="J746" s="35">
        <f ca="1">IFERROR(__xludf.DUMMYFUNCTION("""COMPUTED_VALUE"""),148)</f>
        <v>148</v>
      </c>
      <c r="K746" s="35">
        <f ca="1">IFERROR(__xludf.DUMMYFUNCTION("""COMPUTED_VALUE"""),60)</f>
        <v>60</v>
      </c>
      <c r="M746" s="539">
        <f ca="1">IFERROR(__xludf.DUMMYFUNCTION("""COMPUTED_VALUE"""),1)</f>
        <v>1</v>
      </c>
      <c r="N746" s="539">
        <f ca="1">IFERROR(__xludf.DUMMYFUNCTION("""COMPUTED_VALUE"""),1)</f>
        <v>1</v>
      </c>
      <c r="O746" s="539">
        <f ca="1">IFERROR(__xludf.DUMMYFUNCTION("""COMPUTED_VALUE"""),0)</f>
        <v>0</v>
      </c>
    </row>
    <row r="747" spans="1:15" ht="12.75">
      <c r="A747" s="539">
        <f ca="1"/>
        <v>741</v>
      </c>
      <c r="B747" s="35" t="str">
        <f ca="1">IFERROR(__xludf.DUMMYFUNCTION("""COMPUTED_VALUE"""),"Tổ Hạ tầng Gò Dầu")</f>
        <v>Tổ Hạ tầng Gò Dầu</v>
      </c>
      <c r="C747" s="35" t="str">
        <f ca="1">IFERROR(__xludf.DUMMYFUNCTION("""COMPUTED_VALUE"""),"Nguyễn Phan Duy An")</f>
        <v>Nguyễn Phan Duy An</v>
      </c>
      <c r="D747" s="35">
        <f ca="1">IFERROR(__xludf.DUMMYFUNCTION("""COMPUTED_VALUE"""),888444008)</f>
        <v>888444008</v>
      </c>
      <c r="E747" s="35" t="str">
        <f ca="1">IFERROR(__xludf.DUMMYFUNCTION("""COMPUTED_VALUE"""),"x")</f>
        <v>x</v>
      </c>
      <c r="F747" s="540" t="str">
        <f ca="1">IFERROR(__xludf.DUMMYFUNCTION("""COMPUTED_VALUE"""),"Lần 5")</f>
        <v>Lần 5</v>
      </c>
      <c r="G747" s="278">
        <f ca="1">IFERROR(__xludf.DUMMYFUNCTION("""COMPUTED_VALUE"""),46211)</f>
        <v>46211</v>
      </c>
      <c r="H747" s="35">
        <f ca="1">IFERROR(__xludf.DUMMYFUNCTION("""COMPUTED_VALUE"""),162)</f>
        <v>162</v>
      </c>
      <c r="I747" s="35">
        <f ca="1">IFERROR(__xludf.DUMMYFUNCTION("""COMPUTED_VALUE"""),62)</f>
        <v>62</v>
      </c>
      <c r="J747" s="35">
        <f ca="1">IFERROR(__xludf.DUMMYFUNCTION("""COMPUTED_VALUE"""),146)</f>
        <v>146</v>
      </c>
      <c r="K747" s="35">
        <f ca="1">IFERROR(__xludf.DUMMYFUNCTION("""COMPUTED_VALUE"""),61)</f>
        <v>61</v>
      </c>
      <c r="M747" s="539">
        <f ca="1">IFERROR(__xludf.DUMMYFUNCTION("""COMPUTED_VALUE"""),1)</f>
        <v>1</v>
      </c>
      <c r="N747" s="539">
        <f ca="1">IFERROR(__xludf.DUMMYFUNCTION("""COMPUTED_VALUE"""),1)</f>
        <v>1</v>
      </c>
      <c r="O747" s="539">
        <f ca="1">IFERROR(__xludf.DUMMYFUNCTION("""COMPUTED_VALUE"""),0)</f>
        <v>0</v>
      </c>
    </row>
    <row r="748" spans="1:15" ht="12.75">
      <c r="A748" s="539">
        <f ca="1"/>
        <v>742</v>
      </c>
      <c r="B748" s="35" t="str">
        <f ca="1">IFERROR(__xludf.DUMMYFUNCTION("""COMPUTED_VALUE"""),"Tổ Hạ tầng Gò Dầu")</f>
        <v>Tổ Hạ tầng Gò Dầu</v>
      </c>
      <c r="C748" s="35" t="str">
        <f ca="1">IFERROR(__xludf.DUMMYFUNCTION("""COMPUTED_VALUE"""),"Nguyễn Phan Duy An")</f>
        <v>Nguyễn Phan Duy An</v>
      </c>
      <c r="D748" s="35">
        <f ca="1">IFERROR(__xludf.DUMMYFUNCTION("""COMPUTED_VALUE"""),888444008)</f>
        <v>888444008</v>
      </c>
      <c r="E748" s="35" t="str">
        <f ca="1">IFERROR(__xludf.DUMMYFUNCTION("""COMPUTED_VALUE"""),"x")</f>
        <v>x</v>
      </c>
      <c r="F748" s="540" t="str">
        <f ca="1">IFERROR(__xludf.DUMMYFUNCTION("""COMPUTED_VALUE"""),"Lần 6")</f>
        <v>Lần 6</v>
      </c>
      <c r="G748" s="278">
        <f ca="1">IFERROR(__xludf.DUMMYFUNCTION("""COMPUTED_VALUE"""),46211)</f>
        <v>46211</v>
      </c>
      <c r="H748" s="35">
        <f ca="1">IFERROR(__xludf.DUMMYFUNCTION("""COMPUTED_VALUE"""),147)</f>
        <v>147</v>
      </c>
      <c r="I748" s="35">
        <f ca="1">IFERROR(__xludf.DUMMYFUNCTION("""COMPUTED_VALUE"""),64)</f>
        <v>64</v>
      </c>
      <c r="J748" s="35">
        <f ca="1">IFERROR(__xludf.DUMMYFUNCTION("""COMPUTED_VALUE"""),146)</f>
        <v>146</v>
      </c>
      <c r="K748" s="35">
        <f ca="1">IFERROR(__xludf.DUMMYFUNCTION("""COMPUTED_VALUE"""),61)</f>
        <v>61</v>
      </c>
      <c r="M748" s="539">
        <f ca="1">IFERROR(__xludf.DUMMYFUNCTION("""COMPUTED_VALUE"""),1)</f>
        <v>1</v>
      </c>
      <c r="N748" s="539">
        <f ca="1">IFERROR(__xludf.DUMMYFUNCTION("""COMPUTED_VALUE"""),1)</f>
        <v>1</v>
      </c>
      <c r="O748" s="539">
        <f ca="1">IFERROR(__xludf.DUMMYFUNCTION("""COMPUTED_VALUE"""),0)</f>
        <v>0</v>
      </c>
    </row>
    <row r="749" spans="1:15" ht="12.75">
      <c r="A749" s="539">
        <f ca="1"/>
        <v>743</v>
      </c>
      <c r="B749" s="35" t="str">
        <f ca="1">IFERROR(__xludf.DUMMYFUNCTION("""COMPUTED_VALUE"""),"Tổ Hạ tầng Gò Dầu")</f>
        <v>Tổ Hạ tầng Gò Dầu</v>
      </c>
      <c r="C749" s="35" t="str">
        <f ca="1">IFERROR(__xludf.DUMMYFUNCTION("""COMPUTED_VALUE"""),"Nguyễn Phan Duy An")</f>
        <v>Nguyễn Phan Duy An</v>
      </c>
      <c r="D749" s="35">
        <f ca="1">IFERROR(__xludf.DUMMYFUNCTION("""COMPUTED_VALUE"""),888444008)</f>
        <v>888444008</v>
      </c>
      <c r="E749" s="35" t="str">
        <f ca="1">IFERROR(__xludf.DUMMYFUNCTION("""COMPUTED_VALUE"""),"x")</f>
        <v>x</v>
      </c>
      <c r="F749" s="540" t="str">
        <f ca="1">IFERROR(__xludf.DUMMYFUNCTION("""COMPUTED_VALUE"""),"Lần 7")</f>
        <v>Lần 7</v>
      </c>
      <c r="G749" s="278">
        <f ca="1">IFERROR(__xludf.DUMMYFUNCTION("""COMPUTED_VALUE"""),46211)</f>
        <v>46211</v>
      </c>
      <c r="H749" s="35">
        <f ca="1">IFERROR(__xludf.DUMMYFUNCTION("""COMPUTED_VALUE"""),139)</f>
        <v>139</v>
      </c>
      <c r="I749" s="35">
        <f ca="1">IFERROR(__xludf.DUMMYFUNCTION("""COMPUTED_VALUE"""),60)</f>
        <v>60</v>
      </c>
      <c r="J749" s="35">
        <f ca="1">IFERROR(__xludf.DUMMYFUNCTION("""COMPUTED_VALUE"""),145)</f>
        <v>145</v>
      </c>
      <c r="K749" s="35">
        <f ca="1">IFERROR(__xludf.DUMMYFUNCTION("""COMPUTED_VALUE"""),61)</f>
        <v>61</v>
      </c>
      <c r="M749" s="539">
        <f ca="1">IFERROR(__xludf.DUMMYFUNCTION("""COMPUTED_VALUE"""),1)</f>
        <v>1</v>
      </c>
      <c r="N749" s="539">
        <f ca="1">IFERROR(__xludf.DUMMYFUNCTION("""COMPUTED_VALUE"""),1)</f>
        <v>1</v>
      </c>
      <c r="O749" s="539">
        <f ca="1">IFERROR(__xludf.DUMMYFUNCTION("""COMPUTED_VALUE"""),0)</f>
        <v>0</v>
      </c>
    </row>
    <row r="750" spans="1:15" ht="12.75">
      <c r="A750" s="539">
        <f ca="1"/>
        <v>744</v>
      </c>
      <c r="B750" s="35" t="str">
        <f ca="1">IFERROR(__xludf.DUMMYFUNCTION("""COMPUTED_VALUE"""),"Tổ Hạ tầng Gò Dầu")</f>
        <v>Tổ Hạ tầng Gò Dầu</v>
      </c>
      <c r="C750" s="35" t="str">
        <f ca="1">IFERROR(__xludf.DUMMYFUNCTION("""COMPUTED_VALUE"""),"Nguyễn Phan Duy An")</f>
        <v>Nguyễn Phan Duy An</v>
      </c>
      <c r="D750" s="35">
        <f ca="1">IFERROR(__xludf.DUMMYFUNCTION("""COMPUTED_VALUE"""),888444008)</f>
        <v>888444008</v>
      </c>
      <c r="E750" s="35" t="str">
        <f ca="1">IFERROR(__xludf.DUMMYFUNCTION("""COMPUTED_VALUE"""),"x")</f>
        <v>x</v>
      </c>
      <c r="F750" s="540" t="str">
        <f ca="1">IFERROR(__xludf.DUMMYFUNCTION("""COMPUTED_VALUE"""),"Lần 8")</f>
        <v>Lần 8</v>
      </c>
      <c r="G750" s="278">
        <f ca="1">IFERROR(__xludf.DUMMYFUNCTION("""COMPUTED_VALUE"""),46211)</f>
        <v>46211</v>
      </c>
      <c r="H750" s="35">
        <f ca="1">IFERROR(__xludf.DUMMYFUNCTION("""COMPUTED_VALUE"""),158)</f>
        <v>158</v>
      </c>
      <c r="I750" s="35">
        <f ca="1">IFERROR(__xludf.DUMMYFUNCTION("""COMPUTED_VALUE"""),59)</f>
        <v>59</v>
      </c>
      <c r="J750" s="35">
        <f ca="1">IFERROR(__xludf.DUMMYFUNCTION("""COMPUTED_VALUE"""),137)</f>
        <v>137</v>
      </c>
      <c r="K750" s="35">
        <f ca="1">IFERROR(__xludf.DUMMYFUNCTION("""COMPUTED_VALUE"""),61)</f>
        <v>61</v>
      </c>
      <c r="M750" s="539">
        <f ca="1">IFERROR(__xludf.DUMMYFUNCTION("""COMPUTED_VALUE"""),1)</f>
        <v>1</v>
      </c>
      <c r="N750" s="539">
        <f ca="1">IFERROR(__xludf.DUMMYFUNCTION("""COMPUTED_VALUE"""),1)</f>
        <v>1</v>
      </c>
      <c r="O750" s="539">
        <f ca="1">IFERROR(__xludf.DUMMYFUNCTION("""COMPUTED_VALUE"""),0)</f>
        <v>0</v>
      </c>
    </row>
    <row r="751" spans="1:15" ht="12.75">
      <c r="A751" s="539">
        <f ca="1"/>
        <v>745</v>
      </c>
      <c r="B751" s="35" t="str">
        <f ca="1">IFERROR(__xludf.DUMMYFUNCTION("""COMPUTED_VALUE"""),"Tổ Hạ tầng Gò Dầu")</f>
        <v>Tổ Hạ tầng Gò Dầu</v>
      </c>
      <c r="C751" s="35" t="str">
        <f ca="1">IFERROR(__xludf.DUMMYFUNCTION("""COMPUTED_VALUE"""),"Nguyễn Phan Duy An")</f>
        <v>Nguyễn Phan Duy An</v>
      </c>
      <c r="D751" s="35">
        <f ca="1">IFERROR(__xludf.DUMMYFUNCTION("""COMPUTED_VALUE"""),888444008)</f>
        <v>888444008</v>
      </c>
      <c r="E751" s="35" t="str">
        <f ca="1">IFERROR(__xludf.DUMMYFUNCTION("""COMPUTED_VALUE"""),"x")</f>
        <v>x</v>
      </c>
      <c r="F751" s="540" t="str">
        <f ca="1">IFERROR(__xludf.DUMMYFUNCTION("""COMPUTED_VALUE"""),"Lần 9")</f>
        <v>Lần 9</v>
      </c>
      <c r="G751" s="278">
        <f ca="1">IFERROR(__xludf.DUMMYFUNCTION("""COMPUTED_VALUE"""),46217)</f>
        <v>46217</v>
      </c>
      <c r="H751" s="35">
        <f ca="1">IFERROR(__xludf.DUMMYFUNCTION("""COMPUTED_VALUE"""),150)</f>
        <v>150</v>
      </c>
      <c r="I751" s="35">
        <f ca="1">IFERROR(__xludf.DUMMYFUNCTION("""COMPUTED_VALUE"""),62)</f>
        <v>62</v>
      </c>
      <c r="J751" s="35">
        <f ca="1">IFERROR(__xludf.DUMMYFUNCTION("""COMPUTED_VALUE"""),149)</f>
        <v>149</v>
      </c>
      <c r="K751" s="35">
        <f ca="1">IFERROR(__xludf.DUMMYFUNCTION("""COMPUTED_VALUE"""),59)</f>
        <v>59</v>
      </c>
      <c r="M751" s="539">
        <f ca="1">IFERROR(__xludf.DUMMYFUNCTION("""COMPUTED_VALUE"""),1)</f>
        <v>1</v>
      </c>
      <c r="N751" s="539">
        <f ca="1">IFERROR(__xludf.DUMMYFUNCTION("""COMPUTED_VALUE"""),1)</f>
        <v>1</v>
      </c>
      <c r="O751" s="539">
        <f ca="1">IFERROR(__xludf.DUMMYFUNCTION("""COMPUTED_VALUE"""),0)</f>
        <v>0</v>
      </c>
    </row>
    <row r="752" spans="1:15" ht="12.75">
      <c r="A752" s="539">
        <f ca="1"/>
        <v>746</v>
      </c>
      <c r="B752" s="35" t="str">
        <f ca="1">IFERROR(__xludf.DUMMYFUNCTION("""COMPUTED_VALUE"""),"Tổ Hạ tầng Gò Dầu")</f>
        <v>Tổ Hạ tầng Gò Dầu</v>
      </c>
      <c r="C752" s="35" t="str">
        <f ca="1">IFERROR(__xludf.DUMMYFUNCTION("""COMPUTED_VALUE"""),"Nguyễn Phan Duy An")</f>
        <v>Nguyễn Phan Duy An</v>
      </c>
      <c r="D752" s="35">
        <f ca="1">IFERROR(__xludf.DUMMYFUNCTION("""COMPUTED_VALUE"""),888444008)</f>
        <v>888444008</v>
      </c>
      <c r="E752" s="35" t="str">
        <f ca="1">IFERROR(__xludf.DUMMYFUNCTION("""COMPUTED_VALUE"""),"x")</f>
        <v>x</v>
      </c>
      <c r="F752" s="540" t="str">
        <f ca="1">IFERROR(__xludf.DUMMYFUNCTION("""COMPUTED_VALUE"""),"Lần 10")</f>
        <v>Lần 10</v>
      </c>
      <c r="G752" s="278">
        <f ca="1">IFERROR(__xludf.DUMMYFUNCTION("""COMPUTED_VALUE"""),46217)</f>
        <v>46217</v>
      </c>
      <c r="H752" s="35">
        <f ca="1">IFERROR(__xludf.DUMMYFUNCTION("""COMPUTED_VALUE"""),160)</f>
        <v>160</v>
      </c>
      <c r="I752" s="35">
        <f ca="1">IFERROR(__xludf.DUMMYFUNCTION("""COMPUTED_VALUE"""),60)</f>
        <v>60</v>
      </c>
      <c r="J752" s="35">
        <f ca="1">IFERROR(__xludf.DUMMYFUNCTION("""COMPUTED_VALUE"""),148)</f>
        <v>148</v>
      </c>
      <c r="K752" s="35">
        <f ca="1">IFERROR(__xludf.DUMMYFUNCTION("""COMPUTED_VALUE"""),60)</f>
        <v>60</v>
      </c>
      <c r="M752" s="539">
        <f ca="1">IFERROR(__xludf.DUMMYFUNCTION("""COMPUTED_VALUE"""),1)</f>
        <v>1</v>
      </c>
      <c r="N752" s="539">
        <f ca="1">IFERROR(__xludf.DUMMYFUNCTION("""COMPUTED_VALUE"""),1)</f>
        <v>1</v>
      </c>
      <c r="O752" s="539">
        <f ca="1">IFERROR(__xludf.DUMMYFUNCTION("""COMPUTED_VALUE"""),0)</f>
        <v>0</v>
      </c>
    </row>
    <row r="753" spans="1:15" ht="12.75">
      <c r="A753" s="539">
        <f ca="1"/>
        <v>747</v>
      </c>
      <c r="B753" s="35" t="str">
        <f ca="1">IFERROR(__xludf.DUMMYFUNCTION("""COMPUTED_VALUE"""),"Tổ Hạ tầng Gò Dầu")</f>
        <v>Tổ Hạ tầng Gò Dầu</v>
      </c>
      <c r="C753" s="35" t="str">
        <f ca="1">IFERROR(__xludf.DUMMYFUNCTION("""COMPUTED_VALUE"""),"Nguyễn Phan Duy An")</f>
        <v>Nguyễn Phan Duy An</v>
      </c>
      <c r="D753" s="35">
        <f ca="1">IFERROR(__xludf.DUMMYFUNCTION("""COMPUTED_VALUE"""),888444008)</f>
        <v>888444008</v>
      </c>
      <c r="E753" s="35" t="str">
        <f ca="1">IFERROR(__xludf.DUMMYFUNCTION("""COMPUTED_VALUE"""),"x")</f>
        <v>x</v>
      </c>
      <c r="F753" s="540" t="str">
        <f ca="1">IFERROR(__xludf.DUMMYFUNCTION("""COMPUTED_VALUE"""),"Lần 11")</f>
        <v>Lần 11</v>
      </c>
      <c r="G753" s="278">
        <f ca="1">IFERROR(__xludf.DUMMYFUNCTION("""COMPUTED_VALUE"""),46217)</f>
        <v>46217</v>
      </c>
      <c r="H753" s="35">
        <f ca="1">IFERROR(__xludf.DUMMYFUNCTION("""COMPUTED_VALUE"""),146)</f>
        <v>146</v>
      </c>
      <c r="I753" s="35">
        <f ca="1">IFERROR(__xludf.DUMMYFUNCTION("""COMPUTED_VALUE"""),57)</f>
        <v>57</v>
      </c>
      <c r="J753" s="35">
        <f ca="1">IFERROR(__xludf.DUMMYFUNCTION("""COMPUTED_VALUE"""),146)</f>
        <v>146</v>
      </c>
      <c r="K753" s="35">
        <f ca="1">IFERROR(__xludf.DUMMYFUNCTION("""COMPUTED_VALUE"""),61)</f>
        <v>61</v>
      </c>
      <c r="M753" s="539">
        <f ca="1">IFERROR(__xludf.DUMMYFUNCTION("""COMPUTED_VALUE"""),1)</f>
        <v>1</v>
      </c>
      <c r="N753" s="539">
        <f ca="1">IFERROR(__xludf.DUMMYFUNCTION("""COMPUTED_VALUE"""),1)</f>
        <v>1</v>
      </c>
      <c r="O753" s="539">
        <f ca="1">IFERROR(__xludf.DUMMYFUNCTION("""COMPUTED_VALUE"""),0)</f>
        <v>0</v>
      </c>
    </row>
    <row r="754" spans="1:15" ht="12.75">
      <c r="A754" s="539">
        <f ca="1"/>
        <v>748</v>
      </c>
      <c r="B754" s="35" t="str">
        <f ca="1">IFERROR(__xludf.DUMMYFUNCTION("""COMPUTED_VALUE"""),"Tổ Hạ tầng Gò Dầu")</f>
        <v>Tổ Hạ tầng Gò Dầu</v>
      </c>
      <c r="C754" s="35" t="str">
        <f ca="1">IFERROR(__xludf.DUMMYFUNCTION("""COMPUTED_VALUE"""),"Nguyễn Phan Duy An")</f>
        <v>Nguyễn Phan Duy An</v>
      </c>
      <c r="D754" s="35">
        <f ca="1">IFERROR(__xludf.DUMMYFUNCTION("""COMPUTED_VALUE"""),888444008)</f>
        <v>888444008</v>
      </c>
      <c r="E754" s="35" t="str">
        <f ca="1">IFERROR(__xludf.DUMMYFUNCTION("""COMPUTED_VALUE"""),"x")</f>
        <v>x</v>
      </c>
      <c r="F754" s="540" t="str">
        <f ca="1">IFERROR(__xludf.DUMMYFUNCTION("""COMPUTED_VALUE"""),"Lần 12")</f>
        <v>Lần 12</v>
      </c>
      <c r="G754" s="278">
        <f ca="1">IFERROR(__xludf.DUMMYFUNCTION("""COMPUTED_VALUE"""),46217)</f>
        <v>46217</v>
      </c>
      <c r="H754" s="35">
        <f ca="1">IFERROR(__xludf.DUMMYFUNCTION("""COMPUTED_VALUE"""),160)</f>
        <v>160</v>
      </c>
      <c r="I754" s="35">
        <f ca="1">IFERROR(__xludf.DUMMYFUNCTION("""COMPUTED_VALUE"""),61)</f>
        <v>61</v>
      </c>
      <c r="J754" s="35">
        <f ca="1">IFERROR(__xludf.DUMMYFUNCTION("""COMPUTED_VALUE"""),146)</f>
        <v>146</v>
      </c>
      <c r="K754" s="35">
        <f ca="1">IFERROR(__xludf.DUMMYFUNCTION("""COMPUTED_VALUE"""),61)</f>
        <v>61</v>
      </c>
      <c r="M754" s="539">
        <f ca="1">IFERROR(__xludf.DUMMYFUNCTION("""COMPUTED_VALUE"""),1)</f>
        <v>1</v>
      </c>
      <c r="N754" s="539">
        <f ca="1">IFERROR(__xludf.DUMMYFUNCTION("""COMPUTED_VALUE"""),1)</f>
        <v>1</v>
      </c>
      <c r="O754" s="539">
        <f ca="1">IFERROR(__xludf.DUMMYFUNCTION("""COMPUTED_VALUE"""),0)</f>
        <v>0</v>
      </c>
    </row>
    <row r="755" spans="1:15" ht="12.75">
      <c r="A755" s="539">
        <f ca="1"/>
        <v>749</v>
      </c>
      <c r="B755" s="35" t="str">
        <f ca="1">IFERROR(__xludf.DUMMYFUNCTION("""COMPUTED_VALUE"""),"Tổ Hạ tầng Gò Dầu")</f>
        <v>Tổ Hạ tầng Gò Dầu</v>
      </c>
      <c r="C755" s="35" t="str">
        <f ca="1">IFERROR(__xludf.DUMMYFUNCTION("""COMPUTED_VALUE"""),"Nguyễn Phan Duy An")</f>
        <v>Nguyễn Phan Duy An</v>
      </c>
      <c r="D755" s="35">
        <f ca="1">IFERROR(__xludf.DUMMYFUNCTION("""COMPUTED_VALUE"""),888444008)</f>
        <v>888444008</v>
      </c>
      <c r="E755" s="35" t="str">
        <f ca="1">IFERROR(__xludf.DUMMYFUNCTION("""COMPUTED_VALUE"""),"x")</f>
        <v>x</v>
      </c>
      <c r="F755" s="540" t="str">
        <f ca="1">IFERROR(__xludf.DUMMYFUNCTION("""COMPUTED_VALUE"""),"Lần 13")</f>
        <v>Lần 13</v>
      </c>
      <c r="G755" s="278">
        <f ca="1">IFERROR(__xludf.DUMMYFUNCTION("""COMPUTED_VALUE"""),46223)</f>
        <v>46223</v>
      </c>
      <c r="H755" s="35"/>
      <c r="I755" s="35"/>
      <c r="J755" s="35"/>
      <c r="K755" s="35"/>
      <c r="M755" s="539">
        <f ca="1">IFERROR(__xludf.DUMMYFUNCTION("""COMPUTED_VALUE"""),0)</f>
        <v>0</v>
      </c>
      <c r="N755" s="539">
        <f ca="1">IFERROR(__xludf.DUMMYFUNCTION("""COMPUTED_VALUE"""),0)</f>
        <v>0</v>
      </c>
      <c r="O755" s="539">
        <f ca="1">IFERROR(__xludf.DUMMYFUNCTION("""COMPUTED_VALUE"""),0)</f>
        <v>0</v>
      </c>
    </row>
    <row r="756" spans="1:15" ht="12.75">
      <c r="A756" s="539">
        <f ca="1"/>
        <v>750</v>
      </c>
      <c r="B756" s="35" t="str">
        <f ca="1">IFERROR(__xludf.DUMMYFUNCTION("""COMPUTED_VALUE"""),"Tổ Hạ tầng Gò Dầu")</f>
        <v>Tổ Hạ tầng Gò Dầu</v>
      </c>
      <c r="C756" s="35" t="str">
        <f ca="1">IFERROR(__xludf.DUMMYFUNCTION("""COMPUTED_VALUE"""),"Nguyễn Phan Duy An")</f>
        <v>Nguyễn Phan Duy An</v>
      </c>
      <c r="D756" s="35">
        <f ca="1">IFERROR(__xludf.DUMMYFUNCTION("""COMPUTED_VALUE"""),888444008)</f>
        <v>888444008</v>
      </c>
      <c r="E756" s="35" t="str">
        <f ca="1">IFERROR(__xludf.DUMMYFUNCTION("""COMPUTED_VALUE"""),"x")</f>
        <v>x</v>
      </c>
      <c r="F756" s="540" t="str">
        <f ca="1">IFERROR(__xludf.DUMMYFUNCTION("""COMPUTED_VALUE"""),"Lần 14")</f>
        <v>Lần 14</v>
      </c>
      <c r="G756" s="278">
        <f ca="1">IFERROR(__xludf.DUMMYFUNCTION("""COMPUTED_VALUE"""),46223)</f>
        <v>46223</v>
      </c>
      <c r="H756" s="35"/>
      <c r="I756" s="35"/>
      <c r="J756" s="35"/>
      <c r="K756" s="35"/>
      <c r="M756" s="539">
        <f ca="1">IFERROR(__xludf.DUMMYFUNCTION("""COMPUTED_VALUE"""),0)</f>
        <v>0</v>
      </c>
      <c r="N756" s="539">
        <f ca="1">IFERROR(__xludf.DUMMYFUNCTION("""COMPUTED_VALUE"""),0)</f>
        <v>0</v>
      </c>
      <c r="O756" s="539">
        <f ca="1">IFERROR(__xludf.DUMMYFUNCTION("""COMPUTED_VALUE"""),0)</f>
        <v>0</v>
      </c>
    </row>
    <row r="757" spans="1:15" ht="12.75">
      <c r="A757" s="539">
        <f ca="1"/>
        <v>751</v>
      </c>
      <c r="B757" s="35" t="str">
        <f ca="1">IFERROR(__xludf.DUMMYFUNCTION("""COMPUTED_VALUE"""),"Tổ Hạ tầng Gò Dầu")</f>
        <v>Tổ Hạ tầng Gò Dầu</v>
      </c>
      <c r="C757" s="35" t="str">
        <f ca="1">IFERROR(__xludf.DUMMYFUNCTION("""COMPUTED_VALUE"""),"Nguyễn Phan Duy An")</f>
        <v>Nguyễn Phan Duy An</v>
      </c>
      <c r="D757" s="35">
        <f ca="1">IFERROR(__xludf.DUMMYFUNCTION("""COMPUTED_VALUE"""),888444008)</f>
        <v>888444008</v>
      </c>
      <c r="E757" s="35" t="str">
        <f ca="1">IFERROR(__xludf.DUMMYFUNCTION("""COMPUTED_VALUE"""),"x")</f>
        <v>x</v>
      </c>
      <c r="F757" s="540" t="str">
        <f ca="1">IFERROR(__xludf.DUMMYFUNCTION("""COMPUTED_VALUE"""),"Lần 15")</f>
        <v>Lần 15</v>
      </c>
      <c r="G757" s="278">
        <f ca="1">IFERROR(__xludf.DUMMYFUNCTION("""COMPUTED_VALUE"""),46223)</f>
        <v>46223</v>
      </c>
      <c r="H757" s="35"/>
      <c r="I757" s="35"/>
      <c r="J757" s="35"/>
      <c r="K757" s="35"/>
      <c r="M757" s="539">
        <f ca="1">IFERROR(__xludf.DUMMYFUNCTION("""COMPUTED_VALUE"""),0)</f>
        <v>0</v>
      </c>
      <c r="N757" s="539">
        <f ca="1">IFERROR(__xludf.DUMMYFUNCTION("""COMPUTED_VALUE"""),0)</f>
        <v>0</v>
      </c>
      <c r="O757" s="539">
        <f ca="1">IFERROR(__xludf.DUMMYFUNCTION("""COMPUTED_VALUE"""),0)</f>
        <v>0</v>
      </c>
    </row>
    <row r="758" spans="1:15" ht="12.75">
      <c r="A758" s="539">
        <f ca="1"/>
        <v>752</v>
      </c>
      <c r="B758" s="35" t="str">
        <f ca="1">IFERROR(__xludf.DUMMYFUNCTION("""COMPUTED_VALUE"""),"Tổ Hạ tầng Gò Dầu")</f>
        <v>Tổ Hạ tầng Gò Dầu</v>
      </c>
      <c r="C758" s="35" t="str">
        <f ca="1">IFERROR(__xludf.DUMMYFUNCTION("""COMPUTED_VALUE"""),"Nguyễn Phan Duy An")</f>
        <v>Nguyễn Phan Duy An</v>
      </c>
      <c r="D758" s="35">
        <f ca="1">IFERROR(__xludf.DUMMYFUNCTION("""COMPUTED_VALUE"""),888444008)</f>
        <v>888444008</v>
      </c>
      <c r="E758" s="35" t="str">
        <f ca="1">IFERROR(__xludf.DUMMYFUNCTION("""COMPUTED_VALUE"""),"x")</f>
        <v>x</v>
      </c>
      <c r="F758" s="540" t="str">
        <f ca="1">IFERROR(__xludf.DUMMYFUNCTION("""COMPUTED_VALUE"""),"Lần 16")</f>
        <v>Lần 16</v>
      </c>
      <c r="G758" s="545">
        <f ca="1">IFERROR(__xludf.DUMMYFUNCTION("""COMPUTED_VALUE"""),46223)</f>
        <v>46223</v>
      </c>
      <c r="H758" s="35"/>
      <c r="I758" s="35"/>
      <c r="J758" s="35"/>
      <c r="K758" s="35"/>
      <c r="M758" s="539">
        <f ca="1">IFERROR(__xludf.DUMMYFUNCTION("""COMPUTED_VALUE"""),0)</f>
        <v>0</v>
      </c>
      <c r="N758" s="539">
        <f ca="1">IFERROR(__xludf.DUMMYFUNCTION("""COMPUTED_VALUE"""),0)</f>
        <v>0</v>
      </c>
      <c r="O758" s="539">
        <f ca="1">IFERROR(__xludf.DUMMYFUNCTION("""COMPUTED_VALUE"""),0)</f>
        <v>0</v>
      </c>
    </row>
    <row r="759" spans="1:15" ht="12.75">
      <c r="A759" s="539">
        <f ca="1"/>
        <v>753</v>
      </c>
      <c r="B759" s="35" t="str">
        <f ca="1">IFERROR(__xludf.DUMMYFUNCTION("""COMPUTED_VALUE"""),"Tổ Hạ tầng Gò Dầu")</f>
        <v>Tổ Hạ tầng Gò Dầu</v>
      </c>
      <c r="C759" s="35" t="str">
        <f ca="1">IFERROR(__xludf.DUMMYFUNCTION("""COMPUTED_VALUE"""),"Huỳnh Tấn Cường")</f>
        <v>Huỳnh Tấn Cường</v>
      </c>
      <c r="D759" s="35">
        <f ca="1">IFERROR(__xludf.DUMMYFUNCTION("""COMPUTED_VALUE"""),835159879)</f>
        <v>835159879</v>
      </c>
      <c r="E759" s="35" t="str">
        <f ca="1">IFERROR(__xludf.DUMMYFUNCTION("""COMPUTED_VALUE"""),"cuonght.tnh@vnpt.vn")</f>
        <v>cuonght.tnh@vnpt.vn</v>
      </c>
      <c r="F759" s="540" t="str">
        <f ca="1">IFERROR(__xludf.DUMMYFUNCTION("""COMPUTED_VALUE"""),"Lần 1")</f>
        <v>Lần 1</v>
      </c>
      <c r="G759" s="278">
        <f ca="1">IFERROR(__xludf.DUMMYFUNCTION("""COMPUTED_VALUE"""),46206)</f>
        <v>46206</v>
      </c>
      <c r="H759" s="35">
        <f ca="1">IFERROR(__xludf.DUMMYFUNCTION("""COMPUTED_VALUE"""),218)</f>
        <v>218</v>
      </c>
      <c r="I759" s="35">
        <f ca="1">IFERROR(__xludf.DUMMYFUNCTION("""COMPUTED_VALUE"""),32)</f>
        <v>32</v>
      </c>
      <c r="J759" s="35">
        <f ca="1">IFERROR(__xludf.DUMMYFUNCTION("""COMPUTED_VALUE"""),393)</f>
        <v>393</v>
      </c>
      <c r="K759" s="35">
        <f ca="1">IFERROR(__xludf.DUMMYFUNCTION("""COMPUTED_VALUE"""),19)</f>
        <v>19</v>
      </c>
      <c r="M759" s="539">
        <f ca="1">IFERROR(__xludf.DUMMYFUNCTION("""COMPUTED_VALUE"""),1)</f>
        <v>1</v>
      </c>
      <c r="N759" s="539">
        <f ca="1">IFERROR(__xludf.DUMMYFUNCTION("""COMPUTED_VALUE"""),1)</f>
        <v>1</v>
      </c>
      <c r="O759" s="539">
        <f ca="1">IFERROR(__xludf.DUMMYFUNCTION("""COMPUTED_VALUE"""),1)</f>
        <v>1</v>
      </c>
    </row>
    <row r="760" spans="1:15" ht="12.75">
      <c r="A760" s="539">
        <f ca="1"/>
        <v>754</v>
      </c>
      <c r="B760" s="35" t="str">
        <f ca="1">IFERROR(__xludf.DUMMYFUNCTION("""COMPUTED_VALUE"""),"Tổ Hạ tầng Gò Dầu")</f>
        <v>Tổ Hạ tầng Gò Dầu</v>
      </c>
      <c r="C760" s="35" t="str">
        <f ca="1">IFERROR(__xludf.DUMMYFUNCTION("""COMPUTED_VALUE"""),"Huỳnh Tấn Cường")</f>
        <v>Huỳnh Tấn Cường</v>
      </c>
      <c r="D760" s="35">
        <f ca="1">IFERROR(__xludf.DUMMYFUNCTION("""COMPUTED_VALUE"""),835159879)</f>
        <v>835159879</v>
      </c>
      <c r="E760" s="35" t="str">
        <f ca="1">IFERROR(__xludf.DUMMYFUNCTION("""COMPUTED_VALUE"""),"cuonght.tnh@vnpt.vn")</f>
        <v>cuonght.tnh@vnpt.vn</v>
      </c>
      <c r="F760" s="540" t="str">
        <f ca="1">IFERROR(__xludf.DUMMYFUNCTION("""COMPUTED_VALUE"""),"Lần 2")</f>
        <v>Lần 2</v>
      </c>
      <c r="G760" s="278">
        <f ca="1">IFERROR(__xludf.DUMMYFUNCTION("""COMPUTED_VALUE"""),46206)</f>
        <v>46206</v>
      </c>
      <c r="H760" s="35">
        <f ca="1">IFERROR(__xludf.DUMMYFUNCTION("""COMPUTED_VALUE"""),137)</f>
        <v>137</v>
      </c>
      <c r="I760" s="35">
        <f ca="1">IFERROR(__xludf.DUMMYFUNCTION("""COMPUTED_VALUE"""),30)</f>
        <v>30</v>
      </c>
      <c r="J760" s="35">
        <f ca="1">IFERROR(__xludf.DUMMYFUNCTION("""COMPUTED_VALUE"""),320)</f>
        <v>320</v>
      </c>
      <c r="K760" s="35">
        <f ca="1">IFERROR(__xludf.DUMMYFUNCTION("""COMPUTED_VALUE"""),17)</f>
        <v>17</v>
      </c>
      <c r="M760" s="539">
        <f ca="1">IFERROR(__xludf.DUMMYFUNCTION("""COMPUTED_VALUE"""),1)</f>
        <v>1</v>
      </c>
      <c r="N760" s="539">
        <f ca="1">IFERROR(__xludf.DUMMYFUNCTION("""COMPUTED_VALUE"""),1)</f>
        <v>1</v>
      </c>
      <c r="O760" s="539">
        <f ca="1">IFERROR(__xludf.DUMMYFUNCTION("""COMPUTED_VALUE"""),1)</f>
        <v>1</v>
      </c>
    </row>
    <row r="761" spans="1:15" ht="12.75">
      <c r="A761" s="539">
        <f ca="1"/>
        <v>755</v>
      </c>
      <c r="B761" s="35" t="str">
        <f ca="1">IFERROR(__xludf.DUMMYFUNCTION("""COMPUTED_VALUE"""),"Tổ Hạ tầng Gò Dầu")</f>
        <v>Tổ Hạ tầng Gò Dầu</v>
      </c>
      <c r="C761" s="35" t="str">
        <f ca="1">IFERROR(__xludf.DUMMYFUNCTION("""COMPUTED_VALUE"""),"Huỳnh Tấn Cường")</f>
        <v>Huỳnh Tấn Cường</v>
      </c>
      <c r="D761" s="35">
        <f ca="1">IFERROR(__xludf.DUMMYFUNCTION("""COMPUTED_VALUE"""),835159879)</f>
        <v>835159879</v>
      </c>
      <c r="E761" s="35" t="str">
        <f ca="1">IFERROR(__xludf.DUMMYFUNCTION("""COMPUTED_VALUE"""),"cuonght.tnh@vnpt.vn")</f>
        <v>cuonght.tnh@vnpt.vn</v>
      </c>
      <c r="F761" s="540" t="str">
        <f ca="1">IFERROR(__xludf.DUMMYFUNCTION("""COMPUTED_VALUE"""),"Lần 3")</f>
        <v>Lần 3</v>
      </c>
      <c r="G761" s="278">
        <f ca="1">IFERROR(__xludf.DUMMYFUNCTION("""COMPUTED_VALUE"""),46206)</f>
        <v>46206</v>
      </c>
      <c r="H761" s="35">
        <f ca="1">IFERROR(__xludf.DUMMYFUNCTION("""COMPUTED_VALUE"""),220)</f>
        <v>220</v>
      </c>
      <c r="I761" s="35">
        <f ca="1">IFERROR(__xludf.DUMMYFUNCTION("""COMPUTED_VALUE"""),28)</f>
        <v>28</v>
      </c>
      <c r="J761" s="35">
        <f ca="1">IFERROR(__xludf.DUMMYFUNCTION("""COMPUTED_VALUE"""),475)</f>
        <v>475</v>
      </c>
      <c r="K761" s="35">
        <f ca="1">IFERROR(__xludf.DUMMYFUNCTION("""COMPUTED_VALUE"""),20)</f>
        <v>20</v>
      </c>
      <c r="M761" s="539">
        <f ca="1">IFERROR(__xludf.DUMMYFUNCTION("""COMPUTED_VALUE"""),1)</f>
        <v>1</v>
      </c>
      <c r="N761" s="539">
        <f ca="1">IFERROR(__xludf.DUMMYFUNCTION("""COMPUTED_VALUE"""),1)</f>
        <v>1</v>
      </c>
      <c r="O761" s="539">
        <f ca="1">IFERROR(__xludf.DUMMYFUNCTION("""COMPUTED_VALUE"""),1)</f>
        <v>1</v>
      </c>
    </row>
    <row r="762" spans="1:15" ht="12.75">
      <c r="A762" s="539">
        <f ca="1"/>
        <v>756</v>
      </c>
      <c r="B762" s="35" t="str">
        <f ca="1">IFERROR(__xludf.DUMMYFUNCTION("""COMPUTED_VALUE"""),"Tổ Hạ tầng Gò Dầu")</f>
        <v>Tổ Hạ tầng Gò Dầu</v>
      </c>
      <c r="C762" s="35" t="str">
        <f ca="1">IFERROR(__xludf.DUMMYFUNCTION("""COMPUTED_VALUE"""),"Huỳnh Tấn Cường")</f>
        <v>Huỳnh Tấn Cường</v>
      </c>
      <c r="D762" s="35">
        <f ca="1">IFERROR(__xludf.DUMMYFUNCTION("""COMPUTED_VALUE"""),835159879)</f>
        <v>835159879</v>
      </c>
      <c r="E762" s="35" t="str">
        <f ca="1">IFERROR(__xludf.DUMMYFUNCTION("""COMPUTED_VALUE"""),"cuonght.tnh@vnpt.vn")</f>
        <v>cuonght.tnh@vnpt.vn</v>
      </c>
      <c r="F762" s="540" t="str">
        <f ca="1">IFERROR(__xludf.DUMMYFUNCTION("""COMPUTED_VALUE"""),"Lần 4")</f>
        <v>Lần 4</v>
      </c>
      <c r="G762" s="278">
        <f ca="1">IFERROR(__xludf.DUMMYFUNCTION("""COMPUTED_VALUE"""),46206)</f>
        <v>46206</v>
      </c>
      <c r="H762" s="35">
        <f ca="1">IFERROR(__xludf.DUMMYFUNCTION("""COMPUTED_VALUE"""),267)</f>
        <v>267</v>
      </c>
      <c r="I762" s="35">
        <f ca="1">IFERROR(__xludf.DUMMYFUNCTION("""COMPUTED_VALUE"""),24)</f>
        <v>24</v>
      </c>
      <c r="J762" s="35">
        <f ca="1">IFERROR(__xludf.DUMMYFUNCTION("""COMPUTED_VALUE"""),629)</f>
        <v>629</v>
      </c>
      <c r="K762" s="35">
        <f ca="1">IFERROR(__xludf.DUMMYFUNCTION("""COMPUTED_VALUE"""),22)</f>
        <v>22</v>
      </c>
      <c r="M762" s="539">
        <f ca="1">IFERROR(__xludf.DUMMYFUNCTION("""COMPUTED_VALUE"""),1)</f>
        <v>1</v>
      </c>
      <c r="N762" s="539">
        <f ca="1">IFERROR(__xludf.DUMMYFUNCTION("""COMPUTED_VALUE"""),1)</f>
        <v>1</v>
      </c>
      <c r="O762" s="539">
        <f ca="1">IFERROR(__xludf.DUMMYFUNCTION("""COMPUTED_VALUE"""),1)</f>
        <v>1</v>
      </c>
    </row>
    <row r="763" spans="1:15" ht="12.75">
      <c r="A763" s="539">
        <f ca="1"/>
        <v>757</v>
      </c>
      <c r="B763" s="35" t="str">
        <f ca="1">IFERROR(__xludf.DUMMYFUNCTION("""COMPUTED_VALUE"""),"Tổ Hạ tầng Gò Dầu")</f>
        <v>Tổ Hạ tầng Gò Dầu</v>
      </c>
      <c r="C763" s="35" t="str">
        <f ca="1">IFERROR(__xludf.DUMMYFUNCTION("""COMPUTED_VALUE"""),"Huỳnh Tấn Cường")</f>
        <v>Huỳnh Tấn Cường</v>
      </c>
      <c r="D763" s="35">
        <f ca="1">IFERROR(__xludf.DUMMYFUNCTION("""COMPUTED_VALUE"""),835159879)</f>
        <v>835159879</v>
      </c>
      <c r="E763" s="35" t="str">
        <f ca="1">IFERROR(__xludf.DUMMYFUNCTION("""COMPUTED_VALUE"""),"cuonght.tnh@vnpt.vn")</f>
        <v>cuonght.tnh@vnpt.vn</v>
      </c>
      <c r="F763" s="540" t="str">
        <f ca="1">IFERROR(__xludf.DUMMYFUNCTION("""COMPUTED_VALUE"""),"Lần 5")</f>
        <v>Lần 5</v>
      </c>
      <c r="G763" s="278">
        <f ca="1">IFERROR(__xludf.DUMMYFUNCTION("""COMPUTED_VALUE"""),46211)</f>
        <v>46211</v>
      </c>
      <c r="H763" s="35">
        <f ca="1">IFERROR(__xludf.DUMMYFUNCTION("""COMPUTED_VALUE"""),237)</f>
        <v>237</v>
      </c>
      <c r="I763" s="35">
        <f ca="1">IFERROR(__xludf.DUMMYFUNCTION("""COMPUTED_VALUE"""),30)</f>
        <v>30</v>
      </c>
      <c r="J763" s="35">
        <f ca="1">IFERROR(__xludf.DUMMYFUNCTION("""COMPUTED_VALUE"""),581)</f>
        <v>581</v>
      </c>
      <c r="K763" s="35">
        <f ca="1">IFERROR(__xludf.DUMMYFUNCTION("""COMPUTED_VALUE"""),28)</f>
        <v>28</v>
      </c>
      <c r="M763" s="539">
        <f ca="1">IFERROR(__xludf.DUMMYFUNCTION("""COMPUTED_VALUE"""),1)</f>
        <v>1</v>
      </c>
      <c r="N763" s="539">
        <f ca="1">IFERROR(__xludf.DUMMYFUNCTION("""COMPUTED_VALUE"""),1)</f>
        <v>1</v>
      </c>
      <c r="O763" s="539">
        <f ca="1">IFERROR(__xludf.DUMMYFUNCTION("""COMPUTED_VALUE"""),1)</f>
        <v>1</v>
      </c>
    </row>
    <row r="764" spans="1:15" ht="12.75">
      <c r="A764" s="539">
        <f ca="1"/>
        <v>758</v>
      </c>
      <c r="B764" s="35" t="str">
        <f ca="1">IFERROR(__xludf.DUMMYFUNCTION("""COMPUTED_VALUE"""),"Tổ Hạ tầng Gò Dầu")</f>
        <v>Tổ Hạ tầng Gò Dầu</v>
      </c>
      <c r="C764" s="35" t="str">
        <f ca="1">IFERROR(__xludf.DUMMYFUNCTION("""COMPUTED_VALUE"""),"Huỳnh Tấn Cường")</f>
        <v>Huỳnh Tấn Cường</v>
      </c>
      <c r="D764" s="35">
        <f ca="1">IFERROR(__xludf.DUMMYFUNCTION("""COMPUTED_VALUE"""),835159879)</f>
        <v>835159879</v>
      </c>
      <c r="E764" s="35" t="str">
        <f ca="1">IFERROR(__xludf.DUMMYFUNCTION("""COMPUTED_VALUE"""),"cuonght.tnh@vnpt.vn")</f>
        <v>cuonght.tnh@vnpt.vn</v>
      </c>
      <c r="F764" s="540" t="str">
        <f ca="1">IFERROR(__xludf.DUMMYFUNCTION("""COMPUTED_VALUE"""),"Lần 6")</f>
        <v>Lần 6</v>
      </c>
      <c r="G764" s="278">
        <f ca="1">IFERROR(__xludf.DUMMYFUNCTION("""COMPUTED_VALUE"""),46211)</f>
        <v>46211</v>
      </c>
      <c r="H764" s="35">
        <f ca="1">IFERROR(__xludf.DUMMYFUNCTION("""COMPUTED_VALUE"""),233)</f>
        <v>233</v>
      </c>
      <c r="I764" s="35">
        <f ca="1">IFERROR(__xludf.DUMMYFUNCTION("""COMPUTED_VALUE"""),16)</f>
        <v>16</v>
      </c>
      <c r="J764" s="35">
        <f ca="1">IFERROR(__xludf.DUMMYFUNCTION("""COMPUTED_VALUE"""),438)</f>
        <v>438</v>
      </c>
      <c r="K764" s="35">
        <f ca="1">IFERROR(__xludf.DUMMYFUNCTION("""COMPUTED_VALUE"""),18)</f>
        <v>18</v>
      </c>
      <c r="M764" s="539">
        <f ca="1">IFERROR(__xludf.DUMMYFUNCTION("""COMPUTED_VALUE"""),1)</f>
        <v>1</v>
      </c>
      <c r="N764" s="539">
        <f ca="1">IFERROR(__xludf.DUMMYFUNCTION("""COMPUTED_VALUE"""),1)</f>
        <v>1</v>
      </c>
      <c r="O764" s="539">
        <f ca="1">IFERROR(__xludf.DUMMYFUNCTION("""COMPUTED_VALUE"""),1)</f>
        <v>1</v>
      </c>
    </row>
    <row r="765" spans="1:15" ht="12.75">
      <c r="A765" s="539">
        <f ca="1"/>
        <v>759</v>
      </c>
      <c r="B765" s="35" t="str">
        <f ca="1">IFERROR(__xludf.DUMMYFUNCTION("""COMPUTED_VALUE"""),"Tổ Hạ tầng Gò Dầu")</f>
        <v>Tổ Hạ tầng Gò Dầu</v>
      </c>
      <c r="C765" s="35" t="str">
        <f ca="1">IFERROR(__xludf.DUMMYFUNCTION("""COMPUTED_VALUE"""),"Huỳnh Tấn Cường")</f>
        <v>Huỳnh Tấn Cường</v>
      </c>
      <c r="D765" s="35">
        <f ca="1">IFERROR(__xludf.DUMMYFUNCTION("""COMPUTED_VALUE"""),835159879)</f>
        <v>835159879</v>
      </c>
      <c r="E765" s="35" t="str">
        <f ca="1">IFERROR(__xludf.DUMMYFUNCTION("""COMPUTED_VALUE"""),"cuonght.tnh@vnpt.vn")</f>
        <v>cuonght.tnh@vnpt.vn</v>
      </c>
      <c r="F765" s="540" t="str">
        <f ca="1">IFERROR(__xludf.DUMMYFUNCTION("""COMPUTED_VALUE"""),"Lần 7")</f>
        <v>Lần 7</v>
      </c>
      <c r="G765" s="278">
        <f ca="1">IFERROR(__xludf.DUMMYFUNCTION("""COMPUTED_VALUE"""),46211)</f>
        <v>46211</v>
      </c>
      <c r="H765" s="35">
        <f ca="1">IFERROR(__xludf.DUMMYFUNCTION("""COMPUTED_VALUE"""),142)</f>
        <v>142</v>
      </c>
      <c r="I765" s="35">
        <f ca="1">IFERROR(__xludf.DUMMYFUNCTION("""COMPUTED_VALUE"""),19)</f>
        <v>19</v>
      </c>
      <c r="J765" s="35">
        <f ca="1">IFERROR(__xludf.DUMMYFUNCTION("""COMPUTED_VALUE"""),419)</f>
        <v>419</v>
      </c>
      <c r="K765" s="35">
        <f ca="1">IFERROR(__xludf.DUMMYFUNCTION("""COMPUTED_VALUE"""),23)</f>
        <v>23</v>
      </c>
      <c r="M765" s="539">
        <f ca="1">IFERROR(__xludf.DUMMYFUNCTION("""COMPUTED_VALUE"""),1)</f>
        <v>1</v>
      </c>
      <c r="N765" s="539">
        <f ca="1">IFERROR(__xludf.DUMMYFUNCTION("""COMPUTED_VALUE"""),1)</f>
        <v>1</v>
      </c>
      <c r="O765" s="539">
        <f ca="1">IFERROR(__xludf.DUMMYFUNCTION("""COMPUTED_VALUE"""),1)</f>
        <v>1</v>
      </c>
    </row>
    <row r="766" spans="1:15" ht="12.75">
      <c r="A766" s="539">
        <f ca="1"/>
        <v>760</v>
      </c>
      <c r="B766" s="35" t="str">
        <f ca="1">IFERROR(__xludf.DUMMYFUNCTION("""COMPUTED_VALUE"""),"Tổ Hạ tầng Gò Dầu")</f>
        <v>Tổ Hạ tầng Gò Dầu</v>
      </c>
      <c r="C766" s="35" t="str">
        <f ca="1">IFERROR(__xludf.DUMMYFUNCTION("""COMPUTED_VALUE"""),"Huỳnh Tấn Cường")</f>
        <v>Huỳnh Tấn Cường</v>
      </c>
      <c r="D766" s="35">
        <f ca="1">IFERROR(__xludf.DUMMYFUNCTION("""COMPUTED_VALUE"""),835159879)</f>
        <v>835159879</v>
      </c>
      <c r="E766" s="35" t="str">
        <f ca="1">IFERROR(__xludf.DUMMYFUNCTION("""COMPUTED_VALUE"""),"cuonght.tnh@vnpt.vn")</f>
        <v>cuonght.tnh@vnpt.vn</v>
      </c>
      <c r="F766" s="540" t="str">
        <f ca="1">IFERROR(__xludf.DUMMYFUNCTION("""COMPUTED_VALUE"""),"Lần 8")</f>
        <v>Lần 8</v>
      </c>
      <c r="G766" s="278">
        <f ca="1">IFERROR(__xludf.DUMMYFUNCTION("""COMPUTED_VALUE"""),46211)</f>
        <v>46211</v>
      </c>
      <c r="H766" s="35">
        <f ca="1">IFERROR(__xludf.DUMMYFUNCTION("""COMPUTED_VALUE"""),154)</f>
        <v>154</v>
      </c>
      <c r="I766" s="35">
        <f ca="1">IFERROR(__xludf.DUMMYFUNCTION("""COMPUTED_VALUE"""),35)</f>
        <v>35</v>
      </c>
      <c r="J766" s="35">
        <f ca="1">IFERROR(__xludf.DUMMYFUNCTION("""COMPUTED_VALUE"""),382)</f>
        <v>382</v>
      </c>
      <c r="K766" s="35">
        <f ca="1">IFERROR(__xludf.DUMMYFUNCTION("""COMPUTED_VALUE"""),20)</f>
        <v>20</v>
      </c>
      <c r="M766" s="539">
        <f ca="1">IFERROR(__xludf.DUMMYFUNCTION("""COMPUTED_VALUE"""),1)</f>
        <v>1</v>
      </c>
      <c r="N766" s="539">
        <f ca="1">IFERROR(__xludf.DUMMYFUNCTION("""COMPUTED_VALUE"""),1)</f>
        <v>1</v>
      </c>
      <c r="O766" s="539">
        <f ca="1">IFERROR(__xludf.DUMMYFUNCTION("""COMPUTED_VALUE"""),1)</f>
        <v>1</v>
      </c>
    </row>
    <row r="767" spans="1:15" ht="12.75">
      <c r="A767" s="539">
        <f ca="1"/>
        <v>761</v>
      </c>
      <c r="B767" s="35" t="str">
        <f ca="1">IFERROR(__xludf.DUMMYFUNCTION("""COMPUTED_VALUE"""),"Tổ Hạ tầng Gò Dầu")</f>
        <v>Tổ Hạ tầng Gò Dầu</v>
      </c>
      <c r="C767" s="35" t="str">
        <f ca="1">IFERROR(__xludf.DUMMYFUNCTION("""COMPUTED_VALUE"""),"Huỳnh Tấn Cường")</f>
        <v>Huỳnh Tấn Cường</v>
      </c>
      <c r="D767" s="35">
        <f ca="1">IFERROR(__xludf.DUMMYFUNCTION("""COMPUTED_VALUE"""),835159879)</f>
        <v>835159879</v>
      </c>
      <c r="E767" s="35" t="str">
        <f ca="1">IFERROR(__xludf.DUMMYFUNCTION("""COMPUTED_VALUE"""),"cuonght.tnh@vnpt.vn")</f>
        <v>cuonght.tnh@vnpt.vn</v>
      </c>
      <c r="F767" s="540" t="str">
        <f ca="1">IFERROR(__xludf.DUMMYFUNCTION("""COMPUTED_VALUE"""),"Lần 9")</f>
        <v>Lần 9</v>
      </c>
      <c r="G767" s="278">
        <f ca="1">IFERROR(__xludf.DUMMYFUNCTION("""COMPUTED_VALUE"""),46217)</f>
        <v>46217</v>
      </c>
      <c r="H767" s="35">
        <f ca="1">IFERROR(__xludf.DUMMYFUNCTION("""COMPUTED_VALUE"""),287)</f>
        <v>287</v>
      </c>
      <c r="I767" s="35">
        <f ca="1">IFERROR(__xludf.DUMMYFUNCTION("""COMPUTED_VALUE"""),30)</f>
        <v>30</v>
      </c>
      <c r="J767" s="35">
        <f ca="1">IFERROR(__xludf.DUMMYFUNCTION("""COMPUTED_VALUE"""),482)</f>
        <v>482</v>
      </c>
      <c r="K767" s="35">
        <f ca="1">IFERROR(__xludf.DUMMYFUNCTION("""COMPUTED_VALUE"""),22)</f>
        <v>22</v>
      </c>
      <c r="M767" s="539">
        <f ca="1">IFERROR(__xludf.DUMMYFUNCTION("""COMPUTED_VALUE"""),1)</f>
        <v>1</v>
      </c>
      <c r="N767" s="539">
        <f ca="1">IFERROR(__xludf.DUMMYFUNCTION("""COMPUTED_VALUE"""),1)</f>
        <v>1</v>
      </c>
      <c r="O767" s="539">
        <f ca="1">IFERROR(__xludf.DUMMYFUNCTION("""COMPUTED_VALUE"""),1)</f>
        <v>1</v>
      </c>
    </row>
    <row r="768" spans="1:15" ht="12.75">
      <c r="A768" s="539">
        <f ca="1"/>
        <v>762</v>
      </c>
      <c r="B768" s="35" t="str">
        <f ca="1">IFERROR(__xludf.DUMMYFUNCTION("""COMPUTED_VALUE"""),"Tổ Hạ tầng Gò Dầu")</f>
        <v>Tổ Hạ tầng Gò Dầu</v>
      </c>
      <c r="C768" s="35" t="str">
        <f ca="1">IFERROR(__xludf.DUMMYFUNCTION("""COMPUTED_VALUE"""),"Huỳnh Tấn Cường")</f>
        <v>Huỳnh Tấn Cường</v>
      </c>
      <c r="D768" s="35">
        <f ca="1">IFERROR(__xludf.DUMMYFUNCTION("""COMPUTED_VALUE"""),835159879)</f>
        <v>835159879</v>
      </c>
      <c r="E768" s="35" t="str">
        <f ca="1">IFERROR(__xludf.DUMMYFUNCTION("""COMPUTED_VALUE"""),"cuonght.tnh@vnpt.vn")</f>
        <v>cuonght.tnh@vnpt.vn</v>
      </c>
      <c r="F768" s="540" t="str">
        <f ca="1">IFERROR(__xludf.DUMMYFUNCTION("""COMPUTED_VALUE"""),"Lần 10")</f>
        <v>Lần 10</v>
      </c>
      <c r="G768" s="278">
        <f ca="1">IFERROR(__xludf.DUMMYFUNCTION("""COMPUTED_VALUE"""),46217)</f>
        <v>46217</v>
      </c>
      <c r="H768" s="35">
        <f ca="1">IFERROR(__xludf.DUMMYFUNCTION("""COMPUTED_VALUE"""),227)</f>
        <v>227</v>
      </c>
      <c r="I768" s="35">
        <f ca="1">IFERROR(__xludf.DUMMYFUNCTION("""COMPUTED_VALUE"""),29)</f>
        <v>29</v>
      </c>
      <c r="J768" s="35">
        <f ca="1">IFERROR(__xludf.DUMMYFUNCTION("""COMPUTED_VALUE"""),308)</f>
        <v>308</v>
      </c>
      <c r="K768" s="35">
        <f ca="1">IFERROR(__xludf.DUMMYFUNCTION("""COMPUTED_VALUE"""),21)</f>
        <v>21</v>
      </c>
      <c r="M768" s="539">
        <f ca="1">IFERROR(__xludf.DUMMYFUNCTION("""COMPUTED_VALUE"""),1)</f>
        <v>1</v>
      </c>
      <c r="N768" s="539">
        <f ca="1">IFERROR(__xludf.DUMMYFUNCTION("""COMPUTED_VALUE"""),1)</f>
        <v>1</v>
      </c>
      <c r="O768" s="539">
        <f ca="1">IFERROR(__xludf.DUMMYFUNCTION("""COMPUTED_VALUE"""),1)</f>
        <v>1</v>
      </c>
    </row>
    <row r="769" spans="1:15" ht="12.75">
      <c r="A769" s="539">
        <f ca="1"/>
        <v>763</v>
      </c>
      <c r="B769" s="35" t="str">
        <f ca="1">IFERROR(__xludf.DUMMYFUNCTION("""COMPUTED_VALUE"""),"Tổ Hạ tầng Gò Dầu")</f>
        <v>Tổ Hạ tầng Gò Dầu</v>
      </c>
      <c r="C769" s="35" t="str">
        <f ca="1">IFERROR(__xludf.DUMMYFUNCTION("""COMPUTED_VALUE"""),"Huỳnh Tấn Cường")</f>
        <v>Huỳnh Tấn Cường</v>
      </c>
      <c r="D769" s="35">
        <f ca="1">IFERROR(__xludf.DUMMYFUNCTION("""COMPUTED_VALUE"""),835159879)</f>
        <v>835159879</v>
      </c>
      <c r="E769" s="35" t="str">
        <f ca="1">IFERROR(__xludf.DUMMYFUNCTION("""COMPUTED_VALUE"""),"cuonght.tnh@vnpt.vn")</f>
        <v>cuonght.tnh@vnpt.vn</v>
      </c>
      <c r="F769" s="540" t="str">
        <f ca="1">IFERROR(__xludf.DUMMYFUNCTION("""COMPUTED_VALUE"""),"Lần 11")</f>
        <v>Lần 11</v>
      </c>
      <c r="G769" s="278">
        <f ca="1">IFERROR(__xludf.DUMMYFUNCTION("""COMPUTED_VALUE"""),46217)</f>
        <v>46217</v>
      </c>
      <c r="H769" s="35">
        <f ca="1">IFERROR(__xludf.DUMMYFUNCTION("""COMPUTED_VALUE"""),189)</f>
        <v>189</v>
      </c>
      <c r="I769" s="35">
        <f ca="1">IFERROR(__xludf.DUMMYFUNCTION("""COMPUTED_VALUE"""),28)</f>
        <v>28</v>
      </c>
      <c r="J769" s="35">
        <f ca="1">IFERROR(__xludf.DUMMYFUNCTION("""COMPUTED_VALUE"""),371)</f>
        <v>371</v>
      </c>
      <c r="K769" s="35">
        <f ca="1">IFERROR(__xludf.DUMMYFUNCTION("""COMPUTED_VALUE"""),15)</f>
        <v>15</v>
      </c>
      <c r="M769" s="539">
        <f ca="1">IFERROR(__xludf.DUMMYFUNCTION("""COMPUTED_VALUE"""),1)</f>
        <v>1</v>
      </c>
      <c r="N769" s="539">
        <f ca="1">IFERROR(__xludf.DUMMYFUNCTION("""COMPUTED_VALUE"""),1)</f>
        <v>1</v>
      </c>
      <c r="O769" s="539">
        <f ca="1">IFERROR(__xludf.DUMMYFUNCTION("""COMPUTED_VALUE"""),1)</f>
        <v>1</v>
      </c>
    </row>
    <row r="770" spans="1:15" ht="12.75">
      <c r="A770" s="539">
        <f ca="1"/>
        <v>764</v>
      </c>
      <c r="B770" s="35" t="str">
        <f ca="1">IFERROR(__xludf.DUMMYFUNCTION("""COMPUTED_VALUE"""),"Tổ Hạ tầng Gò Dầu")</f>
        <v>Tổ Hạ tầng Gò Dầu</v>
      </c>
      <c r="C770" s="35" t="str">
        <f ca="1">IFERROR(__xludf.DUMMYFUNCTION("""COMPUTED_VALUE"""),"Huỳnh Tấn Cường")</f>
        <v>Huỳnh Tấn Cường</v>
      </c>
      <c r="D770" s="35">
        <f ca="1">IFERROR(__xludf.DUMMYFUNCTION("""COMPUTED_VALUE"""),835159879)</f>
        <v>835159879</v>
      </c>
      <c r="E770" s="35" t="str">
        <f ca="1">IFERROR(__xludf.DUMMYFUNCTION("""COMPUTED_VALUE"""),"cuonght.tnh@vnpt.vn")</f>
        <v>cuonght.tnh@vnpt.vn</v>
      </c>
      <c r="F770" s="540" t="str">
        <f ca="1">IFERROR(__xludf.DUMMYFUNCTION("""COMPUTED_VALUE"""),"Lần 12")</f>
        <v>Lần 12</v>
      </c>
      <c r="G770" s="278">
        <f ca="1">IFERROR(__xludf.DUMMYFUNCTION("""COMPUTED_VALUE"""),46217)</f>
        <v>46217</v>
      </c>
      <c r="H770" s="35">
        <f ca="1">IFERROR(__xludf.DUMMYFUNCTION("""COMPUTED_VALUE"""),185)</f>
        <v>185</v>
      </c>
      <c r="I770" s="35">
        <f ca="1">IFERROR(__xludf.DUMMYFUNCTION("""COMPUTED_VALUE"""),18)</f>
        <v>18</v>
      </c>
      <c r="J770" s="35">
        <f ca="1">IFERROR(__xludf.DUMMYFUNCTION("""COMPUTED_VALUE"""),541)</f>
        <v>541</v>
      </c>
      <c r="K770" s="35">
        <f ca="1">IFERROR(__xludf.DUMMYFUNCTION("""COMPUTED_VALUE"""),25)</f>
        <v>25</v>
      </c>
      <c r="M770" s="539">
        <f ca="1">IFERROR(__xludf.DUMMYFUNCTION("""COMPUTED_VALUE"""),1)</f>
        <v>1</v>
      </c>
      <c r="N770" s="539">
        <f ca="1">IFERROR(__xludf.DUMMYFUNCTION("""COMPUTED_VALUE"""),1)</f>
        <v>1</v>
      </c>
      <c r="O770" s="539">
        <f ca="1">IFERROR(__xludf.DUMMYFUNCTION("""COMPUTED_VALUE"""),1)</f>
        <v>1</v>
      </c>
    </row>
    <row r="771" spans="1:15" ht="12.75">
      <c r="A771" s="539">
        <f ca="1"/>
        <v>765</v>
      </c>
      <c r="B771" s="35" t="str">
        <f ca="1">IFERROR(__xludf.DUMMYFUNCTION("""COMPUTED_VALUE"""),"Tổ Hạ tầng Gò Dầu")</f>
        <v>Tổ Hạ tầng Gò Dầu</v>
      </c>
      <c r="C771" s="35" t="str">
        <f ca="1">IFERROR(__xludf.DUMMYFUNCTION("""COMPUTED_VALUE"""),"Huỳnh Tấn Cường")</f>
        <v>Huỳnh Tấn Cường</v>
      </c>
      <c r="D771" s="35">
        <f ca="1">IFERROR(__xludf.DUMMYFUNCTION("""COMPUTED_VALUE"""),835159879)</f>
        <v>835159879</v>
      </c>
      <c r="E771" s="35" t="str">
        <f ca="1">IFERROR(__xludf.DUMMYFUNCTION("""COMPUTED_VALUE"""),"cuonght.tnh@vnpt.vn")</f>
        <v>cuonght.tnh@vnpt.vn</v>
      </c>
      <c r="F771" s="540" t="str">
        <f ca="1">IFERROR(__xludf.DUMMYFUNCTION("""COMPUTED_VALUE"""),"Lần 13")</f>
        <v>Lần 13</v>
      </c>
      <c r="G771" s="278">
        <f ca="1">IFERROR(__xludf.DUMMYFUNCTION("""COMPUTED_VALUE"""),46223)</f>
        <v>46223</v>
      </c>
      <c r="H771" s="35"/>
      <c r="I771" s="35"/>
      <c r="J771" s="35"/>
      <c r="K771" s="35"/>
      <c r="M771" s="539">
        <f ca="1">IFERROR(__xludf.DUMMYFUNCTION("""COMPUTED_VALUE"""),0)</f>
        <v>0</v>
      </c>
      <c r="N771" s="539">
        <f ca="1">IFERROR(__xludf.DUMMYFUNCTION("""COMPUTED_VALUE"""),0)</f>
        <v>0</v>
      </c>
      <c r="O771" s="539">
        <f ca="1">IFERROR(__xludf.DUMMYFUNCTION("""COMPUTED_VALUE"""),0)</f>
        <v>0</v>
      </c>
    </row>
    <row r="772" spans="1:15" ht="12.75">
      <c r="A772" s="539">
        <f ca="1"/>
        <v>766</v>
      </c>
      <c r="B772" s="35" t="str">
        <f ca="1">IFERROR(__xludf.DUMMYFUNCTION("""COMPUTED_VALUE"""),"Tổ Hạ tầng Gò Dầu")</f>
        <v>Tổ Hạ tầng Gò Dầu</v>
      </c>
      <c r="C772" s="35" t="str">
        <f ca="1">IFERROR(__xludf.DUMMYFUNCTION("""COMPUTED_VALUE"""),"Huỳnh Tấn Cường")</f>
        <v>Huỳnh Tấn Cường</v>
      </c>
      <c r="D772" s="35">
        <f ca="1">IFERROR(__xludf.DUMMYFUNCTION("""COMPUTED_VALUE"""),835159879)</f>
        <v>835159879</v>
      </c>
      <c r="E772" s="35" t="str">
        <f ca="1">IFERROR(__xludf.DUMMYFUNCTION("""COMPUTED_VALUE"""),"cuonght.tnh@vnpt.vn")</f>
        <v>cuonght.tnh@vnpt.vn</v>
      </c>
      <c r="F772" s="540" t="str">
        <f ca="1">IFERROR(__xludf.DUMMYFUNCTION("""COMPUTED_VALUE"""),"Lần 14")</f>
        <v>Lần 14</v>
      </c>
      <c r="G772" s="278">
        <f ca="1">IFERROR(__xludf.DUMMYFUNCTION("""COMPUTED_VALUE"""),46223)</f>
        <v>46223</v>
      </c>
      <c r="H772" s="35"/>
      <c r="I772" s="35"/>
      <c r="J772" s="35"/>
      <c r="K772" s="35"/>
      <c r="M772" s="539">
        <f ca="1">IFERROR(__xludf.DUMMYFUNCTION("""COMPUTED_VALUE"""),0)</f>
        <v>0</v>
      </c>
      <c r="N772" s="539">
        <f ca="1">IFERROR(__xludf.DUMMYFUNCTION("""COMPUTED_VALUE"""),0)</f>
        <v>0</v>
      </c>
      <c r="O772" s="539">
        <f ca="1">IFERROR(__xludf.DUMMYFUNCTION("""COMPUTED_VALUE"""),0)</f>
        <v>0</v>
      </c>
    </row>
    <row r="773" spans="1:15" ht="12.75">
      <c r="A773" s="539">
        <f ca="1"/>
        <v>767</v>
      </c>
      <c r="B773" s="35" t="str">
        <f ca="1">IFERROR(__xludf.DUMMYFUNCTION("""COMPUTED_VALUE"""),"Tổ Hạ tầng Gò Dầu")</f>
        <v>Tổ Hạ tầng Gò Dầu</v>
      </c>
      <c r="C773" s="35" t="str">
        <f ca="1">IFERROR(__xludf.DUMMYFUNCTION("""COMPUTED_VALUE"""),"Huỳnh Tấn Cường")</f>
        <v>Huỳnh Tấn Cường</v>
      </c>
      <c r="D773" s="35">
        <f ca="1">IFERROR(__xludf.DUMMYFUNCTION("""COMPUTED_VALUE"""),835159879)</f>
        <v>835159879</v>
      </c>
      <c r="E773" s="35" t="str">
        <f ca="1">IFERROR(__xludf.DUMMYFUNCTION("""COMPUTED_VALUE"""),"cuonght.tnh@vnpt.vn")</f>
        <v>cuonght.tnh@vnpt.vn</v>
      </c>
      <c r="F773" s="540" t="str">
        <f ca="1">IFERROR(__xludf.DUMMYFUNCTION("""COMPUTED_VALUE"""),"Lần 15")</f>
        <v>Lần 15</v>
      </c>
      <c r="G773" s="278">
        <f ca="1">IFERROR(__xludf.DUMMYFUNCTION("""COMPUTED_VALUE"""),46223)</f>
        <v>46223</v>
      </c>
      <c r="H773" s="35"/>
      <c r="I773" s="35"/>
      <c r="J773" s="35"/>
      <c r="K773" s="35"/>
      <c r="M773" s="539">
        <f ca="1">IFERROR(__xludf.DUMMYFUNCTION("""COMPUTED_VALUE"""),0)</f>
        <v>0</v>
      </c>
      <c r="N773" s="539">
        <f ca="1">IFERROR(__xludf.DUMMYFUNCTION("""COMPUTED_VALUE"""),0)</f>
        <v>0</v>
      </c>
      <c r="O773" s="539">
        <f ca="1">IFERROR(__xludf.DUMMYFUNCTION("""COMPUTED_VALUE"""),0)</f>
        <v>0</v>
      </c>
    </row>
    <row r="774" spans="1:15" ht="12.75">
      <c r="A774" s="539">
        <f ca="1"/>
        <v>768</v>
      </c>
      <c r="B774" s="35" t="str">
        <f ca="1">IFERROR(__xludf.DUMMYFUNCTION("""COMPUTED_VALUE"""),"Tổ Hạ tầng Gò Dầu")</f>
        <v>Tổ Hạ tầng Gò Dầu</v>
      </c>
      <c r="C774" s="35" t="str">
        <f ca="1">IFERROR(__xludf.DUMMYFUNCTION("""COMPUTED_VALUE"""),"Huỳnh Tấn Cường")</f>
        <v>Huỳnh Tấn Cường</v>
      </c>
      <c r="D774" s="35">
        <f ca="1">IFERROR(__xludf.DUMMYFUNCTION("""COMPUTED_VALUE"""),835159879)</f>
        <v>835159879</v>
      </c>
      <c r="E774" s="35" t="str">
        <f ca="1">IFERROR(__xludf.DUMMYFUNCTION("""COMPUTED_VALUE"""),"cuonght.tnh@vnpt.vn")</f>
        <v>cuonght.tnh@vnpt.vn</v>
      </c>
      <c r="F774" s="540" t="str">
        <f ca="1">IFERROR(__xludf.DUMMYFUNCTION("""COMPUTED_VALUE"""),"Lần 16")</f>
        <v>Lần 16</v>
      </c>
      <c r="G774" s="545">
        <f ca="1">IFERROR(__xludf.DUMMYFUNCTION("""COMPUTED_VALUE"""),46223)</f>
        <v>46223</v>
      </c>
      <c r="H774" s="35"/>
      <c r="I774" s="35"/>
      <c r="J774" s="35"/>
      <c r="K774" s="35"/>
      <c r="M774" s="539">
        <f ca="1">IFERROR(__xludf.DUMMYFUNCTION("""COMPUTED_VALUE"""),0)</f>
        <v>0</v>
      </c>
      <c r="N774" s="539">
        <f ca="1">IFERROR(__xludf.DUMMYFUNCTION("""COMPUTED_VALUE"""),0)</f>
        <v>0</v>
      </c>
      <c r="O774" s="539">
        <f ca="1">IFERROR(__xludf.DUMMYFUNCTION("""COMPUTED_VALUE"""),0)</f>
        <v>0</v>
      </c>
    </row>
    <row r="775" spans="1:15" ht="12.75">
      <c r="A775" s="539">
        <f ca="1"/>
        <v>769</v>
      </c>
      <c r="B775" s="35" t="str">
        <f ca="1">IFERROR(__xludf.DUMMYFUNCTION("""COMPUTED_VALUE"""),"Tổ Hạ tầng Gò Dầu")</f>
        <v>Tổ Hạ tầng Gò Dầu</v>
      </c>
      <c r="C775" s="35" t="str">
        <f ca="1">IFERROR(__xludf.DUMMYFUNCTION("""COMPUTED_VALUE"""),"Nguyễn Văn Minh")</f>
        <v>Nguyễn Văn Minh</v>
      </c>
      <c r="D775" s="35">
        <f ca="1">IFERROR(__xludf.DUMMYFUNCTION("""COMPUTED_VALUE"""),812456561)</f>
        <v>812456561</v>
      </c>
      <c r="E775" s="35" t="str">
        <f ca="1">IFERROR(__xludf.DUMMYFUNCTION("""COMPUTED_VALUE"""),"minhnv.tnh@vnpt.vn")</f>
        <v>minhnv.tnh@vnpt.vn</v>
      </c>
      <c r="F775" s="540" t="str">
        <f ca="1">IFERROR(__xludf.DUMMYFUNCTION("""COMPUTED_VALUE"""),"Lần 1")</f>
        <v>Lần 1</v>
      </c>
      <c r="G775" s="278">
        <f ca="1">IFERROR(__xludf.DUMMYFUNCTION("""COMPUTED_VALUE"""),46206)</f>
        <v>46206</v>
      </c>
      <c r="H775" s="35">
        <f ca="1">IFERROR(__xludf.DUMMYFUNCTION("""COMPUTED_VALUE"""),110)</f>
        <v>110</v>
      </c>
      <c r="I775" s="35">
        <f ca="1">IFERROR(__xludf.DUMMYFUNCTION("""COMPUTED_VALUE"""),40)</f>
        <v>40</v>
      </c>
      <c r="J775" s="35">
        <f ca="1">IFERROR(__xludf.DUMMYFUNCTION("""COMPUTED_VALUE"""),83)</f>
        <v>83</v>
      </c>
      <c r="K775" s="35">
        <f ca="1">IFERROR(__xludf.DUMMYFUNCTION("""COMPUTED_VALUE"""),40)</f>
        <v>40</v>
      </c>
      <c r="M775" s="539">
        <f ca="1">IFERROR(__xludf.DUMMYFUNCTION("""COMPUTED_VALUE"""),1)</f>
        <v>1</v>
      </c>
      <c r="N775" s="539">
        <f ca="1">IFERROR(__xludf.DUMMYFUNCTION("""COMPUTED_VALUE"""),1)</f>
        <v>1</v>
      </c>
      <c r="O775" s="539">
        <f ca="1">IFERROR(__xludf.DUMMYFUNCTION("""COMPUTED_VALUE"""),0)</f>
        <v>0</v>
      </c>
    </row>
    <row r="776" spans="1:15" ht="12.75">
      <c r="A776" s="539">
        <f ca="1"/>
        <v>770</v>
      </c>
      <c r="B776" s="35" t="str">
        <f ca="1">IFERROR(__xludf.DUMMYFUNCTION("""COMPUTED_VALUE"""),"Tổ Hạ tầng Gò Dầu")</f>
        <v>Tổ Hạ tầng Gò Dầu</v>
      </c>
      <c r="C776" s="35" t="str">
        <f ca="1">IFERROR(__xludf.DUMMYFUNCTION("""COMPUTED_VALUE"""),"Nguyễn Văn Minh")</f>
        <v>Nguyễn Văn Minh</v>
      </c>
      <c r="D776" s="35">
        <f ca="1">IFERROR(__xludf.DUMMYFUNCTION("""COMPUTED_VALUE"""),812456561)</f>
        <v>812456561</v>
      </c>
      <c r="E776" s="35" t="str">
        <f ca="1">IFERROR(__xludf.DUMMYFUNCTION("""COMPUTED_VALUE"""),"minhnv.tnh@vnpt.vn")</f>
        <v>minhnv.tnh@vnpt.vn</v>
      </c>
      <c r="F776" s="540" t="str">
        <f ca="1">IFERROR(__xludf.DUMMYFUNCTION("""COMPUTED_VALUE"""),"Lần 2")</f>
        <v>Lần 2</v>
      </c>
      <c r="G776" s="278">
        <f ca="1">IFERROR(__xludf.DUMMYFUNCTION("""COMPUTED_VALUE"""),46206)</f>
        <v>46206</v>
      </c>
      <c r="H776" s="35">
        <f ca="1">IFERROR(__xludf.DUMMYFUNCTION("""COMPUTED_VALUE"""),112)</f>
        <v>112</v>
      </c>
      <c r="I776" s="35">
        <f ca="1">IFERROR(__xludf.DUMMYFUNCTION("""COMPUTED_VALUE"""),37)</f>
        <v>37</v>
      </c>
      <c r="J776" s="35">
        <f ca="1">IFERROR(__xludf.DUMMYFUNCTION("""COMPUTED_VALUE"""),100)</f>
        <v>100</v>
      </c>
      <c r="K776" s="35">
        <f ca="1">IFERROR(__xludf.DUMMYFUNCTION("""COMPUTED_VALUE"""),40)</f>
        <v>40</v>
      </c>
      <c r="M776" s="539">
        <f ca="1">IFERROR(__xludf.DUMMYFUNCTION("""COMPUTED_VALUE"""),1)</f>
        <v>1</v>
      </c>
      <c r="N776" s="539">
        <f ca="1">IFERROR(__xludf.DUMMYFUNCTION("""COMPUTED_VALUE"""),1)</f>
        <v>1</v>
      </c>
      <c r="O776" s="539">
        <f ca="1">IFERROR(__xludf.DUMMYFUNCTION("""COMPUTED_VALUE"""),0)</f>
        <v>0</v>
      </c>
    </row>
    <row r="777" spans="1:15" ht="12.75">
      <c r="A777" s="539">
        <f ca="1"/>
        <v>771</v>
      </c>
      <c r="B777" s="35" t="str">
        <f ca="1">IFERROR(__xludf.DUMMYFUNCTION("""COMPUTED_VALUE"""),"Tổ Hạ tầng Gò Dầu")</f>
        <v>Tổ Hạ tầng Gò Dầu</v>
      </c>
      <c r="C777" s="35" t="str">
        <f ca="1">IFERROR(__xludf.DUMMYFUNCTION("""COMPUTED_VALUE"""),"Nguyễn Văn Minh")</f>
        <v>Nguyễn Văn Minh</v>
      </c>
      <c r="D777" s="35">
        <f ca="1">IFERROR(__xludf.DUMMYFUNCTION("""COMPUTED_VALUE"""),812456561)</f>
        <v>812456561</v>
      </c>
      <c r="E777" s="35" t="str">
        <f ca="1">IFERROR(__xludf.DUMMYFUNCTION("""COMPUTED_VALUE"""),"minhnv.tnh@vnpt.vn")</f>
        <v>minhnv.tnh@vnpt.vn</v>
      </c>
      <c r="F777" s="540" t="str">
        <f ca="1">IFERROR(__xludf.DUMMYFUNCTION("""COMPUTED_VALUE"""),"Lần 3")</f>
        <v>Lần 3</v>
      </c>
      <c r="G777" s="278">
        <f ca="1">IFERROR(__xludf.DUMMYFUNCTION("""COMPUTED_VALUE"""),46206)</f>
        <v>46206</v>
      </c>
      <c r="H777" s="35">
        <f ca="1">IFERROR(__xludf.DUMMYFUNCTION("""COMPUTED_VALUE"""),120)</f>
        <v>120</v>
      </c>
      <c r="I777" s="35">
        <f ca="1">IFERROR(__xludf.DUMMYFUNCTION("""COMPUTED_VALUE"""),43)</f>
        <v>43</v>
      </c>
      <c r="J777" s="35">
        <f ca="1">IFERROR(__xludf.DUMMYFUNCTION("""COMPUTED_VALUE"""),88)</f>
        <v>88</v>
      </c>
      <c r="K777" s="35">
        <f ca="1">IFERROR(__xludf.DUMMYFUNCTION("""COMPUTED_VALUE"""),41)</f>
        <v>41</v>
      </c>
      <c r="M777" s="539">
        <f ca="1">IFERROR(__xludf.DUMMYFUNCTION("""COMPUTED_VALUE"""),1)</f>
        <v>1</v>
      </c>
      <c r="N777" s="539">
        <f ca="1">IFERROR(__xludf.DUMMYFUNCTION("""COMPUTED_VALUE"""),1)</f>
        <v>1</v>
      </c>
      <c r="O777" s="539">
        <f ca="1">IFERROR(__xludf.DUMMYFUNCTION("""COMPUTED_VALUE"""),0)</f>
        <v>0</v>
      </c>
    </row>
    <row r="778" spans="1:15" ht="12.75">
      <c r="A778" s="539">
        <f ca="1"/>
        <v>772</v>
      </c>
      <c r="B778" s="35" t="str">
        <f ca="1">IFERROR(__xludf.DUMMYFUNCTION("""COMPUTED_VALUE"""),"Tổ Hạ tầng Gò Dầu")</f>
        <v>Tổ Hạ tầng Gò Dầu</v>
      </c>
      <c r="C778" s="35" t="str">
        <f ca="1">IFERROR(__xludf.DUMMYFUNCTION("""COMPUTED_VALUE"""),"Nguyễn Văn Minh")</f>
        <v>Nguyễn Văn Minh</v>
      </c>
      <c r="D778" s="35">
        <f ca="1">IFERROR(__xludf.DUMMYFUNCTION("""COMPUTED_VALUE"""),812456561)</f>
        <v>812456561</v>
      </c>
      <c r="E778" s="35" t="str">
        <f ca="1">IFERROR(__xludf.DUMMYFUNCTION("""COMPUTED_VALUE"""),"minhnv.tnh@vnpt.vn")</f>
        <v>minhnv.tnh@vnpt.vn</v>
      </c>
      <c r="F778" s="540" t="str">
        <f ca="1">IFERROR(__xludf.DUMMYFUNCTION("""COMPUTED_VALUE"""),"Lần 4")</f>
        <v>Lần 4</v>
      </c>
      <c r="G778" s="278">
        <f ca="1">IFERROR(__xludf.DUMMYFUNCTION("""COMPUTED_VALUE"""),46206)</f>
        <v>46206</v>
      </c>
      <c r="H778" s="35">
        <f ca="1">IFERROR(__xludf.DUMMYFUNCTION("""COMPUTED_VALUE"""),111)</f>
        <v>111</v>
      </c>
      <c r="I778" s="35">
        <f ca="1">IFERROR(__xludf.DUMMYFUNCTION("""COMPUTED_VALUE"""),36)</f>
        <v>36</v>
      </c>
      <c r="J778" s="35">
        <f ca="1">IFERROR(__xludf.DUMMYFUNCTION("""COMPUTED_VALUE"""),97)</f>
        <v>97</v>
      </c>
      <c r="K778" s="35">
        <f ca="1">IFERROR(__xludf.DUMMYFUNCTION("""COMPUTED_VALUE"""),41)</f>
        <v>41</v>
      </c>
      <c r="M778" s="539">
        <f ca="1">IFERROR(__xludf.DUMMYFUNCTION("""COMPUTED_VALUE"""),1)</f>
        <v>1</v>
      </c>
      <c r="N778" s="539">
        <f ca="1">IFERROR(__xludf.DUMMYFUNCTION("""COMPUTED_VALUE"""),1)</f>
        <v>1</v>
      </c>
      <c r="O778" s="539">
        <f ca="1">IFERROR(__xludf.DUMMYFUNCTION("""COMPUTED_VALUE"""),0)</f>
        <v>0</v>
      </c>
    </row>
    <row r="779" spans="1:15" ht="12.75">
      <c r="A779" s="539">
        <f ca="1"/>
        <v>773</v>
      </c>
      <c r="B779" s="35" t="str">
        <f ca="1">IFERROR(__xludf.DUMMYFUNCTION("""COMPUTED_VALUE"""),"Tổ Hạ tầng Gò Dầu")</f>
        <v>Tổ Hạ tầng Gò Dầu</v>
      </c>
      <c r="C779" s="35" t="str">
        <f ca="1">IFERROR(__xludf.DUMMYFUNCTION("""COMPUTED_VALUE"""),"Nguyễn Văn Minh")</f>
        <v>Nguyễn Văn Minh</v>
      </c>
      <c r="D779" s="35">
        <f ca="1">IFERROR(__xludf.DUMMYFUNCTION("""COMPUTED_VALUE"""),812456561)</f>
        <v>812456561</v>
      </c>
      <c r="E779" s="35" t="str">
        <f ca="1">IFERROR(__xludf.DUMMYFUNCTION("""COMPUTED_VALUE"""),"minhnv.tnh@vnpt.vn")</f>
        <v>minhnv.tnh@vnpt.vn</v>
      </c>
      <c r="F779" s="540" t="str">
        <f ca="1">IFERROR(__xludf.DUMMYFUNCTION("""COMPUTED_VALUE"""),"Lần 5")</f>
        <v>Lần 5</v>
      </c>
      <c r="G779" s="278">
        <f ca="1">IFERROR(__xludf.DUMMYFUNCTION("""COMPUTED_VALUE"""),46211)</f>
        <v>46211</v>
      </c>
      <c r="H779" s="35">
        <f ca="1">IFERROR(__xludf.DUMMYFUNCTION("""COMPUTED_VALUE"""),106)</f>
        <v>106</v>
      </c>
      <c r="I779" s="35">
        <f ca="1">IFERROR(__xludf.DUMMYFUNCTION("""COMPUTED_VALUE"""),42)</f>
        <v>42</v>
      </c>
      <c r="J779" s="35">
        <f ca="1">IFERROR(__xludf.DUMMYFUNCTION("""COMPUTED_VALUE"""),89)</f>
        <v>89</v>
      </c>
      <c r="K779" s="35">
        <f ca="1">IFERROR(__xludf.DUMMYFUNCTION("""COMPUTED_VALUE"""),42)</f>
        <v>42</v>
      </c>
      <c r="M779" s="539">
        <f ca="1">IFERROR(__xludf.DUMMYFUNCTION("""COMPUTED_VALUE"""),1)</f>
        <v>1</v>
      </c>
      <c r="N779" s="539">
        <f ca="1">IFERROR(__xludf.DUMMYFUNCTION("""COMPUTED_VALUE"""),1)</f>
        <v>1</v>
      </c>
      <c r="O779" s="539">
        <f ca="1">IFERROR(__xludf.DUMMYFUNCTION("""COMPUTED_VALUE"""),0)</f>
        <v>0</v>
      </c>
    </row>
    <row r="780" spans="1:15" ht="12.75">
      <c r="A780" s="539">
        <f ca="1"/>
        <v>774</v>
      </c>
      <c r="B780" s="35" t="str">
        <f ca="1">IFERROR(__xludf.DUMMYFUNCTION("""COMPUTED_VALUE"""),"Tổ Hạ tầng Gò Dầu")</f>
        <v>Tổ Hạ tầng Gò Dầu</v>
      </c>
      <c r="C780" s="35" t="str">
        <f ca="1">IFERROR(__xludf.DUMMYFUNCTION("""COMPUTED_VALUE"""),"Nguyễn Văn Minh")</f>
        <v>Nguyễn Văn Minh</v>
      </c>
      <c r="D780" s="35">
        <f ca="1">IFERROR(__xludf.DUMMYFUNCTION("""COMPUTED_VALUE"""),812456561)</f>
        <v>812456561</v>
      </c>
      <c r="E780" s="35" t="str">
        <f ca="1">IFERROR(__xludf.DUMMYFUNCTION("""COMPUTED_VALUE"""),"minhnv.tnh@vnpt.vn")</f>
        <v>minhnv.tnh@vnpt.vn</v>
      </c>
      <c r="F780" s="540" t="str">
        <f ca="1">IFERROR(__xludf.DUMMYFUNCTION("""COMPUTED_VALUE"""),"Lần 6")</f>
        <v>Lần 6</v>
      </c>
      <c r="G780" s="278">
        <f ca="1">IFERROR(__xludf.DUMMYFUNCTION("""COMPUTED_VALUE"""),46211)</f>
        <v>46211</v>
      </c>
      <c r="H780" s="35">
        <f ca="1">IFERROR(__xludf.DUMMYFUNCTION("""COMPUTED_VALUE"""),131)</f>
        <v>131</v>
      </c>
      <c r="I780" s="35">
        <f ca="1">IFERROR(__xludf.DUMMYFUNCTION("""COMPUTED_VALUE"""),41)</f>
        <v>41</v>
      </c>
      <c r="J780" s="35">
        <f ca="1">IFERROR(__xludf.DUMMYFUNCTION("""COMPUTED_VALUE"""),90)</f>
        <v>90</v>
      </c>
      <c r="K780" s="35">
        <f ca="1">IFERROR(__xludf.DUMMYFUNCTION("""COMPUTED_VALUE"""),40)</f>
        <v>40</v>
      </c>
      <c r="M780" s="539">
        <f ca="1">IFERROR(__xludf.DUMMYFUNCTION("""COMPUTED_VALUE"""),1)</f>
        <v>1</v>
      </c>
      <c r="N780" s="539">
        <f ca="1">IFERROR(__xludf.DUMMYFUNCTION("""COMPUTED_VALUE"""),1)</f>
        <v>1</v>
      </c>
      <c r="O780" s="539">
        <f ca="1">IFERROR(__xludf.DUMMYFUNCTION("""COMPUTED_VALUE"""),0)</f>
        <v>0</v>
      </c>
    </row>
    <row r="781" spans="1:15" ht="12.75">
      <c r="A781" s="539">
        <f ca="1"/>
        <v>775</v>
      </c>
      <c r="B781" s="35" t="str">
        <f ca="1">IFERROR(__xludf.DUMMYFUNCTION("""COMPUTED_VALUE"""),"Tổ Hạ tầng Gò Dầu")</f>
        <v>Tổ Hạ tầng Gò Dầu</v>
      </c>
      <c r="C781" s="35" t="str">
        <f ca="1">IFERROR(__xludf.DUMMYFUNCTION("""COMPUTED_VALUE"""),"Nguyễn Văn Minh")</f>
        <v>Nguyễn Văn Minh</v>
      </c>
      <c r="D781" s="35">
        <f ca="1">IFERROR(__xludf.DUMMYFUNCTION("""COMPUTED_VALUE"""),812456561)</f>
        <v>812456561</v>
      </c>
      <c r="E781" s="35" t="str">
        <f ca="1">IFERROR(__xludf.DUMMYFUNCTION("""COMPUTED_VALUE"""),"minhnv.tnh@vnpt.vn")</f>
        <v>minhnv.tnh@vnpt.vn</v>
      </c>
      <c r="F781" s="540" t="str">
        <f ca="1">IFERROR(__xludf.DUMMYFUNCTION("""COMPUTED_VALUE"""),"Lần 7")</f>
        <v>Lần 7</v>
      </c>
      <c r="G781" s="278">
        <f ca="1">IFERROR(__xludf.DUMMYFUNCTION("""COMPUTED_VALUE"""),46211)</f>
        <v>46211</v>
      </c>
      <c r="H781" s="35">
        <f ca="1">IFERROR(__xludf.DUMMYFUNCTION("""COMPUTED_VALUE"""),114)</f>
        <v>114</v>
      </c>
      <c r="I781" s="35">
        <f ca="1">IFERROR(__xludf.DUMMYFUNCTION("""COMPUTED_VALUE"""),39)</f>
        <v>39</v>
      </c>
      <c r="J781" s="35">
        <f ca="1">IFERROR(__xludf.DUMMYFUNCTION("""COMPUTED_VALUE"""),86)</f>
        <v>86</v>
      </c>
      <c r="K781" s="35">
        <f ca="1">IFERROR(__xludf.DUMMYFUNCTION("""COMPUTED_VALUE"""),41)</f>
        <v>41</v>
      </c>
      <c r="M781" s="539">
        <f ca="1">IFERROR(__xludf.DUMMYFUNCTION("""COMPUTED_VALUE"""),1)</f>
        <v>1</v>
      </c>
      <c r="N781" s="539">
        <f ca="1">IFERROR(__xludf.DUMMYFUNCTION("""COMPUTED_VALUE"""),1)</f>
        <v>1</v>
      </c>
      <c r="O781" s="539">
        <f ca="1">IFERROR(__xludf.DUMMYFUNCTION("""COMPUTED_VALUE"""),0)</f>
        <v>0</v>
      </c>
    </row>
    <row r="782" spans="1:15" ht="12.75">
      <c r="A782" s="539">
        <f ca="1"/>
        <v>776</v>
      </c>
      <c r="B782" s="35" t="str">
        <f ca="1">IFERROR(__xludf.DUMMYFUNCTION("""COMPUTED_VALUE"""),"Tổ Hạ tầng Gò Dầu")</f>
        <v>Tổ Hạ tầng Gò Dầu</v>
      </c>
      <c r="C782" s="35" t="str">
        <f ca="1">IFERROR(__xludf.DUMMYFUNCTION("""COMPUTED_VALUE"""),"Nguyễn Văn Minh")</f>
        <v>Nguyễn Văn Minh</v>
      </c>
      <c r="D782" s="35">
        <f ca="1">IFERROR(__xludf.DUMMYFUNCTION("""COMPUTED_VALUE"""),812456561)</f>
        <v>812456561</v>
      </c>
      <c r="E782" s="35" t="str">
        <f ca="1">IFERROR(__xludf.DUMMYFUNCTION("""COMPUTED_VALUE"""),"minhnv.tnh@vnpt.vn")</f>
        <v>minhnv.tnh@vnpt.vn</v>
      </c>
      <c r="F782" s="540" t="str">
        <f ca="1">IFERROR(__xludf.DUMMYFUNCTION("""COMPUTED_VALUE"""),"Lần 8")</f>
        <v>Lần 8</v>
      </c>
      <c r="G782" s="278">
        <f ca="1">IFERROR(__xludf.DUMMYFUNCTION("""COMPUTED_VALUE"""),46211)</f>
        <v>46211</v>
      </c>
      <c r="H782" s="35">
        <f ca="1">IFERROR(__xludf.DUMMYFUNCTION("""COMPUTED_VALUE"""),119)</f>
        <v>119</v>
      </c>
      <c r="I782" s="35">
        <f ca="1">IFERROR(__xludf.DUMMYFUNCTION("""COMPUTED_VALUE"""),38)</f>
        <v>38</v>
      </c>
      <c r="J782" s="35">
        <f ca="1">IFERROR(__xludf.DUMMYFUNCTION("""COMPUTED_VALUE"""),92)</f>
        <v>92</v>
      </c>
      <c r="K782" s="35">
        <f ca="1">IFERROR(__xludf.DUMMYFUNCTION("""COMPUTED_VALUE"""),43)</f>
        <v>43</v>
      </c>
      <c r="M782" s="539">
        <f ca="1">IFERROR(__xludf.DUMMYFUNCTION("""COMPUTED_VALUE"""),1)</f>
        <v>1</v>
      </c>
      <c r="N782" s="539">
        <f ca="1">IFERROR(__xludf.DUMMYFUNCTION("""COMPUTED_VALUE"""),1)</f>
        <v>1</v>
      </c>
      <c r="O782" s="539">
        <f ca="1">IFERROR(__xludf.DUMMYFUNCTION("""COMPUTED_VALUE"""),0)</f>
        <v>0</v>
      </c>
    </row>
    <row r="783" spans="1:15" ht="12.75">
      <c r="A783" s="539">
        <f ca="1"/>
        <v>777</v>
      </c>
      <c r="B783" s="35" t="str">
        <f ca="1">IFERROR(__xludf.DUMMYFUNCTION("""COMPUTED_VALUE"""),"Tổ Hạ tầng Gò Dầu")</f>
        <v>Tổ Hạ tầng Gò Dầu</v>
      </c>
      <c r="C783" s="35" t="str">
        <f ca="1">IFERROR(__xludf.DUMMYFUNCTION("""COMPUTED_VALUE"""),"Nguyễn Văn Minh")</f>
        <v>Nguyễn Văn Minh</v>
      </c>
      <c r="D783" s="35">
        <f ca="1">IFERROR(__xludf.DUMMYFUNCTION("""COMPUTED_VALUE"""),812456561)</f>
        <v>812456561</v>
      </c>
      <c r="E783" s="35" t="str">
        <f ca="1">IFERROR(__xludf.DUMMYFUNCTION("""COMPUTED_VALUE"""),"minhnv.tnh@vnpt.vn")</f>
        <v>minhnv.tnh@vnpt.vn</v>
      </c>
      <c r="F783" s="540" t="str">
        <f ca="1">IFERROR(__xludf.DUMMYFUNCTION("""COMPUTED_VALUE"""),"Lần 9")</f>
        <v>Lần 9</v>
      </c>
      <c r="G783" s="278">
        <f ca="1">IFERROR(__xludf.DUMMYFUNCTION("""COMPUTED_VALUE"""),46217)</f>
        <v>46217</v>
      </c>
      <c r="H783" s="35">
        <f ca="1">IFERROR(__xludf.DUMMYFUNCTION("""COMPUTED_VALUE"""),86)</f>
        <v>86</v>
      </c>
      <c r="I783" s="35">
        <f ca="1">IFERROR(__xludf.DUMMYFUNCTION("""COMPUTED_VALUE"""),37)</f>
        <v>37</v>
      </c>
      <c r="J783" s="35">
        <f ca="1">IFERROR(__xludf.DUMMYFUNCTION("""COMPUTED_VALUE"""),81)</f>
        <v>81</v>
      </c>
      <c r="K783" s="35">
        <f ca="1">IFERROR(__xludf.DUMMYFUNCTION("""COMPUTED_VALUE"""),39)</f>
        <v>39</v>
      </c>
      <c r="M783" s="539">
        <f ca="1">IFERROR(__xludf.DUMMYFUNCTION("""COMPUTED_VALUE"""),1)</f>
        <v>1</v>
      </c>
      <c r="N783" s="539">
        <f ca="1">IFERROR(__xludf.DUMMYFUNCTION("""COMPUTED_VALUE"""),1)</f>
        <v>1</v>
      </c>
      <c r="O783" s="539">
        <f ca="1">IFERROR(__xludf.DUMMYFUNCTION("""COMPUTED_VALUE"""),0)</f>
        <v>0</v>
      </c>
    </row>
    <row r="784" spans="1:15" ht="12.75">
      <c r="A784" s="539">
        <f ca="1"/>
        <v>778</v>
      </c>
      <c r="B784" s="35" t="str">
        <f ca="1">IFERROR(__xludf.DUMMYFUNCTION("""COMPUTED_VALUE"""),"Tổ Hạ tầng Gò Dầu")</f>
        <v>Tổ Hạ tầng Gò Dầu</v>
      </c>
      <c r="C784" s="35" t="str">
        <f ca="1">IFERROR(__xludf.DUMMYFUNCTION("""COMPUTED_VALUE"""),"Nguyễn Văn Minh")</f>
        <v>Nguyễn Văn Minh</v>
      </c>
      <c r="D784" s="35">
        <f ca="1">IFERROR(__xludf.DUMMYFUNCTION("""COMPUTED_VALUE"""),812456561)</f>
        <v>812456561</v>
      </c>
      <c r="E784" s="35" t="str">
        <f ca="1">IFERROR(__xludf.DUMMYFUNCTION("""COMPUTED_VALUE"""),"minhnv.tnh@vnpt.vn")</f>
        <v>minhnv.tnh@vnpt.vn</v>
      </c>
      <c r="F784" s="540" t="str">
        <f ca="1">IFERROR(__xludf.DUMMYFUNCTION("""COMPUTED_VALUE"""),"Lần 10")</f>
        <v>Lần 10</v>
      </c>
      <c r="G784" s="278">
        <f ca="1">IFERROR(__xludf.DUMMYFUNCTION("""COMPUTED_VALUE"""),46217)</f>
        <v>46217</v>
      </c>
      <c r="H784" s="35">
        <f ca="1">IFERROR(__xludf.DUMMYFUNCTION("""COMPUTED_VALUE"""),86)</f>
        <v>86</v>
      </c>
      <c r="I784" s="35">
        <f ca="1">IFERROR(__xludf.DUMMYFUNCTION("""COMPUTED_VALUE"""),37)</f>
        <v>37</v>
      </c>
      <c r="J784" s="35">
        <f ca="1">IFERROR(__xludf.DUMMYFUNCTION("""COMPUTED_VALUE"""),87)</f>
        <v>87</v>
      </c>
      <c r="K784" s="35">
        <f ca="1">IFERROR(__xludf.DUMMYFUNCTION("""COMPUTED_VALUE"""),41)</f>
        <v>41</v>
      </c>
      <c r="M784" s="539">
        <f ca="1">IFERROR(__xludf.DUMMYFUNCTION("""COMPUTED_VALUE"""),1)</f>
        <v>1</v>
      </c>
      <c r="N784" s="539">
        <f ca="1">IFERROR(__xludf.DUMMYFUNCTION("""COMPUTED_VALUE"""),1)</f>
        <v>1</v>
      </c>
      <c r="O784" s="539">
        <f ca="1">IFERROR(__xludf.DUMMYFUNCTION("""COMPUTED_VALUE"""),0)</f>
        <v>0</v>
      </c>
    </row>
    <row r="785" spans="1:15" ht="12.75">
      <c r="A785" s="539">
        <f ca="1"/>
        <v>779</v>
      </c>
      <c r="B785" s="35" t="str">
        <f ca="1">IFERROR(__xludf.DUMMYFUNCTION("""COMPUTED_VALUE"""),"Tổ Hạ tầng Gò Dầu")</f>
        <v>Tổ Hạ tầng Gò Dầu</v>
      </c>
      <c r="C785" s="35" t="str">
        <f ca="1">IFERROR(__xludf.DUMMYFUNCTION("""COMPUTED_VALUE"""),"Nguyễn Văn Minh")</f>
        <v>Nguyễn Văn Minh</v>
      </c>
      <c r="D785" s="35">
        <f ca="1">IFERROR(__xludf.DUMMYFUNCTION("""COMPUTED_VALUE"""),812456561)</f>
        <v>812456561</v>
      </c>
      <c r="E785" s="35" t="str">
        <f ca="1">IFERROR(__xludf.DUMMYFUNCTION("""COMPUTED_VALUE"""),"minhnv.tnh@vnpt.vn")</f>
        <v>minhnv.tnh@vnpt.vn</v>
      </c>
      <c r="F785" s="540" t="str">
        <f ca="1">IFERROR(__xludf.DUMMYFUNCTION("""COMPUTED_VALUE"""),"Lần 11")</f>
        <v>Lần 11</v>
      </c>
      <c r="G785" s="278">
        <f ca="1">IFERROR(__xludf.DUMMYFUNCTION("""COMPUTED_VALUE"""),46217)</f>
        <v>46217</v>
      </c>
      <c r="H785" s="35">
        <f ca="1">IFERROR(__xludf.DUMMYFUNCTION("""COMPUTED_VALUE"""),90)</f>
        <v>90</v>
      </c>
      <c r="I785" s="35">
        <f ca="1">IFERROR(__xludf.DUMMYFUNCTION("""COMPUTED_VALUE"""),36)</f>
        <v>36</v>
      </c>
      <c r="J785" s="35">
        <f ca="1">IFERROR(__xludf.DUMMYFUNCTION("""COMPUTED_VALUE"""),84)</f>
        <v>84</v>
      </c>
      <c r="K785" s="35">
        <f ca="1">IFERROR(__xludf.DUMMYFUNCTION("""COMPUTED_VALUE"""),42)</f>
        <v>42</v>
      </c>
      <c r="M785" s="539">
        <f ca="1">IFERROR(__xludf.DUMMYFUNCTION("""COMPUTED_VALUE"""),1)</f>
        <v>1</v>
      </c>
      <c r="N785" s="539">
        <f ca="1">IFERROR(__xludf.DUMMYFUNCTION("""COMPUTED_VALUE"""),1)</f>
        <v>1</v>
      </c>
      <c r="O785" s="539">
        <f ca="1">IFERROR(__xludf.DUMMYFUNCTION("""COMPUTED_VALUE"""),0)</f>
        <v>0</v>
      </c>
    </row>
    <row r="786" spans="1:15" ht="12.75">
      <c r="A786" s="539">
        <f ca="1"/>
        <v>780</v>
      </c>
      <c r="B786" s="35" t="str">
        <f ca="1">IFERROR(__xludf.DUMMYFUNCTION("""COMPUTED_VALUE"""),"Tổ Hạ tầng Gò Dầu")</f>
        <v>Tổ Hạ tầng Gò Dầu</v>
      </c>
      <c r="C786" s="35" t="str">
        <f ca="1">IFERROR(__xludf.DUMMYFUNCTION("""COMPUTED_VALUE"""),"Nguyễn Văn Minh")</f>
        <v>Nguyễn Văn Minh</v>
      </c>
      <c r="D786" s="35">
        <f ca="1">IFERROR(__xludf.DUMMYFUNCTION("""COMPUTED_VALUE"""),812456561)</f>
        <v>812456561</v>
      </c>
      <c r="E786" s="35" t="str">
        <f ca="1">IFERROR(__xludf.DUMMYFUNCTION("""COMPUTED_VALUE"""),"minhnv.tnh@vnpt.vn")</f>
        <v>minhnv.tnh@vnpt.vn</v>
      </c>
      <c r="F786" s="540" t="str">
        <f ca="1">IFERROR(__xludf.DUMMYFUNCTION("""COMPUTED_VALUE"""),"Lần 12")</f>
        <v>Lần 12</v>
      </c>
      <c r="G786" s="278">
        <f ca="1">IFERROR(__xludf.DUMMYFUNCTION("""COMPUTED_VALUE"""),46217)</f>
        <v>46217</v>
      </c>
      <c r="H786" s="35">
        <f ca="1">IFERROR(__xludf.DUMMYFUNCTION("""COMPUTED_VALUE"""),90)</f>
        <v>90</v>
      </c>
      <c r="I786" s="35">
        <f ca="1">IFERROR(__xludf.DUMMYFUNCTION("""COMPUTED_VALUE"""),38)</f>
        <v>38</v>
      </c>
      <c r="J786" s="35">
        <f ca="1">IFERROR(__xludf.DUMMYFUNCTION("""COMPUTED_VALUE"""),93)</f>
        <v>93</v>
      </c>
      <c r="K786" s="35">
        <f ca="1">IFERROR(__xludf.DUMMYFUNCTION("""COMPUTED_VALUE"""),40)</f>
        <v>40</v>
      </c>
      <c r="M786" s="539">
        <f ca="1">IFERROR(__xludf.DUMMYFUNCTION("""COMPUTED_VALUE"""),1)</f>
        <v>1</v>
      </c>
      <c r="N786" s="539">
        <f ca="1">IFERROR(__xludf.DUMMYFUNCTION("""COMPUTED_VALUE"""),1)</f>
        <v>1</v>
      </c>
      <c r="O786" s="539">
        <f ca="1">IFERROR(__xludf.DUMMYFUNCTION("""COMPUTED_VALUE"""),0)</f>
        <v>0</v>
      </c>
    </row>
    <row r="787" spans="1:15" ht="12.75">
      <c r="A787" s="539">
        <f ca="1"/>
        <v>781</v>
      </c>
      <c r="B787" s="35" t="str">
        <f ca="1">IFERROR(__xludf.DUMMYFUNCTION("""COMPUTED_VALUE"""),"Tổ Hạ tầng Gò Dầu")</f>
        <v>Tổ Hạ tầng Gò Dầu</v>
      </c>
      <c r="C787" s="35" t="str">
        <f ca="1">IFERROR(__xludf.DUMMYFUNCTION("""COMPUTED_VALUE"""),"Nguyễn Văn Minh")</f>
        <v>Nguyễn Văn Minh</v>
      </c>
      <c r="D787" s="35">
        <f ca="1">IFERROR(__xludf.DUMMYFUNCTION("""COMPUTED_VALUE"""),812456561)</f>
        <v>812456561</v>
      </c>
      <c r="E787" s="35" t="str">
        <f ca="1">IFERROR(__xludf.DUMMYFUNCTION("""COMPUTED_VALUE"""),"minhnv.tnh@vnpt.vn")</f>
        <v>minhnv.tnh@vnpt.vn</v>
      </c>
      <c r="F787" s="540" t="str">
        <f ca="1">IFERROR(__xludf.DUMMYFUNCTION("""COMPUTED_VALUE"""),"Lần 13")</f>
        <v>Lần 13</v>
      </c>
      <c r="G787" s="278">
        <f ca="1">IFERROR(__xludf.DUMMYFUNCTION("""COMPUTED_VALUE"""),46223)</f>
        <v>46223</v>
      </c>
      <c r="H787" s="35"/>
      <c r="I787" s="35"/>
      <c r="J787" s="35"/>
      <c r="K787" s="35"/>
      <c r="M787" s="539">
        <f ca="1">IFERROR(__xludf.DUMMYFUNCTION("""COMPUTED_VALUE"""),0)</f>
        <v>0</v>
      </c>
      <c r="N787" s="539">
        <f ca="1">IFERROR(__xludf.DUMMYFUNCTION("""COMPUTED_VALUE"""),0)</f>
        <v>0</v>
      </c>
      <c r="O787" s="539">
        <f ca="1">IFERROR(__xludf.DUMMYFUNCTION("""COMPUTED_VALUE"""),0)</f>
        <v>0</v>
      </c>
    </row>
    <row r="788" spans="1:15" ht="12.75">
      <c r="A788" s="539">
        <f ca="1"/>
        <v>782</v>
      </c>
      <c r="B788" s="35" t="str">
        <f ca="1">IFERROR(__xludf.DUMMYFUNCTION("""COMPUTED_VALUE"""),"Tổ Hạ tầng Gò Dầu")</f>
        <v>Tổ Hạ tầng Gò Dầu</v>
      </c>
      <c r="C788" s="35" t="str">
        <f ca="1">IFERROR(__xludf.DUMMYFUNCTION("""COMPUTED_VALUE"""),"Nguyễn Văn Minh")</f>
        <v>Nguyễn Văn Minh</v>
      </c>
      <c r="D788" s="35">
        <f ca="1">IFERROR(__xludf.DUMMYFUNCTION("""COMPUTED_VALUE"""),812456561)</f>
        <v>812456561</v>
      </c>
      <c r="E788" s="35" t="str">
        <f ca="1">IFERROR(__xludf.DUMMYFUNCTION("""COMPUTED_VALUE"""),"minhnv.tnh@vnpt.vn")</f>
        <v>minhnv.tnh@vnpt.vn</v>
      </c>
      <c r="F788" s="540" t="str">
        <f ca="1">IFERROR(__xludf.DUMMYFUNCTION("""COMPUTED_VALUE"""),"Lần 14")</f>
        <v>Lần 14</v>
      </c>
      <c r="G788" s="278">
        <f ca="1">IFERROR(__xludf.DUMMYFUNCTION("""COMPUTED_VALUE"""),46223)</f>
        <v>46223</v>
      </c>
      <c r="H788" s="35"/>
      <c r="I788" s="35"/>
      <c r="J788" s="35"/>
      <c r="K788" s="35"/>
      <c r="M788" s="539">
        <f ca="1">IFERROR(__xludf.DUMMYFUNCTION("""COMPUTED_VALUE"""),0)</f>
        <v>0</v>
      </c>
      <c r="N788" s="539">
        <f ca="1">IFERROR(__xludf.DUMMYFUNCTION("""COMPUTED_VALUE"""),0)</f>
        <v>0</v>
      </c>
      <c r="O788" s="539">
        <f ca="1">IFERROR(__xludf.DUMMYFUNCTION("""COMPUTED_VALUE"""),0)</f>
        <v>0</v>
      </c>
    </row>
    <row r="789" spans="1:15" ht="12.75">
      <c r="A789" s="539">
        <f ca="1"/>
        <v>783</v>
      </c>
      <c r="B789" s="35" t="str">
        <f ca="1">IFERROR(__xludf.DUMMYFUNCTION("""COMPUTED_VALUE"""),"Tổ Hạ tầng Gò Dầu")</f>
        <v>Tổ Hạ tầng Gò Dầu</v>
      </c>
      <c r="C789" s="35" t="str">
        <f ca="1">IFERROR(__xludf.DUMMYFUNCTION("""COMPUTED_VALUE"""),"Nguyễn Văn Minh")</f>
        <v>Nguyễn Văn Minh</v>
      </c>
      <c r="D789" s="35">
        <f ca="1">IFERROR(__xludf.DUMMYFUNCTION("""COMPUTED_VALUE"""),812456561)</f>
        <v>812456561</v>
      </c>
      <c r="E789" s="35" t="str">
        <f ca="1">IFERROR(__xludf.DUMMYFUNCTION("""COMPUTED_VALUE"""),"minhnv.tnh@vnpt.vn")</f>
        <v>minhnv.tnh@vnpt.vn</v>
      </c>
      <c r="F789" s="540" t="str">
        <f ca="1">IFERROR(__xludf.DUMMYFUNCTION("""COMPUTED_VALUE"""),"Lần 15")</f>
        <v>Lần 15</v>
      </c>
      <c r="G789" s="278">
        <f ca="1">IFERROR(__xludf.DUMMYFUNCTION("""COMPUTED_VALUE"""),46223)</f>
        <v>46223</v>
      </c>
      <c r="H789" s="35"/>
      <c r="I789" s="35"/>
      <c r="J789" s="35"/>
      <c r="K789" s="35"/>
      <c r="M789" s="539">
        <f ca="1">IFERROR(__xludf.DUMMYFUNCTION("""COMPUTED_VALUE"""),0)</f>
        <v>0</v>
      </c>
      <c r="N789" s="539">
        <f ca="1">IFERROR(__xludf.DUMMYFUNCTION("""COMPUTED_VALUE"""),0)</f>
        <v>0</v>
      </c>
      <c r="O789" s="539">
        <f ca="1">IFERROR(__xludf.DUMMYFUNCTION("""COMPUTED_VALUE"""),0)</f>
        <v>0</v>
      </c>
    </row>
    <row r="790" spans="1:15" ht="12.75">
      <c r="A790" s="539">
        <f ca="1"/>
        <v>784</v>
      </c>
      <c r="B790" s="35" t="str">
        <f ca="1">IFERROR(__xludf.DUMMYFUNCTION("""COMPUTED_VALUE"""),"Tổ Hạ tầng Gò Dầu")</f>
        <v>Tổ Hạ tầng Gò Dầu</v>
      </c>
      <c r="C790" s="35" t="str">
        <f ca="1">IFERROR(__xludf.DUMMYFUNCTION("""COMPUTED_VALUE"""),"Nguyễn Văn Minh")</f>
        <v>Nguyễn Văn Minh</v>
      </c>
      <c r="D790" s="35">
        <f ca="1">IFERROR(__xludf.DUMMYFUNCTION("""COMPUTED_VALUE"""),812456561)</f>
        <v>812456561</v>
      </c>
      <c r="E790" s="35" t="str">
        <f ca="1">IFERROR(__xludf.DUMMYFUNCTION("""COMPUTED_VALUE"""),"minhnv.tnh@vnpt.vn")</f>
        <v>minhnv.tnh@vnpt.vn</v>
      </c>
      <c r="F790" s="540" t="str">
        <f ca="1">IFERROR(__xludf.DUMMYFUNCTION("""COMPUTED_VALUE"""),"Lần 16")</f>
        <v>Lần 16</v>
      </c>
      <c r="G790" s="545">
        <f ca="1">IFERROR(__xludf.DUMMYFUNCTION("""COMPUTED_VALUE"""),46223)</f>
        <v>46223</v>
      </c>
      <c r="H790" s="35"/>
      <c r="I790" s="35"/>
      <c r="J790" s="35"/>
      <c r="K790" s="35"/>
      <c r="M790" s="539">
        <f ca="1">IFERROR(__xludf.DUMMYFUNCTION("""COMPUTED_VALUE"""),0)</f>
        <v>0</v>
      </c>
      <c r="N790" s="539">
        <f ca="1">IFERROR(__xludf.DUMMYFUNCTION("""COMPUTED_VALUE"""),0)</f>
        <v>0</v>
      </c>
      <c r="O790" s="539">
        <f ca="1">IFERROR(__xludf.DUMMYFUNCTION("""COMPUTED_VALUE"""),0)</f>
        <v>0</v>
      </c>
    </row>
    <row r="791" spans="1:15" ht="12.75">
      <c r="A791" s="539">
        <f ca="1"/>
        <v>785</v>
      </c>
      <c r="B791" s="35" t="str">
        <f ca="1">IFERROR(__xludf.DUMMYFUNCTION("""COMPUTED_VALUE"""),"Tổ Hạ tầng Gò Dầu")</f>
        <v>Tổ Hạ tầng Gò Dầu</v>
      </c>
      <c r="C791" s="35" t="str">
        <f ca="1">IFERROR(__xludf.DUMMYFUNCTION("""COMPUTED_VALUE"""),"Phạm Đình Thái")</f>
        <v>Phạm Đình Thái</v>
      </c>
      <c r="D791" s="35">
        <f ca="1">IFERROR(__xludf.DUMMYFUNCTION("""COMPUTED_VALUE"""),824903077)</f>
        <v>824903077</v>
      </c>
      <c r="E791" s="35" t="str">
        <f ca="1">IFERROR(__xludf.DUMMYFUNCTION("""COMPUTED_VALUE"""),"thaipd.tnh@vnpt.vn")</f>
        <v>thaipd.tnh@vnpt.vn</v>
      </c>
      <c r="F791" s="540" t="str">
        <f ca="1">IFERROR(__xludf.DUMMYFUNCTION("""COMPUTED_VALUE"""),"Lần 1")</f>
        <v>Lần 1</v>
      </c>
      <c r="G791" s="278">
        <f ca="1">IFERROR(__xludf.DUMMYFUNCTION("""COMPUTED_VALUE"""),46206)</f>
        <v>46206</v>
      </c>
      <c r="H791" s="35">
        <f ca="1">IFERROR(__xludf.DUMMYFUNCTION("""COMPUTED_VALUE"""),89)</f>
        <v>89</v>
      </c>
      <c r="I791" s="35">
        <f ca="1">IFERROR(__xludf.DUMMYFUNCTION("""COMPUTED_VALUE"""),38)</f>
        <v>38</v>
      </c>
      <c r="J791" s="35">
        <f ca="1">IFERROR(__xludf.DUMMYFUNCTION("""COMPUTED_VALUE"""),79)</f>
        <v>79</v>
      </c>
      <c r="K791" s="35">
        <f ca="1">IFERROR(__xludf.DUMMYFUNCTION("""COMPUTED_VALUE"""),42)</f>
        <v>42</v>
      </c>
      <c r="M791" s="539">
        <f ca="1">IFERROR(__xludf.DUMMYFUNCTION("""COMPUTED_VALUE"""),1)</f>
        <v>1</v>
      </c>
      <c r="N791" s="539">
        <f ca="1">IFERROR(__xludf.DUMMYFUNCTION("""COMPUTED_VALUE"""),1)</f>
        <v>1</v>
      </c>
      <c r="O791" s="539">
        <f ca="1">IFERROR(__xludf.DUMMYFUNCTION("""COMPUTED_VALUE"""),0)</f>
        <v>0</v>
      </c>
    </row>
    <row r="792" spans="1:15" ht="12.75">
      <c r="A792" s="539">
        <f ca="1"/>
        <v>786</v>
      </c>
      <c r="B792" s="35" t="str">
        <f ca="1">IFERROR(__xludf.DUMMYFUNCTION("""COMPUTED_VALUE"""),"Tổ Hạ tầng Gò Dầu")</f>
        <v>Tổ Hạ tầng Gò Dầu</v>
      </c>
      <c r="C792" s="35" t="str">
        <f ca="1">IFERROR(__xludf.DUMMYFUNCTION("""COMPUTED_VALUE"""),"Phạm Đình Thái")</f>
        <v>Phạm Đình Thái</v>
      </c>
      <c r="D792" s="35">
        <f ca="1">IFERROR(__xludf.DUMMYFUNCTION("""COMPUTED_VALUE"""),824903077)</f>
        <v>824903077</v>
      </c>
      <c r="E792" s="35" t="str">
        <f ca="1">IFERROR(__xludf.DUMMYFUNCTION("""COMPUTED_VALUE"""),"thaipd.tnh@vnpt.vn")</f>
        <v>thaipd.tnh@vnpt.vn</v>
      </c>
      <c r="F792" s="540" t="str">
        <f ca="1">IFERROR(__xludf.DUMMYFUNCTION("""COMPUTED_VALUE"""),"Lần 2")</f>
        <v>Lần 2</v>
      </c>
      <c r="G792" s="278">
        <f ca="1">IFERROR(__xludf.DUMMYFUNCTION("""COMPUTED_VALUE"""),46206)</f>
        <v>46206</v>
      </c>
      <c r="H792" s="35">
        <f ca="1">IFERROR(__xludf.DUMMYFUNCTION("""COMPUTED_VALUE"""),98)</f>
        <v>98</v>
      </c>
      <c r="I792" s="35">
        <f ca="1">IFERROR(__xludf.DUMMYFUNCTION("""COMPUTED_VALUE"""),47)</f>
        <v>47</v>
      </c>
      <c r="J792" s="35">
        <f ca="1">IFERROR(__xludf.DUMMYFUNCTION("""COMPUTED_VALUE"""),107)</f>
        <v>107</v>
      </c>
      <c r="K792" s="35">
        <f ca="1">IFERROR(__xludf.DUMMYFUNCTION("""COMPUTED_VALUE"""),61)</f>
        <v>61</v>
      </c>
      <c r="M792" s="539">
        <f ca="1">IFERROR(__xludf.DUMMYFUNCTION("""COMPUTED_VALUE"""),1)</f>
        <v>1</v>
      </c>
      <c r="N792" s="539">
        <f ca="1">IFERROR(__xludf.DUMMYFUNCTION("""COMPUTED_VALUE"""),1)</f>
        <v>1</v>
      </c>
      <c r="O792" s="539">
        <f ca="1">IFERROR(__xludf.DUMMYFUNCTION("""COMPUTED_VALUE"""),0)</f>
        <v>0</v>
      </c>
    </row>
    <row r="793" spans="1:15" ht="12.75">
      <c r="A793" s="539">
        <f ca="1"/>
        <v>787</v>
      </c>
      <c r="B793" s="35" t="str">
        <f ca="1">IFERROR(__xludf.DUMMYFUNCTION("""COMPUTED_VALUE"""),"Tổ Hạ tầng Gò Dầu")</f>
        <v>Tổ Hạ tầng Gò Dầu</v>
      </c>
      <c r="C793" s="35" t="str">
        <f ca="1">IFERROR(__xludf.DUMMYFUNCTION("""COMPUTED_VALUE"""),"Phạm Đình Thái")</f>
        <v>Phạm Đình Thái</v>
      </c>
      <c r="D793" s="35">
        <f ca="1">IFERROR(__xludf.DUMMYFUNCTION("""COMPUTED_VALUE"""),824903077)</f>
        <v>824903077</v>
      </c>
      <c r="E793" s="35" t="str">
        <f ca="1">IFERROR(__xludf.DUMMYFUNCTION("""COMPUTED_VALUE"""),"thaipd.tnh@vnpt.vn")</f>
        <v>thaipd.tnh@vnpt.vn</v>
      </c>
      <c r="F793" s="540" t="str">
        <f ca="1">IFERROR(__xludf.DUMMYFUNCTION("""COMPUTED_VALUE"""),"Lần 3")</f>
        <v>Lần 3</v>
      </c>
      <c r="G793" s="278">
        <f ca="1">IFERROR(__xludf.DUMMYFUNCTION("""COMPUTED_VALUE"""),46206)</f>
        <v>46206</v>
      </c>
      <c r="H793" s="35">
        <f ca="1">IFERROR(__xludf.DUMMYFUNCTION("""COMPUTED_VALUE"""),121)</f>
        <v>121</v>
      </c>
      <c r="I793" s="35">
        <f ca="1">IFERROR(__xludf.DUMMYFUNCTION("""COMPUTED_VALUE"""),48)</f>
        <v>48</v>
      </c>
      <c r="J793" s="35">
        <f ca="1">IFERROR(__xludf.DUMMYFUNCTION("""COMPUTED_VALUE"""),93)</f>
        <v>93</v>
      </c>
      <c r="K793" s="35">
        <f ca="1">IFERROR(__xludf.DUMMYFUNCTION("""COMPUTED_VALUE"""),57)</f>
        <v>57</v>
      </c>
      <c r="M793" s="539">
        <f ca="1">IFERROR(__xludf.DUMMYFUNCTION("""COMPUTED_VALUE"""),1)</f>
        <v>1</v>
      </c>
      <c r="N793" s="539">
        <f ca="1">IFERROR(__xludf.DUMMYFUNCTION("""COMPUTED_VALUE"""),1)</f>
        <v>1</v>
      </c>
      <c r="O793" s="539">
        <f ca="1">IFERROR(__xludf.DUMMYFUNCTION("""COMPUTED_VALUE"""),0)</f>
        <v>0</v>
      </c>
    </row>
    <row r="794" spans="1:15" ht="12.75">
      <c r="A794" s="539">
        <f ca="1"/>
        <v>788</v>
      </c>
      <c r="B794" s="35" t="str">
        <f ca="1">IFERROR(__xludf.DUMMYFUNCTION("""COMPUTED_VALUE"""),"Tổ Hạ tầng Gò Dầu")</f>
        <v>Tổ Hạ tầng Gò Dầu</v>
      </c>
      <c r="C794" s="35" t="str">
        <f ca="1">IFERROR(__xludf.DUMMYFUNCTION("""COMPUTED_VALUE"""),"Phạm Đình Thái")</f>
        <v>Phạm Đình Thái</v>
      </c>
      <c r="D794" s="35">
        <f ca="1">IFERROR(__xludf.DUMMYFUNCTION("""COMPUTED_VALUE"""),824903077)</f>
        <v>824903077</v>
      </c>
      <c r="E794" s="35" t="str">
        <f ca="1">IFERROR(__xludf.DUMMYFUNCTION("""COMPUTED_VALUE"""),"thaipd.tnh@vnpt.vn")</f>
        <v>thaipd.tnh@vnpt.vn</v>
      </c>
      <c r="F794" s="540" t="str">
        <f ca="1">IFERROR(__xludf.DUMMYFUNCTION("""COMPUTED_VALUE"""),"Lần 4")</f>
        <v>Lần 4</v>
      </c>
      <c r="G794" s="278">
        <f ca="1">IFERROR(__xludf.DUMMYFUNCTION("""COMPUTED_VALUE"""),46206)</f>
        <v>46206</v>
      </c>
      <c r="H794" s="35">
        <f ca="1">IFERROR(__xludf.DUMMYFUNCTION("""COMPUTED_VALUE"""),103)</f>
        <v>103</v>
      </c>
      <c r="I794" s="35">
        <f ca="1">IFERROR(__xludf.DUMMYFUNCTION("""COMPUTED_VALUE"""),43)</f>
        <v>43</v>
      </c>
      <c r="J794" s="35">
        <f ca="1">IFERROR(__xludf.DUMMYFUNCTION("""COMPUTED_VALUE"""),104)</f>
        <v>104</v>
      </c>
      <c r="K794" s="35">
        <f ca="1">IFERROR(__xludf.DUMMYFUNCTION("""COMPUTED_VALUE"""),61)</f>
        <v>61</v>
      </c>
      <c r="M794" s="539">
        <f ca="1">IFERROR(__xludf.DUMMYFUNCTION("""COMPUTED_VALUE"""),1)</f>
        <v>1</v>
      </c>
      <c r="N794" s="539">
        <f ca="1">IFERROR(__xludf.DUMMYFUNCTION("""COMPUTED_VALUE"""),1)</f>
        <v>1</v>
      </c>
      <c r="O794" s="539">
        <f ca="1">IFERROR(__xludf.DUMMYFUNCTION("""COMPUTED_VALUE"""),0)</f>
        <v>0</v>
      </c>
    </row>
    <row r="795" spans="1:15" ht="12.75">
      <c r="A795" s="539">
        <f ca="1"/>
        <v>789</v>
      </c>
      <c r="B795" s="35" t="str">
        <f ca="1">IFERROR(__xludf.DUMMYFUNCTION("""COMPUTED_VALUE"""),"Tổ Hạ tầng Gò Dầu")</f>
        <v>Tổ Hạ tầng Gò Dầu</v>
      </c>
      <c r="C795" s="35" t="str">
        <f ca="1">IFERROR(__xludf.DUMMYFUNCTION("""COMPUTED_VALUE"""),"Phạm Đình Thái")</f>
        <v>Phạm Đình Thái</v>
      </c>
      <c r="D795" s="35">
        <f ca="1">IFERROR(__xludf.DUMMYFUNCTION("""COMPUTED_VALUE"""),824903077)</f>
        <v>824903077</v>
      </c>
      <c r="E795" s="35" t="str">
        <f ca="1">IFERROR(__xludf.DUMMYFUNCTION("""COMPUTED_VALUE"""),"thaipd.tnh@vnpt.vn")</f>
        <v>thaipd.tnh@vnpt.vn</v>
      </c>
      <c r="F795" s="540" t="str">
        <f ca="1">IFERROR(__xludf.DUMMYFUNCTION("""COMPUTED_VALUE"""),"Lần 5")</f>
        <v>Lần 5</v>
      </c>
      <c r="G795" s="278">
        <f ca="1">IFERROR(__xludf.DUMMYFUNCTION("""COMPUTED_VALUE"""),46211)</f>
        <v>46211</v>
      </c>
      <c r="H795" s="35">
        <f ca="1">IFERROR(__xludf.DUMMYFUNCTION("""COMPUTED_VALUE"""),89)</f>
        <v>89</v>
      </c>
      <c r="I795" s="35">
        <f ca="1">IFERROR(__xludf.DUMMYFUNCTION("""COMPUTED_VALUE"""),42)</f>
        <v>42</v>
      </c>
      <c r="J795" s="35">
        <f ca="1">IFERROR(__xludf.DUMMYFUNCTION("""COMPUTED_VALUE"""),109)</f>
        <v>109</v>
      </c>
      <c r="K795" s="35">
        <f ca="1">IFERROR(__xludf.DUMMYFUNCTION("""COMPUTED_VALUE"""),14)</f>
        <v>14</v>
      </c>
      <c r="M795" s="539">
        <f ca="1">IFERROR(__xludf.DUMMYFUNCTION("""COMPUTED_VALUE"""),1)</f>
        <v>1</v>
      </c>
      <c r="N795" s="539">
        <f ca="1">IFERROR(__xludf.DUMMYFUNCTION("""COMPUTED_VALUE"""),1)</f>
        <v>1</v>
      </c>
      <c r="O795" s="539">
        <f ca="1">IFERROR(__xludf.DUMMYFUNCTION("""COMPUTED_VALUE"""),0)</f>
        <v>0</v>
      </c>
    </row>
    <row r="796" spans="1:15" ht="12.75">
      <c r="A796" s="539">
        <f ca="1"/>
        <v>790</v>
      </c>
      <c r="B796" s="35" t="str">
        <f ca="1">IFERROR(__xludf.DUMMYFUNCTION("""COMPUTED_VALUE"""),"Tổ Hạ tầng Gò Dầu")</f>
        <v>Tổ Hạ tầng Gò Dầu</v>
      </c>
      <c r="C796" s="35" t="str">
        <f ca="1">IFERROR(__xludf.DUMMYFUNCTION("""COMPUTED_VALUE"""),"Phạm Đình Thái")</f>
        <v>Phạm Đình Thái</v>
      </c>
      <c r="D796" s="35">
        <f ca="1">IFERROR(__xludf.DUMMYFUNCTION("""COMPUTED_VALUE"""),824903077)</f>
        <v>824903077</v>
      </c>
      <c r="E796" s="35" t="str">
        <f ca="1">IFERROR(__xludf.DUMMYFUNCTION("""COMPUTED_VALUE"""),"thaipd.tnh@vnpt.vn")</f>
        <v>thaipd.tnh@vnpt.vn</v>
      </c>
      <c r="F796" s="540" t="str">
        <f ca="1">IFERROR(__xludf.DUMMYFUNCTION("""COMPUTED_VALUE"""),"Lần 6")</f>
        <v>Lần 6</v>
      </c>
      <c r="G796" s="278">
        <f ca="1">IFERROR(__xludf.DUMMYFUNCTION("""COMPUTED_VALUE"""),46211)</f>
        <v>46211</v>
      </c>
      <c r="H796" s="35">
        <f ca="1">IFERROR(__xludf.DUMMYFUNCTION("""COMPUTED_VALUE"""),106)</f>
        <v>106</v>
      </c>
      <c r="I796" s="35">
        <f ca="1">IFERROR(__xludf.DUMMYFUNCTION("""COMPUTED_VALUE"""),43)</f>
        <v>43</v>
      </c>
      <c r="J796" s="35">
        <f ca="1">IFERROR(__xludf.DUMMYFUNCTION("""COMPUTED_VALUE"""),111)</f>
        <v>111</v>
      </c>
      <c r="K796" s="35">
        <f ca="1">IFERROR(__xludf.DUMMYFUNCTION("""COMPUTED_VALUE"""),58)</f>
        <v>58</v>
      </c>
      <c r="M796" s="539">
        <f ca="1">IFERROR(__xludf.DUMMYFUNCTION("""COMPUTED_VALUE"""),1)</f>
        <v>1</v>
      </c>
      <c r="N796" s="539">
        <f ca="1">IFERROR(__xludf.DUMMYFUNCTION("""COMPUTED_VALUE"""),1)</f>
        <v>1</v>
      </c>
      <c r="O796" s="539">
        <f ca="1">IFERROR(__xludf.DUMMYFUNCTION("""COMPUTED_VALUE"""),0)</f>
        <v>0</v>
      </c>
    </row>
    <row r="797" spans="1:15" ht="12.75">
      <c r="A797" s="539">
        <f ca="1"/>
        <v>791</v>
      </c>
      <c r="B797" s="35" t="str">
        <f ca="1">IFERROR(__xludf.DUMMYFUNCTION("""COMPUTED_VALUE"""),"Tổ Hạ tầng Gò Dầu")</f>
        <v>Tổ Hạ tầng Gò Dầu</v>
      </c>
      <c r="C797" s="35" t="str">
        <f ca="1">IFERROR(__xludf.DUMMYFUNCTION("""COMPUTED_VALUE"""),"Phạm Đình Thái")</f>
        <v>Phạm Đình Thái</v>
      </c>
      <c r="D797" s="35">
        <f ca="1">IFERROR(__xludf.DUMMYFUNCTION("""COMPUTED_VALUE"""),824903077)</f>
        <v>824903077</v>
      </c>
      <c r="E797" s="35" t="str">
        <f ca="1">IFERROR(__xludf.DUMMYFUNCTION("""COMPUTED_VALUE"""),"thaipd.tnh@vnpt.vn")</f>
        <v>thaipd.tnh@vnpt.vn</v>
      </c>
      <c r="F797" s="540" t="str">
        <f ca="1">IFERROR(__xludf.DUMMYFUNCTION("""COMPUTED_VALUE"""),"Lần 7")</f>
        <v>Lần 7</v>
      </c>
      <c r="G797" s="278">
        <f ca="1">IFERROR(__xludf.DUMMYFUNCTION("""COMPUTED_VALUE"""),46211)</f>
        <v>46211</v>
      </c>
      <c r="H797" s="35">
        <f ca="1">IFERROR(__xludf.DUMMYFUNCTION("""COMPUTED_VALUE"""),93)</f>
        <v>93</v>
      </c>
      <c r="I797" s="35">
        <f ca="1">IFERROR(__xludf.DUMMYFUNCTION("""COMPUTED_VALUE"""),48)</f>
        <v>48</v>
      </c>
      <c r="J797" s="35">
        <f ca="1">IFERROR(__xludf.DUMMYFUNCTION("""COMPUTED_VALUE"""),99)</f>
        <v>99</v>
      </c>
      <c r="K797" s="35">
        <f ca="1">IFERROR(__xludf.DUMMYFUNCTION("""COMPUTED_VALUE"""),59)</f>
        <v>59</v>
      </c>
      <c r="M797" s="539">
        <f ca="1">IFERROR(__xludf.DUMMYFUNCTION("""COMPUTED_VALUE"""),1)</f>
        <v>1</v>
      </c>
      <c r="N797" s="539">
        <f ca="1">IFERROR(__xludf.DUMMYFUNCTION("""COMPUTED_VALUE"""),1)</f>
        <v>1</v>
      </c>
      <c r="O797" s="539">
        <f ca="1">IFERROR(__xludf.DUMMYFUNCTION("""COMPUTED_VALUE"""),0)</f>
        <v>0</v>
      </c>
    </row>
    <row r="798" spans="1:15" ht="12.75">
      <c r="A798" s="539">
        <f ca="1"/>
        <v>792</v>
      </c>
      <c r="B798" s="35" t="str">
        <f ca="1">IFERROR(__xludf.DUMMYFUNCTION("""COMPUTED_VALUE"""),"Tổ Hạ tầng Gò Dầu")</f>
        <v>Tổ Hạ tầng Gò Dầu</v>
      </c>
      <c r="C798" s="35" t="str">
        <f ca="1">IFERROR(__xludf.DUMMYFUNCTION("""COMPUTED_VALUE"""),"Phạm Đình Thái")</f>
        <v>Phạm Đình Thái</v>
      </c>
      <c r="D798" s="35">
        <f ca="1">IFERROR(__xludf.DUMMYFUNCTION("""COMPUTED_VALUE"""),824903077)</f>
        <v>824903077</v>
      </c>
      <c r="E798" s="35" t="str">
        <f ca="1">IFERROR(__xludf.DUMMYFUNCTION("""COMPUTED_VALUE"""),"thaipd.tnh@vnpt.vn")</f>
        <v>thaipd.tnh@vnpt.vn</v>
      </c>
      <c r="F798" s="540" t="str">
        <f ca="1">IFERROR(__xludf.DUMMYFUNCTION("""COMPUTED_VALUE"""),"Lần 8")</f>
        <v>Lần 8</v>
      </c>
      <c r="G798" s="278">
        <f ca="1">IFERROR(__xludf.DUMMYFUNCTION("""COMPUTED_VALUE"""),46211)</f>
        <v>46211</v>
      </c>
      <c r="H798" s="35">
        <f ca="1">IFERROR(__xludf.DUMMYFUNCTION("""COMPUTED_VALUE"""),99)</f>
        <v>99</v>
      </c>
      <c r="I798" s="35">
        <f ca="1">IFERROR(__xludf.DUMMYFUNCTION("""COMPUTED_VALUE"""),49)</f>
        <v>49</v>
      </c>
      <c r="J798" s="35">
        <f ca="1">IFERROR(__xludf.DUMMYFUNCTION("""COMPUTED_VALUE"""),94)</f>
        <v>94</v>
      </c>
      <c r="K798" s="35">
        <f ca="1">IFERROR(__xludf.DUMMYFUNCTION("""COMPUTED_VALUE"""),51)</f>
        <v>51</v>
      </c>
      <c r="M798" s="539">
        <f ca="1">IFERROR(__xludf.DUMMYFUNCTION("""COMPUTED_VALUE"""),1)</f>
        <v>1</v>
      </c>
      <c r="N798" s="539">
        <f ca="1">IFERROR(__xludf.DUMMYFUNCTION("""COMPUTED_VALUE"""),1)</f>
        <v>1</v>
      </c>
      <c r="O798" s="539">
        <f ca="1">IFERROR(__xludf.DUMMYFUNCTION("""COMPUTED_VALUE"""),0)</f>
        <v>0</v>
      </c>
    </row>
    <row r="799" spans="1:15" ht="12.75">
      <c r="A799" s="539">
        <f ca="1"/>
        <v>793</v>
      </c>
      <c r="B799" s="35" t="str">
        <f ca="1">IFERROR(__xludf.DUMMYFUNCTION("""COMPUTED_VALUE"""),"Tổ Hạ tầng Gò Dầu")</f>
        <v>Tổ Hạ tầng Gò Dầu</v>
      </c>
      <c r="C799" s="35" t="str">
        <f ca="1">IFERROR(__xludf.DUMMYFUNCTION("""COMPUTED_VALUE"""),"Phạm Đình Thái")</f>
        <v>Phạm Đình Thái</v>
      </c>
      <c r="D799" s="35">
        <f ca="1">IFERROR(__xludf.DUMMYFUNCTION("""COMPUTED_VALUE"""),824903077)</f>
        <v>824903077</v>
      </c>
      <c r="E799" s="35" t="str">
        <f ca="1">IFERROR(__xludf.DUMMYFUNCTION("""COMPUTED_VALUE"""),"thaipd.tnh@vnpt.vn")</f>
        <v>thaipd.tnh@vnpt.vn</v>
      </c>
      <c r="F799" s="540" t="str">
        <f ca="1">IFERROR(__xludf.DUMMYFUNCTION("""COMPUTED_VALUE"""),"Lần 9")</f>
        <v>Lần 9</v>
      </c>
      <c r="G799" s="278">
        <f ca="1">IFERROR(__xludf.DUMMYFUNCTION("""COMPUTED_VALUE"""),46217)</f>
        <v>46217</v>
      </c>
      <c r="H799" s="35">
        <f ca="1">IFERROR(__xludf.DUMMYFUNCTION("""COMPUTED_VALUE"""),128)</f>
        <v>128</v>
      </c>
      <c r="I799" s="35">
        <f ca="1">IFERROR(__xludf.DUMMYFUNCTION("""COMPUTED_VALUE"""),52)</f>
        <v>52</v>
      </c>
      <c r="J799" s="35">
        <f ca="1">IFERROR(__xludf.DUMMYFUNCTION("""COMPUTED_VALUE"""),82)</f>
        <v>82</v>
      </c>
      <c r="K799" s="35">
        <f ca="1">IFERROR(__xludf.DUMMYFUNCTION("""COMPUTED_VALUE"""),51)</f>
        <v>51</v>
      </c>
      <c r="M799" s="539">
        <f ca="1">IFERROR(__xludf.DUMMYFUNCTION("""COMPUTED_VALUE"""),1)</f>
        <v>1</v>
      </c>
      <c r="N799" s="539">
        <f ca="1">IFERROR(__xludf.DUMMYFUNCTION("""COMPUTED_VALUE"""),1)</f>
        <v>1</v>
      </c>
      <c r="O799" s="539">
        <f ca="1">IFERROR(__xludf.DUMMYFUNCTION("""COMPUTED_VALUE"""),0)</f>
        <v>0</v>
      </c>
    </row>
    <row r="800" spans="1:15" ht="12.75">
      <c r="A800" s="539">
        <f ca="1"/>
        <v>794</v>
      </c>
      <c r="B800" s="35" t="str">
        <f ca="1">IFERROR(__xludf.DUMMYFUNCTION("""COMPUTED_VALUE"""),"Tổ Hạ tầng Gò Dầu")</f>
        <v>Tổ Hạ tầng Gò Dầu</v>
      </c>
      <c r="C800" s="35" t="str">
        <f ca="1">IFERROR(__xludf.DUMMYFUNCTION("""COMPUTED_VALUE"""),"Phạm Đình Thái")</f>
        <v>Phạm Đình Thái</v>
      </c>
      <c r="D800" s="35">
        <f ca="1">IFERROR(__xludf.DUMMYFUNCTION("""COMPUTED_VALUE"""),824903077)</f>
        <v>824903077</v>
      </c>
      <c r="E800" s="35" t="str">
        <f ca="1">IFERROR(__xludf.DUMMYFUNCTION("""COMPUTED_VALUE"""),"thaipd.tnh@vnpt.vn")</f>
        <v>thaipd.tnh@vnpt.vn</v>
      </c>
      <c r="F800" s="540" t="str">
        <f ca="1">IFERROR(__xludf.DUMMYFUNCTION("""COMPUTED_VALUE"""),"Lần 10")</f>
        <v>Lần 10</v>
      </c>
      <c r="G800" s="278">
        <f ca="1">IFERROR(__xludf.DUMMYFUNCTION("""COMPUTED_VALUE"""),46217)</f>
        <v>46217</v>
      </c>
      <c r="H800" s="35">
        <f ca="1">IFERROR(__xludf.DUMMYFUNCTION("""COMPUTED_VALUE"""),132)</f>
        <v>132</v>
      </c>
      <c r="I800" s="35">
        <f ca="1">IFERROR(__xludf.DUMMYFUNCTION("""COMPUTED_VALUE"""),48)</f>
        <v>48</v>
      </c>
      <c r="J800" s="35">
        <f ca="1">IFERROR(__xludf.DUMMYFUNCTION("""COMPUTED_VALUE"""),93)</f>
        <v>93</v>
      </c>
      <c r="K800" s="35">
        <f ca="1">IFERROR(__xludf.DUMMYFUNCTION("""COMPUTED_VALUE"""),53)</f>
        <v>53</v>
      </c>
      <c r="M800" s="539">
        <f ca="1">IFERROR(__xludf.DUMMYFUNCTION("""COMPUTED_VALUE"""),1)</f>
        <v>1</v>
      </c>
      <c r="N800" s="539">
        <f ca="1">IFERROR(__xludf.DUMMYFUNCTION("""COMPUTED_VALUE"""),1)</f>
        <v>1</v>
      </c>
      <c r="O800" s="539">
        <f ca="1">IFERROR(__xludf.DUMMYFUNCTION("""COMPUTED_VALUE"""),0)</f>
        <v>0</v>
      </c>
    </row>
    <row r="801" spans="1:15" ht="12.75">
      <c r="A801" s="539">
        <f ca="1"/>
        <v>795</v>
      </c>
      <c r="B801" s="35" t="str">
        <f ca="1">IFERROR(__xludf.DUMMYFUNCTION("""COMPUTED_VALUE"""),"Tổ Hạ tầng Gò Dầu")</f>
        <v>Tổ Hạ tầng Gò Dầu</v>
      </c>
      <c r="C801" s="35" t="str">
        <f ca="1">IFERROR(__xludf.DUMMYFUNCTION("""COMPUTED_VALUE"""),"Phạm Đình Thái")</f>
        <v>Phạm Đình Thái</v>
      </c>
      <c r="D801" s="35">
        <f ca="1">IFERROR(__xludf.DUMMYFUNCTION("""COMPUTED_VALUE"""),824903077)</f>
        <v>824903077</v>
      </c>
      <c r="E801" s="35" t="str">
        <f ca="1">IFERROR(__xludf.DUMMYFUNCTION("""COMPUTED_VALUE"""),"thaipd.tnh@vnpt.vn")</f>
        <v>thaipd.tnh@vnpt.vn</v>
      </c>
      <c r="F801" s="540" t="str">
        <f ca="1">IFERROR(__xludf.DUMMYFUNCTION("""COMPUTED_VALUE"""),"Lần 11")</f>
        <v>Lần 11</v>
      </c>
      <c r="G801" s="278">
        <f ca="1">IFERROR(__xludf.DUMMYFUNCTION("""COMPUTED_VALUE"""),46217)</f>
        <v>46217</v>
      </c>
      <c r="H801" s="35">
        <f ca="1">IFERROR(__xludf.DUMMYFUNCTION("""COMPUTED_VALUE"""),102)</f>
        <v>102</v>
      </c>
      <c r="I801" s="35">
        <f ca="1">IFERROR(__xludf.DUMMYFUNCTION("""COMPUTED_VALUE"""),51)</f>
        <v>51</v>
      </c>
      <c r="J801" s="35">
        <f ca="1">IFERROR(__xludf.DUMMYFUNCTION("""COMPUTED_VALUE"""),89)</f>
        <v>89</v>
      </c>
      <c r="K801" s="35">
        <f ca="1">IFERROR(__xludf.DUMMYFUNCTION("""COMPUTED_VALUE"""),53)</f>
        <v>53</v>
      </c>
      <c r="M801" s="539">
        <f ca="1">IFERROR(__xludf.DUMMYFUNCTION("""COMPUTED_VALUE"""),1)</f>
        <v>1</v>
      </c>
      <c r="N801" s="539">
        <f ca="1">IFERROR(__xludf.DUMMYFUNCTION("""COMPUTED_VALUE"""),1)</f>
        <v>1</v>
      </c>
      <c r="O801" s="539">
        <f ca="1">IFERROR(__xludf.DUMMYFUNCTION("""COMPUTED_VALUE"""),0)</f>
        <v>0</v>
      </c>
    </row>
    <row r="802" spans="1:15" ht="12.75">
      <c r="A802" s="539">
        <f ca="1"/>
        <v>796</v>
      </c>
      <c r="B802" s="35" t="str">
        <f ca="1">IFERROR(__xludf.DUMMYFUNCTION("""COMPUTED_VALUE"""),"Tổ Hạ tầng Gò Dầu")</f>
        <v>Tổ Hạ tầng Gò Dầu</v>
      </c>
      <c r="C802" s="35" t="str">
        <f ca="1">IFERROR(__xludf.DUMMYFUNCTION("""COMPUTED_VALUE"""),"Phạm Đình Thái")</f>
        <v>Phạm Đình Thái</v>
      </c>
      <c r="D802" s="35">
        <f ca="1">IFERROR(__xludf.DUMMYFUNCTION("""COMPUTED_VALUE"""),824903077)</f>
        <v>824903077</v>
      </c>
      <c r="E802" s="35" t="str">
        <f ca="1">IFERROR(__xludf.DUMMYFUNCTION("""COMPUTED_VALUE"""),"thaipd.tnh@vnpt.vn")</f>
        <v>thaipd.tnh@vnpt.vn</v>
      </c>
      <c r="F802" s="540" t="str">
        <f ca="1">IFERROR(__xludf.DUMMYFUNCTION("""COMPUTED_VALUE"""),"Lần 12")</f>
        <v>Lần 12</v>
      </c>
      <c r="G802" s="278">
        <f ca="1">IFERROR(__xludf.DUMMYFUNCTION("""COMPUTED_VALUE"""),46217)</f>
        <v>46217</v>
      </c>
      <c r="H802" s="35">
        <f ca="1">IFERROR(__xludf.DUMMYFUNCTION("""COMPUTED_VALUE"""),103)</f>
        <v>103</v>
      </c>
      <c r="I802" s="35">
        <f ca="1">IFERROR(__xludf.DUMMYFUNCTION("""COMPUTED_VALUE"""),46)</f>
        <v>46</v>
      </c>
      <c r="J802" s="35">
        <f ca="1">IFERROR(__xludf.DUMMYFUNCTION("""COMPUTED_VALUE"""),79)</f>
        <v>79</v>
      </c>
      <c r="K802" s="35">
        <f ca="1">IFERROR(__xludf.DUMMYFUNCTION("""COMPUTED_VALUE"""),14)</f>
        <v>14</v>
      </c>
      <c r="M802" s="539">
        <f ca="1">IFERROR(__xludf.DUMMYFUNCTION("""COMPUTED_VALUE"""),1)</f>
        <v>1</v>
      </c>
      <c r="N802" s="539">
        <f ca="1">IFERROR(__xludf.DUMMYFUNCTION("""COMPUTED_VALUE"""),1)</f>
        <v>1</v>
      </c>
      <c r="O802" s="539">
        <f ca="1">IFERROR(__xludf.DUMMYFUNCTION("""COMPUTED_VALUE"""),0)</f>
        <v>0</v>
      </c>
    </row>
    <row r="803" spans="1:15" ht="12.75">
      <c r="A803" s="539">
        <f ca="1"/>
        <v>797</v>
      </c>
      <c r="B803" s="35" t="str">
        <f ca="1">IFERROR(__xludf.DUMMYFUNCTION("""COMPUTED_VALUE"""),"Tổ Hạ tầng Gò Dầu")</f>
        <v>Tổ Hạ tầng Gò Dầu</v>
      </c>
      <c r="C803" s="35" t="str">
        <f ca="1">IFERROR(__xludf.DUMMYFUNCTION("""COMPUTED_VALUE"""),"Phạm Đình Thái")</f>
        <v>Phạm Đình Thái</v>
      </c>
      <c r="D803" s="35">
        <f ca="1">IFERROR(__xludf.DUMMYFUNCTION("""COMPUTED_VALUE"""),824903077)</f>
        <v>824903077</v>
      </c>
      <c r="E803" s="35" t="str">
        <f ca="1">IFERROR(__xludf.DUMMYFUNCTION("""COMPUTED_VALUE"""),"thaipd.tnh@vnpt.vn")</f>
        <v>thaipd.tnh@vnpt.vn</v>
      </c>
      <c r="F803" s="540" t="str">
        <f ca="1">IFERROR(__xludf.DUMMYFUNCTION("""COMPUTED_VALUE"""),"Lần 13")</f>
        <v>Lần 13</v>
      </c>
      <c r="G803" s="278">
        <f ca="1">IFERROR(__xludf.DUMMYFUNCTION("""COMPUTED_VALUE"""),46223)</f>
        <v>46223</v>
      </c>
      <c r="H803" s="35"/>
      <c r="I803" s="35"/>
      <c r="J803" s="35"/>
      <c r="K803" s="35"/>
      <c r="M803" s="539">
        <f ca="1">IFERROR(__xludf.DUMMYFUNCTION("""COMPUTED_VALUE"""),0)</f>
        <v>0</v>
      </c>
      <c r="N803" s="539">
        <f ca="1">IFERROR(__xludf.DUMMYFUNCTION("""COMPUTED_VALUE"""),0)</f>
        <v>0</v>
      </c>
      <c r="O803" s="539">
        <f ca="1">IFERROR(__xludf.DUMMYFUNCTION("""COMPUTED_VALUE"""),0)</f>
        <v>0</v>
      </c>
    </row>
    <row r="804" spans="1:15" ht="12.75">
      <c r="A804" s="539">
        <f ca="1"/>
        <v>798</v>
      </c>
      <c r="B804" s="35" t="str">
        <f ca="1">IFERROR(__xludf.DUMMYFUNCTION("""COMPUTED_VALUE"""),"Tổ Hạ tầng Gò Dầu")</f>
        <v>Tổ Hạ tầng Gò Dầu</v>
      </c>
      <c r="C804" s="35" t="str">
        <f ca="1">IFERROR(__xludf.DUMMYFUNCTION("""COMPUTED_VALUE"""),"Phạm Đình Thái")</f>
        <v>Phạm Đình Thái</v>
      </c>
      <c r="D804" s="35">
        <f ca="1">IFERROR(__xludf.DUMMYFUNCTION("""COMPUTED_VALUE"""),824903077)</f>
        <v>824903077</v>
      </c>
      <c r="E804" s="35" t="str">
        <f ca="1">IFERROR(__xludf.DUMMYFUNCTION("""COMPUTED_VALUE"""),"thaipd.tnh@vnpt.vn")</f>
        <v>thaipd.tnh@vnpt.vn</v>
      </c>
      <c r="F804" s="540" t="str">
        <f ca="1">IFERROR(__xludf.DUMMYFUNCTION("""COMPUTED_VALUE"""),"Lần 14")</f>
        <v>Lần 14</v>
      </c>
      <c r="G804" s="278">
        <f ca="1">IFERROR(__xludf.DUMMYFUNCTION("""COMPUTED_VALUE"""),46223)</f>
        <v>46223</v>
      </c>
      <c r="H804" s="35"/>
      <c r="I804" s="35"/>
      <c r="J804" s="35"/>
      <c r="K804" s="35"/>
      <c r="M804" s="539">
        <f ca="1">IFERROR(__xludf.DUMMYFUNCTION("""COMPUTED_VALUE"""),0)</f>
        <v>0</v>
      </c>
      <c r="N804" s="539">
        <f ca="1">IFERROR(__xludf.DUMMYFUNCTION("""COMPUTED_VALUE"""),0)</f>
        <v>0</v>
      </c>
      <c r="O804" s="539">
        <f ca="1">IFERROR(__xludf.DUMMYFUNCTION("""COMPUTED_VALUE"""),0)</f>
        <v>0</v>
      </c>
    </row>
    <row r="805" spans="1:15" ht="12.75">
      <c r="A805" s="539">
        <f ca="1"/>
        <v>799</v>
      </c>
      <c r="B805" s="35" t="str">
        <f ca="1">IFERROR(__xludf.DUMMYFUNCTION("""COMPUTED_VALUE"""),"Tổ Hạ tầng Gò Dầu")</f>
        <v>Tổ Hạ tầng Gò Dầu</v>
      </c>
      <c r="C805" s="35" t="str">
        <f ca="1">IFERROR(__xludf.DUMMYFUNCTION("""COMPUTED_VALUE"""),"Phạm Đình Thái")</f>
        <v>Phạm Đình Thái</v>
      </c>
      <c r="D805" s="35">
        <f ca="1">IFERROR(__xludf.DUMMYFUNCTION("""COMPUTED_VALUE"""),824903077)</f>
        <v>824903077</v>
      </c>
      <c r="E805" s="35" t="str">
        <f ca="1">IFERROR(__xludf.DUMMYFUNCTION("""COMPUTED_VALUE"""),"thaipd.tnh@vnpt.vn")</f>
        <v>thaipd.tnh@vnpt.vn</v>
      </c>
      <c r="F805" s="540" t="str">
        <f ca="1">IFERROR(__xludf.DUMMYFUNCTION("""COMPUTED_VALUE"""),"Lần 15")</f>
        <v>Lần 15</v>
      </c>
      <c r="G805" s="278">
        <f ca="1">IFERROR(__xludf.DUMMYFUNCTION("""COMPUTED_VALUE"""),46223)</f>
        <v>46223</v>
      </c>
      <c r="H805" s="35"/>
      <c r="I805" s="35"/>
      <c r="J805" s="35"/>
      <c r="K805" s="35"/>
      <c r="M805" s="539">
        <f ca="1">IFERROR(__xludf.DUMMYFUNCTION("""COMPUTED_VALUE"""),0)</f>
        <v>0</v>
      </c>
      <c r="N805" s="539">
        <f ca="1">IFERROR(__xludf.DUMMYFUNCTION("""COMPUTED_VALUE"""),0)</f>
        <v>0</v>
      </c>
      <c r="O805" s="539">
        <f ca="1">IFERROR(__xludf.DUMMYFUNCTION("""COMPUTED_VALUE"""),0)</f>
        <v>0</v>
      </c>
    </row>
    <row r="806" spans="1:15" ht="12.75">
      <c r="A806" s="539">
        <f ca="1"/>
        <v>800</v>
      </c>
      <c r="B806" s="35" t="str">
        <f ca="1">IFERROR(__xludf.DUMMYFUNCTION("""COMPUTED_VALUE"""),"Tổ Hạ tầng Gò Dầu")</f>
        <v>Tổ Hạ tầng Gò Dầu</v>
      </c>
      <c r="C806" s="35" t="str">
        <f ca="1">IFERROR(__xludf.DUMMYFUNCTION("""COMPUTED_VALUE"""),"Phạm Đình Thái")</f>
        <v>Phạm Đình Thái</v>
      </c>
      <c r="D806" s="35">
        <f ca="1">IFERROR(__xludf.DUMMYFUNCTION("""COMPUTED_VALUE"""),824903077)</f>
        <v>824903077</v>
      </c>
      <c r="E806" s="35" t="str">
        <f ca="1">IFERROR(__xludf.DUMMYFUNCTION("""COMPUTED_VALUE"""),"thaipd.tnh@vnpt.vn")</f>
        <v>thaipd.tnh@vnpt.vn</v>
      </c>
      <c r="F806" s="540" t="str">
        <f ca="1">IFERROR(__xludf.DUMMYFUNCTION("""COMPUTED_VALUE"""),"Lần 16")</f>
        <v>Lần 16</v>
      </c>
      <c r="G806" s="545">
        <f ca="1">IFERROR(__xludf.DUMMYFUNCTION("""COMPUTED_VALUE"""),46223)</f>
        <v>46223</v>
      </c>
      <c r="H806" s="35"/>
      <c r="I806" s="35"/>
      <c r="J806" s="35"/>
      <c r="K806" s="35"/>
      <c r="M806" s="539">
        <f ca="1">IFERROR(__xludf.DUMMYFUNCTION("""COMPUTED_VALUE"""),0)</f>
        <v>0</v>
      </c>
      <c r="N806" s="539">
        <f ca="1">IFERROR(__xludf.DUMMYFUNCTION("""COMPUTED_VALUE"""),0)</f>
        <v>0</v>
      </c>
      <c r="O806" s="539">
        <f ca="1">IFERROR(__xludf.DUMMYFUNCTION("""COMPUTED_VALUE"""),0)</f>
        <v>0</v>
      </c>
    </row>
    <row r="807" spans="1:15" ht="12.75">
      <c r="A807" s="539">
        <f ca="1"/>
        <v>801</v>
      </c>
      <c r="B807" s="35" t="str">
        <f ca="1">IFERROR(__xludf.DUMMYFUNCTION("""COMPUTED_VALUE"""),"Tổ Hạ tầng Gò Dầu")</f>
        <v>Tổ Hạ tầng Gò Dầu</v>
      </c>
      <c r="C807" s="35" t="str">
        <f ca="1">IFERROR(__xludf.DUMMYFUNCTION("""COMPUTED_VALUE"""),"Phan Văn Thành")</f>
        <v>Phan Văn Thành</v>
      </c>
      <c r="D807" s="35">
        <f ca="1">IFERROR(__xludf.DUMMYFUNCTION("""COMPUTED_VALUE"""),948308539)</f>
        <v>948308539</v>
      </c>
      <c r="E807" s="35" t="str">
        <f ca="1">IFERROR(__xludf.DUMMYFUNCTION("""COMPUTED_VALUE"""),"thanhpv.tnh@vnpt.vn")</f>
        <v>thanhpv.tnh@vnpt.vn</v>
      </c>
      <c r="F807" s="540" t="str">
        <f ca="1">IFERROR(__xludf.DUMMYFUNCTION("""COMPUTED_VALUE"""),"Lần 1")</f>
        <v>Lần 1</v>
      </c>
      <c r="G807" s="278">
        <f ca="1">IFERROR(__xludf.DUMMYFUNCTION("""COMPUTED_VALUE"""),46206)</f>
        <v>46206</v>
      </c>
      <c r="H807" s="35">
        <f ca="1">IFERROR(__xludf.DUMMYFUNCTION("""COMPUTED_VALUE"""),104)</f>
        <v>104</v>
      </c>
      <c r="I807" s="35">
        <f ca="1">IFERROR(__xludf.DUMMYFUNCTION("""COMPUTED_VALUE"""),40)</f>
        <v>40</v>
      </c>
      <c r="J807" s="35">
        <f ca="1">IFERROR(__xludf.DUMMYFUNCTION("""COMPUTED_VALUE"""),118)</f>
        <v>118</v>
      </c>
      <c r="K807" s="35">
        <f ca="1">IFERROR(__xludf.DUMMYFUNCTION("""COMPUTED_VALUE"""),38)</f>
        <v>38</v>
      </c>
      <c r="M807" s="539">
        <f ca="1">IFERROR(__xludf.DUMMYFUNCTION("""COMPUTED_VALUE"""),1)</f>
        <v>1</v>
      </c>
      <c r="N807" s="539">
        <f ca="1">IFERROR(__xludf.DUMMYFUNCTION("""COMPUTED_VALUE"""),1)</f>
        <v>1</v>
      </c>
      <c r="O807" s="539">
        <f ca="1">IFERROR(__xludf.DUMMYFUNCTION("""COMPUTED_VALUE"""),0)</f>
        <v>0</v>
      </c>
    </row>
    <row r="808" spans="1:15" ht="12.75">
      <c r="A808" s="539">
        <f ca="1"/>
        <v>802</v>
      </c>
      <c r="B808" s="35" t="str">
        <f ca="1">IFERROR(__xludf.DUMMYFUNCTION("""COMPUTED_VALUE"""),"Tổ Hạ tầng Gò Dầu")</f>
        <v>Tổ Hạ tầng Gò Dầu</v>
      </c>
      <c r="C808" s="35" t="str">
        <f ca="1">IFERROR(__xludf.DUMMYFUNCTION("""COMPUTED_VALUE"""),"Phan Văn Thành")</f>
        <v>Phan Văn Thành</v>
      </c>
      <c r="D808" s="35">
        <f ca="1">IFERROR(__xludf.DUMMYFUNCTION("""COMPUTED_VALUE"""),948308539)</f>
        <v>948308539</v>
      </c>
      <c r="E808" s="35" t="str">
        <f ca="1">IFERROR(__xludf.DUMMYFUNCTION("""COMPUTED_VALUE"""),"thanhpv.tnh@vnpt.vn")</f>
        <v>thanhpv.tnh@vnpt.vn</v>
      </c>
      <c r="F808" s="540" t="str">
        <f ca="1">IFERROR(__xludf.DUMMYFUNCTION("""COMPUTED_VALUE"""),"Lần 2")</f>
        <v>Lần 2</v>
      </c>
      <c r="G808" s="278">
        <f ca="1">IFERROR(__xludf.DUMMYFUNCTION("""COMPUTED_VALUE"""),46206)</f>
        <v>46206</v>
      </c>
      <c r="H808" s="35">
        <f ca="1">IFERROR(__xludf.DUMMYFUNCTION("""COMPUTED_VALUE"""),107)</f>
        <v>107</v>
      </c>
      <c r="I808" s="35">
        <f ca="1">IFERROR(__xludf.DUMMYFUNCTION("""COMPUTED_VALUE"""),42)</f>
        <v>42</v>
      </c>
      <c r="J808" s="35">
        <f ca="1">IFERROR(__xludf.DUMMYFUNCTION("""COMPUTED_VALUE"""),92)</f>
        <v>92</v>
      </c>
      <c r="K808" s="35">
        <f ca="1">IFERROR(__xludf.DUMMYFUNCTION("""COMPUTED_VALUE"""),41)</f>
        <v>41</v>
      </c>
      <c r="M808" s="539">
        <f ca="1">IFERROR(__xludf.DUMMYFUNCTION("""COMPUTED_VALUE"""),1)</f>
        <v>1</v>
      </c>
      <c r="N808" s="539">
        <f ca="1">IFERROR(__xludf.DUMMYFUNCTION("""COMPUTED_VALUE"""),1)</f>
        <v>1</v>
      </c>
      <c r="O808" s="539">
        <f ca="1">IFERROR(__xludf.DUMMYFUNCTION("""COMPUTED_VALUE"""),0)</f>
        <v>0</v>
      </c>
    </row>
    <row r="809" spans="1:15" ht="12.75">
      <c r="A809" s="539">
        <f ca="1"/>
        <v>803</v>
      </c>
      <c r="B809" s="35" t="str">
        <f ca="1">IFERROR(__xludf.DUMMYFUNCTION("""COMPUTED_VALUE"""),"Tổ Hạ tầng Gò Dầu")</f>
        <v>Tổ Hạ tầng Gò Dầu</v>
      </c>
      <c r="C809" s="35" t="str">
        <f ca="1">IFERROR(__xludf.DUMMYFUNCTION("""COMPUTED_VALUE"""),"Phan Văn Thành")</f>
        <v>Phan Văn Thành</v>
      </c>
      <c r="D809" s="35">
        <f ca="1">IFERROR(__xludf.DUMMYFUNCTION("""COMPUTED_VALUE"""),948308539)</f>
        <v>948308539</v>
      </c>
      <c r="E809" s="35" t="str">
        <f ca="1">IFERROR(__xludf.DUMMYFUNCTION("""COMPUTED_VALUE"""),"thanhpv.tnh@vnpt.vn")</f>
        <v>thanhpv.tnh@vnpt.vn</v>
      </c>
      <c r="F809" s="540" t="str">
        <f ca="1">IFERROR(__xludf.DUMMYFUNCTION("""COMPUTED_VALUE"""),"Lần 3")</f>
        <v>Lần 3</v>
      </c>
      <c r="G809" s="278">
        <f ca="1">IFERROR(__xludf.DUMMYFUNCTION("""COMPUTED_VALUE"""),46206)</f>
        <v>46206</v>
      </c>
      <c r="H809" s="35">
        <f ca="1">IFERROR(__xludf.DUMMYFUNCTION("""COMPUTED_VALUE"""),102)</f>
        <v>102</v>
      </c>
      <c r="I809" s="35">
        <f ca="1">IFERROR(__xludf.DUMMYFUNCTION("""COMPUTED_VALUE"""),40)</f>
        <v>40</v>
      </c>
      <c r="J809" s="35">
        <f ca="1">IFERROR(__xludf.DUMMYFUNCTION("""COMPUTED_VALUE"""),94)</f>
        <v>94</v>
      </c>
      <c r="K809" s="35">
        <f ca="1">IFERROR(__xludf.DUMMYFUNCTION("""COMPUTED_VALUE"""),41)</f>
        <v>41</v>
      </c>
      <c r="M809" s="539">
        <f ca="1">IFERROR(__xludf.DUMMYFUNCTION("""COMPUTED_VALUE"""),1)</f>
        <v>1</v>
      </c>
      <c r="N809" s="539">
        <f ca="1">IFERROR(__xludf.DUMMYFUNCTION("""COMPUTED_VALUE"""),1)</f>
        <v>1</v>
      </c>
      <c r="O809" s="539">
        <f ca="1">IFERROR(__xludf.DUMMYFUNCTION("""COMPUTED_VALUE"""),0)</f>
        <v>0</v>
      </c>
    </row>
    <row r="810" spans="1:15" ht="12.75">
      <c r="A810" s="539">
        <f ca="1"/>
        <v>804</v>
      </c>
      <c r="B810" s="35" t="str">
        <f ca="1">IFERROR(__xludf.DUMMYFUNCTION("""COMPUTED_VALUE"""),"Tổ Hạ tầng Gò Dầu")</f>
        <v>Tổ Hạ tầng Gò Dầu</v>
      </c>
      <c r="C810" s="35" t="str">
        <f ca="1">IFERROR(__xludf.DUMMYFUNCTION("""COMPUTED_VALUE"""),"Phan Văn Thành")</f>
        <v>Phan Văn Thành</v>
      </c>
      <c r="D810" s="35">
        <f ca="1">IFERROR(__xludf.DUMMYFUNCTION("""COMPUTED_VALUE"""),948308539)</f>
        <v>948308539</v>
      </c>
      <c r="E810" s="35" t="str">
        <f ca="1">IFERROR(__xludf.DUMMYFUNCTION("""COMPUTED_VALUE"""),"thanhpv.tnh@vnpt.vn")</f>
        <v>thanhpv.tnh@vnpt.vn</v>
      </c>
      <c r="F810" s="540" t="str">
        <f ca="1">IFERROR(__xludf.DUMMYFUNCTION("""COMPUTED_VALUE"""),"Lần 4")</f>
        <v>Lần 4</v>
      </c>
      <c r="G810" s="278">
        <f ca="1">IFERROR(__xludf.DUMMYFUNCTION("""COMPUTED_VALUE"""),46206)</f>
        <v>46206</v>
      </c>
      <c r="H810" s="35">
        <f ca="1">IFERROR(__xludf.DUMMYFUNCTION("""COMPUTED_VALUE"""),76)</f>
        <v>76</v>
      </c>
      <c r="I810" s="35">
        <f ca="1">IFERROR(__xludf.DUMMYFUNCTION("""COMPUTED_VALUE"""),39)</f>
        <v>39</v>
      </c>
      <c r="J810" s="35">
        <f ca="1">IFERROR(__xludf.DUMMYFUNCTION("""COMPUTED_VALUE"""),99)</f>
        <v>99</v>
      </c>
      <c r="K810" s="35">
        <f ca="1">IFERROR(__xludf.DUMMYFUNCTION("""COMPUTED_VALUE"""),42)</f>
        <v>42</v>
      </c>
      <c r="M810" s="539">
        <f ca="1">IFERROR(__xludf.DUMMYFUNCTION("""COMPUTED_VALUE"""),1)</f>
        <v>1</v>
      </c>
      <c r="N810" s="539">
        <f ca="1">IFERROR(__xludf.DUMMYFUNCTION("""COMPUTED_VALUE"""),1)</f>
        <v>1</v>
      </c>
      <c r="O810" s="539">
        <f ca="1">IFERROR(__xludf.DUMMYFUNCTION("""COMPUTED_VALUE"""),0)</f>
        <v>0</v>
      </c>
    </row>
    <row r="811" spans="1:15" ht="12.75">
      <c r="A811" s="539">
        <f ca="1"/>
        <v>805</v>
      </c>
      <c r="B811" s="35" t="str">
        <f ca="1">IFERROR(__xludf.DUMMYFUNCTION("""COMPUTED_VALUE"""),"Tổ Hạ tầng Gò Dầu")</f>
        <v>Tổ Hạ tầng Gò Dầu</v>
      </c>
      <c r="C811" s="35" t="str">
        <f ca="1">IFERROR(__xludf.DUMMYFUNCTION("""COMPUTED_VALUE"""),"Phan Văn Thành")</f>
        <v>Phan Văn Thành</v>
      </c>
      <c r="D811" s="35">
        <f ca="1">IFERROR(__xludf.DUMMYFUNCTION("""COMPUTED_VALUE"""),948308539)</f>
        <v>948308539</v>
      </c>
      <c r="E811" s="35" t="str">
        <f ca="1">IFERROR(__xludf.DUMMYFUNCTION("""COMPUTED_VALUE"""),"thanhpv.tnh@vnpt.vn")</f>
        <v>thanhpv.tnh@vnpt.vn</v>
      </c>
      <c r="F811" s="540" t="str">
        <f ca="1">IFERROR(__xludf.DUMMYFUNCTION("""COMPUTED_VALUE"""),"Lần 5")</f>
        <v>Lần 5</v>
      </c>
      <c r="G811" s="278">
        <f ca="1">IFERROR(__xludf.DUMMYFUNCTION("""COMPUTED_VALUE"""),46211)</f>
        <v>46211</v>
      </c>
      <c r="H811" s="35">
        <f ca="1">IFERROR(__xludf.DUMMYFUNCTION("""COMPUTED_VALUE"""),97)</f>
        <v>97</v>
      </c>
      <c r="I811" s="35">
        <f ca="1">IFERROR(__xludf.DUMMYFUNCTION("""COMPUTED_VALUE"""),39)</f>
        <v>39</v>
      </c>
      <c r="J811" s="35">
        <f ca="1">IFERROR(__xludf.DUMMYFUNCTION("""COMPUTED_VALUE"""),95)</f>
        <v>95</v>
      </c>
      <c r="K811" s="35">
        <f ca="1">IFERROR(__xludf.DUMMYFUNCTION("""COMPUTED_VALUE"""),41)</f>
        <v>41</v>
      </c>
      <c r="M811" s="539">
        <f ca="1">IFERROR(__xludf.DUMMYFUNCTION("""COMPUTED_VALUE"""),1)</f>
        <v>1</v>
      </c>
      <c r="N811" s="539">
        <f ca="1">IFERROR(__xludf.DUMMYFUNCTION("""COMPUTED_VALUE"""),1)</f>
        <v>1</v>
      </c>
      <c r="O811" s="539">
        <f ca="1">IFERROR(__xludf.DUMMYFUNCTION("""COMPUTED_VALUE"""),0)</f>
        <v>0</v>
      </c>
    </row>
    <row r="812" spans="1:15" ht="12.75">
      <c r="A812" s="539">
        <f ca="1"/>
        <v>806</v>
      </c>
      <c r="B812" s="35" t="str">
        <f ca="1">IFERROR(__xludf.DUMMYFUNCTION("""COMPUTED_VALUE"""),"Tổ Hạ tầng Gò Dầu")</f>
        <v>Tổ Hạ tầng Gò Dầu</v>
      </c>
      <c r="C812" s="35" t="str">
        <f ca="1">IFERROR(__xludf.DUMMYFUNCTION("""COMPUTED_VALUE"""),"Phan Văn Thành")</f>
        <v>Phan Văn Thành</v>
      </c>
      <c r="D812" s="35">
        <f ca="1">IFERROR(__xludf.DUMMYFUNCTION("""COMPUTED_VALUE"""),948308539)</f>
        <v>948308539</v>
      </c>
      <c r="E812" s="35" t="str">
        <f ca="1">IFERROR(__xludf.DUMMYFUNCTION("""COMPUTED_VALUE"""),"thanhpv.tnh@vnpt.vn")</f>
        <v>thanhpv.tnh@vnpt.vn</v>
      </c>
      <c r="F812" s="540" t="str">
        <f ca="1">IFERROR(__xludf.DUMMYFUNCTION("""COMPUTED_VALUE"""),"Lần 6")</f>
        <v>Lần 6</v>
      </c>
      <c r="G812" s="278">
        <f ca="1">IFERROR(__xludf.DUMMYFUNCTION("""COMPUTED_VALUE"""),46211)</f>
        <v>46211</v>
      </c>
      <c r="H812" s="35">
        <f ca="1">IFERROR(__xludf.DUMMYFUNCTION("""COMPUTED_VALUE"""),70)</f>
        <v>70</v>
      </c>
      <c r="I812" s="35">
        <f ca="1">IFERROR(__xludf.DUMMYFUNCTION("""COMPUTED_VALUE"""),19)</f>
        <v>19</v>
      </c>
      <c r="J812" s="35">
        <f ca="1">IFERROR(__xludf.DUMMYFUNCTION("""COMPUTED_VALUE"""),101)</f>
        <v>101</v>
      </c>
      <c r="K812" s="35">
        <f ca="1">IFERROR(__xludf.DUMMYFUNCTION("""COMPUTED_VALUE"""),40)</f>
        <v>40</v>
      </c>
      <c r="M812" s="539">
        <f ca="1">IFERROR(__xludf.DUMMYFUNCTION("""COMPUTED_VALUE"""),1)</f>
        <v>1</v>
      </c>
      <c r="N812" s="539">
        <f ca="1">IFERROR(__xludf.DUMMYFUNCTION("""COMPUTED_VALUE"""),1)</f>
        <v>1</v>
      </c>
      <c r="O812" s="539">
        <f ca="1">IFERROR(__xludf.DUMMYFUNCTION("""COMPUTED_VALUE"""),0)</f>
        <v>0</v>
      </c>
    </row>
    <row r="813" spans="1:15" ht="12.75">
      <c r="A813" s="539">
        <f ca="1"/>
        <v>807</v>
      </c>
      <c r="B813" s="35" t="str">
        <f ca="1">IFERROR(__xludf.DUMMYFUNCTION("""COMPUTED_VALUE"""),"Tổ Hạ tầng Gò Dầu")</f>
        <v>Tổ Hạ tầng Gò Dầu</v>
      </c>
      <c r="C813" s="35" t="str">
        <f ca="1">IFERROR(__xludf.DUMMYFUNCTION("""COMPUTED_VALUE"""),"Phan Văn Thành")</f>
        <v>Phan Văn Thành</v>
      </c>
      <c r="D813" s="35">
        <f ca="1">IFERROR(__xludf.DUMMYFUNCTION("""COMPUTED_VALUE"""),948308539)</f>
        <v>948308539</v>
      </c>
      <c r="E813" s="35" t="str">
        <f ca="1">IFERROR(__xludf.DUMMYFUNCTION("""COMPUTED_VALUE"""),"thanhpv.tnh@vnpt.vn")</f>
        <v>thanhpv.tnh@vnpt.vn</v>
      </c>
      <c r="F813" s="540" t="str">
        <f ca="1">IFERROR(__xludf.DUMMYFUNCTION("""COMPUTED_VALUE"""),"Lần 7")</f>
        <v>Lần 7</v>
      </c>
      <c r="G813" s="278">
        <f ca="1">IFERROR(__xludf.DUMMYFUNCTION("""COMPUTED_VALUE"""),46211)</f>
        <v>46211</v>
      </c>
      <c r="H813" s="35">
        <f ca="1">IFERROR(__xludf.DUMMYFUNCTION("""COMPUTED_VALUE"""),76)</f>
        <v>76</v>
      </c>
      <c r="I813" s="35">
        <f ca="1">IFERROR(__xludf.DUMMYFUNCTION("""COMPUTED_VALUE"""),19)</f>
        <v>19</v>
      </c>
      <c r="J813" s="35">
        <f ca="1">IFERROR(__xludf.DUMMYFUNCTION("""COMPUTED_VALUE"""),106)</f>
        <v>106</v>
      </c>
      <c r="K813" s="35">
        <f ca="1">IFERROR(__xludf.DUMMYFUNCTION("""COMPUTED_VALUE"""),41)</f>
        <v>41</v>
      </c>
      <c r="M813" s="539">
        <f ca="1">IFERROR(__xludf.DUMMYFUNCTION("""COMPUTED_VALUE"""),1)</f>
        <v>1</v>
      </c>
      <c r="N813" s="539">
        <f ca="1">IFERROR(__xludf.DUMMYFUNCTION("""COMPUTED_VALUE"""),1)</f>
        <v>1</v>
      </c>
      <c r="O813" s="539">
        <f ca="1">IFERROR(__xludf.DUMMYFUNCTION("""COMPUTED_VALUE"""),0)</f>
        <v>0</v>
      </c>
    </row>
    <row r="814" spans="1:15" ht="12.75">
      <c r="A814" s="539">
        <f ca="1"/>
        <v>808</v>
      </c>
      <c r="B814" s="35" t="str">
        <f ca="1">IFERROR(__xludf.DUMMYFUNCTION("""COMPUTED_VALUE"""),"Tổ Hạ tầng Gò Dầu")</f>
        <v>Tổ Hạ tầng Gò Dầu</v>
      </c>
      <c r="C814" s="35" t="str">
        <f ca="1">IFERROR(__xludf.DUMMYFUNCTION("""COMPUTED_VALUE"""),"Phan Văn Thành")</f>
        <v>Phan Văn Thành</v>
      </c>
      <c r="D814" s="35">
        <f ca="1">IFERROR(__xludf.DUMMYFUNCTION("""COMPUTED_VALUE"""),948308539)</f>
        <v>948308539</v>
      </c>
      <c r="E814" s="35" t="str">
        <f ca="1">IFERROR(__xludf.DUMMYFUNCTION("""COMPUTED_VALUE"""),"thanhpv.tnh@vnpt.vn")</f>
        <v>thanhpv.tnh@vnpt.vn</v>
      </c>
      <c r="F814" s="540" t="str">
        <f ca="1">IFERROR(__xludf.DUMMYFUNCTION("""COMPUTED_VALUE"""),"Lần 8")</f>
        <v>Lần 8</v>
      </c>
      <c r="G814" s="278">
        <f ca="1">IFERROR(__xludf.DUMMYFUNCTION("""COMPUTED_VALUE"""),46211)</f>
        <v>46211</v>
      </c>
      <c r="H814" s="35">
        <f ca="1">IFERROR(__xludf.DUMMYFUNCTION("""COMPUTED_VALUE"""),73)</f>
        <v>73</v>
      </c>
      <c r="I814" s="35">
        <f ca="1">IFERROR(__xludf.DUMMYFUNCTION("""COMPUTED_VALUE"""),22)</f>
        <v>22</v>
      </c>
      <c r="J814" s="35">
        <f ca="1">IFERROR(__xludf.DUMMYFUNCTION("""COMPUTED_VALUE"""),97)</f>
        <v>97</v>
      </c>
      <c r="K814" s="35">
        <f ca="1">IFERROR(__xludf.DUMMYFUNCTION("""COMPUTED_VALUE"""),41)</f>
        <v>41</v>
      </c>
      <c r="M814" s="539">
        <f ca="1">IFERROR(__xludf.DUMMYFUNCTION("""COMPUTED_VALUE"""),1)</f>
        <v>1</v>
      </c>
      <c r="N814" s="539">
        <f ca="1">IFERROR(__xludf.DUMMYFUNCTION("""COMPUTED_VALUE"""),1)</f>
        <v>1</v>
      </c>
      <c r="O814" s="539">
        <f ca="1">IFERROR(__xludf.DUMMYFUNCTION("""COMPUTED_VALUE"""),0)</f>
        <v>0</v>
      </c>
    </row>
    <row r="815" spans="1:15" ht="12.75">
      <c r="A815" s="539">
        <f ca="1"/>
        <v>809</v>
      </c>
      <c r="B815" s="35" t="str">
        <f ca="1">IFERROR(__xludf.DUMMYFUNCTION("""COMPUTED_VALUE"""),"Tổ Hạ tầng Gò Dầu")</f>
        <v>Tổ Hạ tầng Gò Dầu</v>
      </c>
      <c r="C815" s="35" t="str">
        <f ca="1">IFERROR(__xludf.DUMMYFUNCTION("""COMPUTED_VALUE"""),"Phan Văn Thành")</f>
        <v>Phan Văn Thành</v>
      </c>
      <c r="D815" s="35">
        <f ca="1">IFERROR(__xludf.DUMMYFUNCTION("""COMPUTED_VALUE"""),948308539)</f>
        <v>948308539</v>
      </c>
      <c r="E815" s="35" t="str">
        <f ca="1">IFERROR(__xludf.DUMMYFUNCTION("""COMPUTED_VALUE"""),"thanhpv.tnh@vnpt.vn")</f>
        <v>thanhpv.tnh@vnpt.vn</v>
      </c>
      <c r="F815" s="540" t="str">
        <f ca="1">IFERROR(__xludf.DUMMYFUNCTION("""COMPUTED_VALUE"""),"Lần 9")</f>
        <v>Lần 9</v>
      </c>
      <c r="G815" s="278">
        <f ca="1">IFERROR(__xludf.DUMMYFUNCTION("""COMPUTED_VALUE"""),46217)</f>
        <v>46217</v>
      </c>
      <c r="H815" s="35">
        <f ca="1">IFERROR(__xludf.DUMMYFUNCTION("""COMPUTED_VALUE"""),90)</f>
        <v>90</v>
      </c>
      <c r="I815" s="35">
        <f ca="1">IFERROR(__xludf.DUMMYFUNCTION("""COMPUTED_VALUE"""),52)</f>
        <v>52</v>
      </c>
      <c r="J815" s="35">
        <f ca="1">IFERROR(__xludf.DUMMYFUNCTION("""COMPUTED_VALUE"""),85)</f>
        <v>85</v>
      </c>
      <c r="K815" s="35">
        <f ca="1">IFERROR(__xludf.DUMMYFUNCTION("""COMPUTED_VALUE"""),42)</f>
        <v>42</v>
      </c>
      <c r="M815" s="539">
        <f ca="1">IFERROR(__xludf.DUMMYFUNCTION("""COMPUTED_VALUE"""),1)</f>
        <v>1</v>
      </c>
      <c r="N815" s="539">
        <f ca="1">IFERROR(__xludf.DUMMYFUNCTION("""COMPUTED_VALUE"""),1)</f>
        <v>1</v>
      </c>
      <c r="O815" s="539">
        <f ca="1">IFERROR(__xludf.DUMMYFUNCTION("""COMPUTED_VALUE"""),0)</f>
        <v>0</v>
      </c>
    </row>
    <row r="816" spans="1:15" ht="12.75">
      <c r="A816" s="539">
        <f ca="1"/>
        <v>810</v>
      </c>
      <c r="B816" s="35" t="str">
        <f ca="1">IFERROR(__xludf.DUMMYFUNCTION("""COMPUTED_VALUE"""),"Tổ Hạ tầng Gò Dầu")</f>
        <v>Tổ Hạ tầng Gò Dầu</v>
      </c>
      <c r="C816" s="35" t="str">
        <f ca="1">IFERROR(__xludf.DUMMYFUNCTION("""COMPUTED_VALUE"""),"Phan Văn Thành")</f>
        <v>Phan Văn Thành</v>
      </c>
      <c r="D816" s="35">
        <f ca="1">IFERROR(__xludf.DUMMYFUNCTION("""COMPUTED_VALUE"""),948308539)</f>
        <v>948308539</v>
      </c>
      <c r="E816" s="35" t="str">
        <f ca="1">IFERROR(__xludf.DUMMYFUNCTION("""COMPUTED_VALUE"""),"thanhpv.tnh@vnpt.vn")</f>
        <v>thanhpv.tnh@vnpt.vn</v>
      </c>
      <c r="F816" s="540" t="str">
        <f ca="1">IFERROR(__xludf.DUMMYFUNCTION("""COMPUTED_VALUE"""),"Lần 10")</f>
        <v>Lần 10</v>
      </c>
      <c r="G816" s="278">
        <f ca="1">IFERROR(__xludf.DUMMYFUNCTION("""COMPUTED_VALUE"""),46217)</f>
        <v>46217</v>
      </c>
      <c r="H816" s="35">
        <f ca="1">IFERROR(__xludf.DUMMYFUNCTION("""COMPUTED_VALUE"""),73)</f>
        <v>73</v>
      </c>
      <c r="I816" s="35">
        <f ca="1">IFERROR(__xludf.DUMMYFUNCTION("""COMPUTED_VALUE"""),22)</f>
        <v>22</v>
      </c>
      <c r="J816" s="35">
        <f ca="1">IFERROR(__xludf.DUMMYFUNCTION("""COMPUTED_VALUE"""),99)</f>
        <v>99</v>
      </c>
      <c r="K816" s="35">
        <f ca="1">IFERROR(__xludf.DUMMYFUNCTION("""COMPUTED_VALUE"""),42)</f>
        <v>42</v>
      </c>
      <c r="M816" s="539">
        <f ca="1">IFERROR(__xludf.DUMMYFUNCTION("""COMPUTED_VALUE"""),1)</f>
        <v>1</v>
      </c>
      <c r="N816" s="539">
        <f ca="1">IFERROR(__xludf.DUMMYFUNCTION("""COMPUTED_VALUE"""),1)</f>
        <v>1</v>
      </c>
      <c r="O816" s="539">
        <f ca="1">IFERROR(__xludf.DUMMYFUNCTION("""COMPUTED_VALUE"""),0)</f>
        <v>0</v>
      </c>
    </row>
    <row r="817" spans="1:15" ht="12.75">
      <c r="A817" s="539">
        <f ca="1"/>
        <v>811</v>
      </c>
      <c r="B817" s="35" t="str">
        <f ca="1">IFERROR(__xludf.DUMMYFUNCTION("""COMPUTED_VALUE"""),"Tổ Hạ tầng Gò Dầu")</f>
        <v>Tổ Hạ tầng Gò Dầu</v>
      </c>
      <c r="C817" s="35" t="str">
        <f ca="1">IFERROR(__xludf.DUMMYFUNCTION("""COMPUTED_VALUE"""),"Phan Văn Thành")</f>
        <v>Phan Văn Thành</v>
      </c>
      <c r="D817" s="35">
        <f ca="1">IFERROR(__xludf.DUMMYFUNCTION("""COMPUTED_VALUE"""),948308539)</f>
        <v>948308539</v>
      </c>
      <c r="E817" s="35" t="str">
        <f ca="1">IFERROR(__xludf.DUMMYFUNCTION("""COMPUTED_VALUE"""),"thanhpv.tnh@vnpt.vn")</f>
        <v>thanhpv.tnh@vnpt.vn</v>
      </c>
      <c r="F817" s="540" t="str">
        <f ca="1">IFERROR(__xludf.DUMMYFUNCTION("""COMPUTED_VALUE"""),"Lần 11")</f>
        <v>Lần 11</v>
      </c>
      <c r="G817" s="278">
        <f ca="1">IFERROR(__xludf.DUMMYFUNCTION("""COMPUTED_VALUE"""),46217)</f>
        <v>46217</v>
      </c>
      <c r="H817" s="35">
        <f ca="1">IFERROR(__xludf.DUMMYFUNCTION("""COMPUTED_VALUE"""),90)</f>
        <v>90</v>
      </c>
      <c r="I817" s="35">
        <f ca="1">IFERROR(__xludf.DUMMYFUNCTION("""COMPUTED_VALUE"""),52)</f>
        <v>52</v>
      </c>
      <c r="J817" s="35">
        <f ca="1">IFERROR(__xludf.DUMMYFUNCTION("""COMPUTED_VALUE"""),101)</f>
        <v>101</v>
      </c>
      <c r="K817" s="35">
        <f ca="1">IFERROR(__xludf.DUMMYFUNCTION("""COMPUTED_VALUE"""),40)</f>
        <v>40</v>
      </c>
      <c r="M817" s="539">
        <f ca="1">IFERROR(__xludf.DUMMYFUNCTION("""COMPUTED_VALUE"""),1)</f>
        <v>1</v>
      </c>
      <c r="N817" s="539">
        <f ca="1">IFERROR(__xludf.DUMMYFUNCTION("""COMPUTED_VALUE"""),1)</f>
        <v>1</v>
      </c>
      <c r="O817" s="539">
        <f ca="1">IFERROR(__xludf.DUMMYFUNCTION("""COMPUTED_VALUE"""),0)</f>
        <v>0</v>
      </c>
    </row>
    <row r="818" spans="1:15" ht="12.75">
      <c r="A818" s="539">
        <f ca="1"/>
        <v>812</v>
      </c>
      <c r="B818" s="35" t="str">
        <f ca="1">IFERROR(__xludf.DUMMYFUNCTION("""COMPUTED_VALUE"""),"Tổ Hạ tầng Gò Dầu")</f>
        <v>Tổ Hạ tầng Gò Dầu</v>
      </c>
      <c r="C818" s="35" t="str">
        <f ca="1">IFERROR(__xludf.DUMMYFUNCTION("""COMPUTED_VALUE"""),"Phan Văn Thành")</f>
        <v>Phan Văn Thành</v>
      </c>
      <c r="D818" s="35">
        <f ca="1">IFERROR(__xludf.DUMMYFUNCTION("""COMPUTED_VALUE"""),948308539)</f>
        <v>948308539</v>
      </c>
      <c r="E818" s="35" t="str">
        <f ca="1">IFERROR(__xludf.DUMMYFUNCTION("""COMPUTED_VALUE"""),"thanhpv.tnh@vnpt.vn")</f>
        <v>thanhpv.tnh@vnpt.vn</v>
      </c>
      <c r="F818" s="540" t="str">
        <f ca="1">IFERROR(__xludf.DUMMYFUNCTION("""COMPUTED_VALUE"""),"Lần 12")</f>
        <v>Lần 12</v>
      </c>
      <c r="G818" s="278">
        <f ca="1">IFERROR(__xludf.DUMMYFUNCTION("""COMPUTED_VALUE"""),46217)</f>
        <v>46217</v>
      </c>
      <c r="H818" s="35">
        <f ca="1">IFERROR(__xludf.DUMMYFUNCTION("""COMPUTED_VALUE"""),71)</f>
        <v>71</v>
      </c>
      <c r="I818" s="35">
        <f ca="1">IFERROR(__xludf.DUMMYFUNCTION("""COMPUTED_VALUE"""),43)</f>
        <v>43</v>
      </c>
      <c r="J818" s="35">
        <f ca="1">IFERROR(__xludf.DUMMYFUNCTION("""COMPUTED_VALUE"""),106)</f>
        <v>106</v>
      </c>
      <c r="K818" s="35">
        <f ca="1">IFERROR(__xludf.DUMMYFUNCTION("""COMPUTED_VALUE"""),41)</f>
        <v>41</v>
      </c>
      <c r="M818" s="539">
        <f ca="1">IFERROR(__xludf.DUMMYFUNCTION("""COMPUTED_VALUE"""),1)</f>
        <v>1</v>
      </c>
      <c r="N818" s="539">
        <f ca="1">IFERROR(__xludf.DUMMYFUNCTION("""COMPUTED_VALUE"""),1)</f>
        <v>1</v>
      </c>
      <c r="O818" s="539">
        <f ca="1">IFERROR(__xludf.DUMMYFUNCTION("""COMPUTED_VALUE"""),0)</f>
        <v>0</v>
      </c>
    </row>
    <row r="819" spans="1:15" ht="12.75">
      <c r="A819" s="539">
        <f ca="1"/>
        <v>813</v>
      </c>
      <c r="B819" s="35" t="str">
        <f ca="1">IFERROR(__xludf.DUMMYFUNCTION("""COMPUTED_VALUE"""),"Tổ Hạ tầng Gò Dầu")</f>
        <v>Tổ Hạ tầng Gò Dầu</v>
      </c>
      <c r="C819" s="35" t="str">
        <f ca="1">IFERROR(__xludf.DUMMYFUNCTION("""COMPUTED_VALUE"""),"Phan Văn Thành")</f>
        <v>Phan Văn Thành</v>
      </c>
      <c r="D819" s="35">
        <f ca="1">IFERROR(__xludf.DUMMYFUNCTION("""COMPUTED_VALUE"""),948308539)</f>
        <v>948308539</v>
      </c>
      <c r="E819" s="35" t="str">
        <f ca="1">IFERROR(__xludf.DUMMYFUNCTION("""COMPUTED_VALUE"""),"thanhpv.tnh@vnpt.vn")</f>
        <v>thanhpv.tnh@vnpt.vn</v>
      </c>
      <c r="F819" s="540" t="str">
        <f ca="1">IFERROR(__xludf.DUMMYFUNCTION("""COMPUTED_VALUE"""),"Lần 13")</f>
        <v>Lần 13</v>
      </c>
      <c r="G819" s="278">
        <f ca="1">IFERROR(__xludf.DUMMYFUNCTION("""COMPUTED_VALUE"""),46223)</f>
        <v>46223</v>
      </c>
      <c r="H819" s="35"/>
      <c r="I819" s="35"/>
      <c r="J819" s="35"/>
      <c r="K819" s="35"/>
      <c r="M819" s="539">
        <f ca="1">IFERROR(__xludf.DUMMYFUNCTION("""COMPUTED_VALUE"""),0)</f>
        <v>0</v>
      </c>
      <c r="N819" s="539">
        <f ca="1">IFERROR(__xludf.DUMMYFUNCTION("""COMPUTED_VALUE"""),0)</f>
        <v>0</v>
      </c>
      <c r="O819" s="539">
        <f ca="1">IFERROR(__xludf.DUMMYFUNCTION("""COMPUTED_VALUE"""),0)</f>
        <v>0</v>
      </c>
    </row>
    <row r="820" spans="1:15" ht="12.75">
      <c r="A820" s="539">
        <f ca="1"/>
        <v>814</v>
      </c>
      <c r="B820" s="35" t="str">
        <f ca="1">IFERROR(__xludf.DUMMYFUNCTION("""COMPUTED_VALUE"""),"Tổ Hạ tầng Gò Dầu")</f>
        <v>Tổ Hạ tầng Gò Dầu</v>
      </c>
      <c r="C820" s="35" t="str">
        <f ca="1">IFERROR(__xludf.DUMMYFUNCTION("""COMPUTED_VALUE"""),"Phan Văn Thành")</f>
        <v>Phan Văn Thành</v>
      </c>
      <c r="D820" s="35">
        <f ca="1">IFERROR(__xludf.DUMMYFUNCTION("""COMPUTED_VALUE"""),948308539)</f>
        <v>948308539</v>
      </c>
      <c r="E820" s="35" t="str">
        <f ca="1">IFERROR(__xludf.DUMMYFUNCTION("""COMPUTED_VALUE"""),"thanhpv.tnh@vnpt.vn")</f>
        <v>thanhpv.tnh@vnpt.vn</v>
      </c>
      <c r="F820" s="540" t="str">
        <f ca="1">IFERROR(__xludf.DUMMYFUNCTION("""COMPUTED_VALUE"""),"Lần 14")</f>
        <v>Lần 14</v>
      </c>
      <c r="G820" s="278">
        <f ca="1">IFERROR(__xludf.DUMMYFUNCTION("""COMPUTED_VALUE"""),46223)</f>
        <v>46223</v>
      </c>
      <c r="H820" s="35"/>
      <c r="I820" s="35"/>
      <c r="J820" s="35"/>
      <c r="K820" s="35"/>
      <c r="M820" s="539">
        <f ca="1">IFERROR(__xludf.DUMMYFUNCTION("""COMPUTED_VALUE"""),0)</f>
        <v>0</v>
      </c>
      <c r="N820" s="539">
        <f ca="1">IFERROR(__xludf.DUMMYFUNCTION("""COMPUTED_VALUE"""),0)</f>
        <v>0</v>
      </c>
      <c r="O820" s="539">
        <f ca="1">IFERROR(__xludf.DUMMYFUNCTION("""COMPUTED_VALUE"""),0)</f>
        <v>0</v>
      </c>
    </row>
    <row r="821" spans="1:15" ht="12.75">
      <c r="A821" s="539">
        <f ca="1"/>
        <v>815</v>
      </c>
      <c r="B821" s="35" t="str">
        <f ca="1">IFERROR(__xludf.DUMMYFUNCTION("""COMPUTED_VALUE"""),"Tổ Hạ tầng Gò Dầu")</f>
        <v>Tổ Hạ tầng Gò Dầu</v>
      </c>
      <c r="C821" s="35" t="str">
        <f ca="1">IFERROR(__xludf.DUMMYFUNCTION("""COMPUTED_VALUE"""),"Phan Văn Thành")</f>
        <v>Phan Văn Thành</v>
      </c>
      <c r="D821" s="35">
        <f ca="1">IFERROR(__xludf.DUMMYFUNCTION("""COMPUTED_VALUE"""),948308539)</f>
        <v>948308539</v>
      </c>
      <c r="E821" s="35" t="str">
        <f ca="1">IFERROR(__xludf.DUMMYFUNCTION("""COMPUTED_VALUE"""),"thanhpv.tnh@vnpt.vn")</f>
        <v>thanhpv.tnh@vnpt.vn</v>
      </c>
      <c r="F821" s="540" t="str">
        <f ca="1">IFERROR(__xludf.DUMMYFUNCTION("""COMPUTED_VALUE"""),"Lần 15")</f>
        <v>Lần 15</v>
      </c>
      <c r="G821" s="278">
        <f ca="1">IFERROR(__xludf.DUMMYFUNCTION("""COMPUTED_VALUE"""),46223)</f>
        <v>46223</v>
      </c>
      <c r="H821" s="35"/>
      <c r="I821" s="35"/>
      <c r="J821" s="35"/>
      <c r="K821" s="35"/>
      <c r="M821" s="539">
        <f ca="1">IFERROR(__xludf.DUMMYFUNCTION("""COMPUTED_VALUE"""),0)</f>
        <v>0</v>
      </c>
      <c r="N821" s="539">
        <f ca="1">IFERROR(__xludf.DUMMYFUNCTION("""COMPUTED_VALUE"""),0)</f>
        <v>0</v>
      </c>
      <c r="O821" s="539">
        <f ca="1">IFERROR(__xludf.DUMMYFUNCTION("""COMPUTED_VALUE"""),0)</f>
        <v>0</v>
      </c>
    </row>
    <row r="822" spans="1:15" ht="12.75">
      <c r="A822" s="539">
        <f ca="1"/>
        <v>816</v>
      </c>
      <c r="B822" s="35" t="str">
        <f ca="1">IFERROR(__xludf.DUMMYFUNCTION("""COMPUTED_VALUE"""),"Tổ Hạ tầng Gò Dầu")</f>
        <v>Tổ Hạ tầng Gò Dầu</v>
      </c>
      <c r="C822" s="35" t="str">
        <f ca="1">IFERROR(__xludf.DUMMYFUNCTION("""COMPUTED_VALUE"""),"Phan Văn Thành")</f>
        <v>Phan Văn Thành</v>
      </c>
      <c r="D822" s="35">
        <f ca="1">IFERROR(__xludf.DUMMYFUNCTION("""COMPUTED_VALUE"""),948308539)</f>
        <v>948308539</v>
      </c>
      <c r="E822" s="35" t="str">
        <f ca="1">IFERROR(__xludf.DUMMYFUNCTION("""COMPUTED_VALUE"""),"thanhpv.tnh@vnpt.vn")</f>
        <v>thanhpv.tnh@vnpt.vn</v>
      </c>
      <c r="F822" s="540" t="str">
        <f ca="1">IFERROR(__xludf.DUMMYFUNCTION("""COMPUTED_VALUE"""),"Lần 16")</f>
        <v>Lần 16</v>
      </c>
      <c r="G822" s="278">
        <f ca="1">IFERROR(__xludf.DUMMYFUNCTION("""COMPUTED_VALUE"""),46223)</f>
        <v>46223</v>
      </c>
      <c r="H822" s="35"/>
      <c r="I822" s="35"/>
      <c r="J822" s="35"/>
      <c r="K822" s="35"/>
      <c r="M822" s="539">
        <f ca="1">IFERROR(__xludf.DUMMYFUNCTION("""COMPUTED_VALUE"""),0)</f>
        <v>0</v>
      </c>
      <c r="N822" s="539">
        <f ca="1">IFERROR(__xludf.DUMMYFUNCTION("""COMPUTED_VALUE"""),0)</f>
        <v>0</v>
      </c>
      <c r="O822" s="539">
        <f ca="1">IFERROR(__xludf.DUMMYFUNCTION("""COMPUTED_VALUE"""),0)</f>
        <v>0</v>
      </c>
    </row>
    <row r="823" spans="1:15" ht="12.75">
      <c r="A823" s="539">
        <f ca="1"/>
        <v>817</v>
      </c>
      <c r="B823" s="35" t="str">
        <f ca="1">IFERROR(__xludf.DUMMYFUNCTION("""COMPUTED_VALUE"""),"Tổ Hạ tầng Gò Dầu")</f>
        <v>Tổ Hạ tầng Gò Dầu</v>
      </c>
      <c r="C823" s="35" t="str">
        <f ca="1">IFERROR(__xludf.DUMMYFUNCTION("""COMPUTED_VALUE"""),"Lê Kỷ Dậu")</f>
        <v>Lê Kỷ Dậu</v>
      </c>
      <c r="D823" s="35">
        <f ca="1">IFERROR(__xludf.DUMMYFUNCTION("""COMPUTED_VALUE"""),917088072)</f>
        <v>917088072</v>
      </c>
      <c r="E823" s="35" t="str">
        <f ca="1">IFERROR(__xludf.DUMMYFUNCTION("""COMPUTED_VALUE"""),"daulk.tnh@vnpt.vn")</f>
        <v>daulk.tnh@vnpt.vn</v>
      </c>
      <c r="F823" s="540" t="str">
        <f ca="1">IFERROR(__xludf.DUMMYFUNCTION("""COMPUTED_VALUE"""),"Lần 1")</f>
        <v>Lần 1</v>
      </c>
      <c r="G823" s="278">
        <f ca="1">IFERROR(__xludf.DUMMYFUNCTION("""COMPUTED_VALUE"""),46206)</f>
        <v>46206</v>
      </c>
      <c r="H823" s="35">
        <f ca="1">IFERROR(__xludf.DUMMYFUNCTION("""COMPUTED_VALUE"""),88)</f>
        <v>88</v>
      </c>
      <c r="I823" s="35">
        <f ca="1">IFERROR(__xludf.DUMMYFUNCTION("""COMPUTED_VALUE"""),46)</f>
        <v>46</v>
      </c>
      <c r="J823" s="35">
        <f ca="1">IFERROR(__xludf.DUMMYFUNCTION("""COMPUTED_VALUE"""),104)</f>
        <v>104</v>
      </c>
      <c r="K823" s="35">
        <f ca="1">IFERROR(__xludf.DUMMYFUNCTION("""COMPUTED_VALUE"""),16)</f>
        <v>16</v>
      </c>
      <c r="M823" s="539">
        <f ca="1">IFERROR(__xludf.DUMMYFUNCTION("""COMPUTED_VALUE"""),1)</f>
        <v>1</v>
      </c>
      <c r="N823" s="539">
        <f ca="1">IFERROR(__xludf.DUMMYFUNCTION("""COMPUTED_VALUE"""),1)</f>
        <v>1</v>
      </c>
      <c r="O823" s="539">
        <f ca="1">IFERROR(__xludf.DUMMYFUNCTION("""COMPUTED_VALUE"""),0)</f>
        <v>0</v>
      </c>
    </row>
    <row r="824" spans="1:15" ht="12.75">
      <c r="A824" s="539">
        <f ca="1"/>
        <v>818</v>
      </c>
      <c r="B824" s="35" t="str">
        <f ca="1">IFERROR(__xludf.DUMMYFUNCTION("""COMPUTED_VALUE"""),"Tổ Hạ tầng Gò Dầu")</f>
        <v>Tổ Hạ tầng Gò Dầu</v>
      </c>
      <c r="C824" s="35" t="str">
        <f ca="1">IFERROR(__xludf.DUMMYFUNCTION("""COMPUTED_VALUE"""),"Lê Kỷ Dậu")</f>
        <v>Lê Kỷ Dậu</v>
      </c>
      <c r="D824" s="35">
        <f ca="1">IFERROR(__xludf.DUMMYFUNCTION("""COMPUTED_VALUE"""),917088072)</f>
        <v>917088072</v>
      </c>
      <c r="E824" s="35" t="str">
        <f ca="1">IFERROR(__xludf.DUMMYFUNCTION("""COMPUTED_VALUE"""),"daulk.tnh@vnpt.vn")</f>
        <v>daulk.tnh@vnpt.vn</v>
      </c>
      <c r="F824" s="540" t="str">
        <f ca="1">IFERROR(__xludf.DUMMYFUNCTION("""COMPUTED_VALUE"""),"Lần 2")</f>
        <v>Lần 2</v>
      </c>
      <c r="G824" s="278">
        <f ca="1">IFERROR(__xludf.DUMMYFUNCTION("""COMPUTED_VALUE"""),46206)</f>
        <v>46206</v>
      </c>
      <c r="H824" s="35">
        <f ca="1">IFERROR(__xludf.DUMMYFUNCTION("""COMPUTED_VALUE"""),89)</f>
        <v>89</v>
      </c>
      <c r="I824" s="35">
        <f ca="1">IFERROR(__xludf.DUMMYFUNCTION("""COMPUTED_VALUE"""),49)</f>
        <v>49</v>
      </c>
      <c r="J824" s="35">
        <f ca="1">IFERROR(__xludf.DUMMYFUNCTION("""COMPUTED_VALUE"""),107)</f>
        <v>107</v>
      </c>
      <c r="K824" s="35">
        <f ca="1">IFERROR(__xludf.DUMMYFUNCTION("""COMPUTED_VALUE"""),32)</f>
        <v>32</v>
      </c>
      <c r="M824" s="539">
        <f ca="1">IFERROR(__xludf.DUMMYFUNCTION("""COMPUTED_VALUE"""),1)</f>
        <v>1</v>
      </c>
      <c r="N824" s="539">
        <f ca="1">IFERROR(__xludf.DUMMYFUNCTION("""COMPUTED_VALUE"""),1)</f>
        <v>1</v>
      </c>
      <c r="O824" s="539">
        <f ca="1">IFERROR(__xludf.DUMMYFUNCTION("""COMPUTED_VALUE"""),0)</f>
        <v>0</v>
      </c>
    </row>
    <row r="825" spans="1:15" ht="12.75">
      <c r="A825" s="539">
        <f ca="1"/>
        <v>819</v>
      </c>
      <c r="B825" s="35" t="str">
        <f ca="1">IFERROR(__xludf.DUMMYFUNCTION("""COMPUTED_VALUE"""),"Tổ Hạ tầng Gò Dầu")</f>
        <v>Tổ Hạ tầng Gò Dầu</v>
      </c>
      <c r="C825" s="35" t="str">
        <f ca="1">IFERROR(__xludf.DUMMYFUNCTION("""COMPUTED_VALUE"""),"Lê Kỷ Dậu")</f>
        <v>Lê Kỷ Dậu</v>
      </c>
      <c r="D825" s="35">
        <f ca="1">IFERROR(__xludf.DUMMYFUNCTION("""COMPUTED_VALUE"""),917088072)</f>
        <v>917088072</v>
      </c>
      <c r="E825" s="35" t="str">
        <f ca="1">IFERROR(__xludf.DUMMYFUNCTION("""COMPUTED_VALUE"""),"daulk.tnh@vnpt.vn")</f>
        <v>daulk.tnh@vnpt.vn</v>
      </c>
      <c r="F825" s="540" t="str">
        <f ca="1">IFERROR(__xludf.DUMMYFUNCTION("""COMPUTED_VALUE"""),"Lần 3")</f>
        <v>Lần 3</v>
      </c>
      <c r="G825" s="278">
        <f ca="1">IFERROR(__xludf.DUMMYFUNCTION("""COMPUTED_VALUE"""),46206)</f>
        <v>46206</v>
      </c>
      <c r="H825" s="35">
        <f ca="1">IFERROR(__xludf.DUMMYFUNCTION("""COMPUTED_VALUE"""),81)</f>
        <v>81</v>
      </c>
      <c r="I825" s="35">
        <f ca="1">IFERROR(__xludf.DUMMYFUNCTION("""COMPUTED_VALUE"""),30)</f>
        <v>30</v>
      </c>
      <c r="J825" s="35">
        <f ca="1">IFERROR(__xludf.DUMMYFUNCTION("""COMPUTED_VALUE"""),104)</f>
        <v>104</v>
      </c>
      <c r="K825" s="35">
        <f ca="1">IFERROR(__xludf.DUMMYFUNCTION("""COMPUTED_VALUE"""),27)</f>
        <v>27</v>
      </c>
      <c r="M825" s="539">
        <f ca="1">IFERROR(__xludf.DUMMYFUNCTION("""COMPUTED_VALUE"""),1)</f>
        <v>1</v>
      </c>
      <c r="N825" s="539">
        <f ca="1">IFERROR(__xludf.DUMMYFUNCTION("""COMPUTED_VALUE"""),1)</f>
        <v>1</v>
      </c>
      <c r="O825" s="539">
        <f ca="1">IFERROR(__xludf.DUMMYFUNCTION("""COMPUTED_VALUE"""),0)</f>
        <v>0</v>
      </c>
    </row>
    <row r="826" spans="1:15" ht="12.75">
      <c r="A826" s="539">
        <f ca="1"/>
        <v>820</v>
      </c>
      <c r="B826" s="35" t="str">
        <f ca="1">IFERROR(__xludf.DUMMYFUNCTION("""COMPUTED_VALUE"""),"Tổ Hạ tầng Gò Dầu")</f>
        <v>Tổ Hạ tầng Gò Dầu</v>
      </c>
      <c r="C826" s="35" t="str">
        <f ca="1">IFERROR(__xludf.DUMMYFUNCTION("""COMPUTED_VALUE"""),"Lê Kỷ Dậu")</f>
        <v>Lê Kỷ Dậu</v>
      </c>
      <c r="D826" s="35">
        <f ca="1">IFERROR(__xludf.DUMMYFUNCTION("""COMPUTED_VALUE"""),917088072)</f>
        <v>917088072</v>
      </c>
      <c r="E826" s="35" t="str">
        <f ca="1">IFERROR(__xludf.DUMMYFUNCTION("""COMPUTED_VALUE"""),"daulk.tnh@vnpt.vn")</f>
        <v>daulk.tnh@vnpt.vn</v>
      </c>
      <c r="F826" s="540" t="str">
        <f ca="1">IFERROR(__xludf.DUMMYFUNCTION("""COMPUTED_VALUE"""),"Lần 4")</f>
        <v>Lần 4</v>
      </c>
      <c r="G826" s="278">
        <f ca="1">IFERROR(__xludf.DUMMYFUNCTION("""COMPUTED_VALUE"""),46206)</f>
        <v>46206</v>
      </c>
      <c r="H826" s="35">
        <f ca="1">IFERROR(__xludf.DUMMYFUNCTION("""COMPUTED_VALUE"""),94)</f>
        <v>94</v>
      </c>
      <c r="I826" s="35">
        <f ca="1">IFERROR(__xludf.DUMMYFUNCTION("""COMPUTED_VALUE"""),29)</f>
        <v>29</v>
      </c>
      <c r="J826" s="35">
        <f ca="1">IFERROR(__xludf.DUMMYFUNCTION("""COMPUTED_VALUE"""),105)</f>
        <v>105</v>
      </c>
      <c r="K826" s="35">
        <f ca="1">IFERROR(__xludf.DUMMYFUNCTION("""COMPUTED_VALUE"""),45)</f>
        <v>45</v>
      </c>
      <c r="M826" s="539">
        <f ca="1">IFERROR(__xludf.DUMMYFUNCTION("""COMPUTED_VALUE"""),1)</f>
        <v>1</v>
      </c>
      <c r="N826" s="539">
        <f ca="1">IFERROR(__xludf.DUMMYFUNCTION("""COMPUTED_VALUE"""),1)</f>
        <v>1</v>
      </c>
      <c r="O826" s="539">
        <f ca="1">IFERROR(__xludf.DUMMYFUNCTION("""COMPUTED_VALUE"""),0)</f>
        <v>0</v>
      </c>
    </row>
    <row r="827" spans="1:15" ht="12.75">
      <c r="A827" s="539">
        <f ca="1"/>
        <v>821</v>
      </c>
      <c r="B827" s="35" t="str">
        <f ca="1">IFERROR(__xludf.DUMMYFUNCTION("""COMPUTED_VALUE"""),"Tổ Hạ tầng Gò Dầu")</f>
        <v>Tổ Hạ tầng Gò Dầu</v>
      </c>
      <c r="C827" s="35" t="str">
        <f ca="1">IFERROR(__xludf.DUMMYFUNCTION("""COMPUTED_VALUE"""),"Lê Kỷ Dậu")</f>
        <v>Lê Kỷ Dậu</v>
      </c>
      <c r="D827" s="35">
        <f ca="1">IFERROR(__xludf.DUMMYFUNCTION("""COMPUTED_VALUE"""),917088072)</f>
        <v>917088072</v>
      </c>
      <c r="E827" s="35" t="str">
        <f ca="1">IFERROR(__xludf.DUMMYFUNCTION("""COMPUTED_VALUE"""),"daulk.tnh@vnpt.vn")</f>
        <v>daulk.tnh@vnpt.vn</v>
      </c>
      <c r="F827" s="540" t="str">
        <f ca="1">IFERROR(__xludf.DUMMYFUNCTION("""COMPUTED_VALUE"""),"Lần 5")</f>
        <v>Lần 5</v>
      </c>
      <c r="G827" s="278">
        <f ca="1">IFERROR(__xludf.DUMMYFUNCTION("""COMPUTED_VALUE"""),46211)</f>
        <v>46211</v>
      </c>
      <c r="H827" s="35">
        <f ca="1">IFERROR(__xludf.DUMMYFUNCTION("""COMPUTED_VALUE"""),86)</f>
        <v>86</v>
      </c>
      <c r="I827" s="35">
        <f ca="1">IFERROR(__xludf.DUMMYFUNCTION("""COMPUTED_VALUE"""),37)</f>
        <v>37</v>
      </c>
      <c r="J827" s="35">
        <f ca="1">IFERROR(__xludf.DUMMYFUNCTION("""COMPUTED_VALUE"""),95)</f>
        <v>95</v>
      </c>
      <c r="K827" s="35">
        <f ca="1">IFERROR(__xludf.DUMMYFUNCTION("""COMPUTED_VALUE"""),41)</f>
        <v>41</v>
      </c>
      <c r="M827" s="539">
        <f ca="1">IFERROR(__xludf.DUMMYFUNCTION("""COMPUTED_VALUE"""),1)</f>
        <v>1</v>
      </c>
      <c r="N827" s="539">
        <f ca="1">IFERROR(__xludf.DUMMYFUNCTION("""COMPUTED_VALUE"""),1)</f>
        <v>1</v>
      </c>
      <c r="O827" s="539">
        <f ca="1">IFERROR(__xludf.DUMMYFUNCTION("""COMPUTED_VALUE"""),0)</f>
        <v>0</v>
      </c>
    </row>
    <row r="828" spans="1:15" ht="12.75">
      <c r="A828" s="539">
        <f ca="1"/>
        <v>822</v>
      </c>
      <c r="B828" s="35" t="str">
        <f ca="1">IFERROR(__xludf.DUMMYFUNCTION("""COMPUTED_VALUE"""),"Tổ Hạ tầng Gò Dầu")</f>
        <v>Tổ Hạ tầng Gò Dầu</v>
      </c>
      <c r="C828" s="35" t="str">
        <f ca="1">IFERROR(__xludf.DUMMYFUNCTION("""COMPUTED_VALUE"""),"Lê Kỷ Dậu")</f>
        <v>Lê Kỷ Dậu</v>
      </c>
      <c r="D828" s="35">
        <f ca="1">IFERROR(__xludf.DUMMYFUNCTION("""COMPUTED_VALUE"""),917088072)</f>
        <v>917088072</v>
      </c>
      <c r="E828" s="35" t="str">
        <f ca="1">IFERROR(__xludf.DUMMYFUNCTION("""COMPUTED_VALUE"""),"daulk.tnh@vnpt.vn")</f>
        <v>daulk.tnh@vnpt.vn</v>
      </c>
      <c r="F828" s="540" t="str">
        <f ca="1">IFERROR(__xludf.DUMMYFUNCTION("""COMPUTED_VALUE"""),"Lần 6")</f>
        <v>Lần 6</v>
      </c>
      <c r="G828" s="278">
        <f ca="1">IFERROR(__xludf.DUMMYFUNCTION("""COMPUTED_VALUE"""),46211)</f>
        <v>46211</v>
      </c>
      <c r="H828" s="35">
        <f ca="1">IFERROR(__xludf.DUMMYFUNCTION("""COMPUTED_VALUE"""),79)</f>
        <v>79</v>
      </c>
      <c r="I828" s="35">
        <f ca="1">IFERROR(__xludf.DUMMYFUNCTION("""COMPUTED_VALUE"""),31)</f>
        <v>31</v>
      </c>
      <c r="J828" s="35">
        <f ca="1">IFERROR(__xludf.DUMMYFUNCTION("""COMPUTED_VALUE"""),106)</f>
        <v>106</v>
      </c>
      <c r="K828" s="35">
        <f ca="1">IFERROR(__xludf.DUMMYFUNCTION("""COMPUTED_VALUE"""),21)</f>
        <v>21</v>
      </c>
      <c r="M828" s="539">
        <f ca="1">IFERROR(__xludf.DUMMYFUNCTION("""COMPUTED_VALUE"""),1)</f>
        <v>1</v>
      </c>
      <c r="N828" s="539">
        <f ca="1">IFERROR(__xludf.DUMMYFUNCTION("""COMPUTED_VALUE"""),1)</f>
        <v>1</v>
      </c>
      <c r="O828" s="539">
        <f ca="1">IFERROR(__xludf.DUMMYFUNCTION("""COMPUTED_VALUE"""),0)</f>
        <v>0</v>
      </c>
    </row>
    <row r="829" spans="1:15" ht="12.75">
      <c r="A829" s="539">
        <f ca="1"/>
        <v>823</v>
      </c>
      <c r="B829" s="35" t="str">
        <f ca="1">IFERROR(__xludf.DUMMYFUNCTION("""COMPUTED_VALUE"""),"Tổ Hạ tầng Gò Dầu")</f>
        <v>Tổ Hạ tầng Gò Dầu</v>
      </c>
      <c r="C829" s="35" t="str">
        <f ca="1">IFERROR(__xludf.DUMMYFUNCTION("""COMPUTED_VALUE"""),"Lê Kỷ Dậu")</f>
        <v>Lê Kỷ Dậu</v>
      </c>
      <c r="D829" s="35">
        <f ca="1">IFERROR(__xludf.DUMMYFUNCTION("""COMPUTED_VALUE"""),917088072)</f>
        <v>917088072</v>
      </c>
      <c r="E829" s="35" t="str">
        <f ca="1">IFERROR(__xludf.DUMMYFUNCTION("""COMPUTED_VALUE"""),"daulk.tnh@vnpt.vn")</f>
        <v>daulk.tnh@vnpt.vn</v>
      </c>
      <c r="F829" s="540" t="str">
        <f ca="1">IFERROR(__xludf.DUMMYFUNCTION("""COMPUTED_VALUE"""),"Lần 7")</f>
        <v>Lần 7</v>
      </c>
      <c r="G829" s="278">
        <f ca="1">IFERROR(__xludf.DUMMYFUNCTION("""COMPUTED_VALUE"""),46211)</f>
        <v>46211</v>
      </c>
      <c r="H829" s="35">
        <f ca="1">IFERROR(__xludf.DUMMYFUNCTION("""COMPUTED_VALUE"""),96)</f>
        <v>96</v>
      </c>
      <c r="I829" s="35">
        <f ca="1">IFERROR(__xludf.DUMMYFUNCTION("""COMPUTED_VALUE"""),23)</f>
        <v>23</v>
      </c>
      <c r="J829" s="35">
        <f ca="1">IFERROR(__xludf.DUMMYFUNCTION("""COMPUTED_VALUE"""),103)</f>
        <v>103</v>
      </c>
      <c r="K829" s="35">
        <f ca="1">IFERROR(__xludf.DUMMYFUNCTION("""COMPUTED_VALUE"""),31)</f>
        <v>31</v>
      </c>
      <c r="M829" s="539">
        <f ca="1">IFERROR(__xludf.DUMMYFUNCTION("""COMPUTED_VALUE"""),1)</f>
        <v>1</v>
      </c>
      <c r="N829" s="539">
        <f ca="1">IFERROR(__xludf.DUMMYFUNCTION("""COMPUTED_VALUE"""),1)</f>
        <v>1</v>
      </c>
      <c r="O829" s="539">
        <f ca="1">IFERROR(__xludf.DUMMYFUNCTION("""COMPUTED_VALUE"""),0)</f>
        <v>0</v>
      </c>
    </row>
    <row r="830" spans="1:15" ht="12.75">
      <c r="A830" s="539">
        <f ca="1"/>
        <v>824</v>
      </c>
      <c r="B830" s="35" t="str">
        <f ca="1">IFERROR(__xludf.DUMMYFUNCTION("""COMPUTED_VALUE"""),"Tổ Hạ tầng Gò Dầu")</f>
        <v>Tổ Hạ tầng Gò Dầu</v>
      </c>
      <c r="C830" s="35" t="str">
        <f ca="1">IFERROR(__xludf.DUMMYFUNCTION("""COMPUTED_VALUE"""),"Lê Kỷ Dậu")</f>
        <v>Lê Kỷ Dậu</v>
      </c>
      <c r="D830" s="35">
        <f ca="1">IFERROR(__xludf.DUMMYFUNCTION("""COMPUTED_VALUE"""),917088072)</f>
        <v>917088072</v>
      </c>
      <c r="E830" s="35" t="str">
        <f ca="1">IFERROR(__xludf.DUMMYFUNCTION("""COMPUTED_VALUE"""),"daulk.tnh@vnpt.vn")</f>
        <v>daulk.tnh@vnpt.vn</v>
      </c>
      <c r="F830" s="540" t="str">
        <f ca="1">IFERROR(__xludf.DUMMYFUNCTION("""COMPUTED_VALUE"""),"Lần 8")</f>
        <v>Lần 8</v>
      </c>
      <c r="G830" s="278">
        <f ca="1">IFERROR(__xludf.DUMMYFUNCTION("""COMPUTED_VALUE"""),46211)</f>
        <v>46211</v>
      </c>
      <c r="H830" s="35">
        <f ca="1">IFERROR(__xludf.DUMMYFUNCTION("""COMPUTED_VALUE"""),89)</f>
        <v>89</v>
      </c>
      <c r="I830" s="35">
        <f ca="1">IFERROR(__xludf.DUMMYFUNCTION("""COMPUTED_VALUE"""),32)</f>
        <v>32</v>
      </c>
      <c r="J830" s="35">
        <f ca="1">IFERROR(__xludf.DUMMYFUNCTION("""COMPUTED_VALUE"""),101)</f>
        <v>101</v>
      </c>
      <c r="K830" s="35">
        <f ca="1">IFERROR(__xludf.DUMMYFUNCTION("""COMPUTED_VALUE"""),29)</f>
        <v>29</v>
      </c>
      <c r="M830" s="539">
        <f ca="1">IFERROR(__xludf.DUMMYFUNCTION("""COMPUTED_VALUE"""),1)</f>
        <v>1</v>
      </c>
      <c r="N830" s="539">
        <f ca="1">IFERROR(__xludf.DUMMYFUNCTION("""COMPUTED_VALUE"""),1)</f>
        <v>1</v>
      </c>
      <c r="O830" s="539">
        <f ca="1">IFERROR(__xludf.DUMMYFUNCTION("""COMPUTED_VALUE"""),0)</f>
        <v>0</v>
      </c>
    </row>
    <row r="831" spans="1:15" ht="12.75">
      <c r="A831" s="539">
        <f ca="1"/>
        <v>825</v>
      </c>
      <c r="B831" s="35" t="str">
        <f ca="1">IFERROR(__xludf.DUMMYFUNCTION("""COMPUTED_VALUE"""),"Tổ Hạ tầng Gò Dầu")</f>
        <v>Tổ Hạ tầng Gò Dầu</v>
      </c>
      <c r="C831" s="35" t="str">
        <f ca="1">IFERROR(__xludf.DUMMYFUNCTION("""COMPUTED_VALUE"""),"Lê Kỷ Dậu")</f>
        <v>Lê Kỷ Dậu</v>
      </c>
      <c r="D831" s="35">
        <f ca="1">IFERROR(__xludf.DUMMYFUNCTION("""COMPUTED_VALUE"""),917088072)</f>
        <v>917088072</v>
      </c>
      <c r="E831" s="35" t="str">
        <f ca="1">IFERROR(__xludf.DUMMYFUNCTION("""COMPUTED_VALUE"""),"daulk.tnh@vnpt.vn")</f>
        <v>daulk.tnh@vnpt.vn</v>
      </c>
      <c r="F831" s="540" t="str">
        <f ca="1">IFERROR(__xludf.DUMMYFUNCTION("""COMPUTED_VALUE"""),"Lần 9")</f>
        <v>Lần 9</v>
      </c>
      <c r="G831" s="278">
        <f ca="1">IFERROR(__xludf.DUMMYFUNCTION("""COMPUTED_VALUE"""),46217)</f>
        <v>46217</v>
      </c>
      <c r="H831" s="35">
        <f ca="1">IFERROR(__xludf.DUMMYFUNCTION("""COMPUTED_VALUE"""),84)</f>
        <v>84</v>
      </c>
      <c r="I831" s="35">
        <f ca="1">IFERROR(__xludf.DUMMYFUNCTION("""COMPUTED_VALUE"""),31)</f>
        <v>31</v>
      </c>
      <c r="J831" s="35">
        <f ca="1">IFERROR(__xludf.DUMMYFUNCTION("""COMPUTED_VALUE"""),108)</f>
        <v>108</v>
      </c>
      <c r="K831" s="35">
        <f ca="1">IFERROR(__xludf.DUMMYFUNCTION("""COMPUTED_VALUE"""),42)</f>
        <v>42</v>
      </c>
      <c r="M831" s="539">
        <f ca="1">IFERROR(__xludf.DUMMYFUNCTION("""COMPUTED_VALUE"""),1)</f>
        <v>1</v>
      </c>
      <c r="N831" s="539">
        <f ca="1">IFERROR(__xludf.DUMMYFUNCTION("""COMPUTED_VALUE"""),1)</f>
        <v>1</v>
      </c>
      <c r="O831" s="539">
        <f ca="1">IFERROR(__xludf.DUMMYFUNCTION("""COMPUTED_VALUE"""),0)</f>
        <v>0</v>
      </c>
    </row>
    <row r="832" spans="1:15" ht="12.75">
      <c r="A832" s="539">
        <f ca="1"/>
        <v>826</v>
      </c>
      <c r="B832" s="35" t="str">
        <f ca="1">IFERROR(__xludf.DUMMYFUNCTION("""COMPUTED_VALUE"""),"Tổ Hạ tầng Gò Dầu")</f>
        <v>Tổ Hạ tầng Gò Dầu</v>
      </c>
      <c r="C832" s="35" t="str">
        <f ca="1">IFERROR(__xludf.DUMMYFUNCTION("""COMPUTED_VALUE"""),"Lê Kỷ Dậu")</f>
        <v>Lê Kỷ Dậu</v>
      </c>
      <c r="D832" s="35">
        <f ca="1">IFERROR(__xludf.DUMMYFUNCTION("""COMPUTED_VALUE"""),917088072)</f>
        <v>917088072</v>
      </c>
      <c r="E832" s="35" t="str">
        <f ca="1">IFERROR(__xludf.DUMMYFUNCTION("""COMPUTED_VALUE"""),"daulk.tnh@vnpt.vn")</f>
        <v>daulk.tnh@vnpt.vn</v>
      </c>
      <c r="F832" s="540" t="str">
        <f ca="1">IFERROR(__xludf.DUMMYFUNCTION("""COMPUTED_VALUE"""),"Lần 10")</f>
        <v>Lần 10</v>
      </c>
      <c r="G832" s="278">
        <f ca="1">IFERROR(__xludf.DUMMYFUNCTION("""COMPUTED_VALUE"""),46217)</f>
        <v>46217</v>
      </c>
      <c r="H832" s="35">
        <f ca="1">IFERROR(__xludf.DUMMYFUNCTION("""COMPUTED_VALUE"""),92)</f>
        <v>92</v>
      </c>
      <c r="I832" s="35">
        <f ca="1">IFERROR(__xludf.DUMMYFUNCTION("""COMPUTED_VALUE"""),34)</f>
        <v>34</v>
      </c>
      <c r="J832" s="35">
        <f ca="1">IFERROR(__xludf.DUMMYFUNCTION("""COMPUTED_VALUE"""),94)</f>
        <v>94</v>
      </c>
      <c r="K832" s="35">
        <f ca="1">IFERROR(__xludf.DUMMYFUNCTION("""COMPUTED_VALUE"""),29)</f>
        <v>29</v>
      </c>
      <c r="M832" s="539">
        <f ca="1">IFERROR(__xludf.DUMMYFUNCTION("""COMPUTED_VALUE"""),1)</f>
        <v>1</v>
      </c>
      <c r="N832" s="539">
        <f ca="1">IFERROR(__xludf.DUMMYFUNCTION("""COMPUTED_VALUE"""),1)</f>
        <v>1</v>
      </c>
      <c r="O832" s="539">
        <f ca="1">IFERROR(__xludf.DUMMYFUNCTION("""COMPUTED_VALUE"""),0)</f>
        <v>0</v>
      </c>
    </row>
    <row r="833" spans="1:15" ht="12.75">
      <c r="A833" s="539">
        <f ca="1"/>
        <v>827</v>
      </c>
      <c r="B833" s="35" t="str">
        <f ca="1">IFERROR(__xludf.DUMMYFUNCTION("""COMPUTED_VALUE"""),"Tổ Hạ tầng Gò Dầu")</f>
        <v>Tổ Hạ tầng Gò Dầu</v>
      </c>
      <c r="C833" s="35" t="str">
        <f ca="1">IFERROR(__xludf.DUMMYFUNCTION("""COMPUTED_VALUE"""),"Lê Kỷ Dậu")</f>
        <v>Lê Kỷ Dậu</v>
      </c>
      <c r="D833" s="35">
        <f ca="1">IFERROR(__xludf.DUMMYFUNCTION("""COMPUTED_VALUE"""),917088072)</f>
        <v>917088072</v>
      </c>
      <c r="E833" s="35" t="str">
        <f ca="1">IFERROR(__xludf.DUMMYFUNCTION("""COMPUTED_VALUE"""),"daulk.tnh@vnpt.vn")</f>
        <v>daulk.tnh@vnpt.vn</v>
      </c>
      <c r="F833" s="540" t="str">
        <f ca="1">IFERROR(__xludf.DUMMYFUNCTION("""COMPUTED_VALUE"""),"Lần 11")</f>
        <v>Lần 11</v>
      </c>
      <c r="G833" s="278">
        <f ca="1">IFERROR(__xludf.DUMMYFUNCTION("""COMPUTED_VALUE"""),46217)</f>
        <v>46217</v>
      </c>
      <c r="H833" s="35">
        <f ca="1">IFERROR(__xludf.DUMMYFUNCTION("""COMPUTED_VALUE"""),89)</f>
        <v>89</v>
      </c>
      <c r="I833" s="35">
        <f ca="1">IFERROR(__xludf.DUMMYFUNCTION("""COMPUTED_VALUE"""),34)</f>
        <v>34</v>
      </c>
      <c r="J833" s="35">
        <f ca="1">IFERROR(__xludf.DUMMYFUNCTION("""COMPUTED_VALUE"""),95)</f>
        <v>95</v>
      </c>
      <c r="K833" s="35">
        <f ca="1">IFERROR(__xludf.DUMMYFUNCTION("""COMPUTED_VALUE"""),27)</f>
        <v>27</v>
      </c>
      <c r="M833" s="539">
        <f ca="1">IFERROR(__xludf.DUMMYFUNCTION("""COMPUTED_VALUE"""),1)</f>
        <v>1</v>
      </c>
      <c r="N833" s="539">
        <f ca="1">IFERROR(__xludf.DUMMYFUNCTION("""COMPUTED_VALUE"""),1)</f>
        <v>1</v>
      </c>
      <c r="O833" s="539">
        <f ca="1">IFERROR(__xludf.DUMMYFUNCTION("""COMPUTED_VALUE"""),0)</f>
        <v>0</v>
      </c>
    </row>
    <row r="834" spans="1:15" ht="12.75">
      <c r="A834" s="539">
        <f ca="1"/>
        <v>828</v>
      </c>
      <c r="B834" s="35" t="str">
        <f ca="1">IFERROR(__xludf.DUMMYFUNCTION("""COMPUTED_VALUE"""),"Tổ Hạ tầng Gò Dầu")</f>
        <v>Tổ Hạ tầng Gò Dầu</v>
      </c>
      <c r="C834" s="35" t="str">
        <f ca="1">IFERROR(__xludf.DUMMYFUNCTION("""COMPUTED_VALUE"""),"Lê Kỷ Dậu")</f>
        <v>Lê Kỷ Dậu</v>
      </c>
      <c r="D834" s="35">
        <f ca="1">IFERROR(__xludf.DUMMYFUNCTION("""COMPUTED_VALUE"""),917088072)</f>
        <v>917088072</v>
      </c>
      <c r="E834" s="35" t="str">
        <f ca="1">IFERROR(__xludf.DUMMYFUNCTION("""COMPUTED_VALUE"""),"daulk.tnh@vnpt.vn")</f>
        <v>daulk.tnh@vnpt.vn</v>
      </c>
      <c r="F834" s="540" t="str">
        <f ca="1">IFERROR(__xludf.DUMMYFUNCTION("""COMPUTED_VALUE"""),"Lần 12")</f>
        <v>Lần 12</v>
      </c>
      <c r="G834" s="278">
        <f ca="1">IFERROR(__xludf.DUMMYFUNCTION("""COMPUTED_VALUE"""),46217)</f>
        <v>46217</v>
      </c>
      <c r="H834" s="35">
        <f ca="1">IFERROR(__xludf.DUMMYFUNCTION("""COMPUTED_VALUE"""),93)</f>
        <v>93</v>
      </c>
      <c r="I834" s="35">
        <f ca="1">IFERROR(__xludf.DUMMYFUNCTION("""COMPUTED_VALUE"""),31)</f>
        <v>31</v>
      </c>
      <c r="J834" s="35">
        <f ca="1">IFERROR(__xludf.DUMMYFUNCTION("""COMPUTED_VALUE"""),103)</f>
        <v>103</v>
      </c>
      <c r="K834" s="35">
        <f ca="1">IFERROR(__xludf.DUMMYFUNCTION("""COMPUTED_VALUE"""),32)</f>
        <v>32</v>
      </c>
      <c r="M834" s="539">
        <f ca="1">IFERROR(__xludf.DUMMYFUNCTION("""COMPUTED_VALUE"""),1)</f>
        <v>1</v>
      </c>
      <c r="N834" s="539">
        <f ca="1">IFERROR(__xludf.DUMMYFUNCTION("""COMPUTED_VALUE"""),1)</f>
        <v>1</v>
      </c>
      <c r="O834" s="539">
        <f ca="1">IFERROR(__xludf.DUMMYFUNCTION("""COMPUTED_VALUE"""),0)</f>
        <v>0</v>
      </c>
    </row>
    <row r="835" spans="1:15" ht="12.75">
      <c r="A835" s="539">
        <f ca="1"/>
        <v>829</v>
      </c>
      <c r="B835" s="35" t="str">
        <f ca="1">IFERROR(__xludf.DUMMYFUNCTION("""COMPUTED_VALUE"""),"Tổ Hạ tầng Gò Dầu")</f>
        <v>Tổ Hạ tầng Gò Dầu</v>
      </c>
      <c r="C835" s="35" t="str">
        <f ca="1">IFERROR(__xludf.DUMMYFUNCTION("""COMPUTED_VALUE"""),"Lê Kỷ Dậu")</f>
        <v>Lê Kỷ Dậu</v>
      </c>
      <c r="D835" s="35">
        <f ca="1">IFERROR(__xludf.DUMMYFUNCTION("""COMPUTED_VALUE"""),917088072)</f>
        <v>917088072</v>
      </c>
      <c r="E835" s="35" t="str">
        <f ca="1">IFERROR(__xludf.DUMMYFUNCTION("""COMPUTED_VALUE"""),"daulk.tnh@vnpt.vn")</f>
        <v>daulk.tnh@vnpt.vn</v>
      </c>
      <c r="F835" s="540" t="str">
        <f ca="1">IFERROR(__xludf.DUMMYFUNCTION("""COMPUTED_VALUE"""),"Lần 13")</f>
        <v>Lần 13</v>
      </c>
      <c r="G835" s="278">
        <f ca="1">IFERROR(__xludf.DUMMYFUNCTION("""COMPUTED_VALUE"""),46223)</f>
        <v>46223</v>
      </c>
      <c r="H835" s="35"/>
      <c r="I835" s="35"/>
      <c r="J835" s="35"/>
      <c r="K835" s="35"/>
      <c r="M835" s="539">
        <f ca="1">IFERROR(__xludf.DUMMYFUNCTION("""COMPUTED_VALUE"""),0)</f>
        <v>0</v>
      </c>
      <c r="N835" s="539">
        <f ca="1">IFERROR(__xludf.DUMMYFUNCTION("""COMPUTED_VALUE"""),0)</f>
        <v>0</v>
      </c>
      <c r="O835" s="539">
        <f ca="1">IFERROR(__xludf.DUMMYFUNCTION("""COMPUTED_VALUE"""),0)</f>
        <v>0</v>
      </c>
    </row>
    <row r="836" spans="1:15" ht="12.75">
      <c r="A836" s="539">
        <f ca="1"/>
        <v>830</v>
      </c>
      <c r="B836" s="35" t="str">
        <f ca="1">IFERROR(__xludf.DUMMYFUNCTION("""COMPUTED_VALUE"""),"Tổ Hạ tầng Gò Dầu")</f>
        <v>Tổ Hạ tầng Gò Dầu</v>
      </c>
      <c r="C836" s="35" t="str">
        <f ca="1">IFERROR(__xludf.DUMMYFUNCTION("""COMPUTED_VALUE"""),"Lê Kỷ Dậu")</f>
        <v>Lê Kỷ Dậu</v>
      </c>
      <c r="D836" s="35">
        <f ca="1">IFERROR(__xludf.DUMMYFUNCTION("""COMPUTED_VALUE"""),917088072)</f>
        <v>917088072</v>
      </c>
      <c r="E836" s="35" t="str">
        <f ca="1">IFERROR(__xludf.DUMMYFUNCTION("""COMPUTED_VALUE"""),"daulk.tnh@vnpt.vn")</f>
        <v>daulk.tnh@vnpt.vn</v>
      </c>
      <c r="F836" s="540" t="str">
        <f ca="1">IFERROR(__xludf.DUMMYFUNCTION("""COMPUTED_VALUE"""),"Lần 14")</f>
        <v>Lần 14</v>
      </c>
      <c r="G836" s="278">
        <f ca="1">IFERROR(__xludf.DUMMYFUNCTION("""COMPUTED_VALUE"""),46223)</f>
        <v>46223</v>
      </c>
      <c r="H836" s="35"/>
      <c r="I836" s="35"/>
      <c r="J836" s="35"/>
      <c r="K836" s="35"/>
      <c r="M836" s="539">
        <f ca="1">IFERROR(__xludf.DUMMYFUNCTION("""COMPUTED_VALUE"""),0)</f>
        <v>0</v>
      </c>
      <c r="N836" s="539">
        <f ca="1">IFERROR(__xludf.DUMMYFUNCTION("""COMPUTED_VALUE"""),0)</f>
        <v>0</v>
      </c>
      <c r="O836" s="539">
        <f ca="1">IFERROR(__xludf.DUMMYFUNCTION("""COMPUTED_VALUE"""),0)</f>
        <v>0</v>
      </c>
    </row>
    <row r="837" spans="1:15" ht="12.75">
      <c r="A837" s="539">
        <f ca="1"/>
        <v>831</v>
      </c>
      <c r="B837" s="35" t="str">
        <f ca="1">IFERROR(__xludf.DUMMYFUNCTION("""COMPUTED_VALUE"""),"Tổ Hạ tầng Gò Dầu")</f>
        <v>Tổ Hạ tầng Gò Dầu</v>
      </c>
      <c r="C837" s="35" t="str">
        <f ca="1">IFERROR(__xludf.DUMMYFUNCTION("""COMPUTED_VALUE"""),"Lê Kỷ Dậu")</f>
        <v>Lê Kỷ Dậu</v>
      </c>
      <c r="D837" s="35">
        <f ca="1">IFERROR(__xludf.DUMMYFUNCTION("""COMPUTED_VALUE"""),917088072)</f>
        <v>917088072</v>
      </c>
      <c r="E837" s="35" t="str">
        <f ca="1">IFERROR(__xludf.DUMMYFUNCTION("""COMPUTED_VALUE"""),"daulk.tnh@vnpt.vn")</f>
        <v>daulk.tnh@vnpt.vn</v>
      </c>
      <c r="F837" s="540" t="str">
        <f ca="1">IFERROR(__xludf.DUMMYFUNCTION("""COMPUTED_VALUE"""),"Lần 15")</f>
        <v>Lần 15</v>
      </c>
      <c r="G837" s="278">
        <f ca="1">IFERROR(__xludf.DUMMYFUNCTION("""COMPUTED_VALUE"""),46223)</f>
        <v>46223</v>
      </c>
      <c r="H837" s="35"/>
      <c r="I837" s="35"/>
      <c r="J837" s="35"/>
      <c r="K837" s="35"/>
      <c r="M837" s="539">
        <f ca="1">IFERROR(__xludf.DUMMYFUNCTION("""COMPUTED_VALUE"""),0)</f>
        <v>0</v>
      </c>
      <c r="N837" s="539">
        <f ca="1">IFERROR(__xludf.DUMMYFUNCTION("""COMPUTED_VALUE"""),0)</f>
        <v>0</v>
      </c>
      <c r="O837" s="539">
        <f ca="1">IFERROR(__xludf.DUMMYFUNCTION("""COMPUTED_VALUE"""),0)</f>
        <v>0</v>
      </c>
    </row>
    <row r="838" spans="1:15" ht="12.75">
      <c r="A838" s="539">
        <f ca="1"/>
        <v>832</v>
      </c>
      <c r="B838" s="35" t="str">
        <f ca="1">IFERROR(__xludf.DUMMYFUNCTION("""COMPUTED_VALUE"""),"Tổ Hạ tầng Gò Dầu")</f>
        <v>Tổ Hạ tầng Gò Dầu</v>
      </c>
      <c r="C838" s="35" t="str">
        <f ca="1">IFERROR(__xludf.DUMMYFUNCTION("""COMPUTED_VALUE"""),"Lê Kỷ Dậu")</f>
        <v>Lê Kỷ Dậu</v>
      </c>
      <c r="D838" s="35">
        <f ca="1">IFERROR(__xludf.DUMMYFUNCTION("""COMPUTED_VALUE"""),917088072)</f>
        <v>917088072</v>
      </c>
      <c r="E838" s="35" t="str">
        <f ca="1">IFERROR(__xludf.DUMMYFUNCTION("""COMPUTED_VALUE"""),"daulk.tnh@vnpt.vn")</f>
        <v>daulk.tnh@vnpt.vn</v>
      </c>
      <c r="F838" s="540" t="str">
        <f ca="1">IFERROR(__xludf.DUMMYFUNCTION("""COMPUTED_VALUE"""),"Lần 16")</f>
        <v>Lần 16</v>
      </c>
      <c r="G838" s="278">
        <f ca="1">IFERROR(__xludf.DUMMYFUNCTION("""COMPUTED_VALUE"""),46223)</f>
        <v>46223</v>
      </c>
      <c r="H838" s="35"/>
      <c r="I838" s="35"/>
      <c r="J838" s="35"/>
      <c r="K838" s="35"/>
      <c r="M838" s="539">
        <f ca="1">IFERROR(__xludf.DUMMYFUNCTION("""COMPUTED_VALUE"""),0)</f>
        <v>0</v>
      </c>
      <c r="N838" s="539">
        <f ca="1">IFERROR(__xludf.DUMMYFUNCTION("""COMPUTED_VALUE"""),0)</f>
        <v>0</v>
      </c>
      <c r="O838" s="539">
        <f ca="1">IFERROR(__xludf.DUMMYFUNCTION("""COMPUTED_VALUE"""),0)</f>
        <v>0</v>
      </c>
    </row>
    <row r="839" spans="1:15" ht="12.75">
      <c r="A839" s="539">
        <f ca="1"/>
        <v>833</v>
      </c>
      <c r="B839" s="35" t="str">
        <f ca="1">IFERROR(__xludf.DUMMYFUNCTION("""COMPUTED_VALUE"""),"Tổ Hạ tầng Gò Dầu")</f>
        <v>Tổ Hạ tầng Gò Dầu</v>
      </c>
      <c r="C839" s="35" t="str">
        <f ca="1">IFERROR(__xludf.DUMMYFUNCTION("""COMPUTED_VALUE"""),"Lê Tấn Phong")</f>
        <v>Lê Tấn Phong</v>
      </c>
      <c r="D839" s="35">
        <f ca="1">IFERROR(__xludf.DUMMYFUNCTION("""COMPUTED_VALUE"""),949502705)</f>
        <v>949502705</v>
      </c>
      <c r="E839" s="35" t="str">
        <f ca="1">IFERROR(__xludf.DUMMYFUNCTION("""COMPUTED_VALUE"""),"phonglt.tnh@vnpt.vn")</f>
        <v>phonglt.tnh@vnpt.vn</v>
      </c>
      <c r="F839" s="540" t="str">
        <f ca="1">IFERROR(__xludf.DUMMYFUNCTION("""COMPUTED_VALUE"""),"Lần 1")</f>
        <v>Lần 1</v>
      </c>
      <c r="G839" s="278">
        <f ca="1">IFERROR(__xludf.DUMMYFUNCTION("""COMPUTED_VALUE"""),46206)</f>
        <v>46206</v>
      </c>
      <c r="H839" s="35">
        <f ca="1">IFERROR(__xludf.DUMMYFUNCTION("""COMPUTED_VALUE"""),90)</f>
        <v>90</v>
      </c>
      <c r="I839" s="35">
        <f ca="1">IFERROR(__xludf.DUMMYFUNCTION("""COMPUTED_VALUE"""),59)</f>
        <v>59</v>
      </c>
      <c r="J839" s="35">
        <f ca="1">IFERROR(__xludf.DUMMYFUNCTION("""COMPUTED_VALUE"""),81)</f>
        <v>81</v>
      </c>
      <c r="K839" s="35">
        <f ca="1">IFERROR(__xludf.DUMMYFUNCTION("""COMPUTED_VALUE"""),35)</f>
        <v>35</v>
      </c>
      <c r="M839" s="539">
        <f ca="1">IFERROR(__xludf.DUMMYFUNCTION("""COMPUTED_VALUE"""),1)</f>
        <v>1</v>
      </c>
      <c r="N839" s="539">
        <f ca="1">IFERROR(__xludf.DUMMYFUNCTION("""COMPUTED_VALUE"""),1)</f>
        <v>1</v>
      </c>
      <c r="O839" s="539">
        <f ca="1">IFERROR(__xludf.DUMMYFUNCTION("""COMPUTED_VALUE"""),0)</f>
        <v>0</v>
      </c>
    </row>
    <row r="840" spans="1:15" ht="12.75">
      <c r="A840" s="539">
        <f ca="1"/>
        <v>834</v>
      </c>
      <c r="B840" s="35" t="str">
        <f ca="1">IFERROR(__xludf.DUMMYFUNCTION("""COMPUTED_VALUE"""),"Tổ Hạ tầng Gò Dầu")</f>
        <v>Tổ Hạ tầng Gò Dầu</v>
      </c>
      <c r="C840" s="35" t="str">
        <f ca="1">IFERROR(__xludf.DUMMYFUNCTION("""COMPUTED_VALUE"""),"Lê Tấn Phong")</f>
        <v>Lê Tấn Phong</v>
      </c>
      <c r="D840" s="35">
        <f ca="1">IFERROR(__xludf.DUMMYFUNCTION("""COMPUTED_VALUE"""),949502705)</f>
        <v>949502705</v>
      </c>
      <c r="E840" s="35" t="str">
        <f ca="1">IFERROR(__xludf.DUMMYFUNCTION("""COMPUTED_VALUE"""),"phonglt.tnh@vnpt.vn")</f>
        <v>phonglt.tnh@vnpt.vn</v>
      </c>
      <c r="F840" s="540" t="str">
        <f ca="1">IFERROR(__xludf.DUMMYFUNCTION("""COMPUTED_VALUE"""),"Lần 2")</f>
        <v>Lần 2</v>
      </c>
      <c r="G840" s="278">
        <f ca="1">IFERROR(__xludf.DUMMYFUNCTION("""COMPUTED_VALUE"""),46206)</f>
        <v>46206</v>
      </c>
      <c r="H840" s="35">
        <f ca="1">IFERROR(__xludf.DUMMYFUNCTION("""COMPUTED_VALUE"""),77)</f>
        <v>77</v>
      </c>
      <c r="I840" s="35">
        <f ca="1">IFERROR(__xludf.DUMMYFUNCTION("""COMPUTED_VALUE"""),58)</f>
        <v>58</v>
      </c>
      <c r="J840" s="35">
        <f ca="1">IFERROR(__xludf.DUMMYFUNCTION("""COMPUTED_VALUE"""),301)</f>
        <v>301</v>
      </c>
      <c r="K840" s="35">
        <f ca="1">IFERROR(__xludf.DUMMYFUNCTION("""COMPUTED_VALUE"""),50)</f>
        <v>50</v>
      </c>
      <c r="M840" s="539">
        <f ca="1">IFERROR(__xludf.DUMMYFUNCTION("""COMPUTED_VALUE"""),1)</f>
        <v>1</v>
      </c>
      <c r="N840" s="539">
        <f ca="1">IFERROR(__xludf.DUMMYFUNCTION("""COMPUTED_VALUE"""),1)</f>
        <v>1</v>
      </c>
      <c r="O840" s="539">
        <f ca="1">IFERROR(__xludf.DUMMYFUNCTION("""COMPUTED_VALUE"""),1)</f>
        <v>1</v>
      </c>
    </row>
    <row r="841" spans="1:15" ht="12.75">
      <c r="A841" s="539">
        <f ca="1"/>
        <v>835</v>
      </c>
      <c r="B841" s="35" t="str">
        <f ca="1">IFERROR(__xludf.DUMMYFUNCTION("""COMPUTED_VALUE"""),"Tổ Hạ tầng Gò Dầu")</f>
        <v>Tổ Hạ tầng Gò Dầu</v>
      </c>
      <c r="C841" s="35" t="str">
        <f ca="1">IFERROR(__xludf.DUMMYFUNCTION("""COMPUTED_VALUE"""),"Lê Tấn Phong")</f>
        <v>Lê Tấn Phong</v>
      </c>
      <c r="D841" s="35">
        <f ca="1">IFERROR(__xludf.DUMMYFUNCTION("""COMPUTED_VALUE"""),949502705)</f>
        <v>949502705</v>
      </c>
      <c r="E841" s="35" t="str">
        <f ca="1">IFERROR(__xludf.DUMMYFUNCTION("""COMPUTED_VALUE"""),"phonglt.tnh@vnpt.vn")</f>
        <v>phonglt.tnh@vnpt.vn</v>
      </c>
      <c r="F841" s="540" t="str">
        <f ca="1">IFERROR(__xludf.DUMMYFUNCTION("""COMPUTED_VALUE"""),"Lần 3")</f>
        <v>Lần 3</v>
      </c>
      <c r="G841" s="278">
        <f ca="1">IFERROR(__xludf.DUMMYFUNCTION("""COMPUTED_VALUE"""),46206)</f>
        <v>46206</v>
      </c>
      <c r="H841" s="35">
        <f ca="1">IFERROR(__xludf.DUMMYFUNCTION("""COMPUTED_VALUE"""),87)</f>
        <v>87</v>
      </c>
      <c r="I841" s="35">
        <f ca="1">IFERROR(__xludf.DUMMYFUNCTION("""COMPUTED_VALUE"""),57)</f>
        <v>57</v>
      </c>
      <c r="J841" s="35">
        <f ca="1">IFERROR(__xludf.DUMMYFUNCTION("""COMPUTED_VALUE"""),183)</f>
        <v>183</v>
      </c>
      <c r="K841" s="35">
        <f ca="1">IFERROR(__xludf.DUMMYFUNCTION("""COMPUTED_VALUE"""),47)</f>
        <v>47</v>
      </c>
      <c r="M841" s="539">
        <f ca="1">IFERROR(__xludf.DUMMYFUNCTION("""COMPUTED_VALUE"""),1)</f>
        <v>1</v>
      </c>
      <c r="N841" s="539">
        <f ca="1">IFERROR(__xludf.DUMMYFUNCTION("""COMPUTED_VALUE"""),1)</f>
        <v>1</v>
      </c>
      <c r="O841" s="539">
        <f ca="1">IFERROR(__xludf.DUMMYFUNCTION("""COMPUTED_VALUE"""),0)</f>
        <v>0</v>
      </c>
    </row>
    <row r="842" spans="1:15" ht="12.75">
      <c r="A842" s="539">
        <f ca="1"/>
        <v>836</v>
      </c>
      <c r="B842" s="35" t="str">
        <f ca="1">IFERROR(__xludf.DUMMYFUNCTION("""COMPUTED_VALUE"""),"Tổ Hạ tầng Gò Dầu")</f>
        <v>Tổ Hạ tầng Gò Dầu</v>
      </c>
      <c r="C842" s="35" t="str">
        <f ca="1">IFERROR(__xludf.DUMMYFUNCTION("""COMPUTED_VALUE"""),"Lê Tấn Phong")</f>
        <v>Lê Tấn Phong</v>
      </c>
      <c r="D842" s="35">
        <f ca="1">IFERROR(__xludf.DUMMYFUNCTION("""COMPUTED_VALUE"""),949502705)</f>
        <v>949502705</v>
      </c>
      <c r="E842" s="35" t="str">
        <f ca="1">IFERROR(__xludf.DUMMYFUNCTION("""COMPUTED_VALUE"""),"phonglt.tnh@vnpt.vn")</f>
        <v>phonglt.tnh@vnpt.vn</v>
      </c>
      <c r="F842" s="540" t="str">
        <f ca="1">IFERROR(__xludf.DUMMYFUNCTION("""COMPUTED_VALUE"""),"Lần 4")</f>
        <v>Lần 4</v>
      </c>
      <c r="G842" s="278">
        <f ca="1">IFERROR(__xludf.DUMMYFUNCTION("""COMPUTED_VALUE"""),46206)</f>
        <v>46206</v>
      </c>
      <c r="H842" s="35">
        <f ca="1">IFERROR(__xludf.DUMMYFUNCTION("""COMPUTED_VALUE"""),87)</f>
        <v>87</v>
      </c>
      <c r="I842" s="35">
        <f ca="1">IFERROR(__xludf.DUMMYFUNCTION("""COMPUTED_VALUE"""),54)</f>
        <v>54</v>
      </c>
      <c r="J842" s="35">
        <f ca="1">IFERROR(__xludf.DUMMYFUNCTION("""COMPUTED_VALUE"""),156)</f>
        <v>156</v>
      </c>
      <c r="K842" s="35">
        <f ca="1">IFERROR(__xludf.DUMMYFUNCTION("""COMPUTED_VALUE"""),61)</f>
        <v>61</v>
      </c>
      <c r="M842" s="539">
        <f ca="1">IFERROR(__xludf.DUMMYFUNCTION("""COMPUTED_VALUE"""),1)</f>
        <v>1</v>
      </c>
      <c r="N842" s="539">
        <f ca="1">IFERROR(__xludf.DUMMYFUNCTION("""COMPUTED_VALUE"""),1)</f>
        <v>1</v>
      </c>
      <c r="O842" s="539">
        <f ca="1">IFERROR(__xludf.DUMMYFUNCTION("""COMPUTED_VALUE"""),0)</f>
        <v>0</v>
      </c>
    </row>
    <row r="843" spans="1:15" ht="12.75">
      <c r="A843" s="539">
        <f ca="1"/>
        <v>837</v>
      </c>
      <c r="B843" s="35" t="str">
        <f ca="1">IFERROR(__xludf.DUMMYFUNCTION("""COMPUTED_VALUE"""),"Tổ Hạ tầng Gò Dầu")</f>
        <v>Tổ Hạ tầng Gò Dầu</v>
      </c>
      <c r="C843" s="35" t="str">
        <f ca="1">IFERROR(__xludf.DUMMYFUNCTION("""COMPUTED_VALUE"""),"Lê Tấn Phong")</f>
        <v>Lê Tấn Phong</v>
      </c>
      <c r="D843" s="35">
        <f ca="1">IFERROR(__xludf.DUMMYFUNCTION("""COMPUTED_VALUE"""),949502705)</f>
        <v>949502705</v>
      </c>
      <c r="E843" s="35" t="str">
        <f ca="1">IFERROR(__xludf.DUMMYFUNCTION("""COMPUTED_VALUE"""),"phonglt.tnh@vnpt.vn")</f>
        <v>phonglt.tnh@vnpt.vn</v>
      </c>
      <c r="F843" s="540" t="str">
        <f ca="1">IFERROR(__xludf.DUMMYFUNCTION("""COMPUTED_VALUE"""),"Lần 5")</f>
        <v>Lần 5</v>
      </c>
      <c r="G843" s="278">
        <f ca="1">IFERROR(__xludf.DUMMYFUNCTION("""COMPUTED_VALUE"""),46211)</f>
        <v>46211</v>
      </c>
      <c r="H843" s="35">
        <f ca="1">IFERROR(__xludf.DUMMYFUNCTION("""COMPUTED_VALUE"""),75)</f>
        <v>75</v>
      </c>
      <c r="I843" s="35">
        <f ca="1">IFERROR(__xludf.DUMMYFUNCTION("""COMPUTED_VALUE"""),52)</f>
        <v>52</v>
      </c>
      <c r="J843" s="35">
        <f ca="1">IFERROR(__xludf.DUMMYFUNCTION("""COMPUTED_VALUE"""),91)</f>
        <v>91</v>
      </c>
      <c r="K843" s="35">
        <f ca="1">IFERROR(__xludf.DUMMYFUNCTION("""COMPUTED_VALUE"""),32)</f>
        <v>32</v>
      </c>
      <c r="M843" s="539">
        <f ca="1">IFERROR(__xludf.DUMMYFUNCTION("""COMPUTED_VALUE"""),1)</f>
        <v>1</v>
      </c>
      <c r="N843" s="539">
        <f ca="1">IFERROR(__xludf.DUMMYFUNCTION("""COMPUTED_VALUE"""),1)</f>
        <v>1</v>
      </c>
      <c r="O843" s="539">
        <f ca="1">IFERROR(__xludf.DUMMYFUNCTION("""COMPUTED_VALUE"""),0)</f>
        <v>0</v>
      </c>
    </row>
    <row r="844" spans="1:15" ht="12.75">
      <c r="A844" s="539">
        <f ca="1"/>
        <v>838</v>
      </c>
      <c r="B844" s="35" t="str">
        <f ca="1">IFERROR(__xludf.DUMMYFUNCTION("""COMPUTED_VALUE"""),"Tổ Hạ tầng Gò Dầu")</f>
        <v>Tổ Hạ tầng Gò Dầu</v>
      </c>
      <c r="C844" s="35" t="str">
        <f ca="1">IFERROR(__xludf.DUMMYFUNCTION("""COMPUTED_VALUE"""),"Lê Tấn Phong")</f>
        <v>Lê Tấn Phong</v>
      </c>
      <c r="D844" s="35">
        <f ca="1">IFERROR(__xludf.DUMMYFUNCTION("""COMPUTED_VALUE"""),949502705)</f>
        <v>949502705</v>
      </c>
      <c r="E844" s="35" t="str">
        <f ca="1">IFERROR(__xludf.DUMMYFUNCTION("""COMPUTED_VALUE"""),"phonglt.tnh@vnpt.vn")</f>
        <v>phonglt.tnh@vnpt.vn</v>
      </c>
      <c r="F844" s="540" t="str">
        <f ca="1">IFERROR(__xludf.DUMMYFUNCTION("""COMPUTED_VALUE"""),"Lần 6")</f>
        <v>Lần 6</v>
      </c>
      <c r="G844" s="278">
        <f ca="1">IFERROR(__xludf.DUMMYFUNCTION("""COMPUTED_VALUE"""),46211)</f>
        <v>46211</v>
      </c>
      <c r="H844" s="35">
        <f ca="1">IFERROR(__xludf.DUMMYFUNCTION("""COMPUTED_VALUE"""),87)</f>
        <v>87</v>
      </c>
      <c r="I844" s="35">
        <f ca="1">IFERROR(__xludf.DUMMYFUNCTION("""COMPUTED_VALUE"""),54)</f>
        <v>54</v>
      </c>
      <c r="J844" s="35">
        <f ca="1">IFERROR(__xludf.DUMMYFUNCTION("""COMPUTED_VALUE"""),184)</f>
        <v>184</v>
      </c>
      <c r="K844" s="35">
        <f ca="1">IFERROR(__xludf.DUMMYFUNCTION("""COMPUTED_VALUE"""),51)</f>
        <v>51</v>
      </c>
      <c r="M844" s="539">
        <f ca="1">IFERROR(__xludf.DUMMYFUNCTION("""COMPUTED_VALUE"""),1)</f>
        <v>1</v>
      </c>
      <c r="N844" s="539">
        <f ca="1">IFERROR(__xludf.DUMMYFUNCTION("""COMPUTED_VALUE"""),1)</f>
        <v>1</v>
      </c>
      <c r="O844" s="539">
        <f ca="1">IFERROR(__xludf.DUMMYFUNCTION("""COMPUTED_VALUE"""),0)</f>
        <v>0</v>
      </c>
    </row>
    <row r="845" spans="1:15" ht="12.75">
      <c r="A845" s="539">
        <f ca="1"/>
        <v>839</v>
      </c>
      <c r="B845" s="35" t="str">
        <f ca="1">IFERROR(__xludf.DUMMYFUNCTION("""COMPUTED_VALUE"""),"Tổ Hạ tầng Gò Dầu")</f>
        <v>Tổ Hạ tầng Gò Dầu</v>
      </c>
      <c r="C845" s="35" t="str">
        <f ca="1">IFERROR(__xludf.DUMMYFUNCTION("""COMPUTED_VALUE"""),"Lê Tấn Phong")</f>
        <v>Lê Tấn Phong</v>
      </c>
      <c r="D845" s="35">
        <f ca="1">IFERROR(__xludf.DUMMYFUNCTION("""COMPUTED_VALUE"""),949502705)</f>
        <v>949502705</v>
      </c>
      <c r="E845" s="35" t="str">
        <f ca="1">IFERROR(__xludf.DUMMYFUNCTION("""COMPUTED_VALUE"""),"phonglt.tnh@vnpt.vn")</f>
        <v>phonglt.tnh@vnpt.vn</v>
      </c>
      <c r="F845" s="540" t="str">
        <f ca="1">IFERROR(__xludf.DUMMYFUNCTION("""COMPUTED_VALUE"""),"Lần 7")</f>
        <v>Lần 7</v>
      </c>
      <c r="G845" s="278">
        <f ca="1">IFERROR(__xludf.DUMMYFUNCTION("""COMPUTED_VALUE"""),46211)</f>
        <v>46211</v>
      </c>
      <c r="H845" s="35">
        <f ca="1">IFERROR(__xludf.DUMMYFUNCTION("""COMPUTED_VALUE"""),88)</f>
        <v>88</v>
      </c>
      <c r="I845" s="35">
        <f ca="1">IFERROR(__xludf.DUMMYFUNCTION("""COMPUTED_VALUE"""),59)</f>
        <v>59</v>
      </c>
      <c r="J845" s="35">
        <f ca="1">IFERROR(__xludf.DUMMYFUNCTION("""COMPUTED_VALUE"""),153)</f>
        <v>153</v>
      </c>
      <c r="K845" s="35">
        <f ca="1">IFERROR(__xludf.DUMMYFUNCTION("""COMPUTED_VALUE"""),55)</f>
        <v>55</v>
      </c>
      <c r="M845" s="539">
        <f ca="1">IFERROR(__xludf.DUMMYFUNCTION("""COMPUTED_VALUE"""),1)</f>
        <v>1</v>
      </c>
      <c r="N845" s="539">
        <f ca="1">IFERROR(__xludf.DUMMYFUNCTION("""COMPUTED_VALUE"""),1)</f>
        <v>1</v>
      </c>
      <c r="O845" s="539">
        <f ca="1">IFERROR(__xludf.DUMMYFUNCTION("""COMPUTED_VALUE"""),0)</f>
        <v>0</v>
      </c>
    </row>
    <row r="846" spans="1:15" ht="12.75">
      <c r="A846" s="539">
        <f ca="1"/>
        <v>840</v>
      </c>
      <c r="B846" s="35" t="str">
        <f ca="1">IFERROR(__xludf.DUMMYFUNCTION("""COMPUTED_VALUE"""),"Tổ Hạ tầng Gò Dầu")</f>
        <v>Tổ Hạ tầng Gò Dầu</v>
      </c>
      <c r="C846" s="35" t="str">
        <f ca="1">IFERROR(__xludf.DUMMYFUNCTION("""COMPUTED_VALUE"""),"Lê Tấn Phong")</f>
        <v>Lê Tấn Phong</v>
      </c>
      <c r="D846" s="35">
        <f ca="1">IFERROR(__xludf.DUMMYFUNCTION("""COMPUTED_VALUE"""),949502705)</f>
        <v>949502705</v>
      </c>
      <c r="E846" s="35" t="str">
        <f ca="1">IFERROR(__xludf.DUMMYFUNCTION("""COMPUTED_VALUE"""),"phonglt.tnh@vnpt.vn")</f>
        <v>phonglt.tnh@vnpt.vn</v>
      </c>
      <c r="F846" s="540" t="str">
        <f ca="1">IFERROR(__xludf.DUMMYFUNCTION("""COMPUTED_VALUE"""),"Lần 8")</f>
        <v>Lần 8</v>
      </c>
      <c r="G846" s="278">
        <f ca="1">IFERROR(__xludf.DUMMYFUNCTION("""COMPUTED_VALUE"""),46211)</f>
        <v>46211</v>
      </c>
      <c r="H846" s="35">
        <f ca="1">IFERROR(__xludf.DUMMYFUNCTION("""COMPUTED_VALUE"""),87)</f>
        <v>87</v>
      </c>
      <c r="I846" s="35">
        <f ca="1">IFERROR(__xludf.DUMMYFUNCTION("""COMPUTED_VALUE"""),55)</f>
        <v>55</v>
      </c>
      <c r="J846" s="35">
        <f ca="1">IFERROR(__xludf.DUMMYFUNCTION("""COMPUTED_VALUE"""),113)</f>
        <v>113</v>
      </c>
      <c r="K846" s="35">
        <f ca="1">IFERROR(__xludf.DUMMYFUNCTION("""COMPUTED_VALUE"""),34)</f>
        <v>34</v>
      </c>
      <c r="M846" s="539">
        <f ca="1">IFERROR(__xludf.DUMMYFUNCTION("""COMPUTED_VALUE"""),1)</f>
        <v>1</v>
      </c>
      <c r="N846" s="539">
        <f ca="1">IFERROR(__xludf.DUMMYFUNCTION("""COMPUTED_VALUE"""),1)</f>
        <v>1</v>
      </c>
      <c r="O846" s="539">
        <f ca="1">IFERROR(__xludf.DUMMYFUNCTION("""COMPUTED_VALUE"""),0)</f>
        <v>0</v>
      </c>
    </row>
    <row r="847" spans="1:15" ht="12.75">
      <c r="A847" s="539">
        <f ca="1"/>
        <v>841</v>
      </c>
      <c r="B847" s="35" t="str">
        <f ca="1">IFERROR(__xludf.DUMMYFUNCTION("""COMPUTED_VALUE"""),"Tổ Hạ tầng Gò Dầu")</f>
        <v>Tổ Hạ tầng Gò Dầu</v>
      </c>
      <c r="C847" s="35" t="str">
        <f ca="1">IFERROR(__xludf.DUMMYFUNCTION("""COMPUTED_VALUE"""),"Lê Tấn Phong")</f>
        <v>Lê Tấn Phong</v>
      </c>
      <c r="D847" s="35">
        <f ca="1">IFERROR(__xludf.DUMMYFUNCTION("""COMPUTED_VALUE"""),949502705)</f>
        <v>949502705</v>
      </c>
      <c r="E847" s="35" t="str">
        <f ca="1">IFERROR(__xludf.DUMMYFUNCTION("""COMPUTED_VALUE"""),"phonglt.tnh@vnpt.vn")</f>
        <v>phonglt.tnh@vnpt.vn</v>
      </c>
      <c r="F847" s="540" t="str">
        <f ca="1">IFERROR(__xludf.DUMMYFUNCTION("""COMPUTED_VALUE"""),"Lần 9")</f>
        <v>Lần 9</v>
      </c>
      <c r="G847" s="278">
        <f ca="1">IFERROR(__xludf.DUMMYFUNCTION("""COMPUTED_VALUE"""),46217)</f>
        <v>46217</v>
      </c>
      <c r="H847" s="35">
        <f ca="1">IFERROR(__xludf.DUMMYFUNCTION("""COMPUTED_VALUE"""),90)</f>
        <v>90</v>
      </c>
      <c r="I847" s="35">
        <f ca="1">IFERROR(__xludf.DUMMYFUNCTION("""COMPUTED_VALUE"""),59)</f>
        <v>59</v>
      </c>
      <c r="J847" s="35">
        <f ca="1">IFERROR(__xludf.DUMMYFUNCTION("""COMPUTED_VALUE"""),141)</f>
        <v>141</v>
      </c>
      <c r="K847" s="35">
        <f ca="1">IFERROR(__xludf.DUMMYFUNCTION("""COMPUTED_VALUE"""),56)</f>
        <v>56</v>
      </c>
      <c r="M847" s="539">
        <f ca="1">IFERROR(__xludf.DUMMYFUNCTION("""COMPUTED_VALUE"""),1)</f>
        <v>1</v>
      </c>
      <c r="N847" s="539">
        <f ca="1">IFERROR(__xludf.DUMMYFUNCTION("""COMPUTED_VALUE"""),1)</f>
        <v>1</v>
      </c>
      <c r="O847" s="539">
        <f ca="1">IFERROR(__xludf.DUMMYFUNCTION("""COMPUTED_VALUE"""),0)</f>
        <v>0</v>
      </c>
    </row>
    <row r="848" spans="1:15" ht="12.75">
      <c r="A848" s="539">
        <f ca="1"/>
        <v>842</v>
      </c>
      <c r="B848" s="35" t="str">
        <f ca="1">IFERROR(__xludf.DUMMYFUNCTION("""COMPUTED_VALUE"""),"Tổ Hạ tầng Gò Dầu")</f>
        <v>Tổ Hạ tầng Gò Dầu</v>
      </c>
      <c r="C848" s="35" t="str">
        <f ca="1">IFERROR(__xludf.DUMMYFUNCTION("""COMPUTED_VALUE"""),"Lê Tấn Phong")</f>
        <v>Lê Tấn Phong</v>
      </c>
      <c r="D848" s="35">
        <f ca="1">IFERROR(__xludf.DUMMYFUNCTION("""COMPUTED_VALUE"""),949502705)</f>
        <v>949502705</v>
      </c>
      <c r="E848" s="35" t="str">
        <f ca="1">IFERROR(__xludf.DUMMYFUNCTION("""COMPUTED_VALUE"""),"phonglt.tnh@vnpt.vn")</f>
        <v>phonglt.tnh@vnpt.vn</v>
      </c>
      <c r="F848" s="540" t="str">
        <f ca="1">IFERROR(__xludf.DUMMYFUNCTION("""COMPUTED_VALUE"""),"Lần 10")</f>
        <v>Lần 10</v>
      </c>
      <c r="G848" s="278">
        <f ca="1">IFERROR(__xludf.DUMMYFUNCTION("""COMPUTED_VALUE"""),46217)</f>
        <v>46217</v>
      </c>
      <c r="H848" s="35">
        <f ca="1">IFERROR(__xludf.DUMMYFUNCTION("""COMPUTED_VALUE"""),88)</f>
        <v>88</v>
      </c>
      <c r="I848" s="35">
        <f ca="1">IFERROR(__xludf.DUMMYFUNCTION("""COMPUTED_VALUE"""),59)</f>
        <v>59</v>
      </c>
      <c r="J848" s="35">
        <f ca="1">IFERROR(__xludf.DUMMYFUNCTION("""COMPUTED_VALUE"""),87)</f>
        <v>87</v>
      </c>
      <c r="K848" s="35">
        <f ca="1">IFERROR(__xludf.DUMMYFUNCTION("""COMPUTED_VALUE"""),49)</f>
        <v>49</v>
      </c>
      <c r="M848" s="539">
        <f ca="1">IFERROR(__xludf.DUMMYFUNCTION("""COMPUTED_VALUE"""),1)</f>
        <v>1</v>
      </c>
      <c r="N848" s="539">
        <f ca="1">IFERROR(__xludf.DUMMYFUNCTION("""COMPUTED_VALUE"""),1)</f>
        <v>1</v>
      </c>
      <c r="O848" s="539">
        <f ca="1">IFERROR(__xludf.DUMMYFUNCTION("""COMPUTED_VALUE"""),0)</f>
        <v>0</v>
      </c>
    </row>
    <row r="849" spans="1:15" ht="12.75">
      <c r="A849" s="539">
        <f ca="1"/>
        <v>843</v>
      </c>
      <c r="B849" s="35" t="str">
        <f ca="1">IFERROR(__xludf.DUMMYFUNCTION("""COMPUTED_VALUE"""),"Tổ Hạ tầng Gò Dầu")</f>
        <v>Tổ Hạ tầng Gò Dầu</v>
      </c>
      <c r="C849" s="35" t="str">
        <f ca="1">IFERROR(__xludf.DUMMYFUNCTION("""COMPUTED_VALUE"""),"Lê Tấn Phong")</f>
        <v>Lê Tấn Phong</v>
      </c>
      <c r="D849" s="35">
        <f ca="1">IFERROR(__xludf.DUMMYFUNCTION("""COMPUTED_VALUE"""),949502705)</f>
        <v>949502705</v>
      </c>
      <c r="E849" s="35" t="str">
        <f ca="1">IFERROR(__xludf.DUMMYFUNCTION("""COMPUTED_VALUE"""),"phonglt.tnh@vnpt.vn")</f>
        <v>phonglt.tnh@vnpt.vn</v>
      </c>
      <c r="F849" s="540" t="str">
        <f ca="1">IFERROR(__xludf.DUMMYFUNCTION("""COMPUTED_VALUE"""),"Lần 11")</f>
        <v>Lần 11</v>
      </c>
      <c r="G849" s="278">
        <f ca="1">IFERROR(__xludf.DUMMYFUNCTION("""COMPUTED_VALUE"""),46217)</f>
        <v>46217</v>
      </c>
      <c r="H849" s="35">
        <f ca="1">IFERROR(__xludf.DUMMYFUNCTION("""COMPUTED_VALUE"""),87)</f>
        <v>87</v>
      </c>
      <c r="I849" s="35">
        <f ca="1">IFERROR(__xludf.DUMMYFUNCTION("""COMPUTED_VALUE"""),55)</f>
        <v>55</v>
      </c>
      <c r="J849" s="35">
        <f ca="1">IFERROR(__xludf.DUMMYFUNCTION("""COMPUTED_VALUE"""),139)</f>
        <v>139</v>
      </c>
      <c r="K849" s="35">
        <f ca="1">IFERROR(__xludf.DUMMYFUNCTION("""COMPUTED_VALUE"""),48)</f>
        <v>48</v>
      </c>
      <c r="M849" s="539">
        <f ca="1">IFERROR(__xludf.DUMMYFUNCTION("""COMPUTED_VALUE"""),1)</f>
        <v>1</v>
      </c>
      <c r="N849" s="539">
        <f ca="1">IFERROR(__xludf.DUMMYFUNCTION("""COMPUTED_VALUE"""),1)</f>
        <v>1</v>
      </c>
      <c r="O849" s="539">
        <f ca="1">IFERROR(__xludf.DUMMYFUNCTION("""COMPUTED_VALUE"""),0)</f>
        <v>0</v>
      </c>
    </row>
    <row r="850" spans="1:15" ht="12.75">
      <c r="A850" s="539">
        <f ca="1"/>
        <v>844</v>
      </c>
      <c r="B850" s="35" t="str">
        <f ca="1">IFERROR(__xludf.DUMMYFUNCTION("""COMPUTED_VALUE"""),"Tổ Hạ tầng Gò Dầu")</f>
        <v>Tổ Hạ tầng Gò Dầu</v>
      </c>
      <c r="C850" s="35" t="str">
        <f ca="1">IFERROR(__xludf.DUMMYFUNCTION("""COMPUTED_VALUE"""),"Lê Tấn Phong")</f>
        <v>Lê Tấn Phong</v>
      </c>
      <c r="D850" s="35">
        <f ca="1">IFERROR(__xludf.DUMMYFUNCTION("""COMPUTED_VALUE"""),949502705)</f>
        <v>949502705</v>
      </c>
      <c r="E850" s="35" t="str">
        <f ca="1">IFERROR(__xludf.DUMMYFUNCTION("""COMPUTED_VALUE"""),"phonglt.tnh@vnpt.vn")</f>
        <v>phonglt.tnh@vnpt.vn</v>
      </c>
      <c r="F850" s="540" t="str">
        <f ca="1">IFERROR(__xludf.DUMMYFUNCTION("""COMPUTED_VALUE"""),"Lần 12")</f>
        <v>Lần 12</v>
      </c>
      <c r="G850" s="278">
        <f ca="1">IFERROR(__xludf.DUMMYFUNCTION("""COMPUTED_VALUE"""),46217)</f>
        <v>46217</v>
      </c>
      <c r="H850" s="35">
        <f ca="1">IFERROR(__xludf.DUMMYFUNCTION("""COMPUTED_VALUE"""),90)</f>
        <v>90</v>
      </c>
      <c r="I850" s="35">
        <f ca="1">IFERROR(__xludf.DUMMYFUNCTION("""COMPUTED_VALUE"""),59)</f>
        <v>59</v>
      </c>
      <c r="J850" s="35">
        <f ca="1">IFERROR(__xludf.DUMMYFUNCTION("""COMPUTED_VALUE"""),308)</f>
        <v>308</v>
      </c>
      <c r="K850" s="35">
        <f ca="1">IFERROR(__xludf.DUMMYFUNCTION("""COMPUTED_VALUE"""),64)</f>
        <v>64</v>
      </c>
      <c r="M850" s="539">
        <f ca="1">IFERROR(__xludf.DUMMYFUNCTION("""COMPUTED_VALUE"""),1)</f>
        <v>1</v>
      </c>
      <c r="N850" s="539">
        <f ca="1">IFERROR(__xludf.DUMMYFUNCTION("""COMPUTED_VALUE"""),1)</f>
        <v>1</v>
      </c>
      <c r="O850" s="539">
        <f ca="1">IFERROR(__xludf.DUMMYFUNCTION("""COMPUTED_VALUE"""),1)</f>
        <v>1</v>
      </c>
    </row>
    <row r="851" spans="1:15" ht="12.75">
      <c r="A851" s="539">
        <f ca="1"/>
        <v>845</v>
      </c>
      <c r="B851" s="35" t="str">
        <f ca="1">IFERROR(__xludf.DUMMYFUNCTION("""COMPUTED_VALUE"""),"Tổ Hạ tầng Gò Dầu")</f>
        <v>Tổ Hạ tầng Gò Dầu</v>
      </c>
      <c r="C851" s="35" t="str">
        <f ca="1">IFERROR(__xludf.DUMMYFUNCTION("""COMPUTED_VALUE"""),"Lê Tấn Phong")</f>
        <v>Lê Tấn Phong</v>
      </c>
      <c r="D851" s="35">
        <f ca="1">IFERROR(__xludf.DUMMYFUNCTION("""COMPUTED_VALUE"""),949502705)</f>
        <v>949502705</v>
      </c>
      <c r="E851" s="35" t="str">
        <f ca="1">IFERROR(__xludf.DUMMYFUNCTION("""COMPUTED_VALUE"""),"phonglt.tnh@vnpt.vn")</f>
        <v>phonglt.tnh@vnpt.vn</v>
      </c>
      <c r="F851" s="540" t="str">
        <f ca="1">IFERROR(__xludf.DUMMYFUNCTION("""COMPUTED_VALUE"""),"Lần 13")</f>
        <v>Lần 13</v>
      </c>
      <c r="G851" s="278">
        <f ca="1">IFERROR(__xludf.DUMMYFUNCTION("""COMPUTED_VALUE"""),46223)</f>
        <v>46223</v>
      </c>
      <c r="H851" s="35"/>
      <c r="I851" s="35"/>
      <c r="J851" s="35"/>
      <c r="K851" s="35"/>
      <c r="M851" s="539">
        <f ca="1">IFERROR(__xludf.DUMMYFUNCTION("""COMPUTED_VALUE"""),0)</f>
        <v>0</v>
      </c>
      <c r="N851" s="539">
        <f ca="1">IFERROR(__xludf.DUMMYFUNCTION("""COMPUTED_VALUE"""),0)</f>
        <v>0</v>
      </c>
      <c r="O851" s="539">
        <f ca="1">IFERROR(__xludf.DUMMYFUNCTION("""COMPUTED_VALUE"""),0)</f>
        <v>0</v>
      </c>
    </row>
    <row r="852" spans="1:15" ht="12.75">
      <c r="A852" s="539">
        <f ca="1"/>
        <v>846</v>
      </c>
      <c r="B852" s="35" t="str">
        <f ca="1">IFERROR(__xludf.DUMMYFUNCTION("""COMPUTED_VALUE"""),"Tổ Hạ tầng Gò Dầu")</f>
        <v>Tổ Hạ tầng Gò Dầu</v>
      </c>
      <c r="C852" s="35" t="str">
        <f ca="1">IFERROR(__xludf.DUMMYFUNCTION("""COMPUTED_VALUE"""),"Lê Tấn Phong")</f>
        <v>Lê Tấn Phong</v>
      </c>
      <c r="D852" s="35">
        <f ca="1">IFERROR(__xludf.DUMMYFUNCTION("""COMPUTED_VALUE"""),949502705)</f>
        <v>949502705</v>
      </c>
      <c r="E852" s="35" t="str">
        <f ca="1">IFERROR(__xludf.DUMMYFUNCTION("""COMPUTED_VALUE"""),"phonglt.tnh@vnpt.vn")</f>
        <v>phonglt.tnh@vnpt.vn</v>
      </c>
      <c r="F852" s="540" t="str">
        <f ca="1">IFERROR(__xludf.DUMMYFUNCTION("""COMPUTED_VALUE"""),"Lần 14")</f>
        <v>Lần 14</v>
      </c>
      <c r="G852" s="278">
        <f ca="1">IFERROR(__xludf.DUMMYFUNCTION("""COMPUTED_VALUE"""),46223)</f>
        <v>46223</v>
      </c>
      <c r="H852" s="35"/>
      <c r="I852" s="35"/>
      <c r="J852" s="35"/>
      <c r="K852" s="35"/>
      <c r="M852" s="539">
        <f ca="1">IFERROR(__xludf.DUMMYFUNCTION("""COMPUTED_VALUE"""),0)</f>
        <v>0</v>
      </c>
      <c r="N852" s="539">
        <f ca="1">IFERROR(__xludf.DUMMYFUNCTION("""COMPUTED_VALUE"""),0)</f>
        <v>0</v>
      </c>
      <c r="O852" s="539">
        <f ca="1">IFERROR(__xludf.DUMMYFUNCTION("""COMPUTED_VALUE"""),0)</f>
        <v>0</v>
      </c>
    </row>
    <row r="853" spans="1:15" ht="12.75">
      <c r="A853" s="539">
        <f ca="1"/>
        <v>847</v>
      </c>
      <c r="B853" s="35" t="str">
        <f ca="1">IFERROR(__xludf.DUMMYFUNCTION("""COMPUTED_VALUE"""),"Tổ Hạ tầng Gò Dầu")</f>
        <v>Tổ Hạ tầng Gò Dầu</v>
      </c>
      <c r="C853" s="35" t="str">
        <f ca="1">IFERROR(__xludf.DUMMYFUNCTION("""COMPUTED_VALUE"""),"Lê Tấn Phong")</f>
        <v>Lê Tấn Phong</v>
      </c>
      <c r="D853" s="35">
        <f ca="1">IFERROR(__xludf.DUMMYFUNCTION("""COMPUTED_VALUE"""),949502705)</f>
        <v>949502705</v>
      </c>
      <c r="E853" s="35" t="str">
        <f ca="1">IFERROR(__xludf.DUMMYFUNCTION("""COMPUTED_VALUE"""),"phonglt.tnh@vnpt.vn")</f>
        <v>phonglt.tnh@vnpt.vn</v>
      </c>
      <c r="F853" s="540" t="str">
        <f ca="1">IFERROR(__xludf.DUMMYFUNCTION("""COMPUTED_VALUE"""),"Lần 15")</f>
        <v>Lần 15</v>
      </c>
      <c r="G853" s="278">
        <f ca="1">IFERROR(__xludf.DUMMYFUNCTION("""COMPUTED_VALUE"""),46223)</f>
        <v>46223</v>
      </c>
      <c r="H853" s="35"/>
      <c r="I853" s="35"/>
      <c r="J853" s="35"/>
      <c r="K853" s="35"/>
      <c r="M853" s="539">
        <f ca="1">IFERROR(__xludf.DUMMYFUNCTION("""COMPUTED_VALUE"""),0)</f>
        <v>0</v>
      </c>
      <c r="N853" s="539">
        <f ca="1">IFERROR(__xludf.DUMMYFUNCTION("""COMPUTED_VALUE"""),0)</f>
        <v>0</v>
      </c>
      <c r="O853" s="539">
        <f ca="1">IFERROR(__xludf.DUMMYFUNCTION("""COMPUTED_VALUE"""),0)</f>
        <v>0</v>
      </c>
    </row>
    <row r="854" spans="1:15" ht="12.75">
      <c r="A854" s="539">
        <f ca="1"/>
        <v>848</v>
      </c>
      <c r="B854" s="35" t="str">
        <f ca="1">IFERROR(__xludf.DUMMYFUNCTION("""COMPUTED_VALUE"""),"Tổ Hạ tầng Gò Dầu")</f>
        <v>Tổ Hạ tầng Gò Dầu</v>
      </c>
      <c r="C854" s="35" t="str">
        <f ca="1">IFERROR(__xludf.DUMMYFUNCTION("""COMPUTED_VALUE"""),"Lê Tấn Phong")</f>
        <v>Lê Tấn Phong</v>
      </c>
      <c r="D854" s="35">
        <f ca="1">IFERROR(__xludf.DUMMYFUNCTION("""COMPUTED_VALUE"""),949502705)</f>
        <v>949502705</v>
      </c>
      <c r="E854" s="35" t="str">
        <f ca="1">IFERROR(__xludf.DUMMYFUNCTION("""COMPUTED_VALUE"""),"phonglt.tnh@vnpt.vn")</f>
        <v>phonglt.tnh@vnpt.vn</v>
      </c>
      <c r="F854" s="540" t="str">
        <f ca="1">IFERROR(__xludf.DUMMYFUNCTION("""COMPUTED_VALUE"""),"Lần 16")</f>
        <v>Lần 16</v>
      </c>
      <c r="G854" s="278">
        <f ca="1">IFERROR(__xludf.DUMMYFUNCTION("""COMPUTED_VALUE"""),46223)</f>
        <v>46223</v>
      </c>
      <c r="H854" s="35"/>
      <c r="I854" s="35"/>
      <c r="J854" s="35"/>
      <c r="K854" s="35"/>
      <c r="M854" s="539">
        <f ca="1">IFERROR(__xludf.DUMMYFUNCTION("""COMPUTED_VALUE"""),0)</f>
        <v>0</v>
      </c>
      <c r="N854" s="539">
        <f ca="1">IFERROR(__xludf.DUMMYFUNCTION("""COMPUTED_VALUE"""),0)</f>
        <v>0</v>
      </c>
      <c r="O854" s="539">
        <f ca="1">IFERROR(__xludf.DUMMYFUNCTION("""COMPUTED_VALUE"""),0)</f>
        <v>0</v>
      </c>
    </row>
    <row r="855" spans="1:15" ht="12.75">
      <c r="A855" s="539">
        <f ca="1"/>
        <v>849</v>
      </c>
      <c r="B855" s="35" t="str">
        <f ca="1">IFERROR(__xludf.DUMMYFUNCTION("""COMPUTED_VALUE"""),"Tổ Hạ tầng Gò Dầu")</f>
        <v>Tổ Hạ tầng Gò Dầu</v>
      </c>
      <c r="C855" s="35" t="str">
        <f ca="1">IFERROR(__xludf.DUMMYFUNCTION("""COMPUTED_VALUE"""),"Trần Quốc Đạt")</f>
        <v>Trần Quốc Đạt</v>
      </c>
      <c r="D855" s="35">
        <f ca="1">IFERROR(__xludf.DUMMYFUNCTION("""COMPUTED_VALUE"""),946432493)</f>
        <v>946432493</v>
      </c>
      <c r="E855" s="35" t="str">
        <f ca="1">IFERROR(__xludf.DUMMYFUNCTION("""COMPUTED_VALUE"""),"dattq.tnh@vnpt.vn")</f>
        <v>dattq.tnh@vnpt.vn</v>
      </c>
      <c r="F855" s="540" t="str">
        <f ca="1">IFERROR(__xludf.DUMMYFUNCTION("""COMPUTED_VALUE"""),"Lần 1")</f>
        <v>Lần 1</v>
      </c>
      <c r="G855" s="278">
        <f ca="1">IFERROR(__xludf.DUMMYFUNCTION("""COMPUTED_VALUE"""),46206)</f>
        <v>46206</v>
      </c>
      <c r="H855" s="35">
        <f ca="1">IFERROR(__xludf.DUMMYFUNCTION("""COMPUTED_VALUE"""),85)</f>
        <v>85</v>
      </c>
      <c r="I855" s="35">
        <f ca="1">IFERROR(__xludf.DUMMYFUNCTION("""COMPUTED_VALUE"""),59)</f>
        <v>59</v>
      </c>
      <c r="J855" s="35">
        <f ca="1">IFERROR(__xludf.DUMMYFUNCTION("""COMPUTED_VALUE"""),79)</f>
        <v>79</v>
      </c>
      <c r="K855" s="35">
        <f ca="1">IFERROR(__xludf.DUMMYFUNCTION("""COMPUTED_VALUE"""),54)</f>
        <v>54</v>
      </c>
      <c r="M855" s="539">
        <f ca="1">IFERROR(__xludf.DUMMYFUNCTION("""COMPUTED_VALUE"""),1)</f>
        <v>1</v>
      </c>
      <c r="N855" s="539">
        <f ca="1">IFERROR(__xludf.DUMMYFUNCTION("""COMPUTED_VALUE"""),1)</f>
        <v>1</v>
      </c>
      <c r="O855" s="539">
        <f ca="1">IFERROR(__xludf.DUMMYFUNCTION("""COMPUTED_VALUE"""),0)</f>
        <v>0</v>
      </c>
    </row>
    <row r="856" spans="1:15" ht="12.75">
      <c r="A856" s="539">
        <f ca="1"/>
        <v>850</v>
      </c>
      <c r="B856" s="35" t="str">
        <f ca="1">IFERROR(__xludf.DUMMYFUNCTION("""COMPUTED_VALUE"""),"Tổ Hạ tầng Gò Dầu")</f>
        <v>Tổ Hạ tầng Gò Dầu</v>
      </c>
      <c r="C856" s="35" t="str">
        <f ca="1">IFERROR(__xludf.DUMMYFUNCTION("""COMPUTED_VALUE"""),"Trần Quốc Đạt")</f>
        <v>Trần Quốc Đạt</v>
      </c>
      <c r="D856" s="35">
        <f ca="1">IFERROR(__xludf.DUMMYFUNCTION("""COMPUTED_VALUE"""),946432493)</f>
        <v>946432493</v>
      </c>
      <c r="E856" s="35" t="str">
        <f ca="1">IFERROR(__xludf.DUMMYFUNCTION("""COMPUTED_VALUE"""),"dattq.tnh@vnpt.vn")</f>
        <v>dattq.tnh@vnpt.vn</v>
      </c>
      <c r="F856" s="540" t="str">
        <f ca="1">IFERROR(__xludf.DUMMYFUNCTION("""COMPUTED_VALUE"""),"Lần 2")</f>
        <v>Lần 2</v>
      </c>
      <c r="G856" s="278">
        <f ca="1">IFERROR(__xludf.DUMMYFUNCTION("""COMPUTED_VALUE"""),46206)</f>
        <v>46206</v>
      </c>
      <c r="H856" s="35">
        <f ca="1">IFERROR(__xludf.DUMMYFUNCTION("""COMPUTED_VALUE"""),78)</f>
        <v>78</v>
      </c>
      <c r="I856" s="35">
        <f ca="1">IFERROR(__xludf.DUMMYFUNCTION("""COMPUTED_VALUE"""),63)</f>
        <v>63</v>
      </c>
      <c r="J856" s="35">
        <f ca="1">IFERROR(__xludf.DUMMYFUNCTION("""COMPUTED_VALUE"""),78)</f>
        <v>78</v>
      </c>
      <c r="K856" s="35">
        <f ca="1">IFERROR(__xludf.DUMMYFUNCTION("""COMPUTED_VALUE"""),43)</f>
        <v>43</v>
      </c>
      <c r="M856" s="539">
        <f ca="1">IFERROR(__xludf.DUMMYFUNCTION("""COMPUTED_VALUE"""),1)</f>
        <v>1</v>
      </c>
      <c r="N856" s="539">
        <f ca="1">IFERROR(__xludf.DUMMYFUNCTION("""COMPUTED_VALUE"""),1)</f>
        <v>1</v>
      </c>
      <c r="O856" s="539">
        <f ca="1">IFERROR(__xludf.DUMMYFUNCTION("""COMPUTED_VALUE"""),0)</f>
        <v>0</v>
      </c>
    </row>
    <row r="857" spans="1:15" ht="12.75">
      <c r="A857" s="539">
        <f ca="1"/>
        <v>851</v>
      </c>
      <c r="B857" s="35" t="str">
        <f ca="1">IFERROR(__xludf.DUMMYFUNCTION("""COMPUTED_VALUE"""),"Tổ Hạ tầng Gò Dầu")</f>
        <v>Tổ Hạ tầng Gò Dầu</v>
      </c>
      <c r="C857" s="35" t="str">
        <f ca="1">IFERROR(__xludf.DUMMYFUNCTION("""COMPUTED_VALUE"""),"Trần Quốc Đạt")</f>
        <v>Trần Quốc Đạt</v>
      </c>
      <c r="D857" s="35">
        <f ca="1">IFERROR(__xludf.DUMMYFUNCTION("""COMPUTED_VALUE"""),946432493)</f>
        <v>946432493</v>
      </c>
      <c r="E857" s="35" t="str">
        <f ca="1">IFERROR(__xludf.DUMMYFUNCTION("""COMPUTED_VALUE"""),"dattq.tnh@vnpt.vn")</f>
        <v>dattq.tnh@vnpt.vn</v>
      </c>
      <c r="F857" s="540" t="str">
        <f ca="1">IFERROR(__xludf.DUMMYFUNCTION("""COMPUTED_VALUE"""),"Lần 3")</f>
        <v>Lần 3</v>
      </c>
      <c r="G857" s="278">
        <f ca="1">IFERROR(__xludf.DUMMYFUNCTION("""COMPUTED_VALUE"""),46206)</f>
        <v>46206</v>
      </c>
      <c r="H857" s="35">
        <f ca="1">IFERROR(__xludf.DUMMYFUNCTION("""COMPUTED_VALUE"""),102)</f>
        <v>102</v>
      </c>
      <c r="I857" s="35">
        <f ca="1">IFERROR(__xludf.DUMMYFUNCTION("""COMPUTED_VALUE"""),63)</f>
        <v>63</v>
      </c>
      <c r="J857" s="35">
        <f ca="1">IFERROR(__xludf.DUMMYFUNCTION("""COMPUTED_VALUE"""),82)</f>
        <v>82</v>
      </c>
      <c r="K857" s="35">
        <f ca="1">IFERROR(__xludf.DUMMYFUNCTION("""COMPUTED_VALUE"""),41)</f>
        <v>41</v>
      </c>
      <c r="M857" s="539">
        <f ca="1">IFERROR(__xludf.DUMMYFUNCTION("""COMPUTED_VALUE"""),1)</f>
        <v>1</v>
      </c>
      <c r="N857" s="539">
        <f ca="1">IFERROR(__xludf.DUMMYFUNCTION("""COMPUTED_VALUE"""),1)</f>
        <v>1</v>
      </c>
      <c r="O857" s="539">
        <f ca="1">IFERROR(__xludf.DUMMYFUNCTION("""COMPUTED_VALUE"""),0)</f>
        <v>0</v>
      </c>
    </row>
    <row r="858" spans="1:15" ht="12.75">
      <c r="A858" s="539">
        <f ca="1"/>
        <v>852</v>
      </c>
      <c r="B858" s="35" t="str">
        <f ca="1">IFERROR(__xludf.DUMMYFUNCTION("""COMPUTED_VALUE"""),"Tổ Hạ tầng Gò Dầu")</f>
        <v>Tổ Hạ tầng Gò Dầu</v>
      </c>
      <c r="C858" s="35" t="str">
        <f ca="1">IFERROR(__xludf.DUMMYFUNCTION("""COMPUTED_VALUE"""),"Trần Quốc Đạt")</f>
        <v>Trần Quốc Đạt</v>
      </c>
      <c r="D858" s="35">
        <f ca="1">IFERROR(__xludf.DUMMYFUNCTION("""COMPUTED_VALUE"""),946432493)</f>
        <v>946432493</v>
      </c>
      <c r="E858" s="35" t="str">
        <f ca="1">IFERROR(__xludf.DUMMYFUNCTION("""COMPUTED_VALUE"""),"dattq.tnh@vnpt.vn")</f>
        <v>dattq.tnh@vnpt.vn</v>
      </c>
      <c r="F858" s="540" t="str">
        <f ca="1">IFERROR(__xludf.DUMMYFUNCTION("""COMPUTED_VALUE"""),"Lần 4")</f>
        <v>Lần 4</v>
      </c>
      <c r="G858" s="278">
        <f ca="1">IFERROR(__xludf.DUMMYFUNCTION("""COMPUTED_VALUE"""),46206)</f>
        <v>46206</v>
      </c>
      <c r="H858" s="35">
        <f ca="1">IFERROR(__xludf.DUMMYFUNCTION("""COMPUTED_VALUE"""),92)</f>
        <v>92</v>
      </c>
      <c r="I858" s="35">
        <f ca="1">IFERROR(__xludf.DUMMYFUNCTION("""COMPUTED_VALUE"""),61)</f>
        <v>61</v>
      </c>
      <c r="J858" s="35">
        <f ca="1">IFERROR(__xludf.DUMMYFUNCTION("""COMPUTED_VALUE"""),78)</f>
        <v>78</v>
      </c>
      <c r="K858" s="35">
        <f ca="1">IFERROR(__xludf.DUMMYFUNCTION("""COMPUTED_VALUE"""),43)</f>
        <v>43</v>
      </c>
      <c r="M858" s="539">
        <f ca="1">IFERROR(__xludf.DUMMYFUNCTION("""COMPUTED_VALUE"""),1)</f>
        <v>1</v>
      </c>
      <c r="N858" s="539">
        <f ca="1">IFERROR(__xludf.DUMMYFUNCTION("""COMPUTED_VALUE"""),1)</f>
        <v>1</v>
      </c>
      <c r="O858" s="539">
        <f ca="1">IFERROR(__xludf.DUMMYFUNCTION("""COMPUTED_VALUE"""),0)</f>
        <v>0</v>
      </c>
    </row>
    <row r="859" spans="1:15" ht="12.75">
      <c r="A859" s="539">
        <f ca="1"/>
        <v>853</v>
      </c>
      <c r="B859" s="35" t="str">
        <f ca="1">IFERROR(__xludf.DUMMYFUNCTION("""COMPUTED_VALUE"""),"Tổ Hạ tầng Gò Dầu")</f>
        <v>Tổ Hạ tầng Gò Dầu</v>
      </c>
      <c r="C859" s="35" t="str">
        <f ca="1">IFERROR(__xludf.DUMMYFUNCTION("""COMPUTED_VALUE"""),"Trần Quốc Đạt")</f>
        <v>Trần Quốc Đạt</v>
      </c>
      <c r="D859" s="35">
        <f ca="1">IFERROR(__xludf.DUMMYFUNCTION("""COMPUTED_VALUE"""),946432493)</f>
        <v>946432493</v>
      </c>
      <c r="E859" s="35" t="str">
        <f ca="1">IFERROR(__xludf.DUMMYFUNCTION("""COMPUTED_VALUE"""),"dattq.tnh@vnpt.vn")</f>
        <v>dattq.tnh@vnpt.vn</v>
      </c>
      <c r="F859" s="540" t="str">
        <f ca="1">IFERROR(__xludf.DUMMYFUNCTION("""COMPUTED_VALUE"""),"Lần 5")</f>
        <v>Lần 5</v>
      </c>
      <c r="G859" s="278">
        <f ca="1">IFERROR(__xludf.DUMMYFUNCTION("""COMPUTED_VALUE"""),46211)</f>
        <v>46211</v>
      </c>
      <c r="H859" s="35">
        <f ca="1">IFERROR(__xludf.DUMMYFUNCTION("""COMPUTED_VALUE"""),102)</f>
        <v>102</v>
      </c>
      <c r="I859" s="35">
        <f ca="1">IFERROR(__xludf.DUMMYFUNCTION("""COMPUTED_VALUE"""),63)</f>
        <v>63</v>
      </c>
      <c r="J859" s="35">
        <f ca="1">IFERROR(__xludf.DUMMYFUNCTION("""COMPUTED_VALUE"""),79)</f>
        <v>79</v>
      </c>
      <c r="K859" s="35">
        <f ca="1">IFERROR(__xludf.DUMMYFUNCTION("""COMPUTED_VALUE"""),43)</f>
        <v>43</v>
      </c>
      <c r="M859" s="539">
        <f ca="1">IFERROR(__xludf.DUMMYFUNCTION("""COMPUTED_VALUE"""),1)</f>
        <v>1</v>
      </c>
      <c r="N859" s="539">
        <f ca="1">IFERROR(__xludf.DUMMYFUNCTION("""COMPUTED_VALUE"""),1)</f>
        <v>1</v>
      </c>
      <c r="O859" s="539">
        <f ca="1">IFERROR(__xludf.DUMMYFUNCTION("""COMPUTED_VALUE"""),0)</f>
        <v>0</v>
      </c>
    </row>
    <row r="860" spans="1:15" ht="12.75">
      <c r="A860" s="539">
        <f ca="1"/>
        <v>854</v>
      </c>
      <c r="B860" s="35" t="str">
        <f ca="1">IFERROR(__xludf.DUMMYFUNCTION("""COMPUTED_VALUE"""),"Tổ Hạ tầng Gò Dầu")</f>
        <v>Tổ Hạ tầng Gò Dầu</v>
      </c>
      <c r="C860" s="35" t="str">
        <f ca="1">IFERROR(__xludf.DUMMYFUNCTION("""COMPUTED_VALUE"""),"Trần Quốc Đạt")</f>
        <v>Trần Quốc Đạt</v>
      </c>
      <c r="D860" s="35">
        <f ca="1">IFERROR(__xludf.DUMMYFUNCTION("""COMPUTED_VALUE"""),946432493)</f>
        <v>946432493</v>
      </c>
      <c r="E860" s="35" t="str">
        <f ca="1">IFERROR(__xludf.DUMMYFUNCTION("""COMPUTED_VALUE"""),"dattq.tnh@vnpt.vn")</f>
        <v>dattq.tnh@vnpt.vn</v>
      </c>
      <c r="F860" s="540" t="str">
        <f ca="1">IFERROR(__xludf.DUMMYFUNCTION("""COMPUTED_VALUE"""),"Lần 6")</f>
        <v>Lần 6</v>
      </c>
      <c r="G860" s="278">
        <f ca="1">IFERROR(__xludf.DUMMYFUNCTION("""COMPUTED_VALUE"""),46211)</f>
        <v>46211</v>
      </c>
      <c r="H860" s="35">
        <f ca="1">IFERROR(__xludf.DUMMYFUNCTION("""COMPUTED_VALUE"""),101)</f>
        <v>101</v>
      </c>
      <c r="I860" s="35">
        <f ca="1">IFERROR(__xludf.DUMMYFUNCTION("""COMPUTED_VALUE"""),65)</f>
        <v>65</v>
      </c>
      <c r="J860" s="35">
        <f ca="1">IFERROR(__xludf.DUMMYFUNCTION("""COMPUTED_VALUE"""),88)</f>
        <v>88</v>
      </c>
      <c r="K860" s="35">
        <f ca="1">IFERROR(__xludf.DUMMYFUNCTION("""COMPUTED_VALUE"""),44)</f>
        <v>44</v>
      </c>
      <c r="M860" s="539">
        <f ca="1">IFERROR(__xludf.DUMMYFUNCTION("""COMPUTED_VALUE"""),1)</f>
        <v>1</v>
      </c>
      <c r="N860" s="539">
        <f ca="1">IFERROR(__xludf.DUMMYFUNCTION("""COMPUTED_VALUE"""),1)</f>
        <v>1</v>
      </c>
      <c r="O860" s="539">
        <f ca="1">IFERROR(__xludf.DUMMYFUNCTION("""COMPUTED_VALUE"""),0)</f>
        <v>0</v>
      </c>
    </row>
    <row r="861" spans="1:15" ht="12.75">
      <c r="A861" s="539">
        <f ca="1"/>
        <v>855</v>
      </c>
      <c r="B861" s="35" t="str">
        <f ca="1">IFERROR(__xludf.DUMMYFUNCTION("""COMPUTED_VALUE"""),"Tổ Hạ tầng Gò Dầu")</f>
        <v>Tổ Hạ tầng Gò Dầu</v>
      </c>
      <c r="C861" s="35" t="str">
        <f ca="1">IFERROR(__xludf.DUMMYFUNCTION("""COMPUTED_VALUE"""),"Trần Quốc Đạt")</f>
        <v>Trần Quốc Đạt</v>
      </c>
      <c r="D861" s="35">
        <f ca="1">IFERROR(__xludf.DUMMYFUNCTION("""COMPUTED_VALUE"""),946432493)</f>
        <v>946432493</v>
      </c>
      <c r="E861" s="35" t="str">
        <f ca="1">IFERROR(__xludf.DUMMYFUNCTION("""COMPUTED_VALUE"""),"dattq.tnh@vnpt.vn")</f>
        <v>dattq.tnh@vnpt.vn</v>
      </c>
      <c r="F861" s="540" t="str">
        <f ca="1">IFERROR(__xludf.DUMMYFUNCTION("""COMPUTED_VALUE"""),"Lần 7")</f>
        <v>Lần 7</v>
      </c>
      <c r="G861" s="278">
        <f ca="1">IFERROR(__xludf.DUMMYFUNCTION("""COMPUTED_VALUE"""),46211)</f>
        <v>46211</v>
      </c>
      <c r="H861" s="35">
        <f ca="1">IFERROR(__xludf.DUMMYFUNCTION("""COMPUTED_VALUE"""),99)</f>
        <v>99</v>
      </c>
      <c r="I861" s="35">
        <f ca="1">IFERROR(__xludf.DUMMYFUNCTION("""COMPUTED_VALUE"""),67)</f>
        <v>67</v>
      </c>
      <c r="J861" s="35">
        <f ca="1">IFERROR(__xludf.DUMMYFUNCTION("""COMPUTED_VALUE"""),92)</f>
        <v>92</v>
      </c>
      <c r="K861" s="35">
        <f ca="1">IFERROR(__xludf.DUMMYFUNCTION("""COMPUTED_VALUE"""),47)</f>
        <v>47</v>
      </c>
      <c r="M861" s="539">
        <f ca="1">IFERROR(__xludf.DUMMYFUNCTION("""COMPUTED_VALUE"""),1)</f>
        <v>1</v>
      </c>
      <c r="N861" s="539">
        <f ca="1">IFERROR(__xludf.DUMMYFUNCTION("""COMPUTED_VALUE"""),1)</f>
        <v>1</v>
      </c>
      <c r="O861" s="539">
        <f ca="1">IFERROR(__xludf.DUMMYFUNCTION("""COMPUTED_VALUE"""),0)</f>
        <v>0</v>
      </c>
    </row>
    <row r="862" spans="1:15" ht="12.75">
      <c r="A862" s="539">
        <f ca="1"/>
        <v>856</v>
      </c>
      <c r="B862" s="35" t="str">
        <f ca="1">IFERROR(__xludf.DUMMYFUNCTION("""COMPUTED_VALUE"""),"Tổ Hạ tầng Gò Dầu")</f>
        <v>Tổ Hạ tầng Gò Dầu</v>
      </c>
      <c r="C862" s="35" t="str">
        <f ca="1">IFERROR(__xludf.DUMMYFUNCTION("""COMPUTED_VALUE"""),"Trần Quốc Đạt")</f>
        <v>Trần Quốc Đạt</v>
      </c>
      <c r="D862" s="35">
        <f ca="1">IFERROR(__xludf.DUMMYFUNCTION("""COMPUTED_VALUE"""),946432493)</f>
        <v>946432493</v>
      </c>
      <c r="E862" s="35" t="str">
        <f ca="1">IFERROR(__xludf.DUMMYFUNCTION("""COMPUTED_VALUE"""),"dattq.tnh@vnpt.vn")</f>
        <v>dattq.tnh@vnpt.vn</v>
      </c>
      <c r="F862" s="540" t="str">
        <f ca="1">IFERROR(__xludf.DUMMYFUNCTION("""COMPUTED_VALUE"""),"Lần 8")</f>
        <v>Lần 8</v>
      </c>
      <c r="G862" s="278">
        <f ca="1">IFERROR(__xludf.DUMMYFUNCTION("""COMPUTED_VALUE"""),46211)</f>
        <v>46211</v>
      </c>
      <c r="H862" s="35">
        <f ca="1">IFERROR(__xludf.DUMMYFUNCTION("""COMPUTED_VALUE"""),627)</f>
        <v>627</v>
      </c>
      <c r="I862" s="35">
        <f ca="1">IFERROR(__xludf.DUMMYFUNCTION("""COMPUTED_VALUE"""),115)</f>
        <v>115</v>
      </c>
      <c r="J862" s="35">
        <f ca="1">IFERROR(__xludf.DUMMYFUNCTION("""COMPUTED_VALUE"""),85)</f>
        <v>85</v>
      </c>
      <c r="K862" s="35">
        <f ca="1">IFERROR(__xludf.DUMMYFUNCTION("""COMPUTED_VALUE"""),48)</f>
        <v>48</v>
      </c>
      <c r="M862" s="539">
        <f ca="1">IFERROR(__xludf.DUMMYFUNCTION("""COMPUTED_VALUE"""),1)</f>
        <v>1</v>
      </c>
      <c r="N862" s="539">
        <f ca="1">IFERROR(__xludf.DUMMYFUNCTION("""COMPUTED_VALUE"""),1)</f>
        <v>1</v>
      </c>
      <c r="O862" s="539">
        <f ca="1">IFERROR(__xludf.DUMMYFUNCTION("""COMPUTED_VALUE"""),0)</f>
        <v>0</v>
      </c>
    </row>
    <row r="863" spans="1:15" ht="12.75">
      <c r="A863" s="539">
        <f ca="1"/>
        <v>857</v>
      </c>
      <c r="B863" s="35" t="str">
        <f ca="1">IFERROR(__xludf.DUMMYFUNCTION("""COMPUTED_VALUE"""),"Tổ Hạ tầng Gò Dầu")</f>
        <v>Tổ Hạ tầng Gò Dầu</v>
      </c>
      <c r="C863" s="35" t="str">
        <f ca="1">IFERROR(__xludf.DUMMYFUNCTION("""COMPUTED_VALUE"""),"Trần Quốc Đạt")</f>
        <v>Trần Quốc Đạt</v>
      </c>
      <c r="D863" s="35">
        <f ca="1">IFERROR(__xludf.DUMMYFUNCTION("""COMPUTED_VALUE"""),946432493)</f>
        <v>946432493</v>
      </c>
      <c r="E863" s="35" t="str">
        <f ca="1">IFERROR(__xludf.DUMMYFUNCTION("""COMPUTED_VALUE"""),"dattq.tnh@vnpt.vn")</f>
        <v>dattq.tnh@vnpt.vn</v>
      </c>
      <c r="F863" s="540" t="str">
        <f ca="1">IFERROR(__xludf.DUMMYFUNCTION("""COMPUTED_VALUE"""),"Lần 9")</f>
        <v>Lần 9</v>
      </c>
      <c r="G863" s="278">
        <f ca="1">IFERROR(__xludf.DUMMYFUNCTION("""COMPUTED_VALUE"""),46217)</f>
        <v>46217</v>
      </c>
      <c r="H863" s="35">
        <f ca="1">IFERROR(__xludf.DUMMYFUNCTION("""COMPUTED_VALUE"""),208)</f>
        <v>208</v>
      </c>
      <c r="I863" s="35">
        <f ca="1">IFERROR(__xludf.DUMMYFUNCTION("""COMPUTED_VALUE"""),8)</f>
        <v>8</v>
      </c>
      <c r="J863" s="35">
        <f ca="1">IFERROR(__xludf.DUMMYFUNCTION("""COMPUTED_VALUE"""),89)</f>
        <v>89</v>
      </c>
      <c r="K863" s="35">
        <f ca="1">IFERROR(__xludf.DUMMYFUNCTION("""COMPUTED_VALUE"""),41)</f>
        <v>41</v>
      </c>
      <c r="M863" s="539">
        <f ca="1">IFERROR(__xludf.DUMMYFUNCTION("""COMPUTED_VALUE"""),1)</f>
        <v>1</v>
      </c>
      <c r="N863" s="539">
        <f ca="1">IFERROR(__xludf.DUMMYFUNCTION("""COMPUTED_VALUE"""),1)</f>
        <v>1</v>
      </c>
      <c r="O863" s="539">
        <f ca="1">IFERROR(__xludf.DUMMYFUNCTION("""COMPUTED_VALUE"""),0)</f>
        <v>0</v>
      </c>
    </row>
    <row r="864" spans="1:15" ht="12.75">
      <c r="A864" s="539">
        <f ca="1"/>
        <v>858</v>
      </c>
      <c r="B864" s="35" t="str">
        <f ca="1">IFERROR(__xludf.DUMMYFUNCTION("""COMPUTED_VALUE"""),"Tổ Hạ tầng Gò Dầu")</f>
        <v>Tổ Hạ tầng Gò Dầu</v>
      </c>
      <c r="C864" s="35" t="str">
        <f ca="1">IFERROR(__xludf.DUMMYFUNCTION("""COMPUTED_VALUE"""),"Trần Quốc Đạt")</f>
        <v>Trần Quốc Đạt</v>
      </c>
      <c r="D864" s="35">
        <f ca="1">IFERROR(__xludf.DUMMYFUNCTION("""COMPUTED_VALUE"""),946432493)</f>
        <v>946432493</v>
      </c>
      <c r="E864" s="35" t="str">
        <f ca="1">IFERROR(__xludf.DUMMYFUNCTION("""COMPUTED_VALUE"""),"dattq.tnh@vnpt.vn")</f>
        <v>dattq.tnh@vnpt.vn</v>
      </c>
      <c r="F864" s="540" t="str">
        <f ca="1">IFERROR(__xludf.DUMMYFUNCTION("""COMPUTED_VALUE"""),"Lần 10")</f>
        <v>Lần 10</v>
      </c>
      <c r="G864" s="278">
        <f ca="1">IFERROR(__xludf.DUMMYFUNCTION("""COMPUTED_VALUE"""),46217)</f>
        <v>46217</v>
      </c>
      <c r="H864" s="35">
        <f ca="1">IFERROR(__xludf.DUMMYFUNCTION("""COMPUTED_VALUE"""),264)</f>
        <v>264</v>
      </c>
      <c r="I864" s="35">
        <f ca="1">IFERROR(__xludf.DUMMYFUNCTION("""COMPUTED_VALUE"""),3)</f>
        <v>3</v>
      </c>
      <c r="J864" s="35">
        <f ca="1">IFERROR(__xludf.DUMMYFUNCTION("""COMPUTED_VALUE"""),87)</f>
        <v>87</v>
      </c>
      <c r="K864" s="35">
        <f ca="1">IFERROR(__xludf.DUMMYFUNCTION("""COMPUTED_VALUE"""),42)</f>
        <v>42</v>
      </c>
      <c r="M864" s="539">
        <f ca="1">IFERROR(__xludf.DUMMYFUNCTION("""COMPUTED_VALUE"""),1)</f>
        <v>1</v>
      </c>
      <c r="N864" s="539">
        <f ca="1">IFERROR(__xludf.DUMMYFUNCTION("""COMPUTED_VALUE"""),1)</f>
        <v>1</v>
      </c>
      <c r="O864" s="539">
        <f ca="1">IFERROR(__xludf.DUMMYFUNCTION("""COMPUTED_VALUE"""),0)</f>
        <v>0</v>
      </c>
    </row>
    <row r="865" spans="1:15" ht="12.75">
      <c r="A865" s="539">
        <f ca="1"/>
        <v>859</v>
      </c>
      <c r="B865" s="35" t="str">
        <f ca="1">IFERROR(__xludf.DUMMYFUNCTION("""COMPUTED_VALUE"""),"Tổ Hạ tầng Gò Dầu")</f>
        <v>Tổ Hạ tầng Gò Dầu</v>
      </c>
      <c r="C865" s="35" t="str">
        <f ca="1">IFERROR(__xludf.DUMMYFUNCTION("""COMPUTED_VALUE"""),"Trần Quốc Đạt")</f>
        <v>Trần Quốc Đạt</v>
      </c>
      <c r="D865" s="35">
        <f ca="1">IFERROR(__xludf.DUMMYFUNCTION("""COMPUTED_VALUE"""),946432493)</f>
        <v>946432493</v>
      </c>
      <c r="E865" s="35" t="str">
        <f ca="1">IFERROR(__xludf.DUMMYFUNCTION("""COMPUTED_VALUE"""),"dattq.tnh@vnpt.vn")</f>
        <v>dattq.tnh@vnpt.vn</v>
      </c>
      <c r="F865" s="540" t="str">
        <f ca="1">IFERROR(__xludf.DUMMYFUNCTION("""COMPUTED_VALUE"""),"Lần 11")</f>
        <v>Lần 11</v>
      </c>
      <c r="G865" s="278">
        <f ca="1">IFERROR(__xludf.DUMMYFUNCTION("""COMPUTED_VALUE"""),46217)</f>
        <v>46217</v>
      </c>
      <c r="H865" s="35">
        <f ca="1">IFERROR(__xludf.DUMMYFUNCTION("""COMPUTED_VALUE"""),272)</f>
        <v>272</v>
      </c>
      <c r="I865" s="35">
        <f ca="1">IFERROR(__xludf.DUMMYFUNCTION("""COMPUTED_VALUE"""),6)</f>
        <v>6</v>
      </c>
      <c r="J865" s="35">
        <f ca="1">IFERROR(__xludf.DUMMYFUNCTION("""COMPUTED_VALUE"""),88)</f>
        <v>88</v>
      </c>
      <c r="K865" s="35">
        <f ca="1">IFERROR(__xludf.DUMMYFUNCTION("""COMPUTED_VALUE"""),35)</f>
        <v>35</v>
      </c>
      <c r="M865" s="539">
        <f ca="1">IFERROR(__xludf.DUMMYFUNCTION("""COMPUTED_VALUE"""),1)</f>
        <v>1</v>
      </c>
      <c r="N865" s="539">
        <f ca="1">IFERROR(__xludf.DUMMYFUNCTION("""COMPUTED_VALUE"""),1)</f>
        <v>1</v>
      </c>
      <c r="O865" s="539">
        <f ca="1">IFERROR(__xludf.DUMMYFUNCTION("""COMPUTED_VALUE"""),0)</f>
        <v>0</v>
      </c>
    </row>
    <row r="866" spans="1:15" ht="12.75">
      <c r="A866" s="539">
        <f ca="1"/>
        <v>860</v>
      </c>
      <c r="B866" s="35" t="str">
        <f ca="1">IFERROR(__xludf.DUMMYFUNCTION("""COMPUTED_VALUE"""),"Tổ Hạ tầng Gò Dầu")</f>
        <v>Tổ Hạ tầng Gò Dầu</v>
      </c>
      <c r="C866" s="35" t="str">
        <f ca="1">IFERROR(__xludf.DUMMYFUNCTION("""COMPUTED_VALUE"""),"Trần Quốc Đạt")</f>
        <v>Trần Quốc Đạt</v>
      </c>
      <c r="D866" s="35">
        <f ca="1">IFERROR(__xludf.DUMMYFUNCTION("""COMPUTED_VALUE"""),946432493)</f>
        <v>946432493</v>
      </c>
      <c r="E866" s="35" t="str">
        <f ca="1">IFERROR(__xludf.DUMMYFUNCTION("""COMPUTED_VALUE"""),"dattq.tnh@vnpt.vn")</f>
        <v>dattq.tnh@vnpt.vn</v>
      </c>
      <c r="F866" s="540" t="str">
        <f ca="1">IFERROR(__xludf.DUMMYFUNCTION("""COMPUTED_VALUE"""),"Lần 12")</f>
        <v>Lần 12</v>
      </c>
      <c r="G866" s="278">
        <f ca="1">IFERROR(__xludf.DUMMYFUNCTION("""COMPUTED_VALUE"""),46217)</f>
        <v>46217</v>
      </c>
      <c r="H866" s="35">
        <f ca="1">IFERROR(__xludf.DUMMYFUNCTION("""COMPUTED_VALUE"""),92)</f>
        <v>92</v>
      </c>
      <c r="I866" s="35">
        <f ca="1">IFERROR(__xludf.DUMMYFUNCTION("""COMPUTED_VALUE"""),61)</f>
        <v>61</v>
      </c>
      <c r="J866" s="35">
        <f ca="1">IFERROR(__xludf.DUMMYFUNCTION("""COMPUTED_VALUE"""),87)</f>
        <v>87</v>
      </c>
      <c r="K866" s="35">
        <f ca="1">IFERROR(__xludf.DUMMYFUNCTION("""COMPUTED_VALUE"""),44)</f>
        <v>44</v>
      </c>
      <c r="M866" s="539">
        <f ca="1">IFERROR(__xludf.DUMMYFUNCTION("""COMPUTED_VALUE"""),1)</f>
        <v>1</v>
      </c>
      <c r="N866" s="539">
        <f ca="1">IFERROR(__xludf.DUMMYFUNCTION("""COMPUTED_VALUE"""),1)</f>
        <v>1</v>
      </c>
      <c r="O866" s="539">
        <f ca="1">IFERROR(__xludf.DUMMYFUNCTION("""COMPUTED_VALUE"""),0)</f>
        <v>0</v>
      </c>
    </row>
    <row r="867" spans="1:15" ht="12.75">
      <c r="A867" s="539">
        <f ca="1"/>
        <v>861</v>
      </c>
      <c r="B867" s="35" t="str">
        <f ca="1">IFERROR(__xludf.DUMMYFUNCTION("""COMPUTED_VALUE"""),"Tổ Hạ tầng Gò Dầu")</f>
        <v>Tổ Hạ tầng Gò Dầu</v>
      </c>
      <c r="C867" s="35" t="str">
        <f ca="1">IFERROR(__xludf.DUMMYFUNCTION("""COMPUTED_VALUE"""),"Trần Quốc Đạt")</f>
        <v>Trần Quốc Đạt</v>
      </c>
      <c r="D867" s="35">
        <f ca="1">IFERROR(__xludf.DUMMYFUNCTION("""COMPUTED_VALUE"""),946432493)</f>
        <v>946432493</v>
      </c>
      <c r="E867" s="35" t="str">
        <f ca="1">IFERROR(__xludf.DUMMYFUNCTION("""COMPUTED_VALUE"""),"dattq.tnh@vnpt.vn")</f>
        <v>dattq.tnh@vnpt.vn</v>
      </c>
      <c r="F867" s="540" t="str">
        <f ca="1">IFERROR(__xludf.DUMMYFUNCTION("""COMPUTED_VALUE"""),"Lần 13")</f>
        <v>Lần 13</v>
      </c>
      <c r="G867" s="278">
        <f ca="1">IFERROR(__xludf.DUMMYFUNCTION("""COMPUTED_VALUE"""),46223)</f>
        <v>46223</v>
      </c>
      <c r="H867" s="35"/>
      <c r="I867" s="35"/>
      <c r="J867" s="35"/>
      <c r="K867" s="35"/>
      <c r="M867" s="539">
        <f ca="1">IFERROR(__xludf.DUMMYFUNCTION("""COMPUTED_VALUE"""),0)</f>
        <v>0</v>
      </c>
      <c r="N867" s="539">
        <f ca="1">IFERROR(__xludf.DUMMYFUNCTION("""COMPUTED_VALUE"""),0)</f>
        <v>0</v>
      </c>
      <c r="O867" s="539">
        <f ca="1">IFERROR(__xludf.DUMMYFUNCTION("""COMPUTED_VALUE"""),0)</f>
        <v>0</v>
      </c>
    </row>
    <row r="868" spans="1:15" ht="12.75">
      <c r="A868" s="539">
        <f ca="1"/>
        <v>862</v>
      </c>
      <c r="B868" s="35" t="str">
        <f ca="1">IFERROR(__xludf.DUMMYFUNCTION("""COMPUTED_VALUE"""),"Tổ Hạ tầng Gò Dầu")</f>
        <v>Tổ Hạ tầng Gò Dầu</v>
      </c>
      <c r="C868" s="35" t="str">
        <f ca="1">IFERROR(__xludf.DUMMYFUNCTION("""COMPUTED_VALUE"""),"Trần Quốc Đạt")</f>
        <v>Trần Quốc Đạt</v>
      </c>
      <c r="D868" s="35">
        <f ca="1">IFERROR(__xludf.DUMMYFUNCTION("""COMPUTED_VALUE"""),946432493)</f>
        <v>946432493</v>
      </c>
      <c r="E868" s="35" t="str">
        <f ca="1">IFERROR(__xludf.DUMMYFUNCTION("""COMPUTED_VALUE"""),"dattq.tnh@vnpt.vn")</f>
        <v>dattq.tnh@vnpt.vn</v>
      </c>
      <c r="F868" s="540" t="str">
        <f ca="1">IFERROR(__xludf.DUMMYFUNCTION("""COMPUTED_VALUE"""),"Lần 14")</f>
        <v>Lần 14</v>
      </c>
      <c r="G868" s="278">
        <f ca="1">IFERROR(__xludf.DUMMYFUNCTION("""COMPUTED_VALUE"""),46223)</f>
        <v>46223</v>
      </c>
      <c r="H868" s="35"/>
      <c r="I868" s="35"/>
      <c r="J868" s="35"/>
      <c r="K868" s="35"/>
      <c r="M868" s="539">
        <f ca="1">IFERROR(__xludf.DUMMYFUNCTION("""COMPUTED_VALUE"""),0)</f>
        <v>0</v>
      </c>
      <c r="N868" s="539">
        <f ca="1">IFERROR(__xludf.DUMMYFUNCTION("""COMPUTED_VALUE"""),0)</f>
        <v>0</v>
      </c>
      <c r="O868" s="539">
        <f ca="1">IFERROR(__xludf.DUMMYFUNCTION("""COMPUTED_VALUE"""),0)</f>
        <v>0</v>
      </c>
    </row>
    <row r="869" spans="1:15" ht="12.75">
      <c r="A869" s="539">
        <f ca="1"/>
        <v>863</v>
      </c>
      <c r="B869" s="35" t="str">
        <f ca="1">IFERROR(__xludf.DUMMYFUNCTION("""COMPUTED_VALUE"""),"Tổ Hạ tầng Gò Dầu")</f>
        <v>Tổ Hạ tầng Gò Dầu</v>
      </c>
      <c r="C869" s="35" t="str">
        <f ca="1">IFERROR(__xludf.DUMMYFUNCTION("""COMPUTED_VALUE"""),"Trần Quốc Đạt")</f>
        <v>Trần Quốc Đạt</v>
      </c>
      <c r="D869" s="35">
        <f ca="1">IFERROR(__xludf.DUMMYFUNCTION("""COMPUTED_VALUE"""),946432493)</f>
        <v>946432493</v>
      </c>
      <c r="E869" s="35" t="str">
        <f ca="1">IFERROR(__xludf.DUMMYFUNCTION("""COMPUTED_VALUE"""),"dattq.tnh@vnpt.vn")</f>
        <v>dattq.tnh@vnpt.vn</v>
      </c>
      <c r="F869" s="540" t="str">
        <f ca="1">IFERROR(__xludf.DUMMYFUNCTION("""COMPUTED_VALUE"""),"Lần 15")</f>
        <v>Lần 15</v>
      </c>
      <c r="G869" s="278">
        <f ca="1">IFERROR(__xludf.DUMMYFUNCTION("""COMPUTED_VALUE"""),46223)</f>
        <v>46223</v>
      </c>
      <c r="H869" s="35"/>
      <c r="I869" s="35"/>
      <c r="J869" s="35"/>
      <c r="K869" s="35"/>
      <c r="M869" s="539">
        <f ca="1">IFERROR(__xludf.DUMMYFUNCTION("""COMPUTED_VALUE"""),0)</f>
        <v>0</v>
      </c>
      <c r="N869" s="539">
        <f ca="1">IFERROR(__xludf.DUMMYFUNCTION("""COMPUTED_VALUE"""),0)</f>
        <v>0</v>
      </c>
      <c r="O869" s="539">
        <f ca="1">IFERROR(__xludf.DUMMYFUNCTION("""COMPUTED_VALUE"""),0)</f>
        <v>0</v>
      </c>
    </row>
    <row r="870" spans="1:15" ht="12.75">
      <c r="A870" s="539">
        <f ca="1"/>
        <v>864</v>
      </c>
      <c r="B870" s="35" t="str">
        <f ca="1">IFERROR(__xludf.DUMMYFUNCTION("""COMPUTED_VALUE"""),"Tổ Hạ tầng Gò Dầu")</f>
        <v>Tổ Hạ tầng Gò Dầu</v>
      </c>
      <c r="C870" s="35" t="str">
        <f ca="1">IFERROR(__xludf.DUMMYFUNCTION("""COMPUTED_VALUE"""),"Trần Quốc Đạt")</f>
        <v>Trần Quốc Đạt</v>
      </c>
      <c r="D870" s="35">
        <f ca="1">IFERROR(__xludf.DUMMYFUNCTION("""COMPUTED_VALUE"""),946432493)</f>
        <v>946432493</v>
      </c>
      <c r="E870" s="35" t="str">
        <f ca="1">IFERROR(__xludf.DUMMYFUNCTION("""COMPUTED_VALUE"""),"dattq.tnh@vnpt.vn")</f>
        <v>dattq.tnh@vnpt.vn</v>
      </c>
      <c r="F870" s="540" t="str">
        <f ca="1">IFERROR(__xludf.DUMMYFUNCTION("""COMPUTED_VALUE"""),"Lần 16")</f>
        <v>Lần 16</v>
      </c>
      <c r="G870" s="278">
        <f ca="1">IFERROR(__xludf.DUMMYFUNCTION("""COMPUTED_VALUE"""),46223)</f>
        <v>46223</v>
      </c>
      <c r="H870" s="35"/>
      <c r="I870" s="35"/>
      <c r="J870" s="35"/>
      <c r="K870" s="35"/>
      <c r="M870" s="539">
        <f ca="1">IFERROR(__xludf.DUMMYFUNCTION("""COMPUTED_VALUE"""),0)</f>
        <v>0</v>
      </c>
      <c r="N870" s="539">
        <f ca="1">IFERROR(__xludf.DUMMYFUNCTION("""COMPUTED_VALUE"""),0)</f>
        <v>0</v>
      </c>
      <c r="O870" s="539">
        <f ca="1">IFERROR(__xludf.DUMMYFUNCTION("""COMPUTED_VALUE"""),0)</f>
        <v>0</v>
      </c>
    </row>
    <row r="871" spans="1:15" ht="12.75">
      <c r="A871" s="539">
        <f ca="1"/>
        <v>865</v>
      </c>
      <c r="B871" s="35" t="str">
        <f ca="1">IFERROR(__xludf.DUMMYFUNCTION("""COMPUTED_VALUE"""),"Tổ Hạ tầng Gò Dầu")</f>
        <v>Tổ Hạ tầng Gò Dầu</v>
      </c>
      <c r="C871" s="35" t="str">
        <f ca="1">IFERROR(__xludf.DUMMYFUNCTION("""COMPUTED_VALUE"""),"Nguyễn Thế Sự")</f>
        <v>Nguyễn Thế Sự</v>
      </c>
      <c r="D871" s="35">
        <f ca="1">IFERROR(__xludf.DUMMYFUNCTION("""COMPUTED_VALUE"""),919990052)</f>
        <v>919990052</v>
      </c>
      <c r="E871" s="35" t="str">
        <f ca="1">IFERROR(__xludf.DUMMYFUNCTION("""COMPUTED_VALUE"""),"sunt.tnh@vnpt.vn")</f>
        <v>sunt.tnh@vnpt.vn</v>
      </c>
      <c r="F871" s="540" t="str">
        <f ca="1">IFERROR(__xludf.DUMMYFUNCTION("""COMPUTED_VALUE"""),"Lần 1")</f>
        <v>Lần 1</v>
      </c>
      <c r="G871" s="278">
        <f ca="1">IFERROR(__xludf.DUMMYFUNCTION("""COMPUTED_VALUE"""),46206)</f>
        <v>46206</v>
      </c>
      <c r="H871" s="35">
        <f ca="1">IFERROR(__xludf.DUMMYFUNCTION("""COMPUTED_VALUE"""),259)</f>
        <v>259</v>
      </c>
      <c r="I871" s="35">
        <f ca="1">IFERROR(__xludf.DUMMYFUNCTION("""COMPUTED_VALUE"""),70)</f>
        <v>70</v>
      </c>
      <c r="J871" s="35">
        <f ca="1">IFERROR(__xludf.DUMMYFUNCTION("""COMPUTED_VALUE"""),808)</f>
        <v>808</v>
      </c>
      <c r="K871" s="35">
        <f ca="1">IFERROR(__xludf.DUMMYFUNCTION("""COMPUTED_VALUE"""),151)</f>
        <v>151</v>
      </c>
      <c r="M871" s="539">
        <f ca="1">IFERROR(__xludf.DUMMYFUNCTION("""COMPUTED_VALUE"""),1)</f>
        <v>1</v>
      </c>
      <c r="N871" s="539">
        <f ca="1">IFERROR(__xludf.DUMMYFUNCTION("""COMPUTED_VALUE"""),1)</f>
        <v>1</v>
      </c>
      <c r="O871" s="539">
        <f ca="1">IFERROR(__xludf.DUMMYFUNCTION("""COMPUTED_VALUE"""),1)</f>
        <v>1</v>
      </c>
    </row>
    <row r="872" spans="1:15" ht="12.75">
      <c r="A872" s="539">
        <f ca="1"/>
        <v>866</v>
      </c>
      <c r="B872" s="35" t="str">
        <f ca="1">IFERROR(__xludf.DUMMYFUNCTION("""COMPUTED_VALUE"""),"Tổ Hạ tầng Gò Dầu")</f>
        <v>Tổ Hạ tầng Gò Dầu</v>
      </c>
      <c r="C872" s="35" t="str">
        <f ca="1">IFERROR(__xludf.DUMMYFUNCTION("""COMPUTED_VALUE"""),"Nguyễn Thế Sự")</f>
        <v>Nguyễn Thế Sự</v>
      </c>
      <c r="D872" s="35">
        <f ca="1">IFERROR(__xludf.DUMMYFUNCTION("""COMPUTED_VALUE"""),919990052)</f>
        <v>919990052</v>
      </c>
      <c r="E872" s="35" t="str">
        <f ca="1">IFERROR(__xludf.DUMMYFUNCTION("""COMPUTED_VALUE"""),"sunt.tnh@vnpt.vn")</f>
        <v>sunt.tnh@vnpt.vn</v>
      </c>
      <c r="F872" s="540" t="str">
        <f ca="1">IFERROR(__xludf.DUMMYFUNCTION("""COMPUTED_VALUE"""),"Lần 2")</f>
        <v>Lần 2</v>
      </c>
      <c r="G872" s="278">
        <f ca="1">IFERROR(__xludf.DUMMYFUNCTION("""COMPUTED_VALUE"""),46206)</f>
        <v>46206</v>
      </c>
      <c r="H872" s="35">
        <f ca="1">IFERROR(__xludf.DUMMYFUNCTION("""COMPUTED_VALUE"""),320)</f>
        <v>320</v>
      </c>
      <c r="I872" s="35">
        <f ca="1">IFERROR(__xludf.DUMMYFUNCTION("""COMPUTED_VALUE"""),78)</f>
        <v>78</v>
      </c>
      <c r="J872" s="35">
        <f ca="1">IFERROR(__xludf.DUMMYFUNCTION("""COMPUTED_VALUE"""),790)</f>
        <v>790</v>
      </c>
      <c r="K872" s="35">
        <f ca="1">IFERROR(__xludf.DUMMYFUNCTION("""COMPUTED_VALUE"""),155)</f>
        <v>155</v>
      </c>
      <c r="M872" s="539">
        <f ca="1">IFERROR(__xludf.DUMMYFUNCTION("""COMPUTED_VALUE"""),1)</f>
        <v>1</v>
      </c>
      <c r="N872" s="539">
        <f ca="1">IFERROR(__xludf.DUMMYFUNCTION("""COMPUTED_VALUE"""),1)</f>
        <v>1</v>
      </c>
      <c r="O872" s="539">
        <f ca="1">IFERROR(__xludf.DUMMYFUNCTION("""COMPUTED_VALUE"""),1)</f>
        <v>1</v>
      </c>
    </row>
    <row r="873" spans="1:15" ht="12.75">
      <c r="A873" s="539">
        <f ca="1"/>
        <v>867</v>
      </c>
      <c r="B873" s="35" t="str">
        <f ca="1">IFERROR(__xludf.DUMMYFUNCTION("""COMPUTED_VALUE"""),"Tổ Hạ tầng Gò Dầu")</f>
        <v>Tổ Hạ tầng Gò Dầu</v>
      </c>
      <c r="C873" s="35" t="str">
        <f ca="1">IFERROR(__xludf.DUMMYFUNCTION("""COMPUTED_VALUE"""),"Nguyễn Thế Sự")</f>
        <v>Nguyễn Thế Sự</v>
      </c>
      <c r="D873" s="35">
        <f ca="1">IFERROR(__xludf.DUMMYFUNCTION("""COMPUTED_VALUE"""),919990052)</f>
        <v>919990052</v>
      </c>
      <c r="E873" s="35" t="str">
        <f ca="1">IFERROR(__xludf.DUMMYFUNCTION("""COMPUTED_VALUE"""),"sunt.tnh@vnpt.vn")</f>
        <v>sunt.tnh@vnpt.vn</v>
      </c>
      <c r="F873" s="540" t="str">
        <f ca="1">IFERROR(__xludf.DUMMYFUNCTION("""COMPUTED_VALUE"""),"Lần 3")</f>
        <v>Lần 3</v>
      </c>
      <c r="G873" s="278">
        <f ca="1">IFERROR(__xludf.DUMMYFUNCTION("""COMPUTED_VALUE"""),46206)</f>
        <v>46206</v>
      </c>
      <c r="H873" s="35">
        <f ca="1">IFERROR(__xludf.DUMMYFUNCTION("""COMPUTED_VALUE"""),733)</f>
        <v>733</v>
      </c>
      <c r="I873" s="35">
        <f ca="1">IFERROR(__xludf.DUMMYFUNCTION("""COMPUTED_VALUE"""),102)</f>
        <v>102</v>
      </c>
      <c r="J873" s="35">
        <f ca="1">IFERROR(__xludf.DUMMYFUNCTION("""COMPUTED_VALUE"""),613)</f>
        <v>613</v>
      </c>
      <c r="K873" s="35">
        <f ca="1">IFERROR(__xludf.DUMMYFUNCTION("""COMPUTED_VALUE"""),120)</f>
        <v>120</v>
      </c>
      <c r="M873" s="539">
        <f ca="1">IFERROR(__xludf.DUMMYFUNCTION("""COMPUTED_VALUE"""),1)</f>
        <v>1</v>
      </c>
      <c r="N873" s="539">
        <f ca="1">IFERROR(__xludf.DUMMYFUNCTION("""COMPUTED_VALUE"""),1)</f>
        <v>1</v>
      </c>
      <c r="O873" s="539">
        <f ca="1">IFERROR(__xludf.DUMMYFUNCTION("""COMPUTED_VALUE"""),1)</f>
        <v>1</v>
      </c>
    </row>
    <row r="874" spans="1:15" ht="12.75">
      <c r="A874" s="539">
        <f ca="1"/>
        <v>868</v>
      </c>
      <c r="B874" s="35" t="str">
        <f ca="1">IFERROR(__xludf.DUMMYFUNCTION("""COMPUTED_VALUE"""),"Tổ Hạ tầng Gò Dầu")</f>
        <v>Tổ Hạ tầng Gò Dầu</v>
      </c>
      <c r="C874" s="35" t="str">
        <f ca="1">IFERROR(__xludf.DUMMYFUNCTION("""COMPUTED_VALUE"""),"Nguyễn Thế Sự")</f>
        <v>Nguyễn Thế Sự</v>
      </c>
      <c r="D874" s="35">
        <f ca="1">IFERROR(__xludf.DUMMYFUNCTION("""COMPUTED_VALUE"""),919990052)</f>
        <v>919990052</v>
      </c>
      <c r="E874" s="35" t="str">
        <f ca="1">IFERROR(__xludf.DUMMYFUNCTION("""COMPUTED_VALUE"""),"sunt.tnh@vnpt.vn")</f>
        <v>sunt.tnh@vnpt.vn</v>
      </c>
      <c r="F874" s="540" t="str">
        <f ca="1">IFERROR(__xludf.DUMMYFUNCTION("""COMPUTED_VALUE"""),"Lần 4")</f>
        <v>Lần 4</v>
      </c>
      <c r="G874" s="278">
        <f ca="1">IFERROR(__xludf.DUMMYFUNCTION("""COMPUTED_VALUE"""),46206)</f>
        <v>46206</v>
      </c>
      <c r="H874" s="35">
        <f ca="1">IFERROR(__xludf.DUMMYFUNCTION("""COMPUTED_VALUE"""),637)</f>
        <v>637</v>
      </c>
      <c r="I874" s="35">
        <f ca="1">IFERROR(__xludf.DUMMYFUNCTION("""COMPUTED_VALUE"""),136)</f>
        <v>136</v>
      </c>
      <c r="J874" s="35">
        <f ca="1">IFERROR(__xludf.DUMMYFUNCTION("""COMPUTED_VALUE"""),314)</f>
        <v>314</v>
      </c>
      <c r="K874" s="35">
        <f ca="1">IFERROR(__xludf.DUMMYFUNCTION("""COMPUTED_VALUE"""),59)</f>
        <v>59</v>
      </c>
      <c r="M874" s="539">
        <f ca="1">IFERROR(__xludf.DUMMYFUNCTION("""COMPUTED_VALUE"""),1)</f>
        <v>1</v>
      </c>
      <c r="N874" s="539">
        <f ca="1">IFERROR(__xludf.DUMMYFUNCTION("""COMPUTED_VALUE"""),1)</f>
        <v>1</v>
      </c>
      <c r="O874" s="539">
        <f ca="1">IFERROR(__xludf.DUMMYFUNCTION("""COMPUTED_VALUE"""),1)</f>
        <v>1</v>
      </c>
    </row>
    <row r="875" spans="1:15" ht="12.75">
      <c r="A875" s="539">
        <f ca="1"/>
        <v>869</v>
      </c>
      <c r="B875" s="35" t="str">
        <f ca="1">IFERROR(__xludf.DUMMYFUNCTION("""COMPUTED_VALUE"""),"Tổ Hạ tầng Gò Dầu")</f>
        <v>Tổ Hạ tầng Gò Dầu</v>
      </c>
      <c r="C875" s="35" t="str">
        <f ca="1">IFERROR(__xludf.DUMMYFUNCTION("""COMPUTED_VALUE"""),"Nguyễn Thế Sự")</f>
        <v>Nguyễn Thế Sự</v>
      </c>
      <c r="D875" s="35">
        <f ca="1">IFERROR(__xludf.DUMMYFUNCTION("""COMPUTED_VALUE"""),919990052)</f>
        <v>919990052</v>
      </c>
      <c r="E875" s="35" t="str">
        <f ca="1">IFERROR(__xludf.DUMMYFUNCTION("""COMPUTED_VALUE"""),"sunt.tnh@vnpt.vn")</f>
        <v>sunt.tnh@vnpt.vn</v>
      </c>
      <c r="F875" s="540" t="str">
        <f ca="1">IFERROR(__xludf.DUMMYFUNCTION("""COMPUTED_VALUE"""),"Lần 5")</f>
        <v>Lần 5</v>
      </c>
      <c r="G875" s="278">
        <f ca="1">IFERROR(__xludf.DUMMYFUNCTION("""COMPUTED_VALUE"""),46211)</f>
        <v>46211</v>
      </c>
      <c r="H875" s="35">
        <f ca="1">IFERROR(__xludf.DUMMYFUNCTION("""COMPUTED_VALUE"""),777)</f>
        <v>777</v>
      </c>
      <c r="I875" s="35">
        <f ca="1">IFERROR(__xludf.DUMMYFUNCTION("""COMPUTED_VALUE"""),116)</f>
        <v>116</v>
      </c>
      <c r="J875" s="35">
        <f ca="1">IFERROR(__xludf.DUMMYFUNCTION("""COMPUTED_VALUE"""),102)</f>
        <v>102</v>
      </c>
      <c r="K875" s="35">
        <f ca="1">IFERROR(__xludf.DUMMYFUNCTION("""COMPUTED_VALUE"""),60)</f>
        <v>60</v>
      </c>
      <c r="M875" s="539">
        <f ca="1">IFERROR(__xludf.DUMMYFUNCTION("""COMPUTED_VALUE"""),1)</f>
        <v>1</v>
      </c>
      <c r="N875" s="539">
        <f ca="1">IFERROR(__xludf.DUMMYFUNCTION("""COMPUTED_VALUE"""),1)</f>
        <v>1</v>
      </c>
      <c r="O875" s="539">
        <f ca="1">IFERROR(__xludf.DUMMYFUNCTION("""COMPUTED_VALUE"""),0)</f>
        <v>0</v>
      </c>
    </row>
    <row r="876" spans="1:15" ht="12.75">
      <c r="A876" s="539">
        <f ca="1"/>
        <v>870</v>
      </c>
      <c r="B876" s="35" t="str">
        <f ca="1">IFERROR(__xludf.DUMMYFUNCTION("""COMPUTED_VALUE"""),"Tổ Hạ tầng Gò Dầu")</f>
        <v>Tổ Hạ tầng Gò Dầu</v>
      </c>
      <c r="C876" s="35" t="str">
        <f ca="1">IFERROR(__xludf.DUMMYFUNCTION("""COMPUTED_VALUE"""),"Nguyễn Thế Sự")</f>
        <v>Nguyễn Thế Sự</v>
      </c>
      <c r="D876" s="35">
        <f ca="1">IFERROR(__xludf.DUMMYFUNCTION("""COMPUTED_VALUE"""),919990052)</f>
        <v>919990052</v>
      </c>
      <c r="E876" s="35" t="str">
        <f ca="1">IFERROR(__xludf.DUMMYFUNCTION("""COMPUTED_VALUE"""),"sunt.tnh@vnpt.vn")</f>
        <v>sunt.tnh@vnpt.vn</v>
      </c>
      <c r="F876" s="540" t="str">
        <f ca="1">IFERROR(__xludf.DUMMYFUNCTION("""COMPUTED_VALUE"""),"Lần 6")</f>
        <v>Lần 6</v>
      </c>
      <c r="G876" s="278">
        <f ca="1">IFERROR(__xludf.DUMMYFUNCTION("""COMPUTED_VALUE"""),46211)</f>
        <v>46211</v>
      </c>
      <c r="H876" s="35">
        <f ca="1">IFERROR(__xludf.DUMMYFUNCTION("""COMPUTED_VALUE"""),771)</f>
        <v>771</v>
      </c>
      <c r="I876" s="35">
        <f ca="1">IFERROR(__xludf.DUMMYFUNCTION("""COMPUTED_VALUE"""),134)</f>
        <v>134</v>
      </c>
      <c r="J876" s="35">
        <f ca="1">IFERROR(__xludf.DUMMYFUNCTION("""COMPUTED_VALUE"""),123)</f>
        <v>123</v>
      </c>
      <c r="K876" s="35">
        <f ca="1">IFERROR(__xludf.DUMMYFUNCTION("""COMPUTED_VALUE"""),60)</f>
        <v>60</v>
      </c>
      <c r="M876" s="539">
        <f ca="1">IFERROR(__xludf.DUMMYFUNCTION("""COMPUTED_VALUE"""),1)</f>
        <v>1</v>
      </c>
      <c r="N876" s="539">
        <f ca="1">IFERROR(__xludf.DUMMYFUNCTION("""COMPUTED_VALUE"""),1)</f>
        <v>1</v>
      </c>
      <c r="O876" s="539">
        <f ca="1">IFERROR(__xludf.DUMMYFUNCTION("""COMPUTED_VALUE"""),0)</f>
        <v>0</v>
      </c>
    </row>
    <row r="877" spans="1:15" ht="12.75">
      <c r="A877" s="539">
        <f ca="1"/>
        <v>871</v>
      </c>
      <c r="B877" s="35" t="str">
        <f ca="1">IFERROR(__xludf.DUMMYFUNCTION("""COMPUTED_VALUE"""),"Tổ Hạ tầng Gò Dầu")</f>
        <v>Tổ Hạ tầng Gò Dầu</v>
      </c>
      <c r="C877" s="35" t="str">
        <f ca="1">IFERROR(__xludf.DUMMYFUNCTION("""COMPUTED_VALUE"""),"Nguyễn Thế Sự")</f>
        <v>Nguyễn Thế Sự</v>
      </c>
      <c r="D877" s="35">
        <f ca="1">IFERROR(__xludf.DUMMYFUNCTION("""COMPUTED_VALUE"""),919990052)</f>
        <v>919990052</v>
      </c>
      <c r="E877" s="35" t="str">
        <f ca="1">IFERROR(__xludf.DUMMYFUNCTION("""COMPUTED_VALUE"""),"sunt.tnh@vnpt.vn")</f>
        <v>sunt.tnh@vnpt.vn</v>
      </c>
      <c r="F877" s="540" t="str">
        <f ca="1">IFERROR(__xludf.DUMMYFUNCTION("""COMPUTED_VALUE"""),"Lần 7")</f>
        <v>Lần 7</v>
      </c>
      <c r="G877" s="278">
        <f ca="1">IFERROR(__xludf.DUMMYFUNCTION("""COMPUTED_VALUE"""),46211)</f>
        <v>46211</v>
      </c>
      <c r="H877" s="35">
        <f ca="1">IFERROR(__xludf.DUMMYFUNCTION("""COMPUTED_VALUE"""),552)</f>
        <v>552</v>
      </c>
      <c r="I877" s="35">
        <f ca="1">IFERROR(__xludf.DUMMYFUNCTION("""COMPUTED_VALUE"""),116)</f>
        <v>116</v>
      </c>
      <c r="J877" s="35">
        <f ca="1">IFERROR(__xludf.DUMMYFUNCTION("""COMPUTED_VALUE"""),122)</f>
        <v>122</v>
      </c>
      <c r="K877" s="35">
        <f ca="1">IFERROR(__xludf.DUMMYFUNCTION("""COMPUTED_VALUE"""),53)</f>
        <v>53</v>
      </c>
      <c r="M877" s="539">
        <f ca="1">IFERROR(__xludf.DUMMYFUNCTION("""COMPUTED_VALUE"""),1)</f>
        <v>1</v>
      </c>
      <c r="N877" s="539">
        <f ca="1">IFERROR(__xludf.DUMMYFUNCTION("""COMPUTED_VALUE"""),1)</f>
        <v>1</v>
      </c>
      <c r="O877" s="539">
        <f ca="1">IFERROR(__xludf.DUMMYFUNCTION("""COMPUTED_VALUE"""),0)</f>
        <v>0</v>
      </c>
    </row>
    <row r="878" spans="1:15" ht="12.75">
      <c r="A878" s="539">
        <f ca="1"/>
        <v>872</v>
      </c>
      <c r="B878" s="35" t="str">
        <f ca="1">IFERROR(__xludf.DUMMYFUNCTION("""COMPUTED_VALUE"""),"Tổ Hạ tầng Gò Dầu")</f>
        <v>Tổ Hạ tầng Gò Dầu</v>
      </c>
      <c r="C878" s="35" t="str">
        <f ca="1">IFERROR(__xludf.DUMMYFUNCTION("""COMPUTED_VALUE"""),"Nguyễn Thế Sự")</f>
        <v>Nguyễn Thế Sự</v>
      </c>
      <c r="D878" s="35">
        <f ca="1">IFERROR(__xludf.DUMMYFUNCTION("""COMPUTED_VALUE"""),919990052)</f>
        <v>919990052</v>
      </c>
      <c r="E878" s="35" t="str">
        <f ca="1">IFERROR(__xludf.DUMMYFUNCTION("""COMPUTED_VALUE"""),"sunt.tnh@vnpt.vn")</f>
        <v>sunt.tnh@vnpt.vn</v>
      </c>
      <c r="F878" s="540" t="str">
        <f ca="1">IFERROR(__xludf.DUMMYFUNCTION("""COMPUTED_VALUE"""),"Lần 8")</f>
        <v>Lần 8</v>
      </c>
      <c r="G878" s="278">
        <f ca="1">IFERROR(__xludf.DUMMYFUNCTION("""COMPUTED_VALUE"""),46211)</f>
        <v>46211</v>
      </c>
      <c r="H878" s="35">
        <f ca="1">IFERROR(__xludf.DUMMYFUNCTION("""COMPUTED_VALUE"""),571)</f>
        <v>571</v>
      </c>
      <c r="I878" s="35">
        <f ca="1">IFERROR(__xludf.DUMMYFUNCTION("""COMPUTED_VALUE"""),90)</f>
        <v>90</v>
      </c>
      <c r="J878" s="35">
        <f ca="1">IFERROR(__xludf.DUMMYFUNCTION("""COMPUTED_VALUE"""),121)</f>
        <v>121</v>
      </c>
      <c r="K878" s="35">
        <f ca="1">IFERROR(__xludf.DUMMYFUNCTION("""COMPUTED_VALUE"""),44)</f>
        <v>44</v>
      </c>
      <c r="M878" s="539">
        <f ca="1">IFERROR(__xludf.DUMMYFUNCTION("""COMPUTED_VALUE"""),1)</f>
        <v>1</v>
      </c>
      <c r="N878" s="539">
        <f ca="1">IFERROR(__xludf.DUMMYFUNCTION("""COMPUTED_VALUE"""),1)</f>
        <v>1</v>
      </c>
      <c r="O878" s="539">
        <f ca="1">IFERROR(__xludf.DUMMYFUNCTION("""COMPUTED_VALUE"""),0)</f>
        <v>0</v>
      </c>
    </row>
    <row r="879" spans="1:15" ht="12.75">
      <c r="A879" s="539">
        <f ca="1"/>
        <v>873</v>
      </c>
      <c r="B879" s="35" t="str">
        <f ca="1">IFERROR(__xludf.DUMMYFUNCTION("""COMPUTED_VALUE"""),"Tổ Hạ tầng Gò Dầu")</f>
        <v>Tổ Hạ tầng Gò Dầu</v>
      </c>
      <c r="C879" s="35" t="str">
        <f ca="1">IFERROR(__xludf.DUMMYFUNCTION("""COMPUTED_VALUE"""),"Nguyễn Thế Sự")</f>
        <v>Nguyễn Thế Sự</v>
      </c>
      <c r="D879" s="35">
        <f ca="1">IFERROR(__xludf.DUMMYFUNCTION("""COMPUTED_VALUE"""),919990052)</f>
        <v>919990052</v>
      </c>
      <c r="E879" s="35" t="str">
        <f ca="1">IFERROR(__xludf.DUMMYFUNCTION("""COMPUTED_VALUE"""),"sunt.tnh@vnpt.vn")</f>
        <v>sunt.tnh@vnpt.vn</v>
      </c>
      <c r="F879" s="540" t="str">
        <f ca="1">IFERROR(__xludf.DUMMYFUNCTION("""COMPUTED_VALUE"""),"Lần 9")</f>
        <v>Lần 9</v>
      </c>
      <c r="G879" s="278">
        <f ca="1">IFERROR(__xludf.DUMMYFUNCTION("""COMPUTED_VALUE"""),46217)</f>
        <v>46217</v>
      </c>
      <c r="H879" s="35">
        <f ca="1">IFERROR(__xludf.DUMMYFUNCTION("""COMPUTED_VALUE"""),216)</f>
        <v>216</v>
      </c>
      <c r="I879" s="35">
        <f ca="1">IFERROR(__xludf.DUMMYFUNCTION("""COMPUTED_VALUE"""),90)</f>
        <v>90</v>
      </c>
      <c r="J879" s="35">
        <f ca="1">IFERROR(__xludf.DUMMYFUNCTION("""COMPUTED_VALUE"""),124)</f>
        <v>124</v>
      </c>
      <c r="K879" s="35">
        <f ca="1">IFERROR(__xludf.DUMMYFUNCTION("""COMPUTED_VALUE"""),47)</f>
        <v>47</v>
      </c>
      <c r="M879" s="539">
        <f ca="1">IFERROR(__xludf.DUMMYFUNCTION("""COMPUTED_VALUE"""),1)</f>
        <v>1</v>
      </c>
      <c r="N879" s="539">
        <f ca="1">IFERROR(__xludf.DUMMYFUNCTION("""COMPUTED_VALUE"""),1)</f>
        <v>1</v>
      </c>
      <c r="O879" s="539">
        <f ca="1">IFERROR(__xludf.DUMMYFUNCTION("""COMPUTED_VALUE"""),0)</f>
        <v>0</v>
      </c>
    </row>
    <row r="880" spans="1:15" ht="12.75">
      <c r="A880" s="539">
        <f ca="1"/>
        <v>874</v>
      </c>
      <c r="B880" s="35" t="str">
        <f ca="1">IFERROR(__xludf.DUMMYFUNCTION("""COMPUTED_VALUE"""),"Tổ Hạ tầng Gò Dầu")</f>
        <v>Tổ Hạ tầng Gò Dầu</v>
      </c>
      <c r="C880" s="35" t="str">
        <f ca="1">IFERROR(__xludf.DUMMYFUNCTION("""COMPUTED_VALUE"""),"Nguyễn Thế Sự")</f>
        <v>Nguyễn Thế Sự</v>
      </c>
      <c r="D880" s="35">
        <f ca="1">IFERROR(__xludf.DUMMYFUNCTION("""COMPUTED_VALUE"""),919990052)</f>
        <v>919990052</v>
      </c>
      <c r="E880" s="35" t="str">
        <f ca="1">IFERROR(__xludf.DUMMYFUNCTION("""COMPUTED_VALUE"""),"sunt.tnh@vnpt.vn")</f>
        <v>sunt.tnh@vnpt.vn</v>
      </c>
      <c r="F880" s="540" t="str">
        <f ca="1">IFERROR(__xludf.DUMMYFUNCTION("""COMPUTED_VALUE"""),"Lần 10")</f>
        <v>Lần 10</v>
      </c>
      <c r="G880" s="278">
        <f ca="1">IFERROR(__xludf.DUMMYFUNCTION("""COMPUTED_VALUE"""),46217)</f>
        <v>46217</v>
      </c>
      <c r="H880" s="35">
        <f ca="1">IFERROR(__xludf.DUMMYFUNCTION("""COMPUTED_VALUE"""),119)</f>
        <v>119</v>
      </c>
      <c r="I880" s="35">
        <f ca="1">IFERROR(__xludf.DUMMYFUNCTION("""COMPUTED_VALUE"""),43)</f>
        <v>43</v>
      </c>
      <c r="J880" s="35">
        <f ca="1">IFERROR(__xludf.DUMMYFUNCTION("""COMPUTED_VALUE"""),131)</f>
        <v>131</v>
      </c>
      <c r="K880" s="35">
        <f ca="1">IFERROR(__xludf.DUMMYFUNCTION("""COMPUTED_VALUE"""),62)</f>
        <v>62</v>
      </c>
      <c r="M880" s="539">
        <f ca="1">IFERROR(__xludf.DUMMYFUNCTION("""COMPUTED_VALUE"""),1)</f>
        <v>1</v>
      </c>
      <c r="N880" s="539">
        <f ca="1">IFERROR(__xludf.DUMMYFUNCTION("""COMPUTED_VALUE"""),1)</f>
        <v>1</v>
      </c>
      <c r="O880" s="539">
        <f ca="1">IFERROR(__xludf.DUMMYFUNCTION("""COMPUTED_VALUE"""),0)</f>
        <v>0</v>
      </c>
    </row>
    <row r="881" spans="1:15" ht="12.75">
      <c r="A881" s="539">
        <f ca="1"/>
        <v>875</v>
      </c>
      <c r="B881" s="35" t="str">
        <f ca="1">IFERROR(__xludf.DUMMYFUNCTION("""COMPUTED_VALUE"""),"Tổ Hạ tầng Gò Dầu")</f>
        <v>Tổ Hạ tầng Gò Dầu</v>
      </c>
      <c r="C881" s="35" t="str">
        <f ca="1">IFERROR(__xludf.DUMMYFUNCTION("""COMPUTED_VALUE"""),"Nguyễn Thế Sự")</f>
        <v>Nguyễn Thế Sự</v>
      </c>
      <c r="D881" s="35">
        <f ca="1">IFERROR(__xludf.DUMMYFUNCTION("""COMPUTED_VALUE"""),919990052)</f>
        <v>919990052</v>
      </c>
      <c r="E881" s="35" t="str">
        <f ca="1">IFERROR(__xludf.DUMMYFUNCTION("""COMPUTED_VALUE"""),"sunt.tnh@vnpt.vn")</f>
        <v>sunt.tnh@vnpt.vn</v>
      </c>
      <c r="F881" s="540" t="str">
        <f ca="1">IFERROR(__xludf.DUMMYFUNCTION("""COMPUTED_VALUE"""),"Lần 11")</f>
        <v>Lần 11</v>
      </c>
      <c r="G881" s="278">
        <f ca="1">IFERROR(__xludf.DUMMYFUNCTION("""COMPUTED_VALUE"""),46217)</f>
        <v>46217</v>
      </c>
      <c r="H881" s="35">
        <f ca="1">IFERROR(__xludf.DUMMYFUNCTION("""COMPUTED_VALUE"""),130)</f>
        <v>130</v>
      </c>
      <c r="I881" s="35">
        <f ca="1">IFERROR(__xludf.DUMMYFUNCTION("""COMPUTED_VALUE"""),45)</f>
        <v>45</v>
      </c>
      <c r="J881" s="35">
        <f ca="1">IFERROR(__xludf.DUMMYFUNCTION("""COMPUTED_VALUE"""),161)</f>
        <v>161</v>
      </c>
      <c r="K881" s="35">
        <f ca="1">IFERROR(__xludf.DUMMYFUNCTION("""COMPUTED_VALUE"""),55)</f>
        <v>55</v>
      </c>
      <c r="M881" s="539">
        <f ca="1">IFERROR(__xludf.DUMMYFUNCTION("""COMPUTED_VALUE"""),1)</f>
        <v>1</v>
      </c>
      <c r="N881" s="539">
        <f ca="1">IFERROR(__xludf.DUMMYFUNCTION("""COMPUTED_VALUE"""),1)</f>
        <v>1</v>
      </c>
      <c r="O881" s="539">
        <f ca="1">IFERROR(__xludf.DUMMYFUNCTION("""COMPUTED_VALUE"""),0)</f>
        <v>0</v>
      </c>
    </row>
    <row r="882" spans="1:15" ht="12.75">
      <c r="A882" s="539">
        <f ca="1"/>
        <v>876</v>
      </c>
      <c r="B882" s="35" t="str">
        <f ca="1">IFERROR(__xludf.DUMMYFUNCTION("""COMPUTED_VALUE"""),"Tổ Hạ tầng Gò Dầu")</f>
        <v>Tổ Hạ tầng Gò Dầu</v>
      </c>
      <c r="C882" s="35" t="str">
        <f ca="1">IFERROR(__xludf.DUMMYFUNCTION("""COMPUTED_VALUE"""),"Nguyễn Thế Sự")</f>
        <v>Nguyễn Thế Sự</v>
      </c>
      <c r="D882" s="35">
        <f ca="1">IFERROR(__xludf.DUMMYFUNCTION("""COMPUTED_VALUE"""),919990052)</f>
        <v>919990052</v>
      </c>
      <c r="E882" s="35" t="str">
        <f ca="1">IFERROR(__xludf.DUMMYFUNCTION("""COMPUTED_VALUE"""),"sunt.tnh@vnpt.vn")</f>
        <v>sunt.tnh@vnpt.vn</v>
      </c>
      <c r="F882" s="540" t="str">
        <f ca="1">IFERROR(__xludf.DUMMYFUNCTION("""COMPUTED_VALUE"""),"Lần 12")</f>
        <v>Lần 12</v>
      </c>
      <c r="G882" s="278">
        <f ca="1">IFERROR(__xludf.DUMMYFUNCTION("""COMPUTED_VALUE"""),46217)</f>
        <v>46217</v>
      </c>
      <c r="H882" s="35">
        <f ca="1">IFERROR(__xludf.DUMMYFUNCTION("""COMPUTED_VALUE"""),124)</f>
        <v>124</v>
      </c>
      <c r="I882" s="35">
        <f ca="1">IFERROR(__xludf.DUMMYFUNCTION("""COMPUTED_VALUE"""),52)</f>
        <v>52</v>
      </c>
      <c r="J882" s="35">
        <f ca="1">IFERROR(__xludf.DUMMYFUNCTION("""COMPUTED_VALUE"""),346)</f>
        <v>346</v>
      </c>
      <c r="K882" s="35">
        <f ca="1">IFERROR(__xludf.DUMMYFUNCTION("""COMPUTED_VALUE"""),93)</f>
        <v>93</v>
      </c>
      <c r="M882" s="539">
        <f ca="1">IFERROR(__xludf.DUMMYFUNCTION("""COMPUTED_VALUE"""),1)</f>
        <v>1</v>
      </c>
      <c r="N882" s="539">
        <f ca="1">IFERROR(__xludf.DUMMYFUNCTION("""COMPUTED_VALUE"""),1)</f>
        <v>1</v>
      </c>
      <c r="O882" s="539">
        <f ca="1">IFERROR(__xludf.DUMMYFUNCTION("""COMPUTED_VALUE"""),1)</f>
        <v>1</v>
      </c>
    </row>
    <row r="883" spans="1:15" ht="12.75">
      <c r="A883" s="539">
        <f ca="1"/>
        <v>877</v>
      </c>
      <c r="B883" s="35" t="str">
        <f ca="1">IFERROR(__xludf.DUMMYFUNCTION("""COMPUTED_VALUE"""),"Tổ Hạ tầng Gò Dầu")</f>
        <v>Tổ Hạ tầng Gò Dầu</v>
      </c>
      <c r="C883" s="35" t="str">
        <f ca="1">IFERROR(__xludf.DUMMYFUNCTION("""COMPUTED_VALUE"""),"Nguyễn Thế Sự")</f>
        <v>Nguyễn Thế Sự</v>
      </c>
      <c r="D883" s="35">
        <f ca="1">IFERROR(__xludf.DUMMYFUNCTION("""COMPUTED_VALUE"""),919990052)</f>
        <v>919990052</v>
      </c>
      <c r="E883" s="35" t="str">
        <f ca="1">IFERROR(__xludf.DUMMYFUNCTION("""COMPUTED_VALUE"""),"sunt.tnh@vnpt.vn")</f>
        <v>sunt.tnh@vnpt.vn</v>
      </c>
      <c r="F883" s="540" t="str">
        <f ca="1">IFERROR(__xludf.DUMMYFUNCTION("""COMPUTED_VALUE"""),"Lần 13")</f>
        <v>Lần 13</v>
      </c>
      <c r="G883" s="278">
        <f ca="1">IFERROR(__xludf.DUMMYFUNCTION("""COMPUTED_VALUE"""),46223)</f>
        <v>46223</v>
      </c>
      <c r="H883" s="35"/>
      <c r="I883" s="35"/>
      <c r="J883" s="35"/>
      <c r="K883" s="35"/>
      <c r="M883" s="539">
        <f ca="1">IFERROR(__xludf.DUMMYFUNCTION("""COMPUTED_VALUE"""),0)</f>
        <v>0</v>
      </c>
      <c r="N883" s="539">
        <f ca="1">IFERROR(__xludf.DUMMYFUNCTION("""COMPUTED_VALUE"""),0)</f>
        <v>0</v>
      </c>
      <c r="O883" s="539">
        <f ca="1">IFERROR(__xludf.DUMMYFUNCTION("""COMPUTED_VALUE"""),0)</f>
        <v>0</v>
      </c>
    </row>
    <row r="884" spans="1:15" ht="12.75">
      <c r="A884" s="539">
        <f ca="1"/>
        <v>878</v>
      </c>
      <c r="B884" s="35" t="str">
        <f ca="1">IFERROR(__xludf.DUMMYFUNCTION("""COMPUTED_VALUE"""),"Tổ Hạ tầng Gò Dầu")</f>
        <v>Tổ Hạ tầng Gò Dầu</v>
      </c>
      <c r="C884" s="35" t="str">
        <f ca="1">IFERROR(__xludf.DUMMYFUNCTION("""COMPUTED_VALUE"""),"Nguyễn Thế Sự")</f>
        <v>Nguyễn Thế Sự</v>
      </c>
      <c r="D884" s="35">
        <f ca="1">IFERROR(__xludf.DUMMYFUNCTION("""COMPUTED_VALUE"""),919990052)</f>
        <v>919990052</v>
      </c>
      <c r="E884" s="35" t="str">
        <f ca="1">IFERROR(__xludf.DUMMYFUNCTION("""COMPUTED_VALUE"""),"sunt.tnh@vnpt.vn")</f>
        <v>sunt.tnh@vnpt.vn</v>
      </c>
      <c r="F884" s="540" t="str">
        <f ca="1">IFERROR(__xludf.DUMMYFUNCTION("""COMPUTED_VALUE"""),"Lần 14")</f>
        <v>Lần 14</v>
      </c>
      <c r="G884" s="278">
        <f ca="1">IFERROR(__xludf.DUMMYFUNCTION("""COMPUTED_VALUE"""),46223)</f>
        <v>46223</v>
      </c>
      <c r="H884" s="35"/>
      <c r="I884" s="35"/>
      <c r="J884" s="35"/>
      <c r="K884" s="35"/>
      <c r="M884" s="539">
        <f ca="1">IFERROR(__xludf.DUMMYFUNCTION("""COMPUTED_VALUE"""),0)</f>
        <v>0</v>
      </c>
      <c r="N884" s="539">
        <f ca="1">IFERROR(__xludf.DUMMYFUNCTION("""COMPUTED_VALUE"""),0)</f>
        <v>0</v>
      </c>
      <c r="O884" s="539">
        <f ca="1">IFERROR(__xludf.DUMMYFUNCTION("""COMPUTED_VALUE"""),0)</f>
        <v>0</v>
      </c>
    </row>
    <row r="885" spans="1:15" ht="12.75">
      <c r="A885" s="539">
        <f ca="1"/>
        <v>879</v>
      </c>
      <c r="B885" s="35" t="str">
        <f ca="1">IFERROR(__xludf.DUMMYFUNCTION("""COMPUTED_VALUE"""),"Tổ Hạ tầng Gò Dầu")</f>
        <v>Tổ Hạ tầng Gò Dầu</v>
      </c>
      <c r="C885" s="35" t="str">
        <f ca="1">IFERROR(__xludf.DUMMYFUNCTION("""COMPUTED_VALUE"""),"Nguyễn Thế Sự")</f>
        <v>Nguyễn Thế Sự</v>
      </c>
      <c r="D885" s="35">
        <f ca="1">IFERROR(__xludf.DUMMYFUNCTION("""COMPUTED_VALUE"""),919990052)</f>
        <v>919990052</v>
      </c>
      <c r="E885" s="35" t="str">
        <f ca="1">IFERROR(__xludf.DUMMYFUNCTION("""COMPUTED_VALUE"""),"sunt.tnh@vnpt.vn")</f>
        <v>sunt.tnh@vnpt.vn</v>
      </c>
      <c r="F885" s="540" t="str">
        <f ca="1">IFERROR(__xludf.DUMMYFUNCTION("""COMPUTED_VALUE"""),"Lần 15")</f>
        <v>Lần 15</v>
      </c>
      <c r="G885" s="278">
        <f ca="1">IFERROR(__xludf.DUMMYFUNCTION("""COMPUTED_VALUE"""),46223)</f>
        <v>46223</v>
      </c>
      <c r="H885" s="35"/>
      <c r="I885" s="35"/>
      <c r="J885" s="35"/>
      <c r="K885" s="35"/>
      <c r="M885" s="539">
        <f ca="1">IFERROR(__xludf.DUMMYFUNCTION("""COMPUTED_VALUE"""),0)</f>
        <v>0</v>
      </c>
      <c r="N885" s="539">
        <f ca="1">IFERROR(__xludf.DUMMYFUNCTION("""COMPUTED_VALUE"""),0)</f>
        <v>0</v>
      </c>
      <c r="O885" s="539">
        <f ca="1">IFERROR(__xludf.DUMMYFUNCTION("""COMPUTED_VALUE"""),0)</f>
        <v>0</v>
      </c>
    </row>
    <row r="886" spans="1:15" ht="12.75">
      <c r="A886" s="539">
        <f ca="1"/>
        <v>880</v>
      </c>
      <c r="B886" s="35" t="str">
        <f ca="1">IFERROR(__xludf.DUMMYFUNCTION("""COMPUTED_VALUE"""),"Tổ Hạ tầng Gò Dầu")</f>
        <v>Tổ Hạ tầng Gò Dầu</v>
      </c>
      <c r="C886" s="35" t="str">
        <f ca="1">IFERROR(__xludf.DUMMYFUNCTION("""COMPUTED_VALUE"""),"Nguyễn Thế Sự")</f>
        <v>Nguyễn Thế Sự</v>
      </c>
      <c r="D886" s="35">
        <f ca="1">IFERROR(__xludf.DUMMYFUNCTION("""COMPUTED_VALUE"""),919990052)</f>
        <v>919990052</v>
      </c>
      <c r="E886" s="35" t="str">
        <f ca="1">IFERROR(__xludf.DUMMYFUNCTION("""COMPUTED_VALUE"""),"sunt.tnh@vnpt.vn")</f>
        <v>sunt.tnh@vnpt.vn</v>
      </c>
      <c r="F886" s="540" t="str">
        <f ca="1">IFERROR(__xludf.DUMMYFUNCTION("""COMPUTED_VALUE"""),"Lần 16")</f>
        <v>Lần 16</v>
      </c>
      <c r="G886" s="278">
        <f ca="1">IFERROR(__xludf.DUMMYFUNCTION("""COMPUTED_VALUE"""),46223)</f>
        <v>46223</v>
      </c>
      <c r="H886" s="35"/>
      <c r="I886" s="35"/>
      <c r="J886" s="35"/>
      <c r="K886" s="35"/>
      <c r="M886" s="539">
        <f ca="1">IFERROR(__xludf.DUMMYFUNCTION("""COMPUTED_VALUE"""),0)</f>
        <v>0</v>
      </c>
      <c r="N886" s="539">
        <f ca="1">IFERROR(__xludf.DUMMYFUNCTION("""COMPUTED_VALUE"""),0)</f>
        <v>0</v>
      </c>
      <c r="O886" s="539">
        <f ca="1">IFERROR(__xludf.DUMMYFUNCTION("""COMPUTED_VALUE"""),0)</f>
        <v>0</v>
      </c>
    </row>
    <row r="887" spans="1:15" ht="12.75">
      <c r="A887" s="539">
        <f ca="1"/>
        <v>881</v>
      </c>
      <c r="B887" s="35" t="str">
        <f ca="1">IFERROR(__xludf.DUMMYFUNCTION("""COMPUTED_VALUE"""),"Tổ Hạ tầng Gò Dầu")</f>
        <v>Tổ Hạ tầng Gò Dầu</v>
      </c>
      <c r="C887" s="35" t="str">
        <f ca="1">IFERROR(__xludf.DUMMYFUNCTION("""COMPUTED_VALUE"""),"Tô Tiểu Ngọc")</f>
        <v>Tô Tiểu Ngọc</v>
      </c>
      <c r="D887" s="35">
        <f ca="1">IFERROR(__xludf.DUMMYFUNCTION("""COMPUTED_VALUE"""),915502804)</f>
        <v>915502804</v>
      </c>
      <c r="E887" s="35" t="str">
        <f ca="1">IFERROR(__xludf.DUMMYFUNCTION("""COMPUTED_VALUE"""),"ngoctt.tnh@vnpt.vn")</f>
        <v>ngoctt.tnh@vnpt.vn</v>
      </c>
      <c r="F887" s="540" t="str">
        <f ca="1">IFERROR(__xludf.DUMMYFUNCTION("""COMPUTED_VALUE"""),"Lần 1")</f>
        <v>Lần 1</v>
      </c>
      <c r="G887" s="278">
        <f ca="1">IFERROR(__xludf.DUMMYFUNCTION("""COMPUTED_VALUE"""),46206)</f>
        <v>46206</v>
      </c>
      <c r="H887" s="35">
        <f ca="1">IFERROR(__xludf.DUMMYFUNCTION("""COMPUTED_VALUE"""),105)</f>
        <v>105</v>
      </c>
      <c r="I887" s="35">
        <f ca="1">IFERROR(__xludf.DUMMYFUNCTION("""COMPUTED_VALUE"""),57)</f>
        <v>57</v>
      </c>
      <c r="J887" s="35">
        <f ca="1">IFERROR(__xludf.DUMMYFUNCTION("""COMPUTED_VALUE"""),131)</f>
        <v>131</v>
      </c>
      <c r="K887" s="35">
        <f ca="1">IFERROR(__xludf.DUMMYFUNCTION("""COMPUTED_VALUE"""),61)</f>
        <v>61</v>
      </c>
      <c r="M887" s="539">
        <f ca="1">IFERROR(__xludf.DUMMYFUNCTION("""COMPUTED_VALUE"""),1)</f>
        <v>1</v>
      </c>
      <c r="N887" s="539">
        <f ca="1">IFERROR(__xludf.DUMMYFUNCTION("""COMPUTED_VALUE"""),1)</f>
        <v>1</v>
      </c>
      <c r="O887" s="539">
        <f ca="1">IFERROR(__xludf.DUMMYFUNCTION("""COMPUTED_VALUE"""),0)</f>
        <v>0</v>
      </c>
    </row>
    <row r="888" spans="1:15" ht="12.75">
      <c r="A888" s="539">
        <f ca="1"/>
        <v>882</v>
      </c>
      <c r="B888" s="35" t="str">
        <f ca="1">IFERROR(__xludf.DUMMYFUNCTION("""COMPUTED_VALUE"""),"Tổ Hạ tầng Gò Dầu")</f>
        <v>Tổ Hạ tầng Gò Dầu</v>
      </c>
      <c r="C888" s="35" t="str">
        <f ca="1">IFERROR(__xludf.DUMMYFUNCTION("""COMPUTED_VALUE"""),"Tô Tiểu Ngọc")</f>
        <v>Tô Tiểu Ngọc</v>
      </c>
      <c r="D888" s="35">
        <f ca="1">IFERROR(__xludf.DUMMYFUNCTION("""COMPUTED_VALUE"""),915502804)</f>
        <v>915502804</v>
      </c>
      <c r="E888" s="35" t="str">
        <f ca="1">IFERROR(__xludf.DUMMYFUNCTION("""COMPUTED_VALUE"""),"ngoctt.tnh@vnpt.vn")</f>
        <v>ngoctt.tnh@vnpt.vn</v>
      </c>
      <c r="F888" s="540" t="str">
        <f ca="1">IFERROR(__xludf.DUMMYFUNCTION("""COMPUTED_VALUE"""),"Lần 2")</f>
        <v>Lần 2</v>
      </c>
      <c r="G888" s="278">
        <f ca="1">IFERROR(__xludf.DUMMYFUNCTION("""COMPUTED_VALUE"""),46206)</f>
        <v>46206</v>
      </c>
      <c r="H888" s="35">
        <f ca="1">IFERROR(__xludf.DUMMYFUNCTION("""COMPUTED_VALUE"""),121)</f>
        <v>121</v>
      </c>
      <c r="I888" s="35">
        <f ca="1">IFERROR(__xludf.DUMMYFUNCTION("""COMPUTED_VALUE"""),58)</f>
        <v>58</v>
      </c>
      <c r="J888" s="35">
        <f ca="1">IFERROR(__xludf.DUMMYFUNCTION("""COMPUTED_VALUE"""),133)</f>
        <v>133</v>
      </c>
      <c r="K888" s="35">
        <f ca="1">IFERROR(__xludf.DUMMYFUNCTION("""COMPUTED_VALUE"""),60)</f>
        <v>60</v>
      </c>
      <c r="M888" s="539">
        <f ca="1">IFERROR(__xludf.DUMMYFUNCTION("""COMPUTED_VALUE"""),1)</f>
        <v>1</v>
      </c>
      <c r="N888" s="539">
        <f ca="1">IFERROR(__xludf.DUMMYFUNCTION("""COMPUTED_VALUE"""),1)</f>
        <v>1</v>
      </c>
      <c r="O888" s="539">
        <f ca="1">IFERROR(__xludf.DUMMYFUNCTION("""COMPUTED_VALUE"""),0)</f>
        <v>0</v>
      </c>
    </row>
    <row r="889" spans="1:15" ht="12.75">
      <c r="A889" s="539">
        <f ca="1"/>
        <v>883</v>
      </c>
      <c r="B889" s="35" t="str">
        <f ca="1">IFERROR(__xludf.DUMMYFUNCTION("""COMPUTED_VALUE"""),"Tổ Hạ tầng Gò Dầu")</f>
        <v>Tổ Hạ tầng Gò Dầu</v>
      </c>
      <c r="C889" s="35" t="str">
        <f ca="1">IFERROR(__xludf.DUMMYFUNCTION("""COMPUTED_VALUE"""),"Tô Tiểu Ngọc")</f>
        <v>Tô Tiểu Ngọc</v>
      </c>
      <c r="D889" s="35">
        <f ca="1">IFERROR(__xludf.DUMMYFUNCTION("""COMPUTED_VALUE"""),915502804)</f>
        <v>915502804</v>
      </c>
      <c r="E889" s="35" t="str">
        <f ca="1">IFERROR(__xludf.DUMMYFUNCTION("""COMPUTED_VALUE"""),"ngoctt.tnh@vnpt.vn")</f>
        <v>ngoctt.tnh@vnpt.vn</v>
      </c>
      <c r="F889" s="540" t="str">
        <f ca="1">IFERROR(__xludf.DUMMYFUNCTION("""COMPUTED_VALUE"""),"Lần 3")</f>
        <v>Lần 3</v>
      </c>
      <c r="G889" s="278">
        <f ca="1">IFERROR(__xludf.DUMMYFUNCTION("""COMPUTED_VALUE"""),46206)</f>
        <v>46206</v>
      </c>
      <c r="H889" s="35">
        <f ca="1">IFERROR(__xludf.DUMMYFUNCTION("""COMPUTED_VALUE"""),113)</f>
        <v>113</v>
      </c>
      <c r="I889" s="35">
        <f ca="1">IFERROR(__xludf.DUMMYFUNCTION("""COMPUTED_VALUE"""),61)</f>
        <v>61</v>
      </c>
      <c r="J889" s="35">
        <f ca="1">IFERROR(__xludf.DUMMYFUNCTION("""COMPUTED_VALUE"""),126)</f>
        <v>126</v>
      </c>
      <c r="K889" s="35">
        <f ca="1">IFERROR(__xludf.DUMMYFUNCTION("""COMPUTED_VALUE"""),62)</f>
        <v>62</v>
      </c>
      <c r="M889" s="539">
        <f ca="1">IFERROR(__xludf.DUMMYFUNCTION("""COMPUTED_VALUE"""),1)</f>
        <v>1</v>
      </c>
      <c r="N889" s="539">
        <f ca="1">IFERROR(__xludf.DUMMYFUNCTION("""COMPUTED_VALUE"""),1)</f>
        <v>1</v>
      </c>
      <c r="O889" s="539">
        <f ca="1">IFERROR(__xludf.DUMMYFUNCTION("""COMPUTED_VALUE"""),0)</f>
        <v>0</v>
      </c>
    </row>
    <row r="890" spans="1:15" ht="12.75">
      <c r="A890" s="539">
        <f ca="1"/>
        <v>884</v>
      </c>
      <c r="B890" s="35" t="str">
        <f ca="1">IFERROR(__xludf.DUMMYFUNCTION("""COMPUTED_VALUE"""),"Tổ Hạ tầng Gò Dầu")</f>
        <v>Tổ Hạ tầng Gò Dầu</v>
      </c>
      <c r="C890" s="35" t="str">
        <f ca="1">IFERROR(__xludf.DUMMYFUNCTION("""COMPUTED_VALUE"""),"Tô Tiểu Ngọc")</f>
        <v>Tô Tiểu Ngọc</v>
      </c>
      <c r="D890" s="35">
        <f ca="1">IFERROR(__xludf.DUMMYFUNCTION("""COMPUTED_VALUE"""),915502804)</f>
        <v>915502804</v>
      </c>
      <c r="E890" s="35" t="str">
        <f ca="1">IFERROR(__xludf.DUMMYFUNCTION("""COMPUTED_VALUE"""),"ngoctt.tnh@vnpt.vn")</f>
        <v>ngoctt.tnh@vnpt.vn</v>
      </c>
      <c r="F890" s="540" t="str">
        <f ca="1">IFERROR(__xludf.DUMMYFUNCTION("""COMPUTED_VALUE"""),"Lần 4")</f>
        <v>Lần 4</v>
      </c>
      <c r="G890" s="278">
        <f ca="1">IFERROR(__xludf.DUMMYFUNCTION("""COMPUTED_VALUE"""),46206)</f>
        <v>46206</v>
      </c>
      <c r="H890" s="35">
        <f ca="1">IFERROR(__xludf.DUMMYFUNCTION("""COMPUTED_VALUE"""),103)</f>
        <v>103</v>
      </c>
      <c r="I890" s="35">
        <f ca="1">IFERROR(__xludf.DUMMYFUNCTION("""COMPUTED_VALUE"""),61)</f>
        <v>61</v>
      </c>
      <c r="J890" s="35">
        <f ca="1">IFERROR(__xludf.DUMMYFUNCTION("""COMPUTED_VALUE"""),115)</f>
        <v>115</v>
      </c>
      <c r="K890" s="35">
        <f ca="1">IFERROR(__xludf.DUMMYFUNCTION("""COMPUTED_VALUE"""),62)</f>
        <v>62</v>
      </c>
      <c r="M890" s="539">
        <f ca="1">IFERROR(__xludf.DUMMYFUNCTION("""COMPUTED_VALUE"""),1)</f>
        <v>1</v>
      </c>
      <c r="N890" s="539">
        <f ca="1">IFERROR(__xludf.DUMMYFUNCTION("""COMPUTED_VALUE"""),1)</f>
        <v>1</v>
      </c>
      <c r="O890" s="539">
        <f ca="1">IFERROR(__xludf.DUMMYFUNCTION("""COMPUTED_VALUE"""),0)</f>
        <v>0</v>
      </c>
    </row>
    <row r="891" spans="1:15" ht="12.75">
      <c r="A891" s="539">
        <f ca="1"/>
        <v>885</v>
      </c>
      <c r="B891" s="35" t="str">
        <f ca="1">IFERROR(__xludf.DUMMYFUNCTION("""COMPUTED_VALUE"""),"Tổ Hạ tầng Gò Dầu")</f>
        <v>Tổ Hạ tầng Gò Dầu</v>
      </c>
      <c r="C891" s="35" t="str">
        <f ca="1">IFERROR(__xludf.DUMMYFUNCTION("""COMPUTED_VALUE"""),"Tô Tiểu Ngọc")</f>
        <v>Tô Tiểu Ngọc</v>
      </c>
      <c r="D891" s="35">
        <f ca="1">IFERROR(__xludf.DUMMYFUNCTION("""COMPUTED_VALUE"""),915502804)</f>
        <v>915502804</v>
      </c>
      <c r="E891" s="35" t="str">
        <f ca="1">IFERROR(__xludf.DUMMYFUNCTION("""COMPUTED_VALUE"""),"ngoctt.tnh@vnpt.vn")</f>
        <v>ngoctt.tnh@vnpt.vn</v>
      </c>
      <c r="F891" s="540" t="str">
        <f ca="1">IFERROR(__xludf.DUMMYFUNCTION("""COMPUTED_VALUE"""),"Lần 5")</f>
        <v>Lần 5</v>
      </c>
      <c r="G891" s="278">
        <f ca="1">IFERROR(__xludf.DUMMYFUNCTION("""COMPUTED_VALUE"""),46211)</f>
        <v>46211</v>
      </c>
      <c r="H891" s="35">
        <f ca="1">IFERROR(__xludf.DUMMYFUNCTION("""COMPUTED_VALUE"""),101)</f>
        <v>101</v>
      </c>
      <c r="I891" s="35">
        <f ca="1">IFERROR(__xludf.DUMMYFUNCTION("""COMPUTED_VALUE"""),60)</f>
        <v>60</v>
      </c>
      <c r="J891" s="35">
        <f ca="1">IFERROR(__xludf.DUMMYFUNCTION("""COMPUTED_VALUE"""),116)</f>
        <v>116</v>
      </c>
      <c r="K891" s="35">
        <f ca="1">IFERROR(__xludf.DUMMYFUNCTION("""COMPUTED_VALUE"""),61)</f>
        <v>61</v>
      </c>
      <c r="M891" s="539">
        <f ca="1">IFERROR(__xludf.DUMMYFUNCTION("""COMPUTED_VALUE"""),1)</f>
        <v>1</v>
      </c>
      <c r="N891" s="539">
        <f ca="1">IFERROR(__xludf.DUMMYFUNCTION("""COMPUTED_VALUE"""),1)</f>
        <v>1</v>
      </c>
      <c r="O891" s="539">
        <f ca="1">IFERROR(__xludf.DUMMYFUNCTION("""COMPUTED_VALUE"""),0)</f>
        <v>0</v>
      </c>
    </row>
    <row r="892" spans="1:15" ht="12.75">
      <c r="A892" s="539">
        <f ca="1"/>
        <v>886</v>
      </c>
      <c r="B892" s="35" t="str">
        <f ca="1">IFERROR(__xludf.DUMMYFUNCTION("""COMPUTED_VALUE"""),"Tổ Hạ tầng Gò Dầu")</f>
        <v>Tổ Hạ tầng Gò Dầu</v>
      </c>
      <c r="C892" s="35" t="str">
        <f ca="1">IFERROR(__xludf.DUMMYFUNCTION("""COMPUTED_VALUE"""),"Tô Tiểu Ngọc")</f>
        <v>Tô Tiểu Ngọc</v>
      </c>
      <c r="D892" s="35">
        <f ca="1">IFERROR(__xludf.DUMMYFUNCTION("""COMPUTED_VALUE"""),915502804)</f>
        <v>915502804</v>
      </c>
      <c r="E892" s="35" t="str">
        <f ca="1">IFERROR(__xludf.DUMMYFUNCTION("""COMPUTED_VALUE"""),"ngoctt.tnh@vnpt.vn")</f>
        <v>ngoctt.tnh@vnpt.vn</v>
      </c>
      <c r="F892" s="540" t="str">
        <f ca="1">IFERROR(__xludf.DUMMYFUNCTION("""COMPUTED_VALUE"""),"Lần 6")</f>
        <v>Lần 6</v>
      </c>
      <c r="G892" s="278">
        <f ca="1">IFERROR(__xludf.DUMMYFUNCTION("""COMPUTED_VALUE"""),46211)</f>
        <v>46211</v>
      </c>
      <c r="H892" s="35">
        <f ca="1">IFERROR(__xludf.DUMMYFUNCTION("""COMPUTED_VALUE"""),92)</f>
        <v>92</v>
      </c>
      <c r="I892" s="35">
        <f ca="1">IFERROR(__xludf.DUMMYFUNCTION("""COMPUTED_VALUE"""),59)</f>
        <v>59</v>
      </c>
      <c r="J892" s="35">
        <f ca="1">IFERROR(__xludf.DUMMYFUNCTION("""COMPUTED_VALUE"""),88)</f>
        <v>88</v>
      </c>
      <c r="K892" s="35">
        <f ca="1">IFERROR(__xludf.DUMMYFUNCTION("""COMPUTED_VALUE"""),45)</f>
        <v>45</v>
      </c>
      <c r="M892" s="539">
        <f ca="1">IFERROR(__xludf.DUMMYFUNCTION("""COMPUTED_VALUE"""),1)</f>
        <v>1</v>
      </c>
      <c r="N892" s="539">
        <f ca="1">IFERROR(__xludf.DUMMYFUNCTION("""COMPUTED_VALUE"""),1)</f>
        <v>1</v>
      </c>
      <c r="O892" s="539">
        <f ca="1">IFERROR(__xludf.DUMMYFUNCTION("""COMPUTED_VALUE"""),0)</f>
        <v>0</v>
      </c>
    </row>
    <row r="893" spans="1:15" ht="12.75">
      <c r="A893" s="539">
        <f ca="1"/>
        <v>887</v>
      </c>
      <c r="B893" s="35" t="str">
        <f ca="1">IFERROR(__xludf.DUMMYFUNCTION("""COMPUTED_VALUE"""),"Tổ Hạ tầng Gò Dầu")</f>
        <v>Tổ Hạ tầng Gò Dầu</v>
      </c>
      <c r="C893" s="35" t="str">
        <f ca="1">IFERROR(__xludf.DUMMYFUNCTION("""COMPUTED_VALUE"""),"Tô Tiểu Ngọc")</f>
        <v>Tô Tiểu Ngọc</v>
      </c>
      <c r="D893" s="35">
        <f ca="1">IFERROR(__xludf.DUMMYFUNCTION("""COMPUTED_VALUE"""),915502804)</f>
        <v>915502804</v>
      </c>
      <c r="E893" s="35" t="str">
        <f ca="1">IFERROR(__xludf.DUMMYFUNCTION("""COMPUTED_VALUE"""),"ngoctt.tnh@vnpt.vn")</f>
        <v>ngoctt.tnh@vnpt.vn</v>
      </c>
      <c r="F893" s="540" t="str">
        <f ca="1">IFERROR(__xludf.DUMMYFUNCTION("""COMPUTED_VALUE"""),"Lần 7")</f>
        <v>Lần 7</v>
      </c>
      <c r="G893" s="278">
        <f ca="1">IFERROR(__xludf.DUMMYFUNCTION("""COMPUTED_VALUE"""),46211)</f>
        <v>46211</v>
      </c>
      <c r="H893" s="35">
        <f ca="1">IFERROR(__xludf.DUMMYFUNCTION("""COMPUTED_VALUE"""),125)</f>
        <v>125</v>
      </c>
      <c r="I893" s="35">
        <f ca="1">IFERROR(__xludf.DUMMYFUNCTION("""COMPUTED_VALUE"""),61)</f>
        <v>61</v>
      </c>
      <c r="J893" s="35">
        <f ca="1">IFERROR(__xludf.DUMMYFUNCTION("""COMPUTED_VALUE"""),151)</f>
        <v>151</v>
      </c>
      <c r="K893" s="35">
        <f ca="1">IFERROR(__xludf.DUMMYFUNCTION("""COMPUTED_VALUE"""),98)</f>
        <v>98</v>
      </c>
      <c r="M893" s="539">
        <f ca="1">IFERROR(__xludf.DUMMYFUNCTION("""COMPUTED_VALUE"""),1)</f>
        <v>1</v>
      </c>
      <c r="N893" s="539">
        <f ca="1">IFERROR(__xludf.DUMMYFUNCTION("""COMPUTED_VALUE"""),1)</f>
        <v>1</v>
      </c>
      <c r="O893" s="539">
        <f ca="1">IFERROR(__xludf.DUMMYFUNCTION("""COMPUTED_VALUE"""),0)</f>
        <v>0</v>
      </c>
    </row>
    <row r="894" spans="1:15" ht="12.75">
      <c r="A894" s="539">
        <f ca="1"/>
        <v>888</v>
      </c>
      <c r="B894" s="35" t="str">
        <f ca="1">IFERROR(__xludf.DUMMYFUNCTION("""COMPUTED_VALUE"""),"Tổ Hạ tầng Gò Dầu")</f>
        <v>Tổ Hạ tầng Gò Dầu</v>
      </c>
      <c r="C894" s="35" t="str">
        <f ca="1">IFERROR(__xludf.DUMMYFUNCTION("""COMPUTED_VALUE"""),"Tô Tiểu Ngọc")</f>
        <v>Tô Tiểu Ngọc</v>
      </c>
      <c r="D894" s="35">
        <f ca="1">IFERROR(__xludf.DUMMYFUNCTION("""COMPUTED_VALUE"""),915502804)</f>
        <v>915502804</v>
      </c>
      <c r="E894" s="35" t="str">
        <f ca="1">IFERROR(__xludf.DUMMYFUNCTION("""COMPUTED_VALUE"""),"ngoctt.tnh@vnpt.vn")</f>
        <v>ngoctt.tnh@vnpt.vn</v>
      </c>
      <c r="F894" s="540" t="str">
        <f ca="1">IFERROR(__xludf.DUMMYFUNCTION("""COMPUTED_VALUE"""),"Lần 8")</f>
        <v>Lần 8</v>
      </c>
      <c r="G894" s="278">
        <f ca="1">IFERROR(__xludf.DUMMYFUNCTION("""COMPUTED_VALUE"""),46211)</f>
        <v>46211</v>
      </c>
      <c r="H894" s="35">
        <f ca="1">IFERROR(__xludf.DUMMYFUNCTION("""COMPUTED_VALUE"""),131)</f>
        <v>131</v>
      </c>
      <c r="I894" s="35">
        <f ca="1">IFERROR(__xludf.DUMMYFUNCTION("""COMPUTED_VALUE"""),31)</f>
        <v>31</v>
      </c>
      <c r="J894" s="35">
        <f ca="1">IFERROR(__xludf.DUMMYFUNCTION("""COMPUTED_VALUE"""),145)</f>
        <v>145</v>
      </c>
      <c r="K894" s="35">
        <f ca="1">IFERROR(__xludf.DUMMYFUNCTION("""COMPUTED_VALUE"""),207)</f>
        <v>207</v>
      </c>
      <c r="M894" s="539">
        <f ca="1">IFERROR(__xludf.DUMMYFUNCTION("""COMPUTED_VALUE"""),1)</f>
        <v>1</v>
      </c>
      <c r="N894" s="539">
        <f ca="1">IFERROR(__xludf.DUMMYFUNCTION("""COMPUTED_VALUE"""),1)</f>
        <v>1</v>
      </c>
      <c r="O894" s="539">
        <f ca="1">IFERROR(__xludf.DUMMYFUNCTION("""COMPUTED_VALUE"""),0)</f>
        <v>0</v>
      </c>
    </row>
    <row r="895" spans="1:15" ht="12.75">
      <c r="A895" s="539">
        <f ca="1"/>
        <v>889</v>
      </c>
      <c r="B895" s="35" t="str">
        <f ca="1">IFERROR(__xludf.DUMMYFUNCTION("""COMPUTED_VALUE"""),"Tổ Hạ tầng Gò Dầu")</f>
        <v>Tổ Hạ tầng Gò Dầu</v>
      </c>
      <c r="C895" s="35" t="str">
        <f ca="1">IFERROR(__xludf.DUMMYFUNCTION("""COMPUTED_VALUE"""),"Tô Tiểu Ngọc")</f>
        <v>Tô Tiểu Ngọc</v>
      </c>
      <c r="D895" s="35">
        <f ca="1">IFERROR(__xludf.DUMMYFUNCTION("""COMPUTED_VALUE"""),915502804)</f>
        <v>915502804</v>
      </c>
      <c r="E895" s="35" t="str">
        <f ca="1">IFERROR(__xludf.DUMMYFUNCTION("""COMPUTED_VALUE"""),"ngoctt.tnh@vnpt.vn")</f>
        <v>ngoctt.tnh@vnpt.vn</v>
      </c>
      <c r="F895" s="540" t="str">
        <f ca="1">IFERROR(__xludf.DUMMYFUNCTION("""COMPUTED_VALUE"""),"Lần 9")</f>
        <v>Lần 9</v>
      </c>
      <c r="G895" s="278">
        <f ca="1">IFERROR(__xludf.DUMMYFUNCTION("""COMPUTED_VALUE"""),46217)</f>
        <v>46217</v>
      </c>
      <c r="H895" s="35">
        <f ca="1">IFERROR(__xludf.DUMMYFUNCTION("""COMPUTED_VALUE"""),111)</f>
        <v>111</v>
      </c>
      <c r="I895" s="35">
        <f ca="1">IFERROR(__xludf.DUMMYFUNCTION("""COMPUTED_VALUE"""),63)</f>
        <v>63</v>
      </c>
      <c r="J895" s="35">
        <f ca="1">IFERROR(__xludf.DUMMYFUNCTION("""COMPUTED_VALUE"""),80)</f>
        <v>80</v>
      </c>
      <c r="K895" s="35">
        <f ca="1">IFERROR(__xludf.DUMMYFUNCTION("""COMPUTED_VALUE"""),61)</f>
        <v>61</v>
      </c>
      <c r="M895" s="539">
        <f ca="1">IFERROR(__xludf.DUMMYFUNCTION("""COMPUTED_VALUE"""),1)</f>
        <v>1</v>
      </c>
      <c r="N895" s="539">
        <f ca="1">IFERROR(__xludf.DUMMYFUNCTION("""COMPUTED_VALUE"""),1)</f>
        <v>1</v>
      </c>
      <c r="O895" s="539">
        <f ca="1">IFERROR(__xludf.DUMMYFUNCTION("""COMPUTED_VALUE"""),0)</f>
        <v>0</v>
      </c>
    </row>
    <row r="896" spans="1:15" ht="12.75">
      <c r="A896" s="539">
        <f ca="1"/>
        <v>890</v>
      </c>
      <c r="B896" s="35" t="str">
        <f ca="1">IFERROR(__xludf.DUMMYFUNCTION("""COMPUTED_VALUE"""),"Tổ Hạ tầng Gò Dầu")</f>
        <v>Tổ Hạ tầng Gò Dầu</v>
      </c>
      <c r="C896" s="35" t="str">
        <f ca="1">IFERROR(__xludf.DUMMYFUNCTION("""COMPUTED_VALUE"""),"Tô Tiểu Ngọc")</f>
        <v>Tô Tiểu Ngọc</v>
      </c>
      <c r="D896" s="35">
        <f ca="1">IFERROR(__xludf.DUMMYFUNCTION("""COMPUTED_VALUE"""),915502804)</f>
        <v>915502804</v>
      </c>
      <c r="E896" s="35" t="str">
        <f ca="1">IFERROR(__xludf.DUMMYFUNCTION("""COMPUTED_VALUE"""),"ngoctt.tnh@vnpt.vn")</f>
        <v>ngoctt.tnh@vnpt.vn</v>
      </c>
      <c r="F896" s="540" t="str">
        <f ca="1">IFERROR(__xludf.DUMMYFUNCTION("""COMPUTED_VALUE"""),"Lần 10")</f>
        <v>Lần 10</v>
      </c>
      <c r="G896" s="278">
        <f ca="1">IFERROR(__xludf.DUMMYFUNCTION("""COMPUTED_VALUE"""),46217)</f>
        <v>46217</v>
      </c>
      <c r="H896" s="35">
        <f ca="1">IFERROR(__xludf.DUMMYFUNCTION("""COMPUTED_VALUE"""),109)</f>
        <v>109</v>
      </c>
      <c r="I896" s="35">
        <f ca="1">IFERROR(__xludf.DUMMYFUNCTION("""COMPUTED_VALUE"""),63)</f>
        <v>63</v>
      </c>
      <c r="J896" s="35">
        <f ca="1">IFERROR(__xludf.DUMMYFUNCTION("""COMPUTED_VALUE"""),868)</f>
        <v>868</v>
      </c>
      <c r="K896" s="35">
        <f ca="1">IFERROR(__xludf.DUMMYFUNCTION("""COMPUTED_VALUE"""),631)</f>
        <v>631</v>
      </c>
      <c r="M896" s="539">
        <f ca="1">IFERROR(__xludf.DUMMYFUNCTION("""COMPUTED_VALUE"""),1)</f>
        <v>1</v>
      </c>
      <c r="N896" s="539">
        <f ca="1">IFERROR(__xludf.DUMMYFUNCTION("""COMPUTED_VALUE"""),1)</f>
        <v>1</v>
      </c>
      <c r="O896" s="539">
        <f ca="1">IFERROR(__xludf.DUMMYFUNCTION("""COMPUTED_VALUE"""),1)</f>
        <v>1</v>
      </c>
    </row>
    <row r="897" spans="1:15" ht="12.75">
      <c r="A897" s="539">
        <f ca="1"/>
        <v>891</v>
      </c>
      <c r="B897" s="35" t="str">
        <f ca="1">IFERROR(__xludf.DUMMYFUNCTION("""COMPUTED_VALUE"""),"Tổ Hạ tầng Gò Dầu")</f>
        <v>Tổ Hạ tầng Gò Dầu</v>
      </c>
      <c r="C897" s="35" t="str">
        <f ca="1">IFERROR(__xludf.DUMMYFUNCTION("""COMPUTED_VALUE"""),"Tô Tiểu Ngọc")</f>
        <v>Tô Tiểu Ngọc</v>
      </c>
      <c r="D897" s="35">
        <f ca="1">IFERROR(__xludf.DUMMYFUNCTION("""COMPUTED_VALUE"""),915502804)</f>
        <v>915502804</v>
      </c>
      <c r="E897" s="35" t="str">
        <f ca="1">IFERROR(__xludf.DUMMYFUNCTION("""COMPUTED_VALUE"""),"ngoctt.tnh@vnpt.vn")</f>
        <v>ngoctt.tnh@vnpt.vn</v>
      </c>
      <c r="F897" s="540" t="str">
        <f ca="1">IFERROR(__xludf.DUMMYFUNCTION("""COMPUTED_VALUE"""),"Lần 11")</f>
        <v>Lần 11</v>
      </c>
      <c r="G897" s="278">
        <f ca="1">IFERROR(__xludf.DUMMYFUNCTION("""COMPUTED_VALUE"""),46217)</f>
        <v>46217</v>
      </c>
      <c r="H897" s="35">
        <f ca="1">IFERROR(__xludf.DUMMYFUNCTION("""COMPUTED_VALUE"""),123)</f>
        <v>123</v>
      </c>
      <c r="I897" s="35">
        <f ca="1">IFERROR(__xludf.DUMMYFUNCTION("""COMPUTED_VALUE"""),38)</f>
        <v>38</v>
      </c>
      <c r="J897" s="35">
        <f ca="1">IFERROR(__xludf.DUMMYFUNCTION("""COMPUTED_VALUE"""),119)</f>
        <v>119</v>
      </c>
      <c r="K897" s="35">
        <f ca="1">IFERROR(__xludf.DUMMYFUNCTION("""COMPUTED_VALUE"""),15)</f>
        <v>15</v>
      </c>
      <c r="M897" s="539">
        <f ca="1">IFERROR(__xludf.DUMMYFUNCTION("""COMPUTED_VALUE"""),1)</f>
        <v>1</v>
      </c>
      <c r="N897" s="539">
        <f ca="1">IFERROR(__xludf.DUMMYFUNCTION("""COMPUTED_VALUE"""),1)</f>
        <v>1</v>
      </c>
      <c r="O897" s="539">
        <f ca="1">IFERROR(__xludf.DUMMYFUNCTION("""COMPUTED_VALUE"""),0)</f>
        <v>0</v>
      </c>
    </row>
    <row r="898" spans="1:15" ht="12.75">
      <c r="A898" s="539">
        <f ca="1"/>
        <v>892</v>
      </c>
      <c r="B898" s="35" t="str">
        <f ca="1">IFERROR(__xludf.DUMMYFUNCTION("""COMPUTED_VALUE"""),"Tổ Hạ tầng Gò Dầu")</f>
        <v>Tổ Hạ tầng Gò Dầu</v>
      </c>
      <c r="C898" s="35" t="str">
        <f ca="1">IFERROR(__xludf.DUMMYFUNCTION("""COMPUTED_VALUE"""),"Tô Tiểu Ngọc")</f>
        <v>Tô Tiểu Ngọc</v>
      </c>
      <c r="D898" s="35">
        <f ca="1">IFERROR(__xludf.DUMMYFUNCTION("""COMPUTED_VALUE"""),915502804)</f>
        <v>915502804</v>
      </c>
      <c r="E898" s="35" t="str">
        <f ca="1">IFERROR(__xludf.DUMMYFUNCTION("""COMPUTED_VALUE"""),"ngoctt.tnh@vnpt.vn")</f>
        <v>ngoctt.tnh@vnpt.vn</v>
      </c>
      <c r="F898" s="540" t="str">
        <f ca="1">IFERROR(__xludf.DUMMYFUNCTION("""COMPUTED_VALUE"""),"Lần 12")</f>
        <v>Lần 12</v>
      </c>
      <c r="G898" s="278">
        <f ca="1">IFERROR(__xludf.DUMMYFUNCTION("""COMPUTED_VALUE"""),46217)</f>
        <v>46217</v>
      </c>
      <c r="H898" s="35">
        <f ca="1">IFERROR(__xludf.DUMMYFUNCTION("""COMPUTED_VALUE"""),103)</f>
        <v>103</v>
      </c>
      <c r="I898" s="35">
        <f ca="1">IFERROR(__xludf.DUMMYFUNCTION("""COMPUTED_VALUE"""),65)</f>
        <v>65</v>
      </c>
      <c r="J898" s="35">
        <f ca="1">IFERROR(__xludf.DUMMYFUNCTION("""COMPUTED_VALUE"""),89)</f>
        <v>89</v>
      </c>
      <c r="K898" s="35">
        <f ca="1">IFERROR(__xludf.DUMMYFUNCTION("""COMPUTED_VALUE"""),63)</f>
        <v>63</v>
      </c>
      <c r="M898" s="539">
        <f ca="1">IFERROR(__xludf.DUMMYFUNCTION("""COMPUTED_VALUE"""),1)</f>
        <v>1</v>
      </c>
      <c r="N898" s="539">
        <f ca="1">IFERROR(__xludf.DUMMYFUNCTION("""COMPUTED_VALUE"""),1)</f>
        <v>1</v>
      </c>
      <c r="O898" s="539">
        <f ca="1">IFERROR(__xludf.DUMMYFUNCTION("""COMPUTED_VALUE"""),0)</f>
        <v>0</v>
      </c>
    </row>
    <row r="899" spans="1:15" ht="12.75">
      <c r="A899" s="539">
        <f ca="1"/>
        <v>893</v>
      </c>
      <c r="B899" s="35" t="str">
        <f ca="1">IFERROR(__xludf.DUMMYFUNCTION("""COMPUTED_VALUE"""),"Tổ Hạ tầng Gò Dầu")</f>
        <v>Tổ Hạ tầng Gò Dầu</v>
      </c>
      <c r="C899" s="35" t="str">
        <f ca="1">IFERROR(__xludf.DUMMYFUNCTION("""COMPUTED_VALUE"""),"Tô Tiểu Ngọc")</f>
        <v>Tô Tiểu Ngọc</v>
      </c>
      <c r="D899" s="35">
        <f ca="1">IFERROR(__xludf.DUMMYFUNCTION("""COMPUTED_VALUE"""),915502804)</f>
        <v>915502804</v>
      </c>
      <c r="E899" s="35" t="str">
        <f ca="1">IFERROR(__xludf.DUMMYFUNCTION("""COMPUTED_VALUE"""),"ngoctt.tnh@vnpt.vn")</f>
        <v>ngoctt.tnh@vnpt.vn</v>
      </c>
      <c r="F899" s="540" t="str">
        <f ca="1">IFERROR(__xludf.DUMMYFUNCTION("""COMPUTED_VALUE"""),"Lần 13")</f>
        <v>Lần 13</v>
      </c>
      <c r="G899" s="278">
        <f ca="1">IFERROR(__xludf.DUMMYFUNCTION("""COMPUTED_VALUE"""),46223)</f>
        <v>46223</v>
      </c>
      <c r="H899" s="35"/>
      <c r="I899" s="35"/>
      <c r="J899" s="35"/>
      <c r="K899" s="35"/>
      <c r="M899" s="539">
        <f ca="1">IFERROR(__xludf.DUMMYFUNCTION("""COMPUTED_VALUE"""),0)</f>
        <v>0</v>
      </c>
      <c r="N899" s="539">
        <f ca="1">IFERROR(__xludf.DUMMYFUNCTION("""COMPUTED_VALUE"""),0)</f>
        <v>0</v>
      </c>
      <c r="O899" s="539">
        <f ca="1">IFERROR(__xludf.DUMMYFUNCTION("""COMPUTED_VALUE"""),0)</f>
        <v>0</v>
      </c>
    </row>
    <row r="900" spans="1:15" ht="12.75">
      <c r="A900" s="539">
        <f ca="1"/>
        <v>894</v>
      </c>
      <c r="B900" s="35" t="str">
        <f ca="1">IFERROR(__xludf.DUMMYFUNCTION("""COMPUTED_VALUE"""),"Tổ Hạ tầng Gò Dầu")</f>
        <v>Tổ Hạ tầng Gò Dầu</v>
      </c>
      <c r="C900" s="35" t="str">
        <f ca="1">IFERROR(__xludf.DUMMYFUNCTION("""COMPUTED_VALUE"""),"Tô Tiểu Ngọc")</f>
        <v>Tô Tiểu Ngọc</v>
      </c>
      <c r="D900" s="35">
        <f ca="1">IFERROR(__xludf.DUMMYFUNCTION("""COMPUTED_VALUE"""),915502804)</f>
        <v>915502804</v>
      </c>
      <c r="E900" s="35" t="str">
        <f ca="1">IFERROR(__xludf.DUMMYFUNCTION("""COMPUTED_VALUE"""),"ngoctt.tnh@vnpt.vn")</f>
        <v>ngoctt.tnh@vnpt.vn</v>
      </c>
      <c r="F900" s="540" t="str">
        <f ca="1">IFERROR(__xludf.DUMMYFUNCTION("""COMPUTED_VALUE"""),"Lần 14")</f>
        <v>Lần 14</v>
      </c>
      <c r="G900" s="278">
        <f ca="1">IFERROR(__xludf.DUMMYFUNCTION("""COMPUTED_VALUE"""),46223)</f>
        <v>46223</v>
      </c>
      <c r="H900" s="35"/>
      <c r="I900" s="35"/>
      <c r="J900" s="35"/>
      <c r="K900" s="35"/>
      <c r="M900" s="539">
        <f ca="1">IFERROR(__xludf.DUMMYFUNCTION("""COMPUTED_VALUE"""),0)</f>
        <v>0</v>
      </c>
      <c r="N900" s="539">
        <f ca="1">IFERROR(__xludf.DUMMYFUNCTION("""COMPUTED_VALUE"""),0)</f>
        <v>0</v>
      </c>
      <c r="O900" s="539">
        <f ca="1">IFERROR(__xludf.DUMMYFUNCTION("""COMPUTED_VALUE"""),0)</f>
        <v>0</v>
      </c>
    </row>
    <row r="901" spans="1:15" ht="12.75">
      <c r="A901" s="539">
        <f ca="1"/>
        <v>895</v>
      </c>
      <c r="B901" s="35" t="str">
        <f ca="1">IFERROR(__xludf.DUMMYFUNCTION("""COMPUTED_VALUE"""),"Tổ Hạ tầng Gò Dầu")</f>
        <v>Tổ Hạ tầng Gò Dầu</v>
      </c>
      <c r="C901" s="35" t="str">
        <f ca="1">IFERROR(__xludf.DUMMYFUNCTION("""COMPUTED_VALUE"""),"Tô Tiểu Ngọc")</f>
        <v>Tô Tiểu Ngọc</v>
      </c>
      <c r="D901" s="35">
        <f ca="1">IFERROR(__xludf.DUMMYFUNCTION("""COMPUTED_VALUE"""),915502804)</f>
        <v>915502804</v>
      </c>
      <c r="E901" s="35" t="str">
        <f ca="1">IFERROR(__xludf.DUMMYFUNCTION("""COMPUTED_VALUE"""),"ngoctt.tnh@vnpt.vn")</f>
        <v>ngoctt.tnh@vnpt.vn</v>
      </c>
      <c r="F901" s="540" t="str">
        <f ca="1">IFERROR(__xludf.DUMMYFUNCTION("""COMPUTED_VALUE"""),"Lần 15")</f>
        <v>Lần 15</v>
      </c>
      <c r="G901" s="278">
        <f ca="1">IFERROR(__xludf.DUMMYFUNCTION("""COMPUTED_VALUE"""),46223)</f>
        <v>46223</v>
      </c>
      <c r="H901" s="35"/>
      <c r="I901" s="35"/>
      <c r="J901" s="35"/>
      <c r="K901" s="35"/>
      <c r="M901" s="539">
        <f ca="1">IFERROR(__xludf.DUMMYFUNCTION("""COMPUTED_VALUE"""),0)</f>
        <v>0</v>
      </c>
      <c r="N901" s="539">
        <f ca="1">IFERROR(__xludf.DUMMYFUNCTION("""COMPUTED_VALUE"""),0)</f>
        <v>0</v>
      </c>
      <c r="O901" s="539">
        <f ca="1">IFERROR(__xludf.DUMMYFUNCTION("""COMPUTED_VALUE"""),0)</f>
        <v>0</v>
      </c>
    </row>
    <row r="902" spans="1:15" ht="12.75">
      <c r="A902" s="539">
        <f ca="1"/>
        <v>896</v>
      </c>
      <c r="B902" s="35" t="str">
        <f ca="1">IFERROR(__xludf.DUMMYFUNCTION("""COMPUTED_VALUE"""),"Tổ Hạ tầng Gò Dầu")</f>
        <v>Tổ Hạ tầng Gò Dầu</v>
      </c>
      <c r="C902" s="35" t="str">
        <f ca="1">IFERROR(__xludf.DUMMYFUNCTION("""COMPUTED_VALUE"""),"Tô Tiểu Ngọc")</f>
        <v>Tô Tiểu Ngọc</v>
      </c>
      <c r="D902" s="35">
        <f ca="1">IFERROR(__xludf.DUMMYFUNCTION("""COMPUTED_VALUE"""),915502804)</f>
        <v>915502804</v>
      </c>
      <c r="E902" s="35" t="str">
        <f ca="1">IFERROR(__xludf.DUMMYFUNCTION("""COMPUTED_VALUE"""),"ngoctt.tnh@vnpt.vn")</f>
        <v>ngoctt.tnh@vnpt.vn</v>
      </c>
      <c r="F902" s="540" t="str">
        <f ca="1">IFERROR(__xludf.DUMMYFUNCTION("""COMPUTED_VALUE"""),"Lần 16")</f>
        <v>Lần 16</v>
      </c>
      <c r="G902" s="278">
        <f ca="1">IFERROR(__xludf.DUMMYFUNCTION("""COMPUTED_VALUE"""),46223)</f>
        <v>46223</v>
      </c>
      <c r="H902" s="35"/>
      <c r="I902" s="35"/>
      <c r="J902" s="35"/>
      <c r="K902" s="35"/>
      <c r="M902" s="539">
        <f ca="1">IFERROR(__xludf.DUMMYFUNCTION("""COMPUTED_VALUE"""),0)</f>
        <v>0</v>
      </c>
      <c r="N902" s="539">
        <f ca="1">IFERROR(__xludf.DUMMYFUNCTION("""COMPUTED_VALUE"""),0)</f>
        <v>0</v>
      </c>
      <c r="O902" s="539">
        <f ca="1">IFERROR(__xludf.DUMMYFUNCTION("""COMPUTED_VALUE"""),0)</f>
        <v>0</v>
      </c>
    </row>
    <row r="903" spans="1:15" ht="12.75">
      <c r="A903" s="539">
        <f ca="1"/>
        <v>897</v>
      </c>
      <c r="B903" s="35" t="str">
        <f ca="1">IFERROR(__xludf.DUMMYFUNCTION("""COMPUTED_VALUE"""),"Tổ Hạ tầng Gò Dầu")</f>
        <v>Tổ Hạ tầng Gò Dầu</v>
      </c>
      <c r="C903" s="35" t="str">
        <f ca="1">IFERROR(__xludf.DUMMYFUNCTION("""COMPUTED_VALUE"""),"Đặng Chí Hiếu")</f>
        <v>Đặng Chí Hiếu</v>
      </c>
      <c r="D903" s="35">
        <f ca="1">IFERROR(__xludf.DUMMYFUNCTION("""COMPUTED_VALUE"""),828585258)</f>
        <v>828585258</v>
      </c>
      <c r="E903" s="35" t="str">
        <f ca="1">IFERROR(__xludf.DUMMYFUNCTION("""COMPUTED_VALUE"""),"hieudc.tnh@vnpt.vn")</f>
        <v>hieudc.tnh@vnpt.vn</v>
      </c>
      <c r="F903" s="540" t="str">
        <f ca="1">IFERROR(__xludf.DUMMYFUNCTION("""COMPUTED_VALUE"""),"Lần 1")</f>
        <v>Lần 1</v>
      </c>
      <c r="G903" s="278">
        <f ca="1">IFERROR(__xludf.DUMMYFUNCTION("""COMPUTED_VALUE"""),46206)</f>
        <v>46206</v>
      </c>
      <c r="H903" s="35">
        <f ca="1">IFERROR(__xludf.DUMMYFUNCTION("""COMPUTED_VALUE"""),100)</f>
        <v>100</v>
      </c>
      <c r="I903" s="35">
        <f ca="1">IFERROR(__xludf.DUMMYFUNCTION("""COMPUTED_VALUE"""),52)</f>
        <v>52</v>
      </c>
      <c r="J903" s="35">
        <f ca="1">IFERROR(__xludf.DUMMYFUNCTION("""COMPUTED_VALUE"""),233)</f>
        <v>233</v>
      </c>
      <c r="K903" s="35">
        <f ca="1">IFERROR(__xludf.DUMMYFUNCTION("""COMPUTED_VALUE"""),34)</f>
        <v>34</v>
      </c>
      <c r="M903" s="539">
        <f ca="1">IFERROR(__xludf.DUMMYFUNCTION("""COMPUTED_VALUE"""),1)</f>
        <v>1</v>
      </c>
      <c r="N903" s="539">
        <f ca="1">IFERROR(__xludf.DUMMYFUNCTION("""COMPUTED_VALUE"""),1)</f>
        <v>1</v>
      </c>
      <c r="O903" s="539">
        <f ca="1">IFERROR(__xludf.DUMMYFUNCTION("""COMPUTED_VALUE"""),1)</f>
        <v>1</v>
      </c>
    </row>
    <row r="904" spans="1:15" ht="12.75">
      <c r="A904" s="539">
        <f ca="1"/>
        <v>898</v>
      </c>
      <c r="B904" s="35" t="str">
        <f ca="1">IFERROR(__xludf.DUMMYFUNCTION("""COMPUTED_VALUE"""),"Tổ Hạ tầng Gò Dầu")</f>
        <v>Tổ Hạ tầng Gò Dầu</v>
      </c>
      <c r="C904" s="35" t="str">
        <f ca="1">IFERROR(__xludf.DUMMYFUNCTION("""COMPUTED_VALUE"""),"Đặng Chí Hiếu")</f>
        <v>Đặng Chí Hiếu</v>
      </c>
      <c r="D904" s="35">
        <f ca="1">IFERROR(__xludf.DUMMYFUNCTION("""COMPUTED_VALUE"""),828585258)</f>
        <v>828585258</v>
      </c>
      <c r="E904" s="35" t="str">
        <f ca="1">IFERROR(__xludf.DUMMYFUNCTION("""COMPUTED_VALUE"""),"hieudc.tnh@vnpt.vn")</f>
        <v>hieudc.tnh@vnpt.vn</v>
      </c>
      <c r="F904" s="540" t="str">
        <f ca="1">IFERROR(__xludf.DUMMYFUNCTION("""COMPUTED_VALUE"""),"Lần 2")</f>
        <v>Lần 2</v>
      </c>
      <c r="G904" s="278">
        <f ca="1">IFERROR(__xludf.DUMMYFUNCTION("""COMPUTED_VALUE"""),46206)</f>
        <v>46206</v>
      </c>
      <c r="H904" s="35">
        <f ca="1">IFERROR(__xludf.DUMMYFUNCTION("""COMPUTED_VALUE"""),87)</f>
        <v>87</v>
      </c>
      <c r="I904" s="35">
        <f ca="1">IFERROR(__xludf.DUMMYFUNCTION("""COMPUTED_VALUE"""),57)</f>
        <v>57</v>
      </c>
      <c r="J904" s="35">
        <f ca="1">IFERROR(__xludf.DUMMYFUNCTION("""COMPUTED_VALUE"""),236)</f>
        <v>236</v>
      </c>
      <c r="K904" s="35">
        <f ca="1">IFERROR(__xludf.DUMMYFUNCTION("""COMPUTED_VALUE"""),55)</f>
        <v>55</v>
      </c>
      <c r="M904" s="539">
        <f ca="1">IFERROR(__xludf.DUMMYFUNCTION("""COMPUTED_VALUE"""),1)</f>
        <v>1</v>
      </c>
      <c r="N904" s="539">
        <f ca="1">IFERROR(__xludf.DUMMYFUNCTION("""COMPUTED_VALUE"""),1)</f>
        <v>1</v>
      </c>
      <c r="O904" s="539">
        <f ca="1">IFERROR(__xludf.DUMMYFUNCTION("""COMPUTED_VALUE"""),1)</f>
        <v>1</v>
      </c>
    </row>
    <row r="905" spans="1:15" ht="12.75">
      <c r="A905" s="539">
        <f ca="1"/>
        <v>899</v>
      </c>
      <c r="B905" s="35" t="str">
        <f ca="1">IFERROR(__xludf.DUMMYFUNCTION("""COMPUTED_VALUE"""),"Tổ Hạ tầng Gò Dầu")</f>
        <v>Tổ Hạ tầng Gò Dầu</v>
      </c>
      <c r="C905" s="35" t="str">
        <f ca="1">IFERROR(__xludf.DUMMYFUNCTION("""COMPUTED_VALUE"""),"Đặng Chí Hiếu")</f>
        <v>Đặng Chí Hiếu</v>
      </c>
      <c r="D905" s="35">
        <f ca="1">IFERROR(__xludf.DUMMYFUNCTION("""COMPUTED_VALUE"""),828585258)</f>
        <v>828585258</v>
      </c>
      <c r="E905" s="35" t="str">
        <f ca="1">IFERROR(__xludf.DUMMYFUNCTION("""COMPUTED_VALUE"""),"hieudc.tnh@vnpt.vn")</f>
        <v>hieudc.tnh@vnpt.vn</v>
      </c>
      <c r="F905" s="540" t="str">
        <f ca="1">IFERROR(__xludf.DUMMYFUNCTION("""COMPUTED_VALUE"""),"Lần 3")</f>
        <v>Lần 3</v>
      </c>
      <c r="G905" s="278">
        <f ca="1">IFERROR(__xludf.DUMMYFUNCTION("""COMPUTED_VALUE"""),46206)</f>
        <v>46206</v>
      </c>
      <c r="H905" s="35">
        <f ca="1">IFERROR(__xludf.DUMMYFUNCTION("""COMPUTED_VALUE"""),96)</f>
        <v>96</v>
      </c>
      <c r="I905" s="35">
        <f ca="1">IFERROR(__xludf.DUMMYFUNCTION("""COMPUTED_VALUE"""),57)</f>
        <v>57</v>
      </c>
      <c r="J905" s="35">
        <f ca="1">IFERROR(__xludf.DUMMYFUNCTION("""COMPUTED_VALUE"""),100)</f>
        <v>100</v>
      </c>
      <c r="K905" s="35">
        <f ca="1">IFERROR(__xludf.DUMMYFUNCTION("""COMPUTED_VALUE"""),62)</f>
        <v>62</v>
      </c>
      <c r="M905" s="539">
        <f ca="1">IFERROR(__xludf.DUMMYFUNCTION("""COMPUTED_VALUE"""),1)</f>
        <v>1</v>
      </c>
      <c r="N905" s="539">
        <f ca="1">IFERROR(__xludf.DUMMYFUNCTION("""COMPUTED_VALUE"""),1)</f>
        <v>1</v>
      </c>
      <c r="O905" s="539">
        <f ca="1">IFERROR(__xludf.DUMMYFUNCTION("""COMPUTED_VALUE"""),0)</f>
        <v>0</v>
      </c>
    </row>
    <row r="906" spans="1:15" ht="12.75">
      <c r="A906" s="539">
        <f ca="1"/>
        <v>900</v>
      </c>
      <c r="B906" s="35" t="str">
        <f ca="1">IFERROR(__xludf.DUMMYFUNCTION("""COMPUTED_VALUE"""),"Tổ Hạ tầng Gò Dầu")</f>
        <v>Tổ Hạ tầng Gò Dầu</v>
      </c>
      <c r="C906" s="35" t="str">
        <f ca="1">IFERROR(__xludf.DUMMYFUNCTION("""COMPUTED_VALUE"""),"Đặng Chí Hiếu")</f>
        <v>Đặng Chí Hiếu</v>
      </c>
      <c r="D906" s="35">
        <f ca="1">IFERROR(__xludf.DUMMYFUNCTION("""COMPUTED_VALUE"""),828585258)</f>
        <v>828585258</v>
      </c>
      <c r="E906" s="35" t="str">
        <f ca="1">IFERROR(__xludf.DUMMYFUNCTION("""COMPUTED_VALUE"""),"hieudc.tnh@vnpt.vn")</f>
        <v>hieudc.tnh@vnpt.vn</v>
      </c>
      <c r="F906" s="540" t="str">
        <f ca="1">IFERROR(__xludf.DUMMYFUNCTION("""COMPUTED_VALUE"""),"Lần 4")</f>
        <v>Lần 4</v>
      </c>
      <c r="G906" s="278">
        <f ca="1">IFERROR(__xludf.DUMMYFUNCTION("""COMPUTED_VALUE"""),46206)</f>
        <v>46206</v>
      </c>
      <c r="H906" s="35">
        <f ca="1">IFERROR(__xludf.DUMMYFUNCTION("""COMPUTED_VALUE"""),93)</f>
        <v>93</v>
      </c>
      <c r="I906" s="35">
        <f ca="1">IFERROR(__xludf.DUMMYFUNCTION("""COMPUTED_VALUE"""),57)</f>
        <v>57</v>
      </c>
      <c r="J906" s="35">
        <f ca="1">IFERROR(__xludf.DUMMYFUNCTION("""COMPUTED_VALUE"""),109)</f>
        <v>109</v>
      </c>
      <c r="K906" s="35">
        <f ca="1">IFERROR(__xludf.DUMMYFUNCTION("""COMPUTED_VALUE"""),64)</f>
        <v>64</v>
      </c>
      <c r="M906" s="539">
        <f ca="1">IFERROR(__xludf.DUMMYFUNCTION("""COMPUTED_VALUE"""),1)</f>
        <v>1</v>
      </c>
      <c r="N906" s="539">
        <f ca="1">IFERROR(__xludf.DUMMYFUNCTION("""COMPUTED_VALUE"""),1)</f>
        <v>1</v>
      </c>
      <c r="O906" s="539">
        <f ca="1">IFERROR(__xludf.DUMMYFUNCTION("""COMPUTED_VALUE"""),0)</f>
        <v>0</v>
      </c>
    </row>
    <row r="907" spans="1:15" ht="12.75">
      <c r="A907" s="539">
        <f ca="1"/>
        <v>901</v>
      </c>
      <c r="B907" s="35" t="str">
        <f ca="1">IFERROR(__xludf.DUMMYFUNCTION("""COMPUTED_VALUE"""),"Tổ Hạ tầng Gò Dầu")</f>
        <v>Tổ Hạ tầng Gò Dầu</v>
      </c>
      <c r="C907" s="35" t="str">
        <f ca="1">IFERROR(__xludf.DUMMYFUNCTION("""COMPUTED_VALUE"""),"Đặng Chí Hiếu")</f>
        <v>Đặng Chí Hiếu</v>
      </c>
      <c r="D907" s="35">
        <f ca="1">IFERROR(__xludf.DUMMYFUNCTION("""COMPUTED_VALUE"""),828585258)</f>
        <v>828585258</v>
      </c>
      <c r="E907" s="35" t="str">
        <f ca="1">IFERROR(__xludf.DUMMYFUNCTION("""COMPUTED_VALUE"""),"hieudc.tnh@vnpt.vn")</f>
        <v>hieudc.tnh@vnpt.vn</v>
      </c>
      <c r="F907" s="540" t="str">
        <f ca="1">IFERROR(__xludf.DUMMYFUNCTION("""COMPUTED_VALUE"""),"Lần 5")</f>
        <v>Lần 5</v>
      </c>
      <c r="G907" s="278">
        <f ca="1">IFERROR(__xludf.DUMMYFUNCTION("""COMPUTED_VALUE"""),46211)</f>
        <v>46211</v>
      </c>
      <c r="H907" s="35">
        <f ca="1">IFERROR(__xludf.DUMMYFUNCTION("""COMPUTED_VALUE"""),90)</f>
        <v>90</v>
      </c>
      <c r="I907" s="35">
        <f ca="1">IFERROR(__xludf.DUMMYFUNCTION("""COMPUTED_VALUE"""),52)</f>
        <v>52</v>
      </c>
      <c r="J907" s="35">
        <f ca="1">IFERROR(__xludf.DUMMYFUNCTION("""COMPUTED_VALUE"""),89)</f>
        <v>89</v>
      </c>
      <c r="K907" s="35">
        <f ca="1">IFERROR(__xludf.DUMMYFUNCTION("""COMPUTED_VALUE"""),61)</f>
        <v>61</v>
      </c>
      <c r="M907" s="539">
        <f ca="1">IFERROR(__xludf.DUMMYFUNCTION("""COMPUTED_VALUE"""),1)</f>
        <v>1</v>
      </c>
      <c r="N907" s="539">
        <f ca="1">IFERROR(__xludf.DUMMYFUNCTION("""COMPUTED_VALUE"""),1)</f>
        <v>1</v>
      </c>
      <c r="O907" s="539">
        <f ca="1">IFERROR(__xludf.DUMMYFUNCTION("""COMPUTED_VALUE"""),0)</f>
        <v>0</v>
      </c>
    </row>
    <row r="908" spans="1:15" ht="12.75">
      <c r="A908" s="539">
        <f ca="1"/>
        <v>902</v>
      </c>
      <c r="B908" s="35" t="str">
        <f ca="1">IFERROR(__xludf.DUMMYFUNCTION("""COMPUTED_VALUE"""),"Tổ Hạ tầng Gò Dầu")</f>
        <v>Tổ Hạ tầng Gò Dầu</v>
      </c>
      <c r="C908" s="35" t="str">
        <f ca="1">IFERROR(__xludf.DUMMYFUNCTION("""COMPUTED_VALUE"""),"Đặng Chí Hiếu")</f>
        <v>Đặng Chí Hiếu</v>
      </c>
      <c r="D908" s="35">
        <f ca="1">IFERROR(__xludf.DUMMYFUNCTION("""COMPUTED_VALUE"""),828585258)</f>
        <v>828585258</v>
      </c>
      <c r="E908" s="35" t="str">
        <f ca="1">IFERROR(__xludf.DUMMYFUNCTION("""COMPUTED_VALUE"""),"hieudc.tnh@vnpt.vn")</f>
        <v>hieudc.tnh@vnpt.vn</v>
      </c>
      <c r="F908" s="540" t="str">
        <f ca="1">IFERROR(__xludf.DUMMYFUNCTION("""COMPUTED_VALUE"""),"Lần 6")</f>
        <v>Lần 6</v>
      </c>
      <c r="G908" s="278">
        <f ca="1">IFERROR(__xludf.DUMMYFUNCTION("""COMPUTED_VALUE"""),46211)</f>
        <v>46211</v>
      </c>
      <c r="H908" s="35">
        <f ca="1">IFERROR(__xludf.DUMMYFUNCTION("""COMPUTED_VALUE"""),88)</f>
        <v>88</v>
      </c>
      <c r="I908" s="35">
        <f ca="1">IFERROR(__xludf.DUMMYFUNCTION("""COMPUTED_VALUE"""),57)</f>
        <v>57</v>
      </c>
      <c r="J908" s="35">
        <f ca="1">IFERROR(__xludf.DUMMYFUNCTION("""COMPUTED_VALUE"""),108)</f>
        <v>108</v>
      </c>
      <c r="K908" s="35">
        <f ca="1">IFERROR(__xludf.DUMMYFUNCTION("""COMPUTED_VALUE"""),63)</f>
        <v>63</v>
      </c>
      <c r="M908" s="539">
        <f ca="1">IFERROR(__xludf.DUMMYFUNCTION("""COMPUTED_VALUE"""),1)</f>
        <v>1</v>
      </c>
      <c r="N908" s="539">
        <f ca="1">IFERROR(__xludf.DUMMYFUNCTION("""COMPUTED_VALUE"""),1)</f>
        <v>1</v>
      </c>
      <c r="O908" s="539">
        <f ca="1">IFERROR(__xludf.DUMMYFUNCTION("""COMPUTED_VALUE"""),0)</f>
        <v>0</v>
      </c>
    </row>
    <row r="909" spans="1:15" ht="12.75">
      <c r="A909" s="539">
        <f ca="1"/>
        <v>903</v>
      </c>
      <c r="B909" s="35" t="str">
        <f ca="1">IFERROR(__xludf.DUMMYFUNCTION("""COMPUTED_VALUE"""),"Tổ Hạ tầng Gò Dầu")</f>
        <v>Tổ Hạ tầng Gò Dầu</v>
      </c>
      <c r="C909" s="35" t="str">
        <f ca="1">IFERROR(__xludf.DUMMYFUNCTION("""COMPUTED_VALUE"""),"Đặng Chí Hiếu")</f>
        <v>Đặng Chí Hiếu</v>
      </c>
      <c r="D909" s="35">
        <f ca="1">IFERROR(__xludf.DUMMYFUNCTION("""COMPUTED_VALUE"""),828585258)</f>
        <v>828585258</v>
      </c>
      <c r="E909" s="35" t="str">
        <f ca="1">IFERROR(__xludf.DUMMYFUNCTION("""COMPUTED_VALUE"""),"hieudc.tnh@vnpt.vn")</f>
        <v>hieudc.tnh@vnpt.vn</v>
      </c>
      <c r="F909" s="540" t="str">
        <f ca="1">IFERROR(__xludf.DUMMYFUNCTION("""COMPUTED_VALUE"""),"Lần 7")</f>
        <v>Lần 7</v>
      </c>
      <c r="G909" s="278">
        <f ca="1">IFERROR(__xludf.DUMMYFUNCTION("""COMPUTED_VALUE"""),46211)</f>
        <v>46211</v>
      </c>
      <c r="H909" s="35">
        <f ca="1">IFERROR(__xludf.DUMMYFUNCTION("""COMPUTED_VALUE"""),87)</f>
        <v>87</v>
      </c>
      <c r="I909" s="35">
        <f ca="1">IFERROR(__xludf.DUMMYFUNCTION("""COMPUTED_VALUE"""),56)</f>
        <v>56</v>
      </c>
      <c r="J909" s="35">
        <f ca="1">IFERROR(__xludf.DUMMYFUNCTION("""COMPUTED_VALUE"""),107)</f>
        <v>107</v>
      </c>
      <c r="K909" s="35">
        <f ca="1">IFERROR(__xludf.DUMMYFUNCTION("""COMPUTED_VALUE"""),55)</f>
        <v>55</v>
      </c>
      <c r="M909" s="539">
        <f ca="1">IFERROR(__xludf.DUMMYFUNCTION("""COMPUTED_VALUE"""),1)</f>
        <v>1</v>
      </c>
      <c r="N909" s="539">
        <f ca="1">IFERROR(__xludf.DUMMYFUNCTION("""COMPUTED_VALUE"""),1)</f>
        <v>1</v>
      </c>
      <c r="O909" s="539">
        <f ca="1">IFERROR(__xludf.DUMMYFUNCTION("""COMPUTED_VALUE"""),0)</f>
        <v>0</v>
      </c>
    </row>
    <row r="910" spans="1:15" ht="12.75">
      <c r="A910" s="539">
        <f ca="1"/>
        <v>904</v>
      </c>
      <c r="B910" s="35" t="str">
        <f ca="1">IFERROR(__xludf.DUMMYFUNCTION("""COMPUTED_VALUE"""),"Tổ Hạ tầng Gò Dầu")</f>
        <v>Tổ Hạ tầng Gò Dầu</v>
      </c>
      <c r="C910" s="35" t="str">
        <f ca="1">IFERROR(__xludf.DUMMYFUNCTION("""COMPUTED_VALUE"""),"Đặng Chí Hiếu")</f>
        <v>Đặng Chí Hiếu</v>
      </c>
      <c r="D910" s="35">
        <f ca="1">IFERROR(__xludf.DUMMYFUNCTION("""COMPUTED_VALUE"""),828585258)</f>
        <v>828585258</v>
      </c>
      <c r="E910" s="35" t="str">
        <f ca="1">IFERROR(__xludf.DUMMYFUNCTION("""COMPUTED_VALUE"""),"hieudc.tnh@vnpt.vn")</f>
        <v>hieudc.tnh@vnpt.vn</v>
      </c>
      <c r="F910" s="540" t="str">
        <f ca="1">IFERROR(__xludf.DUMMYFUNCTION("""COMPUTED_VALUE"""),"Lần 8")</f>
        <v>Lần 8</v>
      </c>
      <c r="G910" s="278">
        <f ca="1">IFERROR(__xludf.DUMMYFUNCTION("""COMPUTED_VALUE"""),46211)</f>
        <v>46211</v>
      </c>
      <c r="H910" s="35">
        <f ca="1">IFERROR(__xludf.DUMMYFUNCTION("""COMPUTED_VALUE"""),97)</f>
        <v>97</v>
      </c>
      <c r="I910" s="35">
        <f ca="1">IFERROR(__xludf.DUMMYFUNCTION("""COMPUTED_VALUE"""),55)</f>
        <v>55</v>
      </c>
      <c r="J910" s="35">
        <f ca="1">IFERROR(__xludf.DUMMYFUNCTION("""COMPUTED_VALUE"""),75)</f>
        <v>75</v>
      </c>
      <c r="K910" s="35">
        <f ca="1">IFERROR(__xludf.DUMMYFUNCTION("""COMPUTED_VALUE"""),61)</f>
        <v>61</v>
      </c>
      <c r="M910" s="539">
        <f ca="1">IFERROR(__xludf.DUMMYFUNCTION("""COMPUTED_VALUE"""),1)</f>
        <v>1</v>
      </c>
      <c r="N910" s="539">
        <f ca="1">IFERROR(__xludf.DUMMYFUNCTION("""COMPUTED_VALUE"""),1)</f>
        <v>1</v>
      </c>
      <c r="O910" s="539">
        <f ca="1">IFERROR(__xludf.DUMMYFUNCTION("""COMPUTED_VALUE"""),0)</f>
        <v>0</v>
      </c>
    </row>
    <row r="911" spans="1:15" ht="12.75">
      <c r="A911" s="539">
        <f ca="1"/>
        <v>905</v>
      </c>
      <c r="B911" s="35" t="str">
        <f ca="1">IFERROR(__xludf.DUMMYFUNCTION("""COMPUTED_VALUE"""),"Tổ Hạ tầng Gò Dầu")</f>
        <v>Tổ Hạ tầng Gò Dầu</v>
      </c>
      <c r="C911" s="35" t="str">
        <f ca="1">IFERROR(__xludf.DUMMYFUNCTION("""COMPUTED_VALUE"""),"Đặng Chí Hiếu")</f>
        <v>Đặng Chí Hiếu</v>
      </c>
      <c r="D911" s="35">
        <f ca="1">IFERROR(__xludf.DUMMYFUNCTION("""COMPUTED_VALUE"""),828585258)</f>
        <v>828585258</v>
      </c>
      <c r="E911" s="35" t="str">
        <f ca="1">IFERROR(__xludf.DUMMYFUNCTION("""COMPUTED_VALUE"""),"hieudc.tnh@vnpt.vn")</f>
        <v>hieudc.tnh@vnpt.vn</v>
      </c>
      <c r="F911" s="540" t="str">
        <f ca="1">IFERROR(__xludf.DUMMYFUNCTION("""COMPUTED_VALUE"""),"Lần 9")</f>
        <v>Lần 9</v>
      </c>
      <c r="G911" s="278">
        <f ca="1">IFERROR(__xludf.DUMMYFUNCTION("""COMPUTED_VALUE"""),46217)</f>
        <v>46217</v>
      </c>
      <c r="H911" s="35">
        <f ca="1">IFERROR(__xludf.DUMMYFUNCTION("""COMPUTED_VALUE"""),90)</f>
        <v>90</v>
      </c>
      <c r="I911" s="35">
        <f ca="1">IFERROR(__xludf.DUMMYFUNCTION("""COMPUTED_VALUE"""),55)</f>
        <v>55</v>
      </c>
      <c r="J911" s="35">
        <f ca="1">IFERROR(__xludf.DUMMYFUNCTION("""COMPUTED_VALUE"""),91)</f>
        <v>91</v>
      </c>
      <c r="K911" s="35">
        <f ca="1">IFERROR(__xludf.DUMMYFUNCTION("""COMPUTED_VALUE"""),62)</f>
        <v>62</v>
      </c>
      <c r="M911" s="539">
        <f ca="1">IFERROR(__xludf.DUMMYFUNCTION("""COMPUTED_VALUE"""),1)</f>
        <v>1</v>
      </c>
      <c r="N911" s="539">
        <f ca="1">IFERROR(__xludf.DUMMYFUNCTION("""COMPUTED_VALUE"""),1)</f>
        <v>1</v>
      </c>
      <c r="O911" s="539">
        <f ca="1">IFERROR(__xludf.DUMMYFUNCTION("""COMPUTED_VALUE"""),0)</f>
        <v>0</v>
      </c>
    </row>
    <row r="912" spans="1:15" ht="12.75">
      <c r="A912" s="539">
        <f ca="1"/>
        <v>906</v>
      </c>
      <c r="B912" s="35" t="str">
        <f ca="1">IFERROR(__xludf.DUMMYFUNCTION("""COMPUTED_VALUE"""),"Tổ Hạ tầng Gò Dầu")</f>
        <v>Tổ Hạ tầng Gò Dầu</v>
      </c>
      <c r="C912" s="35" t="str">
        <f ca="1">IFERROR(__xludf.DUMMYFUNCTION("""COMPUTED_VALUE"""),"Đặng Chí Hiếu")</f>
        <v>Đặng Chí Hiếu</v>
      </c>
      <c r="D912" s="35">
        <f ca="1">IFERROR(__xludf.DUMMYFUNCTION("""COMPUTED_VALUE"""),828585258)</f>
        <v>828585258</v>
      </c>
      <c r="E912" s="35" t="str">
        <f ca="1">IFERROR(__xludf.DUMMYFUNCTION("""COMPUTED_VALUE"""),"hieudc.tnh@vnpt.vn")</f>
        <v>hieudc.tnh@vnpt.vn</v>
      </c>
      <c r="F912" s="540" t="str">
        <f ca="1">IFERROR(__xludf.DUMMYFUNCTION("""COMPUTED_VALUE"""),"Lần 10")</f>
        <v>Lần 10</v>
      </c>
      <c r="G912" s="278">
        <f ca="1">IFERROR(__xludf.DUMMYFUNCTION("""COMPUTED_VALUE"""),46217)</f>
        <v>46217</v>
      </c>
      <c r="H912" s="35">
        <f ca="1">IFERROR(__xludf.DUMMYFUNCTION("""COMPUTED_VALUE"""),83)</f>
        <v>83</v>
      </c>
      <c r="I912" s="35">
        <f ca="1">IFERROR(__xludf.DUMMYFUNCTION("""COMPUTED_VALUE"""),57)</f>
        <v>57</v>
      </c>
      <c r="J912" s="35">
        <f ca="1">IFERROR(__xludf.DUMMYFUNCTION("""COMPUTED_VALUE"""),106)</f>
        <v>106</v>
      </c>
      <c r="K912" s="35">
        <f ca="1">IFERROR(__xludf.DUMMYFUNCTION("""COMPUTED_VALUE"""),62)</f>
        <v>62</v>
      </c>
      <c r="M912" s="539">
        <f ca="1">IFERROR(__xludf.DUMMYFUNCTION("""COMPUTED_VALUE"""),1)</f>
        <v>1</v>
      </c>
      <c r="N912" s="539">
        <f ca="1">IFERROR(__xludf.DUMMYFUNCTION("""COMPUTED_VALUE"""),1)</f>
        <v>1</v>
      </c>
      <c r="O912" s="539">
        <f ca="1">IFERROR(__xludf.DUMMYFUNCTION("""COMPUTED_VALUE"""),0)</f>
        <v>0</v>
      </c>
    </row>
    <row r="913" spans="1:15" ht="12.75">
      <c r="A913" s="539">
        <f ca="1"/>
        <v>907</v>
      </c>
      <c r="B913" s="35" t="str">
        <f ca="1">IFERROR(__xludf.DUMMYFUNCTION("""COMPUTED_VALUE"""),"Tổ Hạ tầng Gò Dầu")</f>
        <v>Tổ Hạ tầng Gò Dầu</v>
      </c>
      <c r="C913" s="35" t="str">
        <f ca="1">IFERROR(__xludf.DUMMYFUNCTION("""COMPUTED_VALUE"""),"Đặng Chí Hiếu")</f>
        <v>Đặng Chí Hiếu</v>
      </c>
      <c r="D913" s="35">
        <f ca="1">IFERROR(__xludf.DUMMYFUNCTION("""COMPUTED_VALUE"""),828585258)</f>
        <v>828585258</v>
      </c>
      <c r="E913" s="35" t="str">
        <f ca="1">IFERROR(__xludf.DUMMYFUNCTION("""COMPUTED_VALUE"""),"hieudc.tnh@vnpt.vn")</f>
        <v>hieudc.tnh@vnpt.vn</v>
      </c>
      <c r="F913" s="540" t="str">
        <f ca="1">IFERROR(__xludf.DUMMYFUNCTION("""COMPUTED_VALUE"""),"Lần 11")</f>
        <v>Lần 11</v>
      </c>
      <c r="G913" s="278">
        <f ca="1">IFERROR(__xludf.DUMMYFUNCTION("""COMPUTED_VALUE"""),46217)</f>
        <v>46217</v>
      </c>
      <c r="H913" s="35">
        <f ca="1">IFERROR(__xludf.DUMMYFUNCTION("""COMPUTED_VALUE"""),101)</f>
        <v>101</v>
      </c>
      <c r="I913" s="35">
        <f ca="1">IFERROR(__xludf.DUMMYFUNCTION("""COMPUTED_VALUE"""),51)</f>
        <v>51</v>
      </c>
      <c r="J913" s="35">
        <f ca="1">IFERROR(__xludf.DUMMYFUNCTION("""COMPUTED_VALUE"""),107)</f>
        <v>107</v>
      </c>
      <c r="K913" s="35">
        <f ca="1">IFERROR(__xludf.DUMMYFUNCTION("""COMPUTED_VALUE"""),61)</f>
        <v>61</v>
      </c>
      <c r="M913" s="539">
        <f ca="1">IFERROR(__xludf.DUMMYFUNCTION("""COMPUTED_VALUE"""),1)</f>
        <v>1</v>
      </c>
      <c r="N913" s="539">
        <f ca="1">IFERROR(__xludf.DUMMYFUNCTION("""COMPUTED_VALUE"""),1)</f>
        <v>1</v>
      </c>
      <c r="O913" s="539">
        <f ca="1">IFERROR(__xludf.DUMMYFUNCTION("""COMPUTED_VALUE"""),0)</f>
        <v>0</v>
      </c>
    </row>
    <row r="914" spans="1:15" ht="12.75">
      <c r="A914" s="539">
        <f ca="1"/>
        <v>908</v>
      </c>
      <c r="B914" s="35" t="str">
        <f ca="1">IFERROR(__xludf.DUMMYFUNCTION("""COMPUTED_VALUE"""),"Tổ Hạ tầng Gò Dầu")</f>
        <v>Tổ Hạ tầng Gò Dầu</v>
      </c>
      <c r="C914" s="35" t="str">
        <f ca="1">IFERROR(__xludf.DUMMYFUNCTION("""COMPUTED_VALUE"""),"Đặng Chí Hiếu")</f>
        <v>Đặng Chí Hiếu</v>
      </c>
      <c r="D914" s="35">
        <f ca="1">IFERROR(__xludf.DUMMYFUNCTION("""COMPUTED_VALUE"""),828585258)</f>
        <v>828585258</v>
      </c>
      <c r="E914" s="35" t="str">
        <f ca="1">IFERROR(__xludf.DUMMYFUNCTION("""COMPUTED_VALUE"""),"hieudc.tnh@vnpt.vn")</f>
        <v>hieudc.tnh@vnpt.vn</v>
      </c>
      <c r="F914" s="540" t="str">
        <f ca="1">IFERROR(__xludf.DUMMYFUNCTION("""COMPUTED_VALUE"""),"Lần 12")</f>
        <v>Lần 12</v>
      </c>
      <c r="G914" s="278">
        <f ca="1">IFERROR(__xludf.DUMMYFUNCTION("""COMPUTED_VALUE"""),46217)</f>
        <v>46217</v>
      </c>
      <c r="H914" s="35">
        <f ca="1">IFERROR(__xludf.DUMMYFUNCTION("""COMPUTED_VALUE"""),102)</f>
        <v>102</v>
      </c>
      <c r="I914" s="35">
        <f ca="1">IFERROR(__xludf.DUMMYFUNCTION("""COMPUTED_VALUE"""),102)</f>
        <v>102</v>
      </c>
      <c r="J914" s="35">
        <f ca="1">IFERROR(__xludf.DUMMYFUNCTION("""COMPUTED_VALUE"""),106)</f>
        <v>106</v>
      </c>
      <c r="K914" s="35">
        <f ca="1">IFERROR(__xludf.DUMMYFUNCTION("""COMPUTED_VALUE"""),62)</f>
        <v>62</v>
      </c>
      <c r="M914" s="539">
        <f ca="1">IFERROR(__xludf.DUMMYFUNCTION("""COMPUTED_VALUE"""),1)</f>
        <v>1</v>
      </c>
      <c r="N914" s="539">
        <f ca="1">IFERROR(__xludf.DUMMYFUNCTION("""COMPUTED_VALUE"""),1)</f>
        <v>1</v>
      </c>
      <c r="O914" s="539">
        <f ca="1">IFERROR(__xludf.DUMMYFUNCTION("""COMPUTED_VALUE"""),0)</f>
        <v>0</v>
      </c>
    </row>
    <row r="915" spans="1:15" ht="12.75">
      <c r="A915" s="539">
        <f ca="1"/>
        <v>909</v>
      </c>
      <c r="B915" s="35" t="str">
        <f ca="1">IFERROR(__xludf.DUMMYFUNCTION("""COMPUTED_VALUE"""),"Tổ Hạ tầng Gò Dầu")</f>
        <v>Tổ Hạ tầng Gò Dầu</v>
      </c>
      <c r="C915" s="35" t="str">
        <f ca="1">IFERROR(__xludf.DUMMYFUNCTION("""COMPUTED_VALUE"""),"Đặng Chí Hiếu")</f>
        <v>Đặng Chí Hiếu</v>
      </c>
      <c r="D915" s="35">
        <f ca="1">IFERROR(__xludf.DUMMYFUNCTION("""COMPUTED_VALUE"""),828585258)</f>
        <v>828585258</v>
      </c>
      <c r="E915" s="35" t="str">
        <f ca="1">IFERROR(__xludf.DUMMYFUNCTION("""COMPUTED_VALUE"""),"hieudc.tnh@vnpt.vn")</f>
        <v>hieudc.tnh@vnpt.vn</v>
      </c>
      <c r="F915" s="540" t="str">
        <f ca="1">IFERROR(__xludf.DUMMYFUNCTION("""COMPUTED_VALUE"""),"Lần 13")</f>
        <v>Lần 13</v>
      </c>
      <c r="G915" s="278">
        <f ca="1">IFERROR(__xludf.DUMMYFUNCTION("""COMPUTED_VALUE"""),46223)</f>
        <v>46223</v>
      </c>
      <c r="H915" s="35"/>
      <c r="I915" s="35"/>
      <c r="J915" s="35"/>
      <c r="K915" s="35"/>
      <c r="M915" s="539">
        <f ca="1">IFERROR(__xludf.DUMMYFUNCTION("""COMPUTED_VALUE"""),0)</f>
        <v>0</v>
      </c>
      <c r="N915" s="539">
        <f ca="1">IFERROR(__xludf.DUMMYFUNCTION("""COMPUTED_VALUE"""),0)</f>
        <v>0</v>
      </c>
      <c r="O915" s="539">
        <f ca="1">IFERROR(__xludf.DUMMYFUNCTION("""COMPUTED_VALUE"""),0)</f>
        <v>0</v>
      </c>
    </row>
    <row r="916" spans="1:15" ht="12.75">
      <c r="A916" s="539">
        <f ca="1"/>
        <v>910</v>
      </c>
      <c r="B916" s="35" t="str">
        <f ca="1">IFERROR(__xludf.DUMMYFUNCTION("""COMPUTED_VALUE"""),"Tổ Hạ tầng Gò Dầu")</f>
        <v>Tổ Hạ tầng Gò Dầu</v>
      </c>
      <c r="C916" s="35" t="str">
        <f ca="1">IFERROR(__xludf.DUMMYFUNCTION("""COMPUTED_VALUE"""),"Đặng Chí Hiếu")</f>
        <v>Đặng Chí Hiếu</v>
      </c>
      <c r="D916" s="35">
        <f ca="1">IFERROR(__xludf.DUMMYFUNCTION("""COMPUTED_VALUE"""),828585258)</f>
        <v>828585258</v>
      </c>
      <c r="E916" s="35" t="str">
        <f ca="1">IFERROR(__xludf.DUMMYFUNCTION("""COMPUTED_VALUE"""),"hieudc.tnh@vnpt.vn")</f>
        <v>hieudc.tnh@vnpt.vn</v>
      </c>
      <c r="F916" s="540" t="str">
        <f ca="1">IFERROR(__xludf.DUMMYFUNCTION("""COMPUTED_VALUE"""),"Lần 14")</f>
        <v>Lần 14</v>
      </c>
      <c r="G916" s="278">
        <f ca="1">IFERROR(__xludf.DUMMYFUNCTION("""COMPUTED_VALUE"""),46223)</f>
        <v>46223</v>
      </c>
      <c r="H916" s="35"/>
      <c r="I916" s="35"/>
      <c r="J916" s="35"/>
      <c r="K916" s="35"/>
      <c r="M916" s="539">
        <f ca="1">IFERROR(__xludf.DUMMYFUNCTION("""COMPUTED_VALUE"""),0)</f>
        <v>0</v>
      </c>
      <c r="N916" s="539">
        <f ca="1">IFERROR(__xludf.DUMMYFUNCTION("""COMPUTED_VALUE"""),0)</f>
        <v>0</v>
      </c>
      <c r="O916" s="539">
        <f ca="1">IFERROR(__xludf.DUMMYFUNCTION("""COMPUTED_VALUE"""),0)</f>
        <v>0</v>
      </c>
    </row>
    <row r="917" spans="1:15" ht="12.75">
      <c r="A917" s="539">
        <f ca="1"/>
        <v>911</v>
      </c>
      <c r="B917" s="35" t="str">
        <f ca="1">IFERROR(__xludf.DUMMYFUNCTION("""COMPUTED_VALUE"""),"Tổ Hạ tầng Gò Dầu")</f>
        <v>Tổ Hạ tầng Gò Dầu</v>
      </c>
      <c r="C917" s="35" t="str">
        <f ca="1">IFERROR(__xludf.DUMMYFUNCTION("""COMPUTED_VALUE"""),"Đặng Chí Hiếu")</f>
        <v>Đặng Chí Hiếu</v>
      </c>
      <c r="D917" s="35">
        <f ca="1">IFERROR(__xludf.DUMMYFUNCTION("""COMPUTED_VALUE"""),828585258)</f>
        <v>828585258</v>
      </c>
      <c r="E917" s="35" t="str">
        <f ca="1">IFERROR(__xludf.DUMMYFUNCTION("""COMPUTED_VALUE"""),"hieudc.tnh@vnpt.vn")</f>
        <v>hieudc.tnh@vnpt.vn</v>
      </c>
      <c r="F917" s="540" t="str">
        <f ca="1">IFERROR(__xludf.DUMMYFUNCTION("""COMPUTED_VALUE"""),"Lần 15")</f>
        <v>Lần 15</v>
      </c>
      <c r="G917" s="278">
        <f ca="1">IFERROR(__xludf.DUMMYFUNCTION("""COMPUTED_VALUE"""),46223)</f>
        <v>46223</v>
      </c>
      <c r="H917" s="35"/>
      <c r="I917" s="35"/>
      <c r="J917" s="35"/>
      <c r="K917" s="35"/>
      <c r="M917" s="539">
        <f ca="1">IFERROR(__xludf.DUMMYFUNCTION("""COMPUTED_VALUE"""),0)</f>
        <v>0</v>
      </c>
      <c r="N917" s="539">
        <f ca="1">IFERROR(__xludf.DUMMYFUNCTION("""COMPUTED_VALUE"""),0)</f>
        <v>0</v>
      </c>
      <c r="O917" s="539">
        <f ca="1">IFERROR(__xludf.DUMMYFUNCTION("""COMPUTED_VALUE"""),0)</f>
        <v>0</v>
      </c>
    </row>
    <row r="918" spans="1:15" ht="12.75">
      <c r="A918" s="539">
        <f ca="1"/>
        <v>912</v>
      </c>
      <c r="B918" s="35" t="str">
        <f ca="1">IFERROR(__xludf.DUMMYFUNCTION("""COMPUTED_VALUE"""),"Tổ Hạ tầng Gò Dầu")</f>
        <v>Tổ Hạ tầng Gò Dầu</v>
      </c>
      <c r="C918" s="35" t="str">
        <f ca="1">IFERROR(__xludf.DUMMYFUNCTION("""COMPUTED_VALUE"""),"Đặng Chí Hiếu")</f>
        <v>Đặng Chí Hiếu</v>
      </c>
      <c r="D918" s="35">
        <f ca="1">IFERROR(__xludf.DUMMYFUNCTION("""COMPUTED_VALUE"""),828585258)</f>
        <v>828585258</v>
      </c>
      <c r="E918" s="35" t="str">
        <f ca="1">IFERROR(__xludf.DUMMYFUNCTION("""COMPUTED_VALUE"""),"hieudc.tnh@vnpt.vn")</f>
        <v>hieudc.tnh@vnpt.vn</v>
      </c>
      <c r="F918" s="540" t="str">
        <f ca="1">IFERROR(__xludf.DUMMYFUNCTION("""COMPUTED_VALUE"""),"Lần 16")</f>
        <v>Lần 16</v>
      </c>
      <c r="G918" s="278">
        <f ca="1">IFERROR(__xludf.DUMMYFUNCTION("""COMPUTED_VALUE"""),46223)</f>
        <v>46223</v>
      </c>
      <c r="H918" s="35"/>
      <c r="I918" s="35"/>
      <c r="J918" s="35"/>
      <c r="K918" s="35"/>
      <c r="M918" s="539">
        <f ca="1">IFERROR(__xludf.DUMMYFUNCTION("""COMPUTED_VALUE"""),0)</f>
        <v>0</v>
      </c>
      <c r="N918" s="539">
        <f ca="1">IFERROR(__xludf.DUMMYFUNCTION("""COMPUTED_VALUE"""),0)</f>
        <v>0</v>
      </c>
      <c r="O918" s="539">
        <f ca="1">IFERROR(__xludf.DUMMYFUNCTION("""COMPUTED_VALUE"""),0)</f>
        <v>0</v>
      </c>
    </row>
    <row r="919" spans="1:15" ht="12.75">
      <c r="A919" s="539">
        <f ca="1"/>
        <v>913</v>
      </c>
      <c r="B919" s="35" t="str">
        <f ca="1">IFERROR(__xludf.DUMMYFUNCTION("""COMPUTED_VALUE"""),"Tổ Hạ tầng Gò Dầu")</f>
        <v>Tổ Hạ tầng Gò Dầu</v>
      </c>
      <c r="C919" s="35" t="str">
        <f ca="1">IFERROR(__xludf.DUMMYFUNCTION("""COMPUTED_VALUE"""),"Trà Thanh Phong")</f>
        <v>Trà Thanh Phong</v>
      </c>
      <c r="D919" s="35">
        <f ca="1">IFERROR(__xludf.DUMMYFUNCTION("""COMPUTED_VALUE"""),833406690)</f>
        <v>833406690</v>
      </c>
      <c r="E919" s="35" t="str">
        <f ca="1">IFERROR(__xludf.DUMMYFUNCTION("""COMPUTED_VALUE"""),"phongtt.tnh@vnpt.vn")</f>
        <v>phongtt.tnh@vnpt.vn</v>
      </c>
      <c r="F919" s="540" t="str">
        <f ca="1">IFERROR(__xludf.DUMMYFUNCTION("""COMPUTED_VALUE"""),"Lần 1")</f>
        <v>Lần 1</v>
      </c>
      <c r="G919" s="278">
        <f ca="1">IFERROR(__xludf.DUMMYFUNCTION("""COMPUTED_VALUE"""),46206)</f>
        <v>46206</v>
      </c>
      <c r="H919" s="35">
        <f ca="1">IFERROR(__xludf.DUMMYFUNCTION("""COMPUTED_VALUE"""),81)</f>
        <v>81</v>
      </c>
      <c r="I919" s="35">
        <f ca="1">IFERROR(__xludf.DUMMYFUNCTION("""COMPUTED_VALUE"""),60)</f>
        <v>60</v>
      </c>
      <c r="J919" s="35">
        <f ca="1">IFERROR(__xludf.DUMMYFUNCTION("""COMPUTED_VALUE"""),81)</f>
        <v>81</v>
      </c>
      <c r="K919" s="35">
        <f ca="1">IFERROR(__xludf.DUMMYFUNCTION("""COMPUTED_VALUE"""),60)</f>
        <v>60</v>
      </c>
      <c r="M919" s="539">
        <f ca="1">IFERROR(__xludf.DUMMYFUNCTION("""COMPUTED_VALUE"""),1)</f>
        <v>1</v>
      </c>
      <c r="N919" s="539">
        <f ca="1">IFERROR(__xludf.DUMMYFUNCTION("""COMPUTED_VALUE"""),1)</f>
        <v>1</v>
      </c>
      <c r="O919" s="539">
        <f ca="1">IFERROR(__xludf.DUMMYFUNCTION("""COMPUTED_VALUE"""),0)</f>
        <v>0</v>
      </c>
    </row>
    <row r="920" spans="1:15" ht="12.75">
      <c r="A920" s="539">
        <f ca="1"/>
        <v>914</v>
      </c>
      <c r="B920" s="35" t="str">
        <f ca="1">IFERROR(__xludf.DUMMYFUNCTION("""COMPUTED_VALUE"""),"Tổ Hạ tầng Gò Dầu")</f>
        <v>Tổ Hạ tầng Gò Dầu</v>
      </c>
      <c r="C920" s="35" t="str">
        <f ca="1">IFERROR(__xludf.DUMMYFUNCTION("""COMPUTED_VALUE"""),"Trà Thanh Phong")</f>
        <v>Trà Thanh Phong</v>
      </c>
      <c r="D920" s="35">
        <f ca="1">IFERROR(__xludf.DUMMYFUNCTION("""COMPUTED_VALUE"""),833406690)</f>
        <v>833406690</v>
      </c>
      <c r="E920" s="35" t="str">
        <f ca="1">IFERROR(__xludf.DUMMYFUNCTION("""COMPUTED_VALUE"""),"phongtt.tnh@vnpt.vn")</f>
        <v>phongtt.tnh@vnpt.vn</v>
      </c>
      <c r="F920" s="540" t="str">
        <f ca="1">IFERROR(__xludf.DUMMYFUNCTION("""COMPUTED_VALUE"""),"Lần 2")</f>
        <v>Lần 2</v>
      </c>
      <c r="G920" s="278">
        <f ca="1">IFERROR(__xludf.DUMMYFUNCTION("""COMPUTED_VALUE"""),46206)</f>
        <v>46206</v>
      </c>
      <c r="H920" s="35">
        <f ca="1">IFERROR(__xludf.DUMMYFUNCTION("""COMPUTED_VALUE"""),89)</f>
        <v>89</v>
      </c>
      <c r="I920" s="35">
        <f ca="1">IFERROR(__xludf.DUMMYFUNCTION("""COMPUTED_VALUE"""),62)</f>
        <v>62</v>
      </c>
      <c r="J920" s="35">
        <f ca="1">IFERROR(__xludf.DUMMYFUNCTION("""COMPUTED_VALUE"""),89)</f>
        <v>89</v>
      </c>
      <c r="K920" s="35">
        <f ca="1">IFERROR(__xludf.DUMMYFUNCTION("""COMPUTED_VALUE"""),62)</f>
        <v>62</v>
      </c>
      <c r="M920" s="539">
        <f ca="1">IFERROR(__xludf.DUMMYFUNCTION("""COMPUTED_VALUE"""),1)</f>
        <v>1</v>
      </c>
      <c r="N920" s="539">
        <f ca="1">IFERROR(__xludf.DUMMYFUNCTION("""COMPUTED_VALUE"""),1)</f>
        <v>1</v>
      </c>
      <c r="O920" s="539">
        <f ca="1">IFERROR(__xludf.DUMMYFUNCTION("""COMPUTED_VALUE"""),0)</f>
        <v>0</v>
      </c>
    </row>
    <row r="921" spans="1:15" ht="12.75">
      <c r="A921" s="539">
        <f ca="1"/>
        <v>915</v>
      </c>
      <c r="B921" s="35" t="str">
        <f ca="1">IFERROR(__xludf.DUMMYFUNCTION("""COMPUTED_VALUE"""),"Tổ Hạ tầng Gò Dầu")</f>
        <v>Tổ Hạ tầng Gò Dầu</v>
      </c>
      <c r="C921" s="35" t="str">
        <f ca="1">IFERROR(__xludf.DUMMYFUNCTION("""COMPUTED_VALUE"""),"Trà Thanh Phong")</f>
        <v>Trà Thanh Phong</v>
      </c>
      <c r="D921" s="35">
        <f ca="1">IFERROR(__xludf.DUMMYFUNCTION("""COMPUTED_VALUE"""),833406690)</f>
        <v>833406690</v>
      </c>
      <c r="E921" s="35" t="str">
        <f ca="1">IFERROR(__xludf.DUMMYFUNCTION("""COMPUTED_VALUE"""),"phongtt.tnh@vnpt.vn")</f>
        <v>phongtt.tnh@vnpt.vn</v>
      </c>
      <c r="F921" s="540" t="str">
        <f ca="1">IFERROR(__xludf.DUMMYFUNCTION("""COMPUTED_VALUE"""),"Lần 3")</f>
        <v>Lần 3</v>
      </c>
      <c r="G921" s="278">
        <f ca="1">IFERROR(__xludf.DUMMYFUNCTION("""COMPUTED_VALUE"""),46206)</f>
        <v>46206</v>
      </c>
      <c r="H921" s="35">
        <f ca="1">IFERROR(__xludf.DUMMYFUNCTION("""COMPUTED_VALUE"""),80)</f>
        <v>80</v>
      </c>
      <c r="I921" s="35">
        <f ca="1">IFERROR(__xludf.DUMMYFUNCTION("""COMPUTED_VALUE"""),61)</f>
        <v>61</v>
      </c>
      <c r="J921" s="35">
        <f ca="1">IFERROR(__xludf.DUMMYFUNCTION("""COMPUTED_VALUE"""),80)</f>
        <v>80</v>
      </c>
      <c r="K921" s="35">
        <f ca="1">IFERROR(__xludf.DUMMYFUNCTION("""COMPUTED_VALUE"""),61)</f>
        <v>61</v>
      </c>
      <c r="M921" s="539">
        <f ca="1">IFERROR(__xludf.DUMMYFUNCTION("""COMPUTED_VALUE"""),1)</f>
        <v>1</v>
      </c>
      <c r="N921" s="539">
        <f ca="1">IFERROR(__xludf.DUMMYFUNCTION("""COMPUTED_VALUE"""),1)</f>
        <v>1</v>
      </c>
      <c r="O921" s="539">
        <f ca="1">IFERROR(__xludf.DUMMYFUNCTION("""COMPUTED_VALUE"""),0)</f>
        <v>0</v>
      </c>
    </row>
    <row r="922" spans="1:15" ht="12.75">
      <c r="A922" s="539">
        <f ca="1"/>
        <v>916</v>
      </c>
      <c r="B922" s="35" t="str">
        <f ca="1">IFERROR(__xludf.DUMMYFUNCTION("""COMPUTED_VALUE"""),"Tổ Hạ tầng Gò Dầu")</f>
        <v>Tổ Hạ tầng Gò Dầu</v>
      </c>
      <c r="C922" s="35" t="str">
        <f ca="1">IFERROR(__xludf.DUMMYFUNCTION("""COMPUTED_VALUE"""),"Trà Thanh Phong")</f>
        <v>Trà Thanh Phong</v>
      </c>
      <c r="D922" s="35">
        <f ca="1">IFERROR(__xludf.DUMMYFUNCTION("""COMPUTED_VALUE"""),833406690)</f>
        <v>833406690</v>
      </c>
      <c r="E922" s="35" t="str">
        <f ca="1">IFERROR(__xludf.DUMMYFUNCTION("""COMPUTED_VALUE"""),"phongtt.tnh@vnpt.vn")</f>
        <v>phongtt.tnh@vnpt.vn</v>
      </c>
      <c r="F922" s="540" t="str">
        <f ca="1">IFERROR(__xludf.DUMMYFUNCTION("""COMPUTED_VALUE"""),"Lần 4")</f>
        <v>Lần 4</v>
      </c>
      <c r="G922" s="278">
        <f ca="1">IFERROR(__xludf.DUMMYFUNCTION("""COMPUTED_VALUE"""),46206)</f>
        <v>46206</v>
      </c>
      <c r="H922" s="35">
        <f ca="1">IFERROR(__xludf.DUMMYFUNCTION("""COMPUTED_VALUE"""),88)</f>
        <v>88</v>
      </c>
      <c r="I922" s="35">
        <f ca="1">IFERROR(__xludf.DUMMYFUNCTION("""COMPUTED_VALUE"""),59)</f>
        <v>59</v>
      </c>
      <c r="J922" s="35">
        <f ca="1">IFERROR(__xludf.DUMMYFUNCTION("""COMPUTED_VALUE"""),88)</f>
        <v>88</v>
      </c>
      <c r="K922" s="35">
        <f ca="1">IFERROR(__xludf.DUMMYFUNCTION("""COMPUTED_VALUE"""),59)</f>
        <v>59</v>
      </c>
      <c r="M922" s="539">
        <f ca="1">IFERROR(__xludf.DUMMYFUNCTION("""COMPUTED_VALUE"""),1)</f>
        <v>1</v>
      </c>
      <c r="N922" s="539">
        <f ca="1">IFERROR(__xludf.DUMMYFUNCTION("""COMPUTED_VALUE"""),1)</f>
        <v>1</v>
      </c>
      <c r="O922" s="539">
        <f ca="1">IFERROR(__xludf.DUMMYFUNCTION("""COMPUTED_VALUE"""),0)</f>
        <v>0</v>
      </c>
    </row>
    <row r="923" spans="1:15" ht="12.75">
      <c r="A923" s="539">
        <f ca="1"/>
        <v>917</v>
      </c>
      <c r="B923" s="35" t="str">
        <f ca="1">IFERROR(__xludf.DUMMYFUNCTION("""COMPUTED_VALUE"""),"Tổ Hạ tầng Gò Dầu")</f>
        <v>Tổ Hạ tầng Gò Dầu</v>
      </c>
      <c r="C923" s="35" t="str">
        <f ca="1">IFERROR(__xludf.DUMMYFUNCTION("""COMPUTED_VALUE"""),"Trà Thanh Phong")</f>
        <v>Trà Thanh Phong</v>
      </c>
      <c r="D923" s="35">
        <f ca="1">IFERROR(__xludf.DUMMYFUNCTION("""COMPUTED_VALUE"""),833406690)</f>
        <v>833406690</v>
      </c>
      <c r="E923" s="35" t="str">
        <f ca="1">IFERROR(__xludf.DUMMYFUNCTION("""COMPUTED_VALUE"""),"phongtt.tnh@vnpt.vn")</f>
        <v>phongtt.tnh@vnpt.vn</v>
      </c>
      <c r="F923" s="540" t="str">
        <f ca="1">IFERROR(__xludf.DUMMYFUNCTION("""COMPUTED_VALUE"""),"Lần 5")</f>
        <v>Lần 5</v>
      </c>
      <c r="G923" s="278">
        <f ca="1">IFERROR(__xludf.DUMMYFUNCTION("""COMPUTED_VALUE"""),46211)</f>
        <v>46211</v>
      </c>
      <c r="H923" s="35">
        <f ca="1">IFERROR(__xludf.DUMMYFUNCTION("""COMPUTED_VALUE"""),79)</f>
        <v>79</v>
      </c>
      <c r="I923" s="35">
        <f ca="1">IFERROR(__xludf.DUMMYFUNCTION("""COMPUTED_VALUE"""),60)</f>
        <v>60</v>
      </c>
      <c r="J923" s="35">
        <f ca="1">IFERROR(__xludf.DUMMYFUNCTION("""COMPUTED_VALUE"""),79)</f>
        <v>79</v>
      </c>
      <c r="K923" s="35">
        <f ca="1">IFERROR(__xludf.DUMMYFUNCTION("""COMPUTED_VALUE"""),60)</f>
        <v>60</v>
      </c>
      <c r="M923" s="539">
        <f ca="1">IFERROR(__xludf.DUMMYFUNCTION("""COMPUTED_VALUE"""),1)</f>
        <v>1</v>
      </c>
      <c r="N923" s="539">
        <f ca="1">IFERROR(__xludf.DUMMYFUNCTION("""COMPUTED_VALUE"""),1)</f>
        <v>1</v>
      </c>
      <c r="O923" s="539">
        <f ca="1">IFERROR(__xludf.DUMMYFUNCTION("""COMPUTED_VALUE"""),0)</f>
        <v>0</v>
      </c>
    </row>
    <row r="924" spans="1:15" ht="12.75">
      <c r="A924" s="539">
        <f ca="1"/>
        <v>918</v>
      </c>
      <c r="B924" s="35" t="str">
        <f ca="1">IFERROR(__xludf.DUMMYFUNCTION("""COMPUTED_VALUE"""),"Tổ Hạ tầng Gò Dầu")</f>
        <v>Tổ Hạ tầng Gò Dầu</v>
      </c>
      <c r="C924" s="35" t="str">
        <f ca="1">IFERROR(__xludf.DUMMYFUNCTION("""COMPUTED_VALUE"""),"Trà Thanh Phong")</f>
        <v>Trà Thanh Phong</v>
      </c>
      <c r="D924" s="35">
        <f ca="1">IFERROR(__xludf.DUMMYFUNCTION("""COMPUTED_VALUE"""),833406690)</f>
        <v>833406690</v>
      </c>
      <c r="E924" s="35" t="str">
        <f ca="1">IFERROR(__xludf.DUMMYFUNCTION("""COMPUTED_VALUE"""),"phongtt.tnh@vnpt.vn")</f>
        <v>phongtt.tnh@vnpt.vn</v>
      </c>
      <c r="F924" s="540" t="str">
        <f ca="1">IFERROR(__xludf.DUMMYFUNCTION("""COMPUTED_VALUE"""),"Lần 6")</f>
        <v>Lần 6</v>
      </c>
      <c r="G924" s="278">
        <f ca="1">IFERROR(__xludf.DUMMYFUNCTION("""COMPUTED_VALUE"""),46211)</f>
        <v>46211</v>
      </c>
      <c r="H924" s="35">
        <f ca="1">IFERROR(__xludf.DUMMYFUNCTION("""COMPUTED_VALUE"""),97)</f>
        <v>97</v>
      </c>
      <c r="I924" s="35">
        <f ca="1">IFERROR(__xludf.DUMMYFUNCTION("""COMPUTED_VALUE"""),63)</f>
        <v>63</v>
      </c>
      <c r="J924" s="35">
        <f ca="1">IFERROR(__xludf.DUMMYFUNCTION("""COMPUTED_VALUE"""),97)</f>
        <v>97</v>
      </c>
      <c r="K924" s="35">
        <f ca="1">IFERROR(__xludf.DUMMYFUNCTION("""COMPUTED_VALUE"""),63)</f>
        <v>63</v>
      </c>
      <c r="M924" s="539">
        <f ca="1">IFERROR(__xludf.DUMMYFUNCTION("""COMPUTED_VALUE"""),1)</f>
        <v>1</v>
      </c>
      <c r="N924" s="539">
        <f ca="1">IFERROR(__xludf.DUMMYFUNCTION("""COMPUTED_VALUE"""),1)</f>
        <v>1</v>
      </c>
      <c r="O924" s="539">
        <f ca="1">IFERROR(__xludf.DUMMYFUNCTION("""COMPUTED_VALUE"""),0)</f>
        <v>0</v>
      </c>
    </row>
    <row r="925" spans="1:15" ht="12.75">
      <c r="A925" s="539">
        <f ca="1"/>
        <v>919</v>
      </c>
      <c r="B925" s="35" t="str">
        <f ca="1">IFERROR(__xludf.DUMMYFUNCTION("""COMPUTED_VALUE"""),"Tổ Hạ tầng Gò Dầu")</f>
        <v>Tổ Hạ tầng Gò Dầu</v>
      </c>
      <c r="C925" s="35" t="str">
        <f ca="1">IFERROR(__xludf.DUMMYFUNCTION("""COMPUTED_VALUE"""),"Trà Thanh Phong")</f>
        <v>Trà Thanh Phong</v>
      </c>
      <c r="D925" s="35">
        <f ca="1">IFERROR(__xludf.DUMMYFUNCTION("""COMPUTED_VALUE"""),833406690)</f>
        <v>833406690</v>
      </c>
      <c r="E925" s="35" t="str">
        <f ca="1">IFERROR(__xludf.DUMMYFUNCTION("""COMPUTED_VALUE"""),"phongtt.tnh@vnpt.vn")</f>
        <v>phongtt.tnh@vnpt.vn</v>
      </c>
      <c r="F925" s="540" t="str">
        <f ca="1">IFERROR(__xludf.DUMMYFUNCTION("""COMPUTED_VALUE"""),"Lần 7")</f>
        <v>Lần 7</v>
      </c>
      <c r="G925" s="278">
        <f ca="1">IFERROR(__xludf.DUMMYFUNCTION("""COMPUTED_VALUE"""),46211)</f>
        <v>46211</v>
      </c>
      <c r="H925" s="35">
        <f ca="1">IFERROR(__xludf.DUMMYFUNCTION("""COMPUTED_VALUE"""),83)</f>
        <v>83</v>
      </c>
      <c r="I925" s="35">
        <f ca="1">IFERROR(__xludf.DUMMYFUNCTION("""COMPUTED_VALUE"""),57)</f>
        <v>57</v>
      </c>
      <c r="J925" s="35">
        <f ca="1">IFERROR(__xludf.DUMMYFUNCTION("""COMPUTED_VALUE"""),83)</f>
        <v>83</v>
      </c>
      <c r="K925" s="35">
        <f ca="1">IFERROR(__xludf.DUMMYFUNCTION("""COMPUTED_VALUE"""),57)</f>
        <v>57</v>
      </c>
      <c r="M925" s="539">
        <f ca="1">IFERROR(__xludf.DUMMYFUNCTION("""COMPUTED_VALUE"""),1)</f>
        <v>1</v>
      </c>
      <c r="N925" s="539">
        <f ca="1">IFERROR(__xludf.DUMMYFUNCTION("""COMPUTED_VALUE"""),1)</f>
        <v>1</v>
      </c>
      <c r="O925" s="539">
        <f ca="1">IFERROR(__xludf.DUMMYFUNCTION("""COMPUTED_VALUE"""),0)</f>
        <v>0</v>
      </c>
    </row>
    <row r="926" spans="1:15" ht="12.75">
      <c r="A926" s="539">
        <f ca="1"/>
        <v>920</v>
      </c>
      <c r="B926" s="35" t="str">
        <f ca="1">IFERROR(__xludf.DUMMYFUNCTION("""COMPUTED_VALUE"""),"Tổ Hạ tầng Gò Dầu")</f>
        <v>Tổ Hạ tầng Gò Dầu</v>
      </c>
      <c r="C926" s="35" t="str">
        <f ca="1">IFERROR(__xludf.DUMMYFUNCTION("""COMPUTED_VALUE"""),"Trà Thanh Phong")</f>
        <v>Trà Thanh Phong</v>
      </c>
      <c r="D926" s="35">
        <f ca="1">IFERROR(__xludf.DUMMYFUNCTION("""COMPUTED_VALUE"""),833406690)</f>
        <v>833406690</v>
      </c>
      <c r="E926" s="35" t="str">
        <f ca="1">IFERROR(__xludf.DUMMYFUNCTION("""COMPUTED_VALUE"""),"phongtt.tnh@vnpt.vn")</f>
        <v>phongtt.tnh@vnpt.vn</v>
      </c>
      <c r="F926" s="540" t="str">
        <f ca="1">IFERROR(__xludf.DUMMYFUNCTION("""COMPUTED_VALUE"""),"Lần 8")</f>
        <v>Lần 8</v>
      </c>
      <c r="G926" s="278">
        <f ca="1">IFERROR(__xludf.DUMMYFUNCTION("""COMPUTED_VALUE"""),46211)</f>
        <v>46211</v>
      </c>
      <c r="H926" s="35">
        <f ca="1">IFERROR(__xludf.DUMMYFUNCTION("""COMPUTED_VALUE"""),85)</f>
        <v>85</v>
      </c>
      <c r="I926" s="35">
        <f ca="1">IFERROR(__xludf.DUMMYFUNCTION("""COMPUTED_VALUE"""),63)</f>
        <v>63</v>
      </c>
      <c r="J926" s="35">
        <f ca="1">IFERROR(__xludf.DUMMYFUNCTION("""COMPUTED_VALUE"""),85)</f>
        <v>85</v>
      </c>
      <c r="K926" s="35">
        <f ca="1">IFERROR(__xludf.DUMMYFUNCTION("""COMPUTED_VALUE"""),63)</f>
        <v>63</v>
      </c>
      <c r="M926" s="539">
        <f ca="1">IFERROR(__xludf.DUMMYFUNCTION("""COMPUTED_VALUE"""),1)</f>
        <v>1</v>
      </c>
      <c r="N926" s="539">
        <f ca="1">IFERROR(__xludf.DUMMYFUNCTION("""COMPUTED_VALUE"""),1)</f>
        <v>1</v>
      </c>
      <c r="O926" s="539">
        <f ca="1">IFERROR(__xludf.DUMMYFUNCTION("""COMPUTED_VALUE"""),0)</f>
        <v>0</v>
      </c>
    </row>
    <row r="927" spans="1:15" ht="12.75">
      <c r="A927" s="539">
        <f ca="1"/>
        <v>921</v>
      </c>
      <c r="B927" s="35" t="str">
        <f ca="1">IFERROR(__xludf.DUMMYFUNCTION("""COMPUTED_VALUE"""),"Tổ Hạ tầng Gò Dầu")</f>
        <v>Tổ Hạ tầng Gò Dầu</v>
      </c>
      <c r="C927" s="35" t="str">
        <f ca="1">IFERROR(__xludf.DUMMYFUNCTION("""COMPUTED_VALUE"""),"Trà Thanh Phong")</f>
        <v>Trà Thanh Phong</v>
      </c>
      <c r="D927" s="35">
        <f ca="1">IFERROR(__xludf.DUMMYFUNCTION("""COMPUTED_VALUE"""),833406690)</f>
        <v>833406690</v>
      </c>
      <c r="E927" s="35" t="str">
        <f ca="1">IFERROR(__xludf.DUMMYFUNCTION("""COMPUTED_VALUE"""),"phongtt.tnh@vnpt.vn")</f>
        <v>phongtt.tnh@vnpt.vn</v>
      </c>
      <c r="F927" s="540" t="str">
        <f ca="1">IFERROR(__xludf.DUMMYFUNCTION("""COMPUTED_VALUE"""),"Lần 9")</f>
        <v>Lần 9</v>
      </c>
      <c r="G927" s="278">
        <f ca="1">IFERROR(__xludf.DUMMYFUNCTION("""COMPUTED_VALUE"""),46217)</f>
        <v>46217</v>
      </c>
      <c r="H927" s="35">
        <f ca="1">IFERROR(__xludf.DUMMYFUNCTION("""COMPUTED_VALUE"""),89)</f>
        <v>89</v>
      </c>
      <c r="I927" s="35">
        <f ca="1">IFERROR(__xludf.DUMMYFUNCTION("""COMPUTED_VALUE"""),59)</f>
        <v>59</v>
      </c>
      <c r="J927" s="35">
        <f ca="1">IFERROR(__xludf.DUMMYFUNCTION("""COMPUTED_VALUE"""),89)</f>
        <v>89</v>
      </c>
      <c r="K927" s="35">
        <f ca="1">IFERROR(__xludf.DUMMYFUNCTION("""COMPUTED_VALUE"""),59)</f>
        <v>59</v>
      </c>
      <c r="M927" s="539">
        <f ca="1">IFERROR(__xludf.DUMMYFUNCTION("""COMPUTED_VALUE"""),1)</f>
        <v>1</v>
      </c>
      <c r="N927" s="539">
        <f ca="1">IFERROR(__xludf.DUMMYFUNCTION("""COMPUTED_VALUE"""),1)</f>
        <v>1</v>
      </c>
      <c r="O927" s="539">
        <f ca="1">IFERROR(__xludf.DUMMYFUNCTION("""COMPUTED_VALUE"""),0)</f>
        <v>0</v>
      </c>
    </row>
    <row r="928" spans="1:15" ht="12.75">
      <c r="A928" s="539">
        <f ca="1"/>
        <v>922</v>
      </c>
      <c r="B928" s="35" t="str">
        <f ca="1">IFERROR(__xludf.DUMMYFUNCTION("""COMPUTED_VALUE"""),"Tổ Hạ tầng Gò Dầu")</f>
        <v>Tổ Hạ tầng Gò Dầu</v>
      </c>
      <c r="C928" s="35" t="str">
        <f ca="1">IFERROR(__xludf.DUMMYFUNCTION("""COMPUTED_VALUE"""),"Trà Thanh Phong")</f>
        <v>Trà Thanh Phong</v>
      </c>
      <c r="D928" s="35">
        <f ca="1">IFERROR(__xludf.DUMMYFUNCTION("""COMPUTED_VALUE"""),833406690)</f>
        <v>833406690</v>
      </c>
      <c r="E928" s="35" t="str">
        <f ca="1">IFERROR(__xludf.DUMMYFUNCTION("""COMPUTED_VALUE"""),"phongtt.tnh@vnpt.vn")</f>
        <v>phongtt.tnh@vnpt.vn</v>
      </c>
      <c r="F928" s="540" t="str">
        <f ca="1">IFERROR(__xludf.DUMMYFUNCTION("""COMPUTED_VALUE"""),"Lần 10")</f>
        <v>Lần 10</v>
      </c>
      <c r="G928" s="278">
        <f ca="1">IFERROR(__xludf.DUMMYFUNCTION("""COMPUTED_VALUE"""),46217)</f>
        <v>46217</v>
      </c>
      <c r="H928" s="35">
        <f ca="1">IFERROR(__xludf.DUMMYFUNCTION("""COMPUTED_VALUE"""),82)</f>
        <v>82</v>
      </c>
      <c r="I928" s="35">
        <f ca="1">IFERROR(__xludf.DUMMYFUNCTION("""COMPUTED_VALUE"""),61)</f>
        <v>61</v>
      </c>
      <c r="J928" s="35">
        <f ca="1">IFERROR(__xludf.DUMMYFUNCTION("""COMPUTED_VALUE"""),82)</f>
        <v>82</v>
      </c>
      <c r="K928" s="35">
        <f ca="1">IFERROR(__xludf.DUMMYFUNCTION("""COMPUTED_VALUE"""),61)</f>
        <v>61</v>
      </c>
      <c r="M928" s="539">
        <f ca="1">IFERROR(__xludf.DUMMYFUNCTION("""COMPUTED_VALUE"""),1)</f>
        <v>1</v>
      </c>
      <c r="N928" s="539">
        <f ca="1">IFERROR(__xludf.DUMMYFUNCTION("""COMPUTED_VALUE"""),1)</f>
        <v>1</v>
      </c>
      <c r="O928" s="539">
        <f ca="1">IFERROR(__xludf.DUMMYFUNCTION("""COMPUTED_VALUE"""),0)</f>
        <v>0</v>
      </c>
    </row>
    <row r="929" spans="1:15" ht="12.75">
      <c r="A929" s="539">
        <f ca="1"/>
        <v>923</v>
      </c>
      <c r="B929" s="35" t="str">
        <f ca="1">IFERROR(__xludf.DUMMYFUNCTION("""COMPUTED_VALUE"""),"Tổ Hạ tầng Gò Dầu")</f>
        <v>Tổ Hạ tầng Gò Dầu</v>
      </c>
      <c r="C929" s="35" t="str">
        <f ca="1">IFERROR(__xludf.DUMMYFUNCTION("""COMPUTED_VALUE"""),"Trà Thanh Phong")</f>
        <v>Trà Thanh Phong</v>
      </c>
      <c r="D929" s="35">
        <f ca="1">IFERROR(__xludf.DUMMYFUNCTION("""COMPUTED_VALUE"""),833406690)</f>
        <v>833406690</v>
      </c>
      <c r="E929" s="35" t="str">
        <f ca="1">IFERROR(__xludf.DUMMYFUNCTION("""COMPUTED_VALUE"""),"phongtt.tnh@vnpt.vn")</f>
        <v>phongtt.tnh@vnpt.vn</v>
      </c>
      <c r="F929" s="540" t="str">
        <f ca="1">IFERROR(__xludf.DUMMYFUNCTION("""COMPUTED_VALUE"""),"Lần 11")</f>
        <v>Lần 11</v>
      </c>
      <c r="G929" s="278">
        <f ca="1">IFERROR(__xludf.DUMMYFUNCTION("""COMPUTED_VALUE"""),46217)</f>
        <v>46217</v>
      </c>
      <c r="H929" s="35">
        <f ca="1">IFERROR(__xludf.DUMMYFUNCTION("""COMPUTED_VALUE"""),86)</f>
        <v>86</v>
      </c>
      <c r="I929" s="35">
        <f ca="1">IFERROR(__xludf.DUMMYFUNCTION("""COMPUTED_VALUE"""),56)</f>
        <v>56</v>
      </c>
      <c r="J929" s="35">
        <f ca="1">IFERROR(__xludf.DUMMYFUNCTION("""COMPUTED_VALUE"""),86)</f>
        <v>86</v>
      </c>
      <c r="K929" s="35">
        <f ca="1">IFERROR(__xludf.DUMMYFUNCTION("""COMPUTED_VALUE"""),56)</f>
        <v>56</v>
      </c>
      <c r="M929" s="539">
        <f ca="1">IFERROR(__xludf.DUMMYFUNCTION("""COMPUTED_VALUE"""),1)</f>
        <v>1</v>
      </c>
      <c r="N929" s="539">
        <f ca="1">IFERROR(__xludf.DUMMYFUNCTION("""COMPUTED_VALUE"""),1)</f>
        <v>1</v>
      </c>
      <c r="O929" s="539">
        <f ca="1">IFERROR(__xludf.DUMMYFUNCTION("""COMPUTED_VALUE"""),0)</f>
        <v>0</v>
      </c>
    </row>
    <row r="930" spans="1:15" ht="12.75">
      <c r="A930" s="539">
        <f ca="1"/>
        <v>924</v>
      </c>
      <c r="B930" s="35" t="str">
        <f ca="1">IFERROR(__xludf.DUMMYFUNCTION("""COMPUTED_VALUE"""),"Tổ Hạ tầng Gò Dầu")</f>
        <v>Tổ Hạ tầng Gò Dầu</v>
      </c>
      <c r="C930" s="35" t="str">
        <f ca="1">IFERROR(__xludf.DUMMYFUNCTION("""COMPUTED_VALUE"""),"Trà Thanh Phong")</f>
        <v>Trà Thanh Phong</v>
      </c>
      <c r="D930" s="35">
        <f ca="1">IFERROR(__xludf.DUMMYFUNCTION("""COMPUTED_VALUE"""),833406690)</f>
        <v>833406690</v>
      </c>
      <c r="E930" s="35" t="str">
        <f ca="1">IFERROR(__xludf.DUMMYFUNCTION("""COMPUTED_VALUE"""),"phongtt.tnh@vnpt.vn")</f>
        <v>phongtt.tnh@vnpt.vn</v>
      </c>
      <c r="F930" s="540" t="str">
        <f ca="1">IFERROR(__xludf.DUMMYFUNCTION("""COMPUTED_VALUE"""),"Lần 12")</f>
        <v>Lần 12</v>
      </c>
      <c r="G930" s="278">
        <f ca="1">IFERROR(__xludf.DUMMYFUNCTION("""COMPUTED_VALUE"""),46217)</f>
        <v>46217</v>
      </c>
      <c r="H930" s="35">
        <f ca="1">IFERROR(__xludf.DUMMYFUNCTION("""COMPUTED_VALUE"""),81)</f>
        <v>81</v>
      </c>
      <c r="I930" s="35">
        <f ca="1">IFERROR(__xludf.DUMMYFUNCTION("""COMPUTED_VALUE"""),60)</f>
        <v>60</v>
      </c>
      <c r="J930" s="35">
        <f ca="1">IFERROR(__xludf.DUMMYFUNCTION("""COMPUTED_VALUE"""),81)</f>
        <v>81</v>
      </c>
      <c r="K930" s="35">
        <f ca="1">IFERROR(__xludf.DUMMYFUNCTION("""COMPUTED_VALUE"""),60)</f>
        <v>60</v>
      </c>
      <c r="M930" s="539">
        <f ca="1">IFERROR(__xludf.DUMMYFUNCTION("""COMPUTED_VALUE"""),1)</f>
        <v>1</v>
      </c>
      <c r="N930" s="539">
        <f ca="1">IFERROR(__xludf.DUMMYFUNCTION("""COMPUTED_VALUE"""),1)</f>
        <v>1</v>
      </c>
      <c r="O930" s="539">
        <f ca="1">IFERROR(__xludf.DUMMYFUNCTION("""COMPUTED_VALUE"""),0)</f>
        <v>0</v>
      </c>
    </row>
    <row r="931" spans="1:15" ht="12.75">
      <c r="A931" s="539">
        <f ca="1"/>
        <v>925</v>
      </c>
      <c r="B931" s="35" t="str">
        <f ca="1">IFERROR(__xludf.DUMMYFUNCTION("""COMPUTED_VALUE"""),"Tổ Hạ tầng Gò Dầu")</f>
        <v>Tổ Hạ tầng Gò Dầu</v>
      </c>
      <c r="C931" s="35" t="str">
        <f ca="1">IFERROR(__xludf.DUMMYFUNCTION("""COMPUTED_VALUE"""),"Trà Thanh Phong")</f>
        <v>Trà Thanh Phong</v>
      </c>
      <c r="D931" s="35">
        <f ca="1">IFERROR(__xludf.DUMMYFUNCTION("""COMPUTED_VALUE"""),833406690)</f>
        <v>833406690</v>
      </c>
      <c r="E931" s="35" t="str">
        <f ca="1">IFERROR(__xludf.DUMMYFUNCTION("""COMPUTED_VALUE"""),"phongtt.tnh@vnpt.vn")</f>
        <v>phongtt.tnh@vnpt.vn</v>
      </c>
      <c r="F931" s="540" t="str">
        <f ca="1">IFERROR(__xludf.DUMMYFUNCTION("""COMPUTED_VALUE"""),"Lần 13")</f>
        <v>Lần 13</v>
      </c>
      <c r="G931" s="278">
        <f ca="1">IFERROR(__xludf.DUMMYFUNCTION("""COMPUTED_VALUE"""),46223)</f>
        <v>46223</v>
      </c>
      <c r="H931" s="35"/>
      <c r="I931" s="35"/>
      <c r="J931" s="35"/>
      <c r="K931" s="35"/>
      <c r="M931" s="539">
        <f ca="1">IFERROR(__xludf.DUMMYFUNCTION("""COMPUTED_VALUE"""),0)</f>
        <v>0</v>
      </c>
      <c r="N931" s="539">
        <f ca="1">IFERROR(__xludf.DUMMYFUNCTION("""COMPUTED_VALUE"""),0)</f>
        <v>0</v>
      </c>
      <c r="O931" s="539">
        <f ca="1">IFERROR(__xludf.DUMMYFUNCTION("""COMPUTED_VALUE"""),0)</f>
        <v>0</v>
      </c>
    </row>
    <row r="932" spans="1:15" ht="12.75">
      <c r="A932" s="539">
        <f ca="1"/>
        <v>926</v>
      </c>
      <c r="B932" s="35" t="str">
        <f ca="1">IFERROR(__xludf.DUMMYFUNCTION("""COMPUTED_VALUE"""),"Tổ Hạ tầng Gò Dầu")</f>
        <v>Tổ Hạ tầng Gò Dầu</v>
      </c>
      <c r="C932" s="35" t="str">
        <f ca="1">IFERROR(__xludf.DUMMYFUNCTION("""COMPUTED_VALUE"""),"Trà Thanh Phong")</f>
        <v>Trà Thanh Phong</v>
      </c>
      <c r="D932" s="35">
        <f ca="1">IFERROR(__xludf.DUMMYFUNCTION("""COMPUTED_VALUE"""),833406690)</f>
        <v>833406690</v>
      </c>
      <c r="E932" s="35" t="str">
        <f ca="1">IFERROR(__xludf.DUMMYFUNCTION("""COMPUTED_VALUE"""),"phongtt.tnh@vnpt.vn")</f>
        <v>phongtt.tnh@vnpt.vn</v>
      </c>
      <c r="F932" s="540" t="str">
        <f ca="1">IFERROR(__xludf.DUMMYFUNCTION("""COMPUTED_VALUE"""),"Lần 14")</f>
        <v>Lần 14</v>
      </c>
      <c r="G932" s="278">
        <f ca="1">IFERROR(__xludf.DUMMYFUNCTION("""COMPUTED_VALUE"""),46223)</f>
        <v>46223</v>
      </c>
      <c r="H932" s="35"/>
      <c r="I932" s="35"/>
      <c r="J932" s="35"/>
      <c r="K932" s="35"/>
      <c r="M932" s="539">
        <f ca="1">IFERROR(__xludf.DUMMYFUNCTION("""COMPUTED_VALUE"""),0)</f>
        <v>0</v>
      </c>
      <c r="N932" s="539">
        <f ca="1">IFERROR(__xludf.DUMMYFUNCTION("""COMPUTED_VALUE"""),0)</f>
        <v>0</v>
      </c>
      <c r="O932" s="539">
        <f ca="1">IFERROR(__xludf.DUMMYFUNCTION("""COMPUTED_VALUE"""),0)</f>
        <v>0</v>
      </c>
    </row>
    <row r="933" spans="1:15" ht="12.75">
      <c r="A933" s="539">
        <f ca="1"/>
        <v>927</v>
      </c>
      <c r="B933" s="35" t="str">
        <f ca="1">IFERROR(__xludf.DUMMYFUNCTION("""COMPUTED_VALUE"""),"Tổ Hạ tầng Gò Dầu")</f>
        <v>Tổ Hạ tầng Gò Dầu</v>
      </c>
      <c r="C933" s="35" t="str">
        <f ca="1">IFERROR(__xludf.DUMMYFUNCTION("""COMPUTED_VALUE"""),"Trà Thanh Phong")</f>
        <v>Trà Thanh Phong</v>
      </c>
      <c r="D933" s="35">
        <f ca="1">IFERROR(__xludf.DUMMYFUNCTION("""COMPUTED_VALUE"""),833406690)</f>
        <v>833406690</v>
      </c>
      <c r="E933" s="35" t="str">
        <f ca="1">IFERROR(__xludf.DUMMYFUNCTION("""COMPUTED_VALUE"""),"phongtt.tnh@vnpt.vn")</f>
        <v>phongtt.tnh@vnpt.vn</v>
      </c>
      <c r="F933" s="540" t="str">
        <f ca="1">IFERROR(__xludf.DUMMYFUNCTION("""COMPUTED_VALUE"""),"Lần 15")</f>
        <v>Lần 15</v>
      </c>
      <c r="G933" s="278">
        <f ca="1">IFERROR(__xludf.DUMMYFUNCTION("""COMPUTED_VALUE"""),46223)</f>
        <v>46223</v>
      </c>
      <c r="H933" s="35"/>
      <c r="I933" s="35"/>
      <c r="J933" s="540"/>
      <c r="K933" s="540"/>
      <c r="M933" s="539">
        <f ca="1">IFERROR(__xludf.DUMMYFUNCTION("""COMPUTED_VALUE"""),0)</f>
        <v>0</v>
      </c>
      <c r="N933" s="539">
        <f ca="1">IFERROR(__xludf.DUMMYFUNCTION("""COMPUTED_VALUE"""),0)</f>
        <v>0</v>
      </c>
      <c r="O933" s="539">
        <f ca="1">IFERROR(__xludf.DUMMYFUNCTION("""COMPUTED_VALUE"""),0)</f>
        <v>0</v>
      </c>
    </row>
    <row r="934" spans="1:15" ht="12.75">
      <c r="A934" s="539">
        <f ca="1"/>
        <v>928</v>
      </c>
      <c r="B934" s="35" t="str">
        <f ca="1">IFERROR(__xludf.DUMMYFUNCTION("""COMPUTED_VALUE"""),"Tổ Hạ tầng Gò Dầu")</f>
        <v>Tổ Hạ tầng Gò Dầu</v>
      </c>
      <c r="C934" s="35" t="str">
        <f ca="1">IFERROR(__xludf.DUMMYFUNCTION("""COMPUTED_VALUE"""),"Trà Thanh Phong")</f>
        <v>Trà Thanh Phong</v>
      </c>
      <c r="D934" s="35">
        <f ca="1">IFERROR(__xludf.DUMMYFUNCTION("""COMPUTED_VALUE"""),833406690)</f>
        <v>833406690</v>
      </c>
      <c r="E934" s="35" t="str">
        <f ca="1">IFERROR(__xludf.DUMMYFUNCTION("""COMPUTED_VALUE"""),"phongtt.tnh@vnpt.vn")</f>
        <v>phongtt.tnh@vnpt.vn</v>
      </c>
      <c r="F934" s="540" t="str">
        <f ca="1">IFERROR(__xludf.DUMMYFUNCTION("""COMPUTED_VALUE"""),"Lần 16")</f>
        <v>Lần 16</v>
      </c>
      <c r="G934" s="278">
        <f ca="1">IFERROR(__xludf.DUMMYFUNCTION("""COMPUTED_VALUE"""),46223)</f>
        <v>46223</v>
      </c>
      <c r="H934" s="35"/>
      <c r="I934" s="35"/>
      <c r="J934" s="540"/>
      <c r="K934" s="540"/>
      <c r="M934" s="539">
        <f ca="1">IFERROR(__xludf.DUMMYFUNCTION("""COMPUTED_VALUE"""),0)</f>
        <v>0</v>
      </c>
      <c r="N934" s="539">
        <f ca="1">IFERROR(__xludf.DUMMYFUNCTION("""COMPUTED_VALUE"""),0)</f>
        <v>0</v>
      </c>
      <c r="O934" s="539">
        <f ca="1">IFERROR(__xludf.DUMMYFUNCTION("""COMPUTED_VALUE"""),0)</f>
        <v>0</v>
      </c>
    </row>
    <row r="935" spans="1:15" ht="12.75">
      <c r="A935" s="539">
        <f ca="1"/>
        <v>929</v>
      </c>
      <c r="B935" s="35" t="str">
        <f ca="1">IFERROR(__xludf.DUMMYFUNCTION("""COMPUTED_VALUE"""),"Tổ Hạ tầng Gò Dầu")</f>
        <v>Tổ Hạ tầng Gò Dầu</v>
      </c>
      <c r="C935" s="35" t="str">
        <f ca="1">IFERROR(__xludf.DUMMYFUNCTION("""COMPUTED_VALUE"""),"Nguyễn Văn Cường")</f>
        <v>Nguyễn Văn Cường</v>
      </c>
      <c r="D935" s="35">
        <f ca="1">IFERROR(__xludf.DUMMYFUNCTION("""COMPUTED_VALUE"""),919256783)</f>
        <v>919256783</v>
      </c>
      <c r="E935" s="35" t="str">
        <f ca="1">IFERROR(__xludf.DUMMYFUNCTION("""COMPUTED_VALUE"""),"cuongnv.tnh@vnpt.vn")</f>
        <v>cuongnv.tnh@vnpt.vn</v>
      </c>
      <c r="F935" s="540" t="str">
        <f ca="1">IFERROR(__xludf.DUMMYFUNCTION("""COMPUTED_VALUE"""),"Lần 1")</f>
        <v>Lần 1</v>
      </c>
      <c r="G935" s="278">
        <f ca="1">IFERROR(__xludf.DUMMYFUNCTION("""COMPUTED_VALUE"""),46206)</f>
        <v>46206</v>
      </c>
      <c r="H935" s="35">
        <f ca="1">IFERROR(__xludf.DUMMYFUNCTION("""COMPUTED_VALUE"""),613)</f>
        <v>613</v>
      </c>
      <c r="I935" s="35">
        <f ca="1">IFERROR(__xludf.DUMMYFUNCTION("""COMPUTED_VALUE"""),23)</f>
        <v>23</v>
      </c>
      <c r="J935" s="540">
        <f ca="1">IFERROR(__xludf.DUMMYFUNCTION("""COMPUTED_VALUE"""),513)</f>
        <v>513</v>
      </c>
      <c r="K935" s="540">
        <f ca="1">IFERROR(__xludf.DUMMYFUNCTION("""COMPUTED_VALUE"""),13)</f>
        <v>13</v>
      </c>
      <c r="M935" s="539">
        <f ca="1">IFERROR(__xludf.DUMMYFUNCTION("""COMPUTED_VALUE"""),1)</f>
        <v>1</v>
      </c>
      <c r="N935" s="539">
        <f ca="1">IFERROR(__xludf.DUMMYFUNCTION("""COMPUTED_VALUE"""),1)</f>
        <v>1</v>
      </c>
      <c r="O935" s="539">
        <f ca="1">IFERROR(__xludf.DUMMYFUNCTION("""COMPUTED_VALUE"""),1)</f>
        <v>1</v>
      </c>
    </row>
    <row r="936" spans="1:15" ht="12.75">
      <c r="A936" s="539">
        <f ca="1"/>
        <v>930</v>
      </c>
      <c r="B936" s="35" t="str">
        <f ca="1">IFERROR(__xludf.DUMMYFUNCTION("""COMPUTED_VALUE"""),"Tổ Hạ tầng Gò Dầu")</f>
        <v>Tổ Hạ tầng Gò Dầu</v>
      </c>
      <c r="C936" s="35" t="str">
        <f ca="1">IFERROR(__xludf.DUMMYFUNCTION("""COMPUTED_VALUE"""),"Nguyễn Văn Cường")</f>
        <v>Nguyễn Văn Cường</v>
      </c>
      <c r="D936" s="35">
        <f ca="1">IFERROR(__xludf.DUMMYFUNCTION("""COMPUTED_VALUE"""),919256783)</f>
        <v>919256783</v>
      </c>
      <c r="E936" s="35" t="str">
        <f ca="1">IFERROR(__xludf.DUMMYFUNCTION("""COMPUTED_VALUE"""),"cuongnv.tnh@vnpt.vn")</f>
        <v>cuongnv.tnh@vnpt.vn</v>
      </c>
      <c r="F936" s="540" t="str">
        <f ca="1">IFERROR(__xludf.DUMMYFUNCTION("""COMPUTED_VALUE"""),"Lần 2")</f>
        <v>Lần 2</v>
      </c>
      <c r="G936" s="278">
        <f ca="1">IFERROR(__xludf.DUMMYFUNCTION("""COMPUTED_VALUE"""),46206)</f>
        <v>46206</v>
      </c>
      <c r="H936" s="35">
        <f ca="1">IFERROR(__xludf.DUMMYFUNCTION("""COMPUTED_VALUE"""),515)</f>
        <v>515</v>
      </c>
      <c r="I936" s="35">
        <f ca="1">IFERROR(__xludf.DUMMYFUNCTION("""COMPUTED_VALUE"""),10)</f>
        <v>10</v>
      </c>
      <c r="J936" s="540">
        <f ca="1">IFERROR(__xludf.DUMMYFUNCTION("""COMPUTED_VALUE"""),665)</f>
        <v>665</v>
      </c>
      <c r="K936" s="540">
        <f ca="1">IFERROR(__xludf.DUMMYFUNCTION("""COMPUTED_VALUE"""),13)</f>
        <v>13</v>
      </c>
      <c r="M936" s="539">
        <f ca="1">IFERROR(__xludf.DUMMYFUNCTION("""COMPUTED_VALUE"""),1)</f>
        <v>1</v>
      </c>
      <c r="N936" s="539">
        <f ca="1">IFERROR(__xludf.DUMMYFUNCTION("""COMPUTED_VALUE"""),1)</f>
        <v>1</v>
      </c>
      <c r="O936" s="539">
        <f ca="1">IFERROR(__xludf.DUMMYFUNCTION("""COMPUTED_VALUE"""),1)</f>
        <v>1</v>
      </c>
    </row>
    <row r="937" spans="1:15" ht="12.75">
      <c r="A937" s="539">
        <f ca="1"/>
        <v>931</v>
      </c>
      <c r="B937" s="35" t="str">
        <f ca="1">IFERROR(__xludf.DUMMYFUNCTION("""COMPUTED_VALUE"""),"Tổ Hạ tầng Gò Dầu")</f>
        <v>Tổ Hạ tầng Gò Dầu</v>
      </c>
      <c r="C937" s="35" t="str">
        <f ca="1">IFERROR(__xludf.DUMMYFUNCTION("""COMPUTED_VALUE"""),"Nguyễn Văn Cường")</f>
        <v>Nguyễn Văn Cường</v>
      </c>
      <c r="D937" s="35">
        <f ca="1">IFERROR(__xludf.DUMMYFUNCTION("""COMPUTED_VALUE"""),919256783)</f>
        <v>919256783</v>
      </c>
      <c r="E937" s="35" t="str">
        <f ca="1">IFERROR(__xludf.DUMMYFUNCTION("""COMPUTED_VALUE"""),"cuongnv.tnh@vnpt.vn")</f>
        <v>cuongnv.tnh@vnpt.vn</v>
      </c>
      <c r="F937" s="540" t="str">
        <f ca="1">IFERROR(__xludf.DUMMYFUNCTION("""COMPUTED_VALUE"""),"Lần 3")</f>
        <v>Lần 3</v>
      </c>
      <c r="G937" s="278">
        <f ca="1">IFERROR(__xludf.DUMMYFUNCTION("""COMPUTED_VALUE"""),46206)</f>
        <v>46206</v>
      </c>
      <c r="H937" s="35">
        <f ca="1">IFERROR(__xludf.DUMMYFUNCTION("""COMPUTED_VALUE"""),429)</f>
        <v>429</v>
      </c>
      <c r="I937" s="35">
        <f ca="1">IFERROR(__xludf.DUMMYFUNCTION("""COMPUTED_VALUE"""),19)</f>
        <v>19</v>
      </c>
      <c r="J937" s="540">
        <f ca="1">IFERROR(__xludf.DUMMYFUNCTION("""COMPUTED_VALUE"""),686)</f>
        <v>686</v>
      </c>
      <c r="K937" s="540">
        <f ca="1">IFERROR(__xludf.DUMMYFUNCTION("""COMPUTED_VALUE"""),13)</f>
        <v>13</v>
      </c>
      <c r="M937" s="539">
        <f ca="1">IFERROR(__xludf.DUMMYFUNCTION("""COMPUTED_VALUE"""),1)</f>
        <v>1</v>
      </c>
      <c r="N937" s="539">
        <f ca="1">IFERROR(__xludf.DUMMYFUNCTION("""COMPUTED_VALUE"""),1)</f>
        <v>1</v>
      </c>
      <c r="O937" s="539">
        <f ca="1">IFERROR(__xludf.DUMMYFUNCTION("""COMPUTED_VALUE"""),1)</f>
        <v>1</v>
      </c>
    </row>
    <row r="938" spans="1:15" ht="12.75">
      <c r="A938" s="539">
        <f ca="1"/>
        <v>932</v>
      </c>
      <c r="B938" s="35" t="str">
        <f ca="1">IFERROR(__xludf.DUMMYFUNCTION("""COMPUTED_VALUE"""),"Tổ Hạ tầng Gò Dầu")</f>
        <v>Tổ Hạ tầng Gò Dầu</v>
      </c>
      <c r="C938" s="35" t="str">
        <f ca="1">IFERROR(__xludf.DUMMYFUNCTION("""COMPUTED_VALUE"""),"Nguyễn Văn Cường")</f>
        <v>Nguyễn Văn Cường</v>
      </c>
      <c r="D938" s="35">
        <f ca="1">IFERROR(__xludf.DUMMYFUNCTION("""COMPUTED_VALUE"""),919256783)</f>
        <v>919256783</v>
      </c>
      <c r="E938" s="35" t="str">
        <f ca="1">IFERROR(__xludf.DUMMYFUNCTION("""COMPUTED_VALUE"""),"cuongnv.tnh@vnpt.vn")</f>
        <v>cuongnv.tnh@vnpt.vn</v>
      </c>
      <c r="F938" s="540" t="str">
        <f ca="1">IFERROR(__xludf.DUMMYFUNCTION("""COMPUTED_VALUE"""),"Lần 4")</f>
        <v>Lần 4</v>
      </c>
      <c r="G938" s="278">
        <f ca="1">IFERROR(__xludf.DUMMYFUNCTION("""COMPUTED_VALUE"""),46206)</f>
        <v>46206</v>
      </c>
      <c r="H938" s="35">
        <f ca="1">IFERROR(__xludf.DUMMYFUNCTION("""COMPUTED_VALUE"""),579)</f>
        <v>579</v>
      </c>
      <c r="I938" s="35">
        <f ca="1">IFERROR(__xludf.DUMMYFUNCTION("""COMPUTED_VALUE"""),18)</f>
        <v>18</v>
      </c>
      <c r="J938" s="540">
        <f ca="1">IFERROR(__xludf.DUMMYFUNCTION("""COMPUTED_VALUE"""),646)</f>
        <v>646</v>
      </c>
      <c r="K938" s="540">
        <f ca="1">IFERROR(__xludf.DUMMYFUNCTION("""COMPUTED_VALUE"""),9)</f>
        <v>9</v>
      </c>
      <c r="M938" s="539">
        <f ca="1">IFERROR(__xludf.DUMMYFUNCTION("""COMPUTED_VALUE"""),1)</f>
        <v>1</v>
      </c>
      <c r="N938" s="539">
        <f ca="1">IFERROR(__xludf.DUMMYFUNCTION("""COMPUTED_VALUE"""),1)</f>
        <v>1</v>
      </c>
      <c r="O938" s="539">
        <f ca="1">IFERROR(__xludf.DUMMYFUNCTION("""COMPUTED_VALUE"""),1)</f>
        <v>1</v>
      </c>
    </row>
    <row r="939" spans="1:15" ht="12.75">
      <c r="A939" s="539">
        <f ca="1"/>
        <v>933</v>
      </c>
      <c r="B939" s="35" t="str">
        <f ca="1">IFERROR(__xludf.DUMMYFUNCTION("""COMPUTED_VALUE"""),"Tổ Hạ tầng Gò Dầu")</f>
        <v>Tổ Hạ tầng Gò Dầu</v>
      </c>
      <c r="C939" s="35" t="str">
        <f ca="1">IFERROR(__xludf.DUMMYFUNCTION("""COMPUTED_VALUE"""),"Nguyễn Văn Cường")</f>
        <v>Nguyễn Văn Cường</v>
      </c>
      <c r="D939" s="35">
        <f ca="1">IFERROR(__xludf.DUMMYFUNCTION("""COMPUTED_VALUE"""),919256783)</f>
        <v>919256783</v>
      </c>
      <c r="E939" s="35" t="str">
        <f ca="1">IFERROR(__xludf.DUMMYFUNCTION("""COMPUTED_VALUE"""),"cuongnv.tnh@vnpt.vn")</f>
        <v>cuongnv.tnh@vnpt.vn</v>
      </c>
      <c r="F939" s="540" t="str">
        <f ca="1">IFERROR(__xludf.DUMMYFUNCTION("""COMPUTED_VALUE"""),"Lần 5")</f>
        <v>Lần 5</v>
      </c>
      <c r="G939" s="278">
        <f ca="1">IFERROR(__xludf.DUMMYFUNCTION("""COMPUTED_VALUE"""),46211)</f>
        <v>46211</v>
      </c>
      <c r="H939" s="35">
        <f ca="1">IFERROR(__xludf.DUMMYFUNCTION("""COMPUTED_VALUE"""),616)</f>
        <v>616</v>
      </c>
      <c r="I939" s="35">
        <f ca="1">IFERROR(__xludf.DUMMYFUNCTION("""COMPUTED_VALUE"""),17)</f>
        <v>17</v>
      </c>
      <c r="J939" s="540">
        <f ca="1">IFERROR(__xludf.DUMMYFUNCTION("""COMPUTED_VALUE"""),688)</f>
        <v>688</v>
      </c>
      <c r="K939" s="540">
        <f ca="1">IFERROR(__xludf.DUMMYFUNCTION("""COMPUTED_VALUE"""),14)</f>
        <v>14</v>
      </c>
      <c r="M939" s="539">
        <f ca="1">IFERROR(__xludf.DUMMYFUNCTION("""COMPUTED_VALUE"""),1)</f>
        <v>1</v>
      </c>
      <c r="N939" s="539">
        <f ca="1">IFERROR(__xludf.DUMMYFUNCTION("""COMPUTED_VALUE"""),1)</f>
        <v>1</v>
      </c>
      <c r="O939" s="539">
        <f ca="1">IFERROR(__xludf.DUMMYFUNCTION("""COMPUTED_VALUE"""),1)</f>
        <v>1</v>
      </c>
    </row>
    <row r="940" spans="1:15" ht="12.75">
      <c r="A940" s="539">
        <f ca="1"/>
        <v>934</v>
      </c>
      <c r="B940" s="35" t="str">
        <f ca="1">IFERROR(__xludf.DUMMYFUNCTION("""COMPUTED_VALUE"""),"Tổ Hạ tầng Gò Dầu")</f>
        <v>Tổ Hạ tầng Gò Dầu</v>
      </c>
      <c r="C940" s="35" t="str">
        <f ca="1">IFERROR(__xludf.DUMMYFUNCTION("""COMPUTED_VALUE"""),"Nguyễn Văn Cường")</f>
        <v>Nguyễn Văn Cường</v>
      </c>
      <c r="D940" s="35">
        <f ca="1">IFERROR(__xludf.DUMMYFUNCTION("""COMPUTED_VALUE"""),919256783)</f>
        <v>919256783</v>
      </c>
      <c r="E940" s="35" t="str">
        <f ca="1">IFERROR(__xludf.DUMMYFUNCTION("""COMPUTED_VALUE"""),"cuongnv.tnh@vnpt.vn")</f>
        <v>cuongnv.tnh@vnpt.vn</v>
      </c>
      <c r="F940" s="540" t="str">
        <f ca="1">IFERROR(__xludf.DUMMYFUNCTION("""COMPUTED_VALUE"""),"Lần 6")</f>
        <v>Lần 6</v>
      </c>
      <c r="G940" s="278">
        <f ca="1">IFERROR(__xludf.DUMMYFUNCTION("""COMPUTED_VALUE"""),46211)</f>
        <v>46211</v>
      </c>
      <c r="H940" s="35">
        <f ca="1">IFERROR(__xludf.DUMMYFUNCTION("""COMPUTED_VALUE"""),647)</f>
        <v>647</v>
      </c>
      <c r="I940" s="35">
        <f ca="1">IFERROR(__xludf.DUMMYFUNCTION("""COMPUTED_VALUE"""),18)</f>
        <v>18</v>
      </c>
      <c r="J940" s="540">
        <f ca="1">IFERROR(__xludf.DUMMYFUNCTION("""COMPUTED_VALUE"""),673)</f>
        <v>673</v>
      </c>
      <c r="K940" s="540">
        <f ca="1">IFERROR(__xludf.DUMMYFUNCTION("""COMPUTED_VALUE"""),15)</f>
        <v>15</v>
      </c>
      <c r="M940" s="539">
        <f ca="1">IFERROR(__xludf.DUMMYFUNCTION("""COMPUTED_VALUE"""),1)</f>
        <v>1</v>
      </c>
      <c r="N940" s="539">
        <f ca="1">IFERROR(__xludf.DUMMYFUNCTION("""COMPUTED_VALUE"""),1)</f>
        <v>1</v>
      </c>
      <c r="O940" s="539">
        <f ca="1">IFERROR(__xludf.DUMMYFUNCTION("""COMPUTED_VALUE"""),1)</f>
        <v>1</v>
      </c>
    </row>
    <row r="941" spans="1:15" ht="12.75">
      <c r="A941" s="539">
        <f ca="1"/>
        <v>935</v>
      </c>
      <c r="B941" s="35" t="str">
        <f ca="1">IFERROR(__xludf.DUMMYFUNCTION("""COMPUTED_VALUE"""),"Tổ Hạ tầng Gò Dầu")</f>
        <v>Tổ Hạ tầng Gò Dầu</v>
      </c>
      <c r="C941" s="35" t="str">
        <f ca="1">IFERROR(__xludf.DUMMYFUNCTION("""COMPUTED_VALUE"""),"Nguyễn Văn Cường")</f>
        <v>Nguyễn Văn Cường</v>
      </c>
      <c r="D941" s="35">
        <f ca="1">IFERROR(__xludf.DUMMYFUNCTION("""COMPUTED_VALUE"""),919256783)</f>
        <v>919256783</v>
      </c>
      <c r="E941" s="35" t="str">
        <f ca="1">IFERROR(__xludf.DUMMYFUNCTION("""COMPUTED_VALUE"""),"cuongnv.tnh@vnpt.vn")</f>
        <v>cuongnv.tnh@vnpt.vn</v>
      </c>
      <c r="F941" s="540" t="str">
        <f ca="1">IFERROR(__xludf.DUMMYFUNCTION("""COMPUTED_VALUE"""),"Lần 7")</f>
        <v>Lần 7</v>
      </c>
      <c r="G941" s="278">
        <f ca="1">IFERROR(__xludf.DUMMYFUNCTION("""COMPUTED_VALUE"""),46211)</f>
        <v>46211</v>
      </c>
      <c r="H941" s="35">
        <f ca="1">IFERROR(__xludf.DUMMYFUNCTION("""COMPUTED_VALUE"""),656)</f>
        <v>656</v>
      </c>
      <c r="I941" s="35">
        <f ca="1">IFERROR(__xludf.DUMMYFUNCTION("""COMPUTED_VALUE"""),16)</f>
        <v>16</v>
      </c>
      <c r="J941" s="540">
        <f ca="1">IFERROR(__xludf.DUMMYFUNCTION("""COMPUTED_VALUE"""),647)</f>
        <v>647</v>
      </c>
      <c r="K941" s="540">
        <f ca="1">IFERROR(__xludf.DUMMYFUNCTION("""COMPUTED_VALUE"""),19)</f>
        <v>19</v>
      </c>
      <c r="M941" s="539">
        <f ca="1">IFERROR(__xludf.DUMMYFUNCTION("""COMPUTED_VALUE"""),1)</f>
        <v>1</v>
      </c>
      <c r="N941" s="539">
        <f ca="1">IFERROR(__xludf.DUMMYFUNCTION("""COMPUTED_VALUE"""),1)</f>
        <v>1</v>
      </c>
      <c r="O941" s="539">
        <f ca="1">IFERROR(__xludf.DUMMYFUNCTION("""COMPUTED_VALUE"""),1)</f>
        <v>1</v>
      </c>
    </row>
    <row r="942" spans="1:15" ht="12.75">
      <c r="A942" s="539">
        <f ca="1"/>
        <v>936</v>
      </c>
      <c r="B942" s="35" t="str">
        <f ca="1">IFERROR(__xludf.DUMMYFUNCTION("""COMPUTED_VALUE"""),"Tổ Hạ tầng Gò Dầu")</f>
        <v>Tổ Hạ tầng Gò Dầu</v>
      </c>
      <c r="C942" s="35" t="str">
        <f ca="1">IFERROR(__xludf.DUMMYFUNCTION("""COMPUTED_VALUE"""),"Nguyễn Văn Cường")</f>
        <v>Nguyễn Văn Cường</v>
      </c>
      <c r="D942" s="35">
        <f ca="1">IFERROR(__xludf.DUMMYFUNCTION("""COMPUTED_VALUE"""),919256783)</f>
        <v>919256783</v>
      </c>
      <c r="E942" s="35" t="str">
        <f ca="1">IFERROR(__xludf.DUMMYFUNCTION("""COMPUTED_VALUE"""),"cuongnv.tnh@vnpt.vn")</f>
        <v>cuongnv.tnh@vnpt.vn</v>
      </c>
      <c r="F942" s="540" t="str">
        <f ca="1">IFERROR(__xludf.DUMMYFUNCTION("""COMPUTED_VALUE"""),"Lần 8")</f>
        <v>Lần 8</v>
      </c>
      <c r="G942" s="278">
        <f ca="1">IFERROR(__xludf.DUMMYFUNCTION("""COMPUTED_VALUE"""),46211)</f>
        <v>46211</v>
      </c>
      <c r="H942" s="35">
        <f ca="1">IFERROR(__xludf.DUMMYFUNCTION("""COMPUTED_VALUE"""),707)</f>
        <v>707</v>
      </c>
      <c r="I942" s="35">
        <f ca="1">IFERROR(__xludf.DUMMYFUNCTION("""COMPUTED_VALUE"""),18)</f>
        <v>18</v>
      </c>
      <c r="J942" s="540">
        <f ca="1">IFERROR(__xludf.DUMMYFUNCTION("""COMPUTED_VALUE"""),610)</f>
        <v>610</v>
      </c>
      <c r="K942" s="540">
        <f ca="1">IFERROR(__xludf.DUMMYFUNCTION("""COMPUTED_VALUE"""),10)</f>
        <v>10</v>
      </c>
      <c r="M942" s="539">
        <f ca="1">IFERROR(__xludf.DUMMYFUNCTION("""COMPUTED_VALUE"""),1)</f>
        <v>1</v>
      </c>
      <c r="N942" s="539">
        <f ca="1">IFERROR(__xludf.DUMMYFUNCTION("""COMPUTED_VALUE"""),1)</f>
        <v>1</v>
      </c>
      <c r="O942" s="539">
        <f ca="1">IFERROR(__xludf.DUMMYFUNCTION("""COMPUTED_VALUE"""),1)</f>
        <v>1</v>
      </c>
    </row>
    <row r="943" spans="1:15" ht="12.75">
      <c r="A943" s="539">
        <f ca="1"/>
        <v>937</v>
      </c>
      <c r="B943" s="35" t="str">
        <f ca="1">IFERROR(__xludf.DUMMYFUNCTION("""COMPUTED_VALUE"""),"Tổ Hạ tầng Gò Dầu")</f>
        <v>Tổ Hạ tầng Gò Dầu</v>
      </c>
      <c r="C943" s="35" t="str">
        <f ca="1">IFERROR(__xludf.DUMMYFUNCTION("""COMPUTED_VALUE"""),"Nguyễn Văn Cường")</f>
        <v>Nguyễn Văn Cường</v>
      </c>
      <c r="D943" s="35">
        <f ca="1">IFERROR(__xludf.DUMMYFUNCTION("""COMPUTED_VALUE"""),919256783)</f>
        <v>919256783</v>
      </c>
      <c r="E943" s="35" t="str">
        <f ca="1">IFERROR(__xludf.DUMMYFUNCTION("""COMPUTED_VALUE"""),"cuongnv.tnh@vnpt.vn")</f>
        <v>cuongnv.tnh@vnpt.vn</v>
      </c>
      <c r="F943" s="540" t="str">
        <f ca="1">IFERROR(__xludf.DUMMYFUNCTION("""COMPUTED_VALUE"""),"Lần 9")</f>
        <v>Lần 9</v>
      </c>
      <c r="G943" s="278">
        <f ca="1">IFERROR(__xludf.DUMMYFUNCTION("""COMPUTED_VALUE"""),46217)</f>
        <v>46217</v>
      </c>
      <c r="H943" s="35">
        <f ca="1">IFERROR(__xludf.DUMMYFUNCTION("""COMPUTED_VALUE"""),552)</f>
        <v>552</v>
      </c>
      <c r="I943" s="35">
        <f ca="1">IFERROR(__xludf.DUMMYFUNCTION("""COMPUTED_VALUE"""),18)</f>
        <v>18</v>
      </c>
      <c r="J943" s="540">
        <f ca="1">IFERROR(__xludf.DUMMYFUNCTION("""COMPUTED_VALUE"""),637)</f>
        <v>637</v>
      </c>
      <c r="K943" s="540">
        <f ca="1">IFERROR(__xludf.DUMMYFUNCTION("""COMPUTED_VALUE"""),12)</f>
        <v>12</v>
      </c>
      <c r="M943" s="539">
        <f ca="1">IFERROR(__xludf.DUMMYFUNCTION("""COMPUTED_VALUE"""),1)</f>
        <v>1</v>
      </c>
      <c r="N943" s="539">
        <f ca="1">IFERROR(__xludf.DUMMYFUNCTION("""COMPUTED_VALUE"""),1)</f>
        <v>1</v>
      </c>
      <c r="O943" s="539">
        <f ca="1">IFERROR(__xludf.DUMMYFUNCTION("""COMPUTED_VALUE"""),1)</f>
        <v>1</v>
      </c>
    </row>
    <row r="944" spans="1:15" ht="12.75">
      <c r="A944" s="539">
        <f ca="1"/>
        <v>938</v>
      </c>
      <c r="B944" s="35" t="str">
        <f ca="1">IFERROR(__xludf.DUMMYFUNCTION("""COMPUTED_VALUE"""),"Tổ Hạ tầng Gò Dầu")</f>
        <v>Tổ Hạ tầng Gò Dầu</v>
      </c>
      <c r="C944" s="35" t="str">
        <f ca="1">IFERROR(__xludf.DUMMYFUNCTION("""COMPUTED_VALUE"""),"Nguyễn Văn Cường")</f>
        <v>Nguyễn Văn Cường</v>
      </c>
      <c r="D944" s="35">
        <f ca="1">IFERROR(__xludf.DUMMYFUNCTION("""COMPUTED_VALUE"""),919256783)</f>
        <v>919256783</v>
      </c>
      <c r="E944" s="35" t="str">
        <f ca="1">IFERROR(__xludf.DUMMYFUNCTION("""COMPUTED_VALUE"""),"cuongnv.tnh@vnpt.vn")</f>
        <v>cuongnv.tnh@vnpt.vn</v>
      </c>
      <c r="F944" s="540" t="str">
        <f ca="1">IFERROR(__xludf.DUMMYFUNCTION("""COMPUTED_VALUE"""),"Lần 10")</f>
        <v>Lần 10</v>
      </c>
      <c r="G944" s="278">
        <f ca="1">IFERROR(__xludf.DUMMYFUNCTION("""COMPUTED_VALUE"""),46217)</f>
        <v>46217</v>
      </c>
      <c r="H944" s="35">
        <f ca="1">IFERROR(__xludf.DUMMYFUNCTION("""COMPUTED_VALUE"""),671)</f>
        <v>671</v>
      </c>
      <c r="I944" s="35">
        <f ca="1">IFERROR(__xludf.DUMMYFUNCTION("""COMPUTED_VALUE"""),18)</f>
        <v>18</v>
      </c>
      <c r="J944" s="540">
        <f ca="1">IFERROR(__xludf.DUMMYFUNCTION("""COMPUTED_VALUE"""),659)</f>
        <v>659</v>
      </c>
      <c r="K944" s="540">
        <f ca="1">IFERROR(__xludf.DUMMYFUNCTION("""COMPUTED_VALUE"""),14)</f>
        <v>14</v>
      </c>
      <c r="M944" s="539">
        <f ca="1">IFERROR(__xludf.DUMMYFUNCTION("""COMPUTED_VALUE"""),1)</f>
        <v>1</v>
      </c>
      <c r="N944" s="539">
        <f ca="1">IFERROR(__xludf.DUMMYFUNCTION("""COMPUTED_VALUE"""),1)</f>
        <v>1</v>
      </c>
      <c r="O944" s="539">
        <f ca="1">IFERROR(__xludf.DUMMYFUNCTION("""COMPUTED_VALUE"""),1)</f>
        <v>1</v>
      </c>
    </row>
    <row r="945" spans="1:15" ht="12.75">
      <c r="A945" s="539">
        <f ca="1"/>
        <v>939</v>
      </c>
      <c r="B945" s="35" t="str">
        <f ca="1">IFERROR(__xludf.DUMMYFUNCTION("""COMPUTED_VALUE"""),"Tổ Hạ tầng Gò Dầu")</f>
        <v>Tổ Hạ tầng Gò Dầu</v>
      </c>
      <c r="C945" s="35" t="str">
        <f ca="1">IFERROR(__xludf.DUMMYFUNCTION("""COMPUTED_VALUE"""),"Nguyễn Văn Cường")</f>
        <v>Nguyễn Văn Cường</v>
      </c>
      <c r="D945" s="35">
        <f ca="1">IFERROR(__xludf.DUMMYFUNCTION("""COMPUTED_VALUE"""),919256783)</f>
        <v>919256783</v>
      </c>
      <c r="E945" s="35" t="str">
        <f ca="1">IFERROR(__xludf.DUMMYFUNCTION("""COMPUTED_VALUE"""),"cuongnv.tnh@vnpt.vn")</f>
        <v>cuongnv.tnh@vnpt.vn</v>
      </c>
      <c r="F945" s="540" t="str">
        <f ca="1">IFERROR(__xludf.DUMMYFUNCTION("""COMPUTED_VALUE"""),"Lần 11")</f>
        <v>Lần 11</v>
      </c>
      <c r="G945" s="278">
        <f ca="1">IFERROR(__xludf.DUMMYFUNCTION("""COMPUTED_VALUE"""),46217)</f>
        <v>46217</v>
      </c>
      <c r="H945" s="35">
        <f ca="1">IFERROR(__xludf.DUMMYFUNCTION("""COMPUTED_VALUE"""),601)</f>
        <v>601</v>
      </c>
      <c r="I945" s="35">
        <f ca="1">IFERROR(__xludf.DUMMYFUNCTION("""COMPUTED_VALUE"""),15)</f>
        <v>15</v>
      </c>
      <c r="J945" s="540">
        <f ca="1">IFERROR(__xludf.DUMMYFUNCTION("""COMPUTED_VALUE"""),655)</f>
        <v>655</v>
      </c>
      <c r="K945" s="540">
        <f ca="1">IFERROR(__xludf.DUMMYFUNCTION("""COMPUTED_VALUE"""),17)</f>
        <v>17</v>
      </c>
      <c r="M945" s="539">
        <f ca="1">IFERROR(__xludf.DUMMYFUNCTION("""COMPUTED_VALUE"""),1)</f>
        <v>1</v>
      </c>
      <c r="N945" s="539">
        <f ca="1">IFERROR(__xludf.DUMMYFUNCTION("""COMPUTED_VALUE"""),1)</f>
        <v>1</v>
      </c>
      <c r="O945" s="539">
        <f ca="1">IFERROR(__xludf.DUMMYFUNCTION("""COMPUTED_VALUE"""),1)</f>
        <v>1</v>
      </c>
    </row>
    <row r="946" spans="1:15" ht="12.75">
      <c r="A946" s="539">
        <f ca="1"/>
        <v>940</v>
      </c>
      <c r="B946" s="35" t="str">
        <f ca="1">IFERROR(__xludf.DUMMYFUNCTION("""COMPUTED_VALUE"""),"Tổ Hạ tầng Gò Dầu")</f>
        <v>Tổ Hạ tầng Gò Dầu</v>
      </c>
      <c r="C946" s="35" t="str">
        <f ca="1">IFERROR(__xludf.DUMMYFUNCTION("""COMPUTED_VALUE"""),"Nguyễn Văn Cường")</f>
        <v>Nguyễn Văn Cường</v>
      </c>
      <c r="D946" s="35">
        <f ca="1">IFERROR(__xludf.DUMMYFUNCTION("""COMPUTED_VALUE"""),919256783)</f>
        <v>919256783</v>
      </c>
      <c r="E946" s="35" t="str">
        <f ca="1">IFERROR(__xludf.DUMMYFUNCTION("""COMPUTED_VALUE"""),"cuongnv.tnh@vnpt.vn")</f>
        <v>cuongnv.tnh@vnpt.vn</v>
      </c>
      <c r="F946" s="540" t="str">
        <f ca="1">IFERROR(__xludf.DUMMYFUNCTION("""COMPUTED_VALUE"""),"Lần 12")</f>
        <v>Lần 12</v>
      </c>
      <c r="G946" s="278">
        <f ca="1">IFERROR(__xludf.DUMMYFUNCTION("""COMPUTED_VALUE"""),46217)</f>
        <v>46217</v>
      </c>
      <c r="H946" s="35">
        <f ca="1">IFERROR(__xludf.DUMMYFUNCTION("""COMPUTED_VALUE"""),640)</f>
        <v>640</v>
      </c>
      <c r="I946" s="35">
        <f ca="1">IFERROR(__xludf.DUMMYFUNCTION("""COMPUTED_VALUE"""),23)</f>
        <v>23</v>
      </c>
      <c r="J946" s="540">
        <f ca="1">IFERROR(__xludf.DUMMYFUNCTION("""COMPUTED_VALUE"""),616)</f>
        <v>616</v>
      </c>
      <c r="K946" s="540">
        <f ca="1">IFERROR(__xludf.DUMMYFUNCTION("""COMPUTED_VALUE"""),7)</f>
        <v>7</v>
      </c>
      <c r="M946" s="539">
        <f ca="1">IFERROR(__xludf.DUMMYFUNCTION("""COMPUTED_VALUE"""),1)</f>
        <v>1</v>
      </c>
      <c r="N946" s="539">
        <f ca="1">IFERROR(__xludf.DUMMYFUNCTION("""COMPUTED_VALUE"""),1)</f>
        <v>1</v>
      </c>
      <c r="O946" s="539">
        <f ca="1">IFERROR(__xludf.DUMMYFUNCTION("""COMPUTED_VALUE"""),1)</f>
        <v>1</v>
      </c>
    </row>
    <row r="947" spans="1:15" ht="12.75">
      <c r="A947" s="539">
        <f ca="1"/>
        <v>941</v>
      </c>
      <c r="B947" s="35" t="str">
        <f ca="1">IFERROR(__xludf.DUMMYFUNCTION("""COMPUTED_VALUE"""),"Tổ Hạ tầng Gò Dầu")</f>
        <v>Tổ Hạ tầng Gò Dầu</v>
      </c>
      <c r="C947" s="35" t="str">
        <f ca="1">IFERROR(__xludf.DUMMYFUNCTION("""COMPUTED_VALUE"""),"Nguyễn Văn Cường")</f>
        <v>Nguyễn Văn Cường</v>
      </c>
      <c r="D947" s="35">
        <f ca="1">IFERROR(__xludf.DUMMYFUNCTION("""COMPUTED_VALUE"""),919256783)</f>
        <v>919256783</v>
      </c>
      <c r="E947" s="35" t="str">
        <f ca="1">IFERROR(__xludf.DUMMYFUNCTION("""COMPUTED_VALUE"""),"cuongnv.tnh@vnpt.vn")</f>
        <v>cuongnv.tnh@vnpt.vn</v>
      </c>
      <c r="F947" s="540" t="str">
        <f ca="1">IFERROR(__xludf.DUMMYFUNCTION("""COMPUTED_VALUE"""),"Lần 13")</f>
        <v>Lần 13</v>
      </c>
      <c r="G947" s="278">
        <f ca="1">IFERROR(__xludf.DUMMYFUNCTION("""COMPUTED_VALUE"""),46223)</f>
        <v>46223</v>
      </c>
      <c r="H947" s="35"/>
      <c r="I947" s="35"/>
      <c r="J947" s="540"/>
      <c r="K947" s="540"/>
      <c r="M947" s="539">
        <f ca="1">IFERROR(__xludf.DUMMYFUNCTION("""COMPUTED_VALUE"""),0)</f>
        <v>0</v>
      </c>
      <c r="N947" s="539">
        <f ca="1">IFERROR(__xludf.DUMMYFUNCTION("""COMPUTED_VALUE"""),0)</f>
        <v>0</v>
      </c>
      <c r="O947" s="539">
        <f ca="1">IFERROR(__xludf.DUMMYFUNCTION("""COMPUTED_VALUE"""),0)</f>
        <v>0</v>
      </c>
    </row>
    <row r="948" spans="1:15" ht="12.75">
      <c r="A948" s="539">
        <f ca="1"/>
        <v>942</v>
      </c>
      <c r="B948" s="35" t="str">
        <f ca="1">IFERROR(__xludf.DUMMYFUNCTION("""COMPUTED_VALUE"""),"Tổ Hạ tầng Gò Dầu")</f>
        <v>Tổ Hạ tầng Gò Dầu</v>
      </c>
      <c r="C948" s="35" t="str">
        <f ca="1">IFERROR(__xludf.DUMMYFUNCTION("""COMPUTED_VALUE"""),"Nguyễn Văn Cường")</f>
        <v>Nguyễn Văn Cường</v>
      </c>
      <c r="D948" s="35">
        <f ca="1">IFERROR(__xludf.DUMMYFUNCTION("""COMPUTED_VALUE"""),919256783)</f>
        <v>919256783</v>
      </c>
      <c r="E948" s="35" t="str">
        <f ca="1">IFERROR(__xludf.DUMMYFUNCTION("""COMPUTED_VALUE"""),"cuongnv.tnh@vnpt.vn")</f>
        <v>cuongnv.tnh@vnpt.vn</v>
      </c>
      <c r="F948" s="540" t="str">
        <f ca="1">IFERROR(__xludf.DUMMYFUNCTION("""COMPUTED_VALUE"""),"Lần 14")</f>
        <v>Lần 14</v>
      </c>
      <c r="G948" s="278">
        <f ca="1">IFERROR(__xludf.DUMMYFUNCTION("""COMPUTED_VALUE"""),46223)</f>
        <v>46223</v>
      </c>
      <c r="H948" s="35"/>
      <c r="I948" s="35"/>
      <c r="J948" s="540"/>
      <c r="K948" s="540"/>
      <c r="M948" s="539">
        <f ca="1">IFERROR(__xludf.DUMMYFUNCTION("""COMPUTED_VALUE"""),0)</f>
        <v>0</v>
      </c>
      <c r="N948" s="539">
        <f ca="1">IFERROR(__xludf.DUMMYFUNCTION("""COMPUTED_VALUE"""),0)</f>
        <v>0</v>
      </c>
      <c r="O948" s="539">
        <f ca="1">IFERROR(__xludf.DUMMYFUNCTION("""COMPUTED_VALUE"""),0)</f>
        <v>0</v>
      </c>
    </row>
    <row r="949" spans="1:15" ht="12.75">
      <c r="A949" s="539">
        <f ca="1"/>
        <v>943</v>
      </c>
      <c r="B949" s="35" t="str">
        <f ca="1">IFERROR(__xludf.DUMMYFUNCTION("""COMPUTED_VALUE"""),"Tổ Hạ tầng Gò Dầu")</f>
        <v>Tổ Hạ tầng Gò Dầu</v>
      </c>
      <c r="C949" s="35" t="str">
        <f ca="1">IFERROR(__xludf.DUMMYFUNCTION("""COMPUTED_VALUE"""),"Nguyễn Văn Cường")</f>
        <v>Nguyễn Văn Cường</v>
      </c>
      <c r="D949" s="35">
        <f ca="1">IFERROR(__xludf.DUMMYFUNCTION("""COMPUTED_VALUE"""),919256783)</f>
        <v>919256783</v>
      </c>
      <c r="E949" s="35" t="str">
        <f ca="1">IFERROR(__xludf.DUMMYFUNCTION("""COMPUTED_VALUE"""),"cuongnv.tnh@vnpt.vn")</f>
        <v>cuongnv.tnh@vnpt.vn</v>
      </c>
      <c r="F949" s="540" t="str">
        <f ca="1">IFERROR(__xludf.DUMMYFUNCTION("""COMPUTED_VALUE"""),"Lần 15")</f>
        <v>Lần 15</v>
      </c>
      <c r="G949" s="278">
        <f ca="1">IFERROR(__xludf.DUMMYFUNCTION("""COMPUTED_VALUE"""),46223)</f>
        <v>46223</v>
      </c>
      <c r="H949" s="35"/>
      <c r="I949" s="35"/>
      <c r="J949" s="540"/>
      <c r="K949" s="540"/>
      <c r="M949" s="539">
        <f ca="1">IFERROR(__xludf.DUMMYFUNCTION("""COMPUTED_VALUE"""),0)</f>
        <v>0</v>
      </c>
      <c r="N949" s="539">
        <f ca="1">IFERROR(__xludf.DUMMYFUNCTION("""COMPUTED_VALUE"""),0)</f>
        <v>0</v>
      </c>
      <c r="O949" s="539">
        <f ca="1">IFERROR(__xludf.DUMMYFUNCTION("""COMPUTED_VALUE"""),0)</f>
        <v>0</v>
      </c>
    </row>
    <row r="950" spans="1:15" ht="12.75">
      <c r="A950" s="539">
        <f ca="1"/>
        <v>944</v>
      </c>
      <c r="B950" s="35" t="str">
        <f ca="1">IFERROR(__xludf.DUMMYFUNCTION("""COMPUTED_VALUE"""),"Tổ Hạ tầng Gò Dầu")</f>
        <v>Tổ Hạ tầng Gò Dầu</v>
      </c>
      <c r="C950" s="35" t="str">
        <f ca="1">IFERROR(__xludf.DUMMYFUNCTION("""COMPUTED_VALUE"""),"Nguyễn Văn Cường")</f>
        <v>Nguyễn Văn Cường</v>
      </c>
      <c r="D950" s="35">
        <f ca="1">IFERROR(__xludf.DUMMYFUNCTION("""COMPUTED_VALUE"""),919256783)</f>
        <v>919256783</v>
      </c>
      <c r="E950" s="35" t="str">
        <f ca="1">IFERROR(__xludf.DUMMYFUNCTION("""COMPUTED_VALUE"""),"cuongnv.tnh@vnpt.vn")</f>
        <v>cuongnv.tnh@vnpt.vn</v>
      </c>
      <c r="F950" s="540" t="str">
        <f ca="1">IFERROR(__xludf.DUMMYFUNCTION("""COMPUTED_VALUE"""),"Lần 16")</f>
        <v>Lần 16</v>
      </c>
      <c r="G950" s="278">
        <f ca="1">IFERROR(__xludf.DUMMYFUNCTION("""COMPUTED_VALUE"""),46223)</f>
        <v>46223</v>
      </c>
      <c r="H950" s="35"/>
      <c r="I950" s="35"/>
      <c r="J950" s="540"/>
      <c r="K950" s="540"/>
      <c r="M950" s="539">
        <f ca="1">IFERROR(__xludf.DUMMYFUNCTION("""COMPUTED_VALUE"""),0)</f>
        <v>0</v>
      </c>
      <c r="N950" s="539">
        <f ca="1">IFERROR(__xludf.DUMMYFUNCTION("""COMPUTED_VALUE"""),0)</f>
        <v>0</v>
      </c>
      <c r="O950" s="539">
        <f ca="1">IFERROR(__xludf.DUMMYFUNCTION("""COMPUTED_VALUE"""),0)</f>
        <v>0</v>
      </c>
    </row>
    <row r="951" spans="1:15" ht="12.75">
      <c r="A951" s="539">
        <f ca="1"/>
        <v>945</v>
      </c>
      <c r="B951" s="35" t="str">
        <f ca="1">IFERROR(__xludf.DUMMYFUNCTION("""COMPUTED_VALUE"""),"Tổ Hạ tầng Gò Dầu")</f>
        <v>Tổ Hạ tầng Gò Dầu</v>
      </c>
      <c r="C951" s="35" t="str">
        <f ca="1">IFERROR(__xludf.DUMMYFUNCTION("""COMPUTED_VALUE"""),"Nguyễn Hữu Thế")</f>
        <v>Nguyễn Hữu Thế</v>
      </c>
      <c r="D951" s="35">
        <f ca="1">IFERROR(__xludf.DUMMYFUNCTION("""COMPUTED_VALUE"""),912172101)</f>
        <v>912172101</v>
      </c>
      <c r="E951" s="35" t="str">
        <f ca="1">IFERROR(__xludf.DUMMYFUNCTION("""COMPUTED_VALUE"""),"thenh.tnh@vnpt.vn")</f>
        <v>thenh.tnh@vnpt.vn</v>
      </c>
      <c r="F951" s="540" t="str">
        <f ca="1">IFERROR(__xludf.DUMMYFUNCTION("""COMPUTED_VALUE"""),"Lần 1")</f>
        <v>Lần 1</v>
      </c>
      <c r="G951" s="278">
        <f ca="1">IFERROR(__xludf.DUMMYFUNCTION("""COMPUTED_VALUE"""),46206)</f>
        <v>46206</v>
      </c>
      <c r="H951" s="35">
        <f ca="1">IFERROR(__xludf.DUMMYFUNCTION("""COMPUTED_VALUE"""),99)</f>
        <v>99</v>
      </c>
      <c r="I951" s="35">
        <f ca="1">IFERROR(__xludf.DUMMYFUNCTION("""COMPUTED_VALUE"""),26)</f>
        <v>26</v>
      </c>
      <c r="J951" s="35">
        <f ca="1">IFERROR(__xludf.DUMMYFUNCTION("""COMPUTED_VALUE"""),108)</f>
        <v>108</v>
      </c>
      <c r="K951" s="35">
        <f ca="1">IFERROR(__xludf.DUMMYFUNCTION("""COMPUTED_VALUE"""),29)</f>
        <v>29</v>
      </c>
      <c r="M951" s="539">
        <f ca="1">IFERROR(__xludf.DUMMYFUNCTION("""COMPUTED_VALUE"""),1)</f>
        <v>1</v>
      </c>
      <c r="N951" s="539">
        <f ca="1">IFERROR(__xludf.DUMMYFUNCTION("""COMPUTED_VALUE"""),1)</f>
        <v>1</v>
      </c>
      <c r="O951" s="539">
        <f ca="1">IFERROR(__xludf.DUMMYFUNCTION("""COMPUTED_VALUE"""),0)</f>
        <v>0</v>
      </c>
    </row>
    <row r="952" spans="1:15" ht="12.75">
      <c r="A952" s="539">
        <f ca="1"/>
        <v>946</v>
      </c>
      <c r="B952" s="35" t="str">
        <f ca="1">IFERROR(__xludf.DUMMYFUNCTION("""COMPUTED_VALUE"""),"Tổ Hạ tầng Gò Dầu")</f>
        <v>Tổ Hạ tầng Gò Dầu</v>
      </c>
      <c r="C952" s="35" t="str">
        <f ca="1">IFERROR(__xludf.DUMMYFUNCTION("""COMPUTED_VALUE"""),"Nguyễn Hữu Thế")</f>
        <v>Nguyễn Hữu Thế</v>
      </c>
      <c r="D952" s="35">
        <f ca="1">IFERROR(__xludf.DUMMYFUNCTION("""COMPUTED_VALUE"""),912172101)</f>
        <v>912172101</v>
      </c>
      <c r="E952" s="35" t="str">
        <f ca="1">IFERROR(__xludf.DUMMYFUNCTION("""COMPUTED_VALUE"""),"thenh.tnh@vnpt.vn")</f>
        <v>thenh.tnh@vnpt.vn</v>
      </c>
      <c r="F952" s="540" t="str">
        <f ca="1">IFERROR(__xludf.DUMMYFUNCTION("""COMPUTED_VALUE"""),"Lần 2")</f>
        <v>Lần 2</v>
      </c>
      <c r="G952" s="278">
        <f ca="1">IFERROR(__xludf.DUMMYFUNCTION("""COMPUTED_VALUE"""),46206)</f>
        <v>46206</v>
      </c>
      <c r="H952" s="35">
        <f ca="1">IFERROR(__xludf.DUMMYFUNCTION("""COMPUTED_VALUE"""),95)</f>
        <v>95</v>
      </c>
      <c r="I952" s="35">
        <f ca="1">IFERROR(__xludf.DUMMYFUNCTION("""COMPUTED_VALUE"""),25)</f>
        <v>25</v>
      </c>
      <c r="J952" s="35">
        <f ca="1">IFERROR(__xludf.DUMMYFUNCTION("""COMPUTED_VALUE"""),87)</f>
        <v>87</v>
      </c>
      <c r="K952" s="35">
        <f ca="1">IFERROR(__xludf.DUMMYFUNCTION("""COMPUTED_VALUE"""),31)</f>
        <v>31</v>
      </c>
      <c r="M952" s="539">
        <f ca="1">IFERROR(__xludf.DUMMYFUNCTION("""COMPUTED_VALUE"""),1)</f>
        <v>1</v>
      </c>
      <c r="N952" s="539">
        <f ca="1">IFERROR(__xludf.DUMMYFUNCTION("""COMPUTED_VALUE"""),1)</f>
        <v>1</v>
      </c>
      <c r="O952" s="539">
        <f ca="1">IFERROR(__xludf.DUMMYFUNCTION("""COMPUTED_VALUE"""),0)</f>
        <v>0</v>
      </c>
    </row>
    <row r="953" spans="1:15" ht="12.75">
      <c r="A953" s="539">
        <f ca="1"/>
        <v>947</v>
      </c>
      <c r="B953" s="35" t="str">
        <f ca="1">IFERROR(__xludf.DUMMYFUNCTION("""COMPUTED_VALUE"""),"Tổ Hạ tầng Gò Dầu")</f>
        <v>Tổ Hạ tầng Gò Dầu</v>
      </c>
      <c r="C953" s="35" t="str">
        <f ca="1">IFERROR(__xludf.DUMMYFUNCTION("""COMPUTED_VALUE"""),"Nguyễn Hữu Thế")</f>
        <v>Nguyễn Hữu Thế</v>
      </c>
      <c r="D953" s="35">
        <f ca="1">IFERROR(__xludf.DUMMYFUNCTION("""COMPUTED_VALUE"""),912172101)</f>
        <v>912172101</v>
      </c>
      <c r="E953" s="35" t="str">
        <f ca="1">IFERROR(__xludf.DUMMYFUNCTION("""COMPUTED_VALUE"""),"thenh.tnh@vnpt.vn")</f>
        <v>thenh.tnh@vnpt.vn</v>
      </c>
      <c r="F953" s="540" t="str">
        <f ca="1">IFERROR(__xludf.DUMMYFUNCTION("""COMPUTED_VALUE"""),"Lần 3")</f>
        <v>Lần 3</v>
      </c>
      <c r="G953" s="278">
        <f ca="1">IFERROR(__xludf.DUMMYFUNCTION("""COMPUTED_VALUE"""),46206)</f>
        <v>46206</v>
      </c>
      <c r="H953" s="35">
        <f ca="1">IFERROR(__xludf.DUMMYFUNCTION("""COMPUTED_VALUE"""),101)</f>
        <v>101</v>
      </c>
      <c r="I953" s="35">
        <f ca="1">IFERROR(__xludf.DUMMYFUNCTION("""COMPUTED_VALUE"""),27)</f>
        <v>27</v>
      </c>
      <c r="J953" s="35">
        <f ca="1">IFERROR(__xludf.DUMMYFUNCTION("""COMPUTED_VALUE"""),89)</f>
        <v>89</v>
      </c>
      <c r="K953" s="35">
        <f ca="1">IFERROR(__xludf.DUMMYFUNCTION("""COMPUTED_VALUE"""),28)</f>
        <v>28</v>
      </c>
      <c r="M953" s="539">
        <f ca="1">IFERROR(__xludf.DUMMYFUNCTION("""COMPUTED_VALUE"""),1)</f>
        <v>1</v>
      </c>
      <c r="N953" s="539">
        <f ca="1">IFERROR(__xludf.DUMMYFUNCTION("""COMPUTED_VALUE"""),1)</f>
        <v>1</v>
      </c>
      <c r="O953" s="539">
        <f ca="1">IFERROR(__xludf.DUMMYFUNCTION("""COMPUTED_VALUE"""),0)</f>
        <v>0</v>
      </c>
    </row>
    <row r="954" spans="1:15" ht="12.75">
      <c r="A954" s="539">
        <f ca="1"/>
        <v>948</v>
      </c>
      <c r="B954" s="35" t="str">
        <f ca="1">IFERROR(__xludf.DUMMYFUNCTION("""COMPUTED_VALUE"""),"Tổ Hạ tầng Gò Dầu")</f>
        <v>Tổ Hạ tầng Gò Dầu</v>
      </c>
      <c r="C954" s="35" t="str">
        <f ca="1">IFERROR(__xludf.DUMMYFUNCTION("""COMPUTED_VALUE"""),"Nguyễn Hữu Thế")</f>
        <v>Nguyễn Hữu Thế</v>
      </c>
      <c r="D954" s="35">
        <f ca="1">IFERROR(__xludf.DUMMYFUNCTION("""COMPUTED_VALUE"""),912172101)</f>
        <v>912172101</v>
      </c>
      <c r="E954" s="35" t="str">
        <f ca="1">IFERROR(__xludf.DUMMYFUNCTION("""COMPUTED_VALUE"""),"thenh.tnh@vnpt.vn")</f>
        <v>thenh.tnh@vnpt.vn</v>
      </c>
      <c r="F954" s="540" t="str">
        <f ca="1">IFERROR(__xludf.DUMMYFUNCTION("""COMPUTED_VALUE"""),"Lần 4")</f>
        <v>Lần 4</v>
      </c>
      <c r="G954" s="278">
        <f ca="1">IFERROR(__xludf.DUMMYFUNCTION("""COMPUTED_VALUE"""),46206)</f>
        <v>46206</v>
      </c>
      <c r="H954" s="35">
        <f ca="1">IFERROR(__xludf.DUMMYFUNCTION("""COMPUTED_VALUE"""),96)</f>
        <v>96</v>
      </c>
      <c r="I954" s="35">
        <f ca="1">IFERROR(__xludf.DUMMYFUNCTION("""COMPUTED_VALUE"""),27)</f>
        <v>27</v>
      </c>
      <c r="J954" s="35">
        <f ca="1">IFERROR(__xludf.DUMMYFUNCTION("""COMPUTED_VALUE"""),90)</f>
        <v>90</v>
      </c>
      <c r="K954" s="35">
        <f ca="1">IFERROR(__xludf.DUMMYFUNCTION("""COMPUTED_VALUE"""),28)</f>
        <v>28</v>
      </c>
      <c r="M954" s="539">
        <f ca="1">IFERROR(__xludf.DUMMYFUNCTION("""COMPUTED_VALUE"""),1)</f>
        <v>1</v>
      </c>
      <c r="N954" s="539">
        <f ca="1">IFERROR(__xludf.DUMMYFUNCTION("""COMPUTED_VALUE"""),1)</f>
        <v>1</v>
      </c>
      <c r="O954" s="539">
        <f ca="1">IFERROR(__xludf.DUMMYFUNCTION("""COMPUTED_VALUE"""),0)</f>
        <v>0</v>
      </c>
    </row>
    <row r="955" spans="1:15" ht="12.75">
      <c r="A955" s="539">
        <f ca="1"/>
        <v>949</v>
      </c>
      <c r="B955" s="35" t="str">
        <f ca="1">IFERROR(__xludf.DUMMYFUNCTION("""COMPUTED_VALUE"""),"Tổ Hạ tầng Gò Dầu")</f>
        <v>Tổ Hạ tầng Gò Dầu</v>
      </c>
      <c r="C955" s="35" t="str">
        <f ca="1">IFERROR(__xludf.DUMMYFUNCTION("""COMPUTED_VALUE"""),"Nguyễn Hữu Thế")</f>
        <v>Nguyễn Hữu Thế</v>
      </c>
      <c r="D955" s="35">
        <f ca="1">IFERROR(__xludf.DUMMYFUNCTION("""COMPUTED_VALUE"""),912172101)</f>
        <v>912172101</v>
      </c>
      <c r="E955" s="35" t="str">
        <f ca="1">IFERROR(__xludf.DUMMYFUNCTION("""COMPUTED_VALUE"""),"thenh.tnh@vnpt.vn")</f>
        <v>thenh.tnh@vnpt.vn</v>
      </c>
      <c r="F955" s="540" t="str">
        <f ca="1">IFERROR(__xludf.DUMMYFUNCTION("""COMPUTED_VALUE"""),"Lần 5")</f>
        <v>Lần 5</v>
      </c>
      <c r="G955" s="278">
        <f ca="1">IFERROR(__xludf.DUMMYFUNCTION("""COMPUTED_VALUE"""),46211)</f>
        <v>46211</v>
      </c>
      <c r="H955" s="35">
        <f ca="1">IFERROR(__xludf.DUMMYFUNCTION("""COMPUTED_VALUE"""),106)</f>
        <v>106</v>
      </c>
      <c r="I955" s="35">
        <f ca="1">IFERROR(__xludf.DUMMYFUNCTION("""COMPUTED_VALUE"""),29)</f>
        <v>29</v>
      </c>
      <c r="J955" s="35">
        <f ca="1">IFERROR(__xludf.DUMMYFUNCTION("""COMPUTED_VALUE"""),93)</f>
        <v>93</v>
      </c>
      <c r="K955" s="35">
        <f ca="1">IFERROR(__xludf.DUMMYFUNCTION("""COMPUTED_VALUE"""),31)</f>
        <v>31</v>
      </c>
      <c r="M955" s="539">
        <f ca="1">IFERROR(__xludf.DUMMYFUNCTION("""COMPUTED_VALUE"""),1)</f>
        <v>1</v>
      </c>
      <c r="N955" s="539">
        <f ca="1">IFERROR(__xludf.DUMMYFUNCTION("""COMPUTED_VALUE"""),1)</f>
        <v>1</v>
      </c>
      <c r="O955" s="539">
        <f ca="1">IFERROR(__xludf.DUMMYFUNCTION("""COMPUTED_VALUE"""),0)</f>
        <v>0</v>
      </c>
    </row>
    <row r="956" spans="1:15" ht="12.75">
      <c r="A956" s="539">
        <f ca="1"/>
        <v>950</v>
      </c>
      <c r="B956" s="35" t="str">
        <f ca="1">IFERROR(__xludf.DUMMYFUNCTION("""COMPUTED_VALUE"""),"Tổ Hạ tầng Gò Dầu")</f>
        <v>Tổ Hạ tầng Gò Dầu</v>
      </c>
      <c r="C956" s="35" t="str">
        <f ca="1">IFERROR(__xludf.DUMMYFUNCTION("""COMPUTED_VALUE"""),"Nguyễn Hữu Thế")</f>
        <v>Nguyễn Hữu Thế</v>
      </c>
      <c r="D956" s="35">
        <f ca="1">IFERROR(__xludf.DUMMYFUNCTION("""COMPUTED_VALUE"""),912172101)</f>
        <v>912172101</v>
      </c>
      <c r="E956" s="35" t="str">
        <f ca="1">IFERROR(__xludf.DUMMYFUNCTION("""COMPUTED_VALUE"""),"thenh.tnh@vnpt.vn")</f>
        <v>thenh.tnh@vnpt.vn</v>
      </c>
      <c r="F956" s="540" t="str">
        <f ca="1">IFERROR(__xludf.DUMMYFUNCTION("""COMPUTED_VALUE"""),"Lần 6")</f>
        <v>Lần 6</v>
      </c>
      <c r="G956" s="278">
        <f ca="1">IFERROR(__xludf.DUMMYFUNCTION("""COMPUTED_VALUE"""),46211)</f>
        <v>46211</v>
      </c>
      <c r="H956" s="35">
        <f ca="1">IFERROR(__xludf.DUMMYFUNCTION("""COMPUTED_VALUE"""),96)</f>
        <v>96</v>
      </c>
      <c r="I956" s="35">
        <f ca="1">IFERROR(__xludf.DUMMYFUNCTION("""COMPUTED_VALUE"""),30)</f>
        <v>30</v>
      </c>
      <c r="J956" s="35">
        <f ca="1">IFERROR(__xludf.DUMMYFUNCTION("""COMPUTED_VALUE"""),87)</f>
        <v>87</v>
      </c>
      <c r="K956" s="35">
        <f ca="1">IFERROR(__xludf.DUMMYFUNCTION("""COMPUTED_VALUE"""),28)</f>
        <v>28</v>
      </c>
      <c r="M956" s="539">
        <f ca="1">IFERROR(__xludf.DUMMYFUNCTION("""COMPUTED_VALUE"""),1)</f>
        <v>1</v>
      </c>
      <c r="N956" s="539">
        <f ca="1">IFERROR(__xludf.DUMMYFUNCTION("""COMPUTED_VALUE"""),1)</f>
        <v>1</v>
      </c>
      <c r="O956" s="539">
        <f ca="1">IFERROR(__xludf.DUMMYFUNCTION("""COMPUTED_VALUE"""),0)</f>
        <v>0</v>
      </c>
    </row>
    <row r="957" spans="1:15" ht="12.75">
      <c r="A957" s="539">
        <f ca="1"/>
        <v>951</v>
      </c>
      <c r="B957" s="35" t="str">
        <f ca="1">IFERROR(__xludf.DUMMYFUNCTION("""COMPUTED_VALUE"""),"Tổ Hạ tầng Gò Dầu")</f>
        <v>Tổ Hạ tầng Gò Dầu</v>
      </c>
      <c r="C957" s="35" t="str">
        <f ca="1">IFERROR(__xludf.DUMMYFUNCTION("""COMPUTED_VALUE"""),"Nguyễn Hữu Thế")</f>
        <v>Nguyễn Hữu Thế</v>
      </c>
      <c r="D957" s="35">
        <f ca="1">IFERROR(__xludf.DUMMYFUNCTION("""COMPUTED_VALUE"""),912172101)</f>
        <v>912172101</v>
      </c>
      <c r="E957" s="35" t="str">
        <f ca="1">IFERROR(__xludf.DUMMYFUNCTION("""COMPUTED_VALUE"""),"thenh.tnh@vnpt.vn")</f>
        <v>thenh.tnh@vnpt.vn</v>
      </c>
      <c r="F957" s="540" t="str">
        <f ca="1">IFERROR(__xludf.DUMMYFUNCTION("""COMPUTED_VALUE"""),"Lần 7")</f>
        <v>Lần 7</v>
      </c>
      <c r="G957" s="278">
        <f ca="1">IFERROR(__xludf.DUMMYFUNCTION("""COMPUTED_VALUE"""),46211)</f>
        <v>46211</v>
      </c>
      <c r="H957" s="35">
        <f ca="1">IFERROR(__xludf.DUMMYFUNCTION("""COMPUTED_VALUE"""),109)</f>
        <v>109</v>
      </c>
      <c r="I957" s="35">
        <f ca="1">IFERROR(__xludf.DUMMYFUNCTION("""COMPUTED_VALUE"""),28)</f>
        <v>28</v>
      </c>
      <c r="J957" s="35">
        <f ca="1">IFERROR(__xludf.DUMMYFUNCTION("""COMPUTED_VALUE"""),111)</f>
        <v>111</v>
      </c>
      <c r="K957" s="35">
        <f ca="1">IFERROR(__xludf.DUMMYFUNCTION("""COMPUTED_VALUE"""),32)</f>
        <v>32</v>
      </c>
      <c r="M957" s="539">
        <f ca="1">IFERROR(__xludf.DUMMYFUNCTION("""COMPUTED_VALUE"""),1)</f>
        <v>1</v>
      </c>
      <c r="N957" s="539">
        <f ca="1">IFERROR(__xludf.DUMMYFUNCTION("""COMPUTED_VALUE"""),1)</f>
        <v>1</v>
      </c>
      <c r="O957" s="539">
        <f ca="1">IFERROR(__xludf.DUMMYFUNCTION("""COMPUTED_VALUE"""),0)</f>
        <v>0</v>
      </c>
    </row>
    <row r="958" spans="1:15" ht="12.75">
      <c r="A958" s="539">
        <f ca="1"/>
        <v>952</v>
      </c>
      <c r="B958" s="35" t="str">
        <f ca="1">IFERROR(__xludf.DUMMYFUNCTION("""COMPUTED_VALUE"""),"Tổ Hạ tầng Gò Dầu")</f>
        <v>Tổ Hạ tầng Gò Dầu</v>
      </c>
      <c r="C958" s="35" t="str">
        <f ca="1">IFERROR(__xludf.DUMMYFUNCTION("""COMPUTED_VALUE"""),"Nguyễn Hữu Thế")</f>
        <v>Nguyễn Hữu Thế</v>
      </c>
      <c r="D958" s="35">
        <f ca="1">IFERROR(__xludf.DUMMYFUNCTION("""COMPUTED_VALUE"""),912172101)</f>
        <v>912172101</v>
      </c>
      <c r="E958" s="35" t="str">
        <f ca="1">IFERROR(__xludf.DUMMYFUNCTION("""COMPUTED_VALUE"""),"thenh.tnh@vnpt.vn")</f>
        <v>thenh.tnh@vnpt.vn</v>
      </c>
      <c r="F958" s="540" t="str">
        <f ca="1">IFERROR(__xludf.DUMMYFUNCTION("""COMPUTED_VALUE"""),"Lần 8")</f>
        <v>Lần 8</v>
      </c>
      <c r="G958" s="278">
        <f ca="1">IFERROR(__xludf.DUMMYFUNCTION("""COMPUTED_VALUE"""),46211)</f>
        <v>46211</v>
      </c>
      <c r="H958" s="35">
        <f ca="1">IFERROR(__xludf.DUMMYFUNCTION("""COMPUTED_VALUE"""),112)</f>
        <v>112</v>
      </c>
      <c r="I958" s="35">
        <f ca="1">IFERROR(__xludf.DUMMYFUNCTION("""COMPUTED_VALUE"""),26)</f>
        <v>26</v>
      </c>
      <c r="J958" s="35">
        <f ca="1">IFERROR(__xludf.DUMMYFUNCTION("""COMPUTED_VALUE"""),101)</f>
        <v>101</v>
      </c>
      <c r="K958" s="35">
        <f ca="1">IFERROR(__xludf.DUMMYFUNCTION("""COMPUTED_VALUE"""),33)</f>
        <v>33</v>
      </c>
      <c r="M958" s="539">
        <f ca="1">IFERROR(__xludf.DUMMYFUNCTION("""COMPUTED_VALUE"""),1)</f>
        <v>1</v>
      </c>
      <c r="N958" s="539">
        <f ca="1">IFERROR(__xludf.DUMMYFUNCTION("""COMPUTED_VALUE"""),1)</f>
        <v>1</v>
      </c>
      <c r="O958" s="539">
        <f ca="1">IFERROR(__xludf.DUMMYFUNCTION("""COMPUTED_VALUE"""),0)</f>
        <v>0</v>
      </c>
    </row>
    <row r="959" spans="1:15" ht="12.75">
      <c r="A959" s="539">
        <f ca="1"/>
        <v>953</v>
      </c>
      <c r="B959" s="35" t="str">
        <f ca="1">IFERROR(__xludf.DUMMYFUNCTION("""COMPUTED_VALUE"""),"Tổ Hạ tầng Gò Dầu")</f>
        <v>Tổ Hạ tầng Gò Dầu</v>
      </c>
      <c r="C959" s="35" t="str">
        <f ca="1">IFERROR(__xludf.DUMMYFUNCTION("""COMPUTED_VALUE"""),"Nguyễn Hữu Thế")</f>
        <v>Nguyễn Hữu Thế</v>
      </c>
      <c r="D959" s="35">
        <f ca="1">IFERROR(__xludf.DUMMYFUNCTION("""COMPUTED_VALUE"""),912172101)</f>
        <v>912172101</v>
      </c>
      <c r="E959" s="35" t="str">
        <f ca="1">IFERROR(__xludf.DUMMYFUNCTION("""COMPUTED_VALUE"""),"thenh.tnh@vnpt.vn")</f>
        <v>thenh.tnh@vnpt.vn</v>
      </c>
      <c r="F959" s="540" t="str">
        <f ca="1">IFERROR(__xludf.DUMMYFUNCTION("""COMPUTED_VALUE"""),"Lần 9")</f>
        <v>Lần 9</v>
      </c>
      <c r="G959" s="278">
        <f ca="1">IFERROR(__xludf.DUMMYFUNCTION("""COMPUTED_VALUE"""),46217)</f>
        <v>46217</v>
      </c>
      <c r="H959" s="35">
        <f ca="1">IFERROR(__xludf.DUMMYFUNCTION("""COMPUTED_VALUE"""),117)</f>
        <v>117</v>
      </c>
      <c r="I959" s="35">
        <f ca="1">IFERROR(__xludf.DUMMYFUNCTION("""COMPUTED_VALUE"""),287)</f>
        <v>287</v>
      </c>
      <c r="J959" s="35">
        <f ca="1">IFERROR(__xludf.DUMMYFUNCTION("""COMPUTED_VALUE"""),118)</f>
        <v>118</v>
      </c>
      <c r="K959" s="35">
        <f ca="1">IFERROR(__xludf.DUMMYFUNCTION("""COMPUTED_VALUE"""),30)</f>
        <v>30</v>
      </c>
      <c r="M959" s="539">
        <f ca="1">IFERROR(__xludf.DUMMYFUNCTION("""COMPUTED_VALUE"""),1)</f>
        <v>1</v>
      </c>
      <c r="N959" s="539">
        <f ca="1">IFERROR(__xludf.DUMMYFUNCTION("""COMPUTED_VALUE"""),1)</f>
        <v>1</v>
      </c>
      <c r="O959" s="539">
        <f ca="1">IFERROR(__xludf.DUMMYFUNCTION("""COMPUTED_VALUE"""),0)</f>
        <v>0</v>
      </c>
    </row>
    <row r="960" spans="1:15" ht="12.75">
      <c r="A960" s="539">
        <f ca="1"/>
        <v>954</v>
      </c>
      <c r="B960" s="35" t="str">
        <f ca="1">IFERROR(__xludf.DUMMYFUNCTION("""COMPUTED_VALUE"""),"Tổ Hạ tầng Gò Dầu")</f>
        <v>Tổ Hạ tầng Gò Dầu</v>
      </c>
      <c r="C960" s="35" t="str">
        <f ca="1">IFERROR(__xludf.DUMMYFUNCTION("""COMPUTED_VALUE"""),"Nguyễn Hữu Thế")</f>
        <v>Nguyễn Hữu Thế</v>
      </c>
      <c r="D960" s="35">
        <f ca="1">IFERROR(__xludf.DUMMYFUNCTION("""COMPUTED_VALUE"""),912172101)</f>
        <v>912172101</v>
      </c>
      <c r="E960" s="35" t="str">
        <f ca="1">IFERROR(__xludf.DUMMYFUNCTION("""COMPUTED_VALUE"""),"thenh.tnh@vnpt.vn")</f>
        <v>thenh.tnh@vnpt.vn</v>
      </c>
      <c r="F960" s="540" t="str">
        <f ca="1">IFERROR(__xludf.DUMMYFUNCTION("""COMPUTED_VALUE"""),"Lần 10")</f>
        <v>Lần 10</v>
      </c>
      <c r="G960" s="278">
        <f ca="1">IFERROR(__xludf.DUMMYFUNCTION("""COMPUTED_VALUE"""),46217)</f>
        <v>46217</v>
      </c>
      <c r="H960" s="35">
        <f ca="1">IFERROR(__xludf.DUMMYFUNCTION("""COMPUTED_VALUE"""),117)</f>
        <v>117</v>
      </c>
      <c r="I960" s="35">
        <f ca="1">IFERROR(__xludf.DUMMYFUNCTION("""COMPUTED_VALUE"""),28)</f>
        <v>28</v>
      </c>
      <c r="J960" s="35">
        <f ca="1">IFERROR(__xludf.DUMMYFUNCTION("""COMPUTED_VALUE"""),119)</f>
        <v>119</v>
      </c>
      <c r="K960" s="35">
        <f ca="1">IFERROR(__xludf.DUMMYFUNCTION("""COMPUTED_VALUE"""),26)</f>
        <v>26</v>
      </c>
      <c r="M960" s="539">
        <f ca="1">IFERROR(__xludf.DUMMYFUNCTION("""COMPUTED_VALUE"""),1)</f>
        <v>1</v>
      </c>
      <c r="N960" s="539">
        <f ca="1">IFERROR(__xludf.DUMMYFUNCTION("""COMPUTED_VALUE"""),1)</f>
        <v>1</v>
      </c>
      <c r="O960" s="539">
        <f ca="1">IFERROR(__xludf.DUMMYFUNCTION("""COMPUTED_VALUE"""),0)</f>
        <v>0</v>
      </c>
    </row>
    <row r="961" spans="1:15" ht="12.75">
      <c r="A961" s="539">
        <f ca="1"/>
        <v>955</v>
      </c>
      <c r="B961" s="35" t="str">
        <f ca="1">IFERROR(__xludf.DUMMYFUNCTION("""COMPUTED_VALUE"""),"Tổ Hạ tầng Gò Dầu")</f>
        <v>Tổ Hạ tầng Gò Dầu</v>
      </c>
      <c r="C961" s="35" t="str">
        <f ca="1">IFERROR(__xludf.DUMMYFUNCTION("""COMPUTED_VALUE"""),"Nguyễn Hữu Thế")</f>
        <v>Nguyễn Hữu Thế</v>
      </c>
      <c r="D961" s="35">
        <f ca="1">IFERROR(__xludf.DUMMYFUNCTION("""COMPUTED_VALUE"""),912172101)</f>
        <v>912172101</v>
      </c>
      <c r="E961" s="35" t="str">
        <f ca="1">IFERROR(__xludf.DUMMYFUNCTION("""COMPUTED_VALUE"""),"thenh.tnh@vnpt.vn")</f>
        <v>thenh.tnh@vnpt.vn</v>
      </c>
      <c r="F961" s="540" t="str">
        <f ca="1">IFERROR(__xludf.DUMMYFUNCTION("""COMPUTED_VALUE"""),"Lần 11")</f>
        <v>Lần 11</v>
      </c>
      <c r="G961" s="278">
        <f ca="1">IFERROR(__xludf.DUMMYFUNCTION("""COMPUTED_VALUE"""),46217)</f>
        <v>46217</v>
      </c>
      <c r="H961" s="35">
        <f ca="1">IFERROR(__xludf.DUMMYFUNCTION("""COMPUTED_VALUE"""),108)</f>
        <v>108</v>
      </c>
      <c r="I961" s="35">
        <f ca="1">IFERROR(__xludf.DUMMYFUNCTION("""COMPUTED_VALUE"""),28)</f>
        <v>28</v>
      </c>
      <c r="J961" s="35">
        <f ca="1">IFERROR(__xludf.DUMMYFUNCTION("""COMPUTED_VALUE"""),95)</f>
        <v>95</v>
      </c>
      <c r="K961" s="35">
        <f ca="1">IFERROR(__xludf.DUMMYFUNCTION("""COMPUTED_VALUE"""),29)</f>
        <v>29</v>
      </c>
      <c r="M961" s="539">
        <f ca="1">IFERROR(__xludf.DUMMYFUNCTION("""COMPUTED_VALUE"""),1)</f>
        <v>1</v>
      </c>
      <c r="N961" s="539">
        <f ca="1">IFERROR(__xludf.DUMMYFUNCTION("""COMPUTED_VALUE"""),1)</f>
        <v>1</v>
      </c>
      <c r="O961" s="539">
        <f ca="1">IFERROR(__xludf.DUMMYFUNCTION("""COMPUTED_VALUE"""),0)</f>
        <v>0</v>
      </c>
    </row>
    <row r="962" spans="1:15" ht="12.75">
      <c r="A962" s="539">
        <f ca="1"/>
        <v>956</v>
      </c>
      <c r="B962" s="35" t="str">
        <f ca="1">IFERROR(__xludf.DUMMYFUNCTION("""COMPUTED_VALUE"""),"Tổ Hạ tầng Gò Dầu")</f>
        <v>Tổ Hạ tầng Gò Dầu</v>
      </c>
      <c r="C962" s="35" t="str">
        <f ca="1">IFERROR(__xludf.DUMMYFUNCTION("""COMPUTED_VALUE"""),"Nguyễn Hữu Thế")</f>
        <v>Nguyễn Hữu Thế</v>
      </c>
      <c r="D962" s="35">
        <f ca="1">IFERROR(__xludf.DUMMYFUNCTION("""COMPUTED_VALUE"""),912172101)</f>
        <v>912172101</v>
      </c>
      <c r="E962" s="35" t="str">
        <f ca="1">IFERROR(__xludf.DUMMYFUNCTION("""COMPUTED_VALUE"""),"thenh.tnh@vnpt.vn")</f>
        <v>thenh.tnh@vnpt.vn</v>
      </c>
      <c r="F962" s="540" t="str">
        <f ca="1">IFERROR(__xludf.DUMMYFUNCTION("""COMPUTED_VALUE"""),"Lần 12")</f>
        <v>Lần 12</v>
      </c>
      <c r="G962" s="278">
        <f ca="1">IFERROR(__xludf.DUMMYFUNCTION("""COMPUTED_VALUE"""),46217)</f>
        <v>46217</v>
      </c>
      <c r="H962" s="35">
        <f ca="1">IFERROR(__xludf.DUMMYFUNCTION("""COMPUTED_VALUE"""),123)</f>
        <v>123</v>
      </c>
      <c r="I962" s="35">
        <f ca="1">IFERROR(__xludf.DUMMYFUNCTION("""COMPUTED_VALUE"""),29)</f>
        <v>29</v>
      </c>
      <c r="J962" s="35">
        <f ca="1">IFERROR(__xludf.DUMMYFUNCTION("""COMPUTED_VALUE"""),104)</f>
        <v>104</v>
      </c>
      <c r="K962" s="35">
        <f ca="1">IFERROR(__xludf.DUMMYFUNCTION("""COMPUTED_VALUE"""),25)</f>
        <v>25</v>
      </c>
      <c r="M962" s="539">
        <f ca="1">IFERROR(__xludf.DUMMYFUNCTION("""COMPUTED_VALUE"""),1)</f>
        <v>1</v>
      </c>
      <c r="N962" s="539">
        <f ca="1">IFERROR(__xludf.DUMMYFUNCTION("""COMPUTED_VALUE"""),1)</f>
        <v>1</v>
      </c>
      <c r="O962" s="539">
        <f ca="1">IFERROR(__xludf.DUMMYFUNCTION("""COMPUTED_VALUE"""),0)</f>
        <v>0</v>
      </c>
    </row>
    <row r="963" spans="1:15" ht="12.75">
      <c r="A963" s="539">
        <f ca="1"/>
        <v>957</v>
      </c>
      <c r="B963" s="35" t="str">
        <f ca="1">IFERROR(__xludf.DUMMYFUNCTION("""COMPUTED_VALUE"""),"Tổ Hạ tầng Gò Dầu")</f>
        <v>Tổ Hạ tầng Gò Dầu</v>
      </c>
      <c r="C963" s="35" t="str">
        <f ca="1">IFERROR(__xludf.DUMMYFUNCTION("""COMPUTED_VALUE"""),"Nguyễn Hữu Thế")</f>
        <v>Nguyễn Hữu Thế</v>
      </c>
      <c r="D963" s="35">
        <f ca="1">IFERROR(__xludf.DUMMYFUNCTION("""COMPUTED_VALUE"""),912172101)</f>
        <v>912172101</v>
      </c>
      <c r="E963" s="35" t="str">
        <f ca="1">IFERROR(__xludf.DUMMYFUNCTION("""COMPUTED_VALUE"""),"thenh.tnh@vnpt.vn")</f>
        <v>thenh.tnh@vnpt.vn</v>
      </c>
      <c r="F963" s="540" t="str">
        <f ca="1">IFERROR(__xludf.DUMMYFUNCTION("""COMPUTED_VALUE"""),"Lần 13")</f>
        <v>Lần 13</v>
      </c>
      <c r="G963" s="278">
        <f ca="1">IFERROR(__xludf.DUMMYFUNCTION("""COMPUTED_VALUE"""),46223)</f>
        <v>46223</v>
      </c>
      <c r="H963" s="35"/>
      <c r="I963" s="35"/>
      <c r="J963" s="35"/>
      <c r="K963" s="35"/>
      <c r="M963" s="539">
        <f ca="1">IFERROR(__xludf.DUMMYFUNCTION("""COMPUTED_VALUE"""),0)</f>
        <v>0</v>
      </c>
      <c r="N963" s="539">
        <f ca="1">IFERROR(__xludf.DUMMYFUNCTION("""COMPUTED_VALUE"""),0)</f>
        <v>0</v>
      </c>
      <c r="O963" s="539">
        <f ca="1">IFERROR(__xludf.DUMMYFUNCTION("""COMPUTED_VALUE"""),0)</f>
        <v>0</v>
      </c>
    </row>
    <row r="964" spans="1:15" ht="12.75">
      <c r="A964" s="539">
        <f ca="1"/>
        <v>958</v>
      </c>
      <c r="B964" s="35" t="str">
        <f ca="1">IFERROR(__xludf.DUMMYFUNCTION("""COMPUTED_VALUE"""),"Tổ Hạ tầng Gò Dầu")</f>
        <v>Tổ Hạ tầng Gò Dầu</v>
      </c>
      <c r="C964" s="35" t="str">
        <f ca="1">IFERROR(__xludf.DUMMYFUNCTION("""COMPUTED_VALUE"""),"Nguyễn Hữu Thế")</f>
        <v>Nguyễn Hữu Thế</v>
      </c>
      <c r="D964" s="35">
        <f ca="1">IFERROR(__xludf.DUMMYFUNCTION("""COMPUTED_VALUE"""),912172101)</f>
        <v>912172101</v>
      </c>
      <c r="E964" s="35" t="str">
        <f ca="1">IFERROR(__xludf.DUMMYFUNCTION("""COMPUTED_VALUE"""),"thenh.tnh@vnpt.vn")</f>
        <v>thenh.tnh@vnpt.vn</v>
      </c>
      <c r="F964" s="540" t="str">
        <f ca="1">IFERROR(__xludf.DUMMYFUNCTION("""COMPUTED_VALUE"""),"Lần 14")</f>
        <v>Lần 14</v>
      </c>
      <c r="G964" s="278">
        <f ca="1">IFERROR(__xludf.DUMMYFUNCTION("""COMPUTED_VALUE"""),46223)</f>
        <v>46223</v>
      </c>
      <c r="H964" s="35"/>
      <c r="I964" s="35"/>
      <c r="J964" s="35"/>
      <c r="K964" s="35"/>
      <c r="M964" s="539">
        <f ca="1">IFERROR(__xludf.DUMMYFUNCTION("""COMPUTED_VALUE"""),0)</f>
        <v>0</v>
      </c>
      <c r="N964" s="539">
        <f ca="1">IFERROR(__xludf.DUMMYFUNCTION("""COMPUTED_VALUE"""),0)</f>
        <v>0</v>
      </c>
      <c r="O964" s="539">
        <f ca="1">IFERROR(__xludf.DUMMYFUNCTION("""COMPUTED_VALUE"""),0)</f>
        <v>0</v>
      </c>
    </row>
    <row r="965" spans="1:15" ht="12.75">
      <c r="A965" s="539">
        <f ca="1"/>
        <v>959</v>
      </c>
      <c r="B965" s="35" t="str">
        <f ca="1">IFERROR(__xludf.DUMMYFUNCTION("""COMPUTED_VALUE"""),"Tổ Hạ tầng Gò Dầu")</f>
        <v>Tổ Hạ tầng Gò Dầu</v>
      </c>
      <c r="C965" s="35" t="str">
        <f ca="1">IFERROR(__xludf.DUMMYFUNCTION("""COMPUTED_VALUE"""),"Nguyễn Hữu Thế")</f>
        <v>Nguyễn Hữu Thế</v>
      </c>
      <c r="D965" s="35">
        <f ca="1">IFERROR(__xludf.DUMMYFUNCTION("""COMPUTED_VALUE"""),912172101)</f>
        <v>912172101</v>
      </c>
      <c r="E965" s="35" t="str">
        <f ca="1">IFERROR(__xludf.DUMMYFUNCTION("""COMPUTED_VALUE"""),"thenh.tnh@vnpt.vn")</f>
        <v>thenh.tnh@vnpt.vn</v>
      </c>
      <c r="F965" s="540" t="str">
        <f ca="1">IFERROR(__xludf.DUMMYFUNCTION("""COMPUTED_VALUE"""),"Lần 15")</f>
        <v>Lần 15</v>
      </c>
      <c r="G965" s="278">
        <f ca="1">IFERROR(__xludf.DUMMYFUNCTION("""COMPUTED_VALUE"""),46223)</f>
        <v>46223</v>
      </c>
      <c r="H965" s="35"/>
      <c r="I965" s="35"/>
      <c r="J965" s="35"/>
      <c r="K965" s="35"/>
      <c r="M965" s="539">
        <f ca="1">IFERROR(__xludf.DUMMYFUNCTION("""COMPUTED_VALUE"""),0)</f>
        <v>0</v>
      </c>
      <c r="N965" s="539">
        <f ca="1">IFERROR(__xludf.DUMMYFUNCTION("""COMPUTED_VALUE"""),0)</f>
        <v>0</v>
      </c>
      <c r="O965" s="539">
        <f ca="1">IFERROR(__xludf.DUMMYFUNCTION("""COMPUTED_VALUE"""),0)</f>
        <v>0</v>
      </c>
    </row>
    <row r="966" spans="1:15" ht="12.75">
      <c r="A966" s="539">
        <f ca="1"/>
        <v>960</v>
      </c>
      <c r="B966" s="35" t="str">
        <f ca="1">IFERROR(__xludf.DUMMYFUNCTION("""COMPUTED_VALUE"""),"Tổ Hạ tầng Gò Dầu")</f>
        <v>Tổ Hạ tầng Gò Dầu</v>
      </c>
      <c r="C966" s="35" t="str">
        <f ca="1">IFERROR(__xludf.DUMMYFUNCTION("""COMPUTED_VALUE"""),"Nguyễn Hữu Thế")</f>
        <v>Nguyễn Hữu Thế</v>
      </c>
      <c r="D966" s="35">
        <f ca="1">IFERROR(__xludf.DUMMYFUNCTION("""COMPUTED_VALUE"""),912172101)</f>
        <v>912172101</v>
      </c>
      <c r="E966" s="35" t="str">
        <f ca="1">IFERROR(__xludf.DUMMYFUNCTION("""COMPUTED_VALUE"""),"thenh.tnh@vnpt.vn")</f>
        <v>thenh.tnh@vnpt.vn</v>
      </c>
      <c r="F966" s="540" t="str">
        <f ca="1">IFERROR(__xludf.DUMMYFUNCTION("""COMPUTED_VALUE"""),"Lần 16")</f>
        <v>Lần 16</v>
      </c>
      <c r="G966" s="278">
        <f ca="1">IFERROR(__xludf.DUMMYFUNCTION("""COMPUTED_VALUE"""),46223)</f>
        <v>46223</v>
      </c>
      <c r="H966" s="35"/>
      <c r="I966" s="35"/>
      <c r="J966" s="35"/>
      <c r="K966" s="35"/>
      <c r="M966" s="539">
        <f ca="1">IFERROR(__xludf.DUMMYFUNCTION("""COMPUTED_VALUE"""),0)</f>
        <v>0</v>
      </c>
      <c r="N966" s="539">
        <f ca="1">IFERROR(__xludf.DUMMYFUNCTION("""COMPUTED_VALUE"""),0)</f>
        <v>0</v>
      </c>
      <c r="O966" s="539">
        <f ca="1">IFERROR(__xludf.DUMMYFUNCTION("""COMPUTED_VALUE"""),0)</f>
        <v>0</v>
      </c>
    </row>
    <row r="967" spans="1:15" ht="12.75">
      <c r="A967" s="539">
        <f ca="1"/>
        <v>961</v>
      </c>
      <c r="B967" s="35" t="str">
        <f ca="1">IFERROR(__xludf.DUMMYFUNCTION("""COMPUTED_VALUE"""),"Tổ Hạ tầng Tân An")</f>
        <v>Tổ Hạ tầng Tân An</v>
      </c>
      <c r="C967" s="35" t="str">
        <f ca="1">IFERROR(__xludf.DUMMYFUNCTION("""COMPUTED_VALUE"""),"Trần Thái Bình")</f>
        <v>Trần Thái Bình</v>
      </c>
      <c r="D967" s="35">
        <f ca="1">IFERROR(__xludf.DUMMYFUNCTION("""COMPUTED_VALUE"""),918430555)</f>
        <v>918430555</v>
      </c>
      <c r="E967" s="35" t="str">
        <f ca="1">IFERROR(__xludf.DUMMYFUNCTION("""COMPUTED_VALUE"""),"binhtt.lan@vnpt.vn")</f>
        <v>binhtt.lan@vnpt.vn</v>
      </c>
      <c r="F967" s="540" t="str">
        <f ca="1">IFERROR(__xludf.DUMMYFUNCTION("""COMPUTED_VALUE"""),"Lần 1")</f>
        <v>Lần 1</v>
      </c>
      <c r="G967" s="278">
        <f ca="1">IFERROR(__xludf.DUMMYFUNCTION("""COMPUTED_VALUE"""),46204)</f>
        <v>46204</v>
      </c>
      <c r="H967" s="35">
        <f ca="1">IFERROR(__xludf.DUMMYFUNCTION("""COMPUTED_VALUE"""),359)</f>
        <v>359</v>
      </c>
      <c r="I967" s="35" t="str">
        <f ca="1">IFERROR(__xludf.DUMMYFUNCTION("""COMPUTED_VALUE"""),"50.6")</f>
        <v>50.6</v>
      </c>
      <c r="J967" s="541">
        <f ca="1">IFERROR(__xludf.DUMMYFUNCTION("""COMPUTED_VALUE"""),650)</f>
        <v>650</v>
      </c>
      <c r="K967" s="35" t="str">
        <f ca="1">IFERROR(__xludf.DUMMYFUNCTION("""COMPUTED_VALUE"""),"45.5")</f>
        <v>45.5</v>
      </c>
      <c r="M967" s="539">
        <f ca="1">IFERROR(__xludf.DUMMYFUNCTION("""COMPUTED_VALUE"""),1)</f>
        <v>1</v>
      </c>
      <c r="N967" s="539">
        <f ca="1">IFERROR(__xludf.DUMMYFUNCTION("""COMPUTED_VALUE"""),1)</f>
        <v>1</v>
      </c>
      <c r="O967" s="539">
        <f ca="1">IFERROR(__xludf.DUMMYFUNCTION("""COMPUTED_VALUE"""),1)</f>
        <v>1</v>
      </c>
    </row>
    <row r="968" spans="1:15" ht="12.75">
      <c r="A968" s="539">
        <f ca="1"/>
        <v>962</v>
      </c>
      <c r="B968" s="35" t="str">
        <f ca="1">IFERROR(__xludf.DUMMYFUNCTION("""COMPUTED_VALUE"""),"Tổ Hạ tầng Tân An")</f>
        <v>Tổ Hạ tầng Tân An</v>
      </c>
      <c r="C968" s="35" t="str">
        <f ca="1">IFERROR(__xludf.DUMMYFUNCTION("""COMPUTED_VALUE"""),"Trần Thái Bình")</f>
        <v>Trần Thái Bình</v>
      </c>
      <c r="D968" s="35">
        <f ca="1">IFERROR(__xludf.DUMMYFUNCTION("""COMPUTED_VALUE"""),918430555)</f>
        <v>918430555</v>
      </c>
      <c r="E968" s="35" t="str">
        <f ca="1">IFERROR(__xludf.DUMMYFUNCTION("""COMPUTED_VALUE"""),"binhtt.lan@vnpt.vn")</f>
        <v>binhtt.lan@vnpt.vn</v>
      </c>
      <c r="F968" s="540" t="str">
        <f ca="1">IFERROR(__xludf.DUMMYFUNCTION("""COMPUTED_VALUE"""),"Lần 2")</f>
        <v>Lần 2</v>
      </c>
      <c r="G968" s="278">
        <f ca="1">IFERROR(__xludf.DUMMYFUNCTION("""COMPUTED_VALUE"""),46204)</f>
        <v>46204</v>
      </c>
      <c r="H968" s="35">
        <f ca="1">IFERROR(__xludf.DUMMYFUNCTION("""COMPUTED_VALUE"""),181)</f>
        <v>181</v>
      </c>
      <c r="I968" s="35" t="str">
        <f ca="1">IFERROR(__xludf.DUMMYFUNCTION("""COMPUTED_VALUE"""),"44.2")</f>
        <v>44.2</v>
      </c>
      <c r="J968" s="541">
        <f ca="1">IFERROR(__xludf.DUMMYFUNCTION("""COMPUTED_VALUE"""),611)</f>
        <v>611</v>
      </c>
      <c r="K968" s="35" t="str">
        <f ca="1">IFERROR(__xludf.DUMMYFUNCTION("""COMPUTED_VALUE"""),"47.5")</f>
        <v>47.5</v>
      </c>
      <c r="M968" s="539">
        <f ca="1">IFERROR(__xludf.DUMMYFUNCTION("""COMPUTED_VALUE"""),1)</f>
        <v>1</v>
      </c>
      <c r="N968" s="539">
        <f ca="1">IFERROR(__xludf.DUMMYFUNCTION("""COMPUTED_VALUE"""),1)</f>
        <v>1</v>
      </c>
      <c r="O968" s="539">
        <f ca="1">IFERROR(__xludf.DUMMYFUNCTION("""COMPUTED_VALUE"""),1)</f>
        <v>1</v>
      </c>
    </row>
    <row r="969" spans="1:15" ht="12.75">
      <c r="A969" s="539">
        <f ca="1"/>
        <v>963</v>
      </c>
      <c r="B969" s="35" t="str">
        <f ca="1">IFERROR(__xludf.DUMMYFUNCTION("""COMPUTED_VALUE"""),"Tổ Hạ tầng Tân An")</f>
        <v>Tổ Hạ tầng Tân An</v>
      </c>
      <c r="C969" s="35" t="str">
        <f ca="1">IFERROR(__xludf.DUMMYFUNCTION("""COMPUTED_VALUE"""),"Trần Thái Bình")</f>
        <v>Trần Thái Bình</v>
      </c>
      <c r="D969" s="35">
        <f ca="1">IFERROR(__xludf.DUMMYFUNCTION("""COMPUTED_VALUE"""),918430555)</f>
        <v>918430555</v>
      </c>
      <c r="E969" s="35" t="str">
        <f ca="1">IFERROR(__xludf.DUMMYFUNCTION("""COMPUTED_VALUE"""),"binhtt.lan@vnpt.vn")</f>
        <v>binhtt.lan@vnpt.vn</v>
      </c>
      <c r="F969" s="540" t="str">
        <f ca="1">IFERROR(__xludf.DUMMYFUNCTION("""COMPUTED_VALUE"""),"Lần 3")</f>
        <v>Lần 3</v>
      </c>
      <c r="G969" s="278">
        <f ca="1">IFERROR(__xludf.DUMMYFUNCTION("""COMPUTED_VALUE"""),46204)</f>
        <v>46204</v>
      </c>
      <c r="H969" s="35">
        <f ca="1">IFERROR(__xludf.DUMMYFUNCTION("""COMPUTED_VALUE"""),299)</f>
        <v>299</v>
      </c>
      <c r="I969" s="35" t="str">
        <f ca="1">IFERROR(__xludf.DUMMYFUNCTION("""COMPUTED_VALUE"""),"46.5")</f>
        <v>46.5</v>
      </c>
      <c r="J969" s="541">
        <f ca="1">IFERROR(__xludf.DUMMYFUNCTION("""COMPUTED_VALUE"""),589)</f>
        <v>589</v>
      </c>
      <c r="K969" s="35" t="str">
        <f ca="1">IFERROR(__xludf.DUMMYFUNCTION("""COMPUTED_VALUE"""),"61.3")</f>
        <v>61.3</v>
      </c>
      <c r="M969" s="539">
        <f ca="1">IFERROR(__xludf.DUMMYFUNCTION("""COMPUTED_VALUE"""),1)</f>
        <v>1</v>
      </c>
      <c r="N969" s="539">
        <f ca="1">IFERROR(__xludf.DUMMYFUNCTION("""COMPUTED_VALUE"""),1)</f>
        <v>1</v>
      </c>
      <c r="O969" s="539">
        <f ca="1">IFERROR(__xludf.DUMMYFUNCTION("""COMPUTED_VALUE"""),1)</f>
        <v>1</v>
      </c>
    </row>
    <row r="970" spans="1:15" ht="12.75">
      <c r="A970" s="539">
        <f ca="1"/>
        <v>964</v>
      </c>
      <c r="B970" s="35" t="str">
        <f ca="1">IFERROR(__xludf.DUMMYFUNCTION("""COMPUTED_VALUE"""),"Tổ Hạ tầng Tân An")</f>
        <v>Tổ Hạ tầng Tân An</v>
      </c>
      <c r="C970" s="35" t="str">
        <f ca="1">IFERROR(__xludf.DUMMYFUNCTION("""COMPUTED_VALUE"""),"Trần Thái Bình")</f>
        <v>Trần Thái Bình</v>
      </c>
      <c r="D970" s="35">
        <f ca="1">IFERROR(__xludf.DUMMYFUNCTION("""COMPUTED_VALUE"""),918430555)</f>
        <v>918430555</v>
      </c>
      <c r="E970" s="35" t="str">
        <f ca="1">IFERROR(__xludf.DUMMYFUNCTION("""COMPUTED_VALUE"""),"binhtt.lan@vnpt.vn")</f>
        <v>binhtt.lan@vnpt.vn</v>
      </c>
      <c r="F970" s="540" t="str">
        <f ca="1">IFERROR(__xludf.DUMMYFUNCTION("""COMPUTED_VALUE"""),"Lần 4")</f>
        <v>Lần 4</v>
      </c>
      <c r="G970" s="278">
        <f ca="1">IFERROR(__xludf.DUMMYFUNCTION("""COMPUTED_VALUE"""),46204)</f>
        <v>46204</v>
      </c>
      <c r="H970" s="35">
        <f ca="1">IFERROR(__xludf.DUMMYFUNCTION("""COMPUTED_VALUE"""),275)</f>
        <v>275</v>
      </c>
      <c r="I970" s="35" t="str">
        <f ca="1">IFERROR(__xludf.DUMMYFUNCTION("""COMPUTED_VALUE"""),"57.5")</f>
        <v>57.5</v>
      </c>
      <c r="J970" s="541">
        <f ca="1">IFERROR(__xludf.DUMMYFUNCTION("""COMPUTED_VALUE"""),617)</f>
        <v>617</v>
      </c>
      <c r="K970" s="541" t="str">
        <f ca="1">IFERROR(__xludf.DUMMYFUNCTION("""COMPUTED_VALUE"""),"58.1")</f>
        <v>58.1</v>
      </c>
      <c r="M970" s="539">
        <f ca="1">IFERROR(__xludf.DUMMYFUNCTION("""COMPUTED_VALUE"""),1)</f>
        <v>1</v>
      </c>
      <c r="N970" s="539">
        <f ca="1">IFERROR(__xludf.DUMMYFUNCTION("""COMPUTED_VALUE"""),1)</f>
        <v>1</v>
      </c>
      <c r="O970" s="539">
        <f ca="1">IFERROR(__xludf.DUMMYFUNCTION("""COMPUTED_VALUE"""),1)</f>
        <v>1</v>
      </c>
    </row>
    <row r="971" spans="1:15" ht="12.75">
      <c r="A971" s="539">
        <f ca="1"/>
        <v>965</v>
      </c>
      <c r="B971" s="35" t="str">
        <f ca="1">IFERROR(__xludf.DUMMYFUNCTION("""COMPUTED_VALUE"""),"Tổ Hạ tầng Tân An")</f>
        <v>Tổ Hạ tầng Tân An</v>
      </c>
      <c r="C971" s="35" t="str">
        <f ca="1">IFERROR(__xludf.DUMMYFUNCTION("""COMPUTED_VALUE"""),"Trần Thái Bình")</f>
        <v>Trần Thái Bình</v>
      </c>
      <c r="D971" s="35">
        <f ca="1">IFERROR(__xludf.DUMMYFUNCTION("""COMPUTED_VALUE"""),918430555)</f>
        <v>918430555</v>
      </c>
      <c r="E971" s="35" t="str">
        <f ca="1">IFERROR(__xludf.DUMMYFUNCTION("""COMPUTED_VALUE"""),"binhtt.lan@vnpt.vn")</f>
        <v>binhtt.lan@vnpt.vn</v>
      </c>
      <c r="F971" s="540" t="str">
        <f ca="1">IFERROR(__xludf.DUMMYFUNCTION("""COMPUTED_VALUE"""),"Lần 5")</f>
        <v>Lần 5</v>
      </c>
      <c r="G971" s="278">
        <f ca="1">IFERROR(__xludf.DUMMYFUNCTION("""COMPUTED_VALUE"""),46204)</f>
        <v>46204</v>
      </c>
      <c r="H971" s="35">
        <f ca="1">IFERROR(__xludf.DUMMYFUNCTION("""COMPUTED_VALUE"""),284)</f>
        <v>284</v>
      </c>
      <c r="I971" s="35" t="str">
        <f ca="1">IFERROR(__xludf.DUMMYFUNCTION("""COMPUTED_VALUE"""),"48.6")</f>
        <v>48.6</v>
      </c>
      <c r="J971" s="541">
        <f ca="1">IFERROR(__xludf.DUMMYFUNCTION("""COMPUTED_VALUE"""),756)</f>
        <v>756</v>
      </c>
      <c r="K971" s="541" t="str">
        <f ca="1">IFERROR(__xludf.DUMMYFUNCTION("""COMPUTED_VALUE"""),"44.7")</f>
        <v>44.7</v>
      </c>
      <c r="M971" s="539">
        <f ca="1">IFERROR(__xludf.DUMMYFUNCTION("""COMPUTED_VALUE"""),1)</f>
        <v>1</v>
      </c>
      <c r="N971" s="539">
        <f ca="1">IFERROR(__xludf.DUMMYFUNCTION("""COMPUTED_VALUE"""),1)</f>
        <v>1</v>
      </c>
      <c r="O971" s="539">
        <f ca="1">IFERROR(__xludf.DUMMYFUNCTION("""COMPUTED_VALUE"""),1)</f>
        <v>1</v>
      </c>
    </row>
    <row r="972" spans="1:15" ht="12.75">
      <c r="A972" s="539">
        <f ca="1"/>
        <v>966</v>
      </c>
      <c r="B972" s="35" t="str">
        <f ca="1">IFERROR(__xludf.DUMMYFUNCTION("""COMPUTED_VALUE"""),"Tổ Hạ tầng Tân An")</f>
        <v>Tổ Hạ tầng Tân An</v>
      </c>
      <c r="C972" s="35" t="str">
        <f ca="1">IFERROR(__xludf.DUMMYFUNCTION("""COMPUTED_VALUE"""),"Trần Thái Bình")</f>
        <v>Trần Thái Bình</v>
      </c>
      <c r="D972" s="35">
        <f ca="1">IFERROR(__xludf.DUMMYFUNCTION("""COMPUTED_VALUE"""),918430555)</f>
        <v>918430555</v>
      </c>
      <c r="E972" s="35" t="str">
        <f ca="1">IFERROR(__xludf.DUMMYFUNCTION("""COMPUTED_VALUE"""),"binhtt.lan@vnpt.vn")</f>
        <v>binhtt.lan@vnpt.vn</v>
      </c>
      <c r="F972" s="540" t="str">
        <f ca="1">IFERROR(__xludf.DUMMYFUNCTION("""COMPUTED_VALUE"""),"Lần 6")</f>
        <v>Lần 6</v>
      </c>
      <c r="G972" s="278">
        <f ca="1">IFERROR(__xludf.DUMMYFUNCTION("""COMPUTED_VALUE"""),46205)</f>
        <v>46205</v>
      </c>
      <c r="H972" s="35">
        <f ca="1">IFERROR(__xludf.DUMMYFUNCTION("""COMPUTED_VALUE"""),107)</f>
        <v>107</v>
      </c>
      <c r="I972" s="35" t="str">
        <f ca="1">IFERROR(__xludf.DUMMYFUNCTION("""COMPUTED_VALUE"""),"31.4")</f>
        <v>31.4</v>
      </c>
      <c r="J972" s="541">
        <f ca="1">IFERROR(__xludf.DUMMYFUNCTION("""COMPUTED_VALUE"""),653)</f>
        <v>653</v>
      </c>
      <c r="K972" s="541" t="str">
        <f ca="1">IFERROR(__xludf.DUMMYFUNCTION("""COMPUTED_VALUE"""),"31.4")</f>
        <v>31.4</v>
      </c>
      <c r="M972" s="539">
        <f ca="1">IFERROR(__xludf.DUMMYFUNCTION("""COMPUTED_VALUE"""),1)</f>
        <v>1</v>
      </c>
      <c r="N972" s="539">
        <f ca="1">IFERROR(__xludf.DUMMYFUNCTION("""COMPUTED_VALUE"""),1)</f>
        <v>1</v>
      </c>
      <c r="O972" s="539">
        <f ca="1">IFERROR(__xludf.DUMMYFUNCTION("""COMPUTED_VALUE"""),1)</f>
        <v>1</v>
      </c>
    </row>
    <row r="973" spans="1:15" ht="12.75">
      <c r="A973" s="539">
        <f ca="1"/>
        <v>967</v>
      </c>
      <c r="B973" s="35" t="str">
        <f ca="1">IFERROR(__xludf.DUMMYFUNCTION("""COMPUTED_VALUE"""),"Tổ Hạ tầng Tân An")</f>
        <v>Tổ Hạ tầng Tân An</v>
      </c>
      <c r="C973" s="35" t="str">
        <f ca="1">IFERROR(__xludf.DUMMYFUNCTION("""COMPUTED_VALUE"""),"Trần Thái Bình")</f>
        <v>Trần Thái Bình</v>
      </c>
      <c r="D973" s="35">
        <f ca="1">IFERROR(__xludf.DUMMYFUNCTION("""COMPUTED_VALUE"""),918430555)</f>
        <v>918430555</v>
      </c>
      <c r="E973" s="35" t="str">
        <f ca="1">IFERROR(__xludf.DUMMYFUNCTION("""COMPUTED_VALUE"""),"binhtt.lan@vnpt.vn")</f>
        <v>binhtt.lan@vnpt.vn</v>
      </c>
      <c r="F973" s="540" t="str">
        <f ca="1">IFERROR(__xludf.DUMMYFUNCTION("""COMPUTED_VALUE"""),"Lần 7")</f>
        <v>Lần 7</v>
      </c>
      <c r="G973" s="278">
        <f ca="1">IFERROR(__xludf.DUMMYFUNCTION("""COMPUTED_VALUE"""),46205)</f>
        <v>46205</v>
      </c>
      <c r="H973" s="35">
        <f ca="1">IFERROR(__xludf.DUMMYFUNCTION("""COMPUTED_VALUE"""),112)</f>
        <v>112</v>
      </c>
      <c r="I973" s="35" t="str">
        <f ca="1">IFERROR(__xludf.DUMMYFUNCTION("""COMPUTED_VALUE"""),"31.2")</f>
        <v>31.2</v>
      </c>
      <c r="J973" s="541">
        <f ca="1">IFERROR(__xludf.DUMMYFUNCTION("""COMPUTED_VALUE"""),692)</f>
        <v>692</v>
      </c>
      <c r="K973" s="541" t="str">
        <f ca="1">IFERROR(__xludf.DUMMYFUNCTION("""COMPUTED_VALUE"""),"45.1")</f>
        <v>45.1</v>
      </c>
      <c r="M973" s="539">
        <f ca="1">IFERROR(__xludf.DUMMYFUNCTION("""COMPUTED_VALUE"""),1)</f>
        <v>1</v>
      </c>
      <c r="N973" s="539">
        <f ca="1">IFERROR(__xludf.DUMMYFUNCTION("""COMPUTED_VALUE"""),1)</f>
        <v>1</v>
      </c>
      <c r="O973" s="539">
        <f ca="1">IFERROR(__xludf.DUMMYFUNCTION("""COMPUTED_VALUE"""),1)</f>
        <v>1</v>
      </c>
    </row>
    <row r="974" spans="1:15" ht="12.75">
      <c r="A974" s="539">
        <f ca="1"/>
        <v>968</v>
      </c>
      <c r="B974" s="35" t="str">
        <f ca="1">IFERROR(__xludf.DUMMYFUNCTION("""COMPUTED_VALUE"""),"Tổ Hạ tầng Tân An")</f>
        <v>Tổ Hạ tầng Tân An</v>
      </c>
      <c r="C974" s="35" t="str">
        <f ca="1">IFERROR(__xludf.DUMMYFUNCTION("""COMPUTED_VALUE"""),"Trần Thái Bình")</f>
        <v>Trần Thái Bình</v>
      </c>
      <c r="D974" s="35">
        <f ca="1">IFERROR(__xludf.DUMMYFUNCTION("""COMPUTED_VALUE"""),918430555)</f>
        <v>918430555</v>
      </c>
      <c r="E974" s="35" t="str">
        <f ca="1">IFERROR(__xludf.DUMMYFUNCTION("""COMPUTED_VALUE"""),"binhtt.lan@vnpt.vn")</f>
        <v>binhtt.lan@vnpt.vn</v>
      </c>
      <c r="F974" s="540" t="str">
        <f ca="1">IFERROR(__xludf.DUMMYFUNCTION("""COMPUTED_VALUE"""),"Lần 8")</f>
        <v>Lần 8</v>
      </c>
      <c r="G974" s="278">
        <f ca="1">IFERROR(__xludf.DUMMYFUNCTION("""COMPUTED_VALUE"""),46205)</f>
        <v>46205</v>
      </c>
      <c r="H974" s="35">
        <f ca="1">IFERROR(__xludf.DUMMYFUNCTION("""COMPUTED_VALUE"""),109)</f>
        <v>109</v>
      </c>
      <c r="I974" s="35">
        <f ca="1">IFERROR(__xludf.DUMMYFUNCTION("""COMPUTED_VALUE"""),34)</f>
        <v>34</v>
      </c>
      <c r="J974" s="541">
        <f ca="1">IFERROR(__xludf.DUMMYFUNCTION("""COMPUTED_VALUE"""),748)</f>
        <v>748</v>
      </c>
      <c r="K974" s="35" t="str">
        <f ca="1">IFERROR(__xludf.DUMMYFUNCTION("""COMPUTED_VALUE"""),"42.7")</f>
        <v>42.7</v>
      </c>
      <c r="M974" s="539">
        <f ca="1">IFERROR(__xludf.DUMMYFUNCTION("""COMPUTED_VALUE"""),1)</f>
        <v>1</v>
      </c>
      <c r="N974" s="539">
        <f ca="1">IFERROR(__xludf.DUMMYFUNCTION("""COMPUTED_VALUE"""),1)</f>
        <v>1</v>
      </c>
      <c r="O974" s="539">
        <f ca="1">IFERROR(__xludf.DUMMYFUNCTION("""COMPUTED_VALUE"""),1)</f>
        <v>1</v>
      </c>
    </row>
    <row r="975" spans="1:15" ht="12.75">
      <c r="A975" s="539">
        <f ca="1"/>
        <v>969</v>
      </c>
      <c r="B975" s="35" t="str">
        <f ca="1">IFERROR(__xludf.DUMMYFUNCTION("""COMPUTED_VALUE"""),"Tổ Hạ tầng Tân An")</f>
        <v>Tổ Hạ tầng Tân An</v>
      </c>
      <c r="C975" s="35" t="str">
        <f ca="1">IFERROR(__xludf.DUMMYFUNCTION("""COMPUTED_VALUE"""),"Trần Thái Bình")</f>
        <v>Trần Thái Bình</v>
      </c>
      <c r="D975" s="35">
        <f ca="1">IFERROR(__xludf.DUMMYFUNCTION("""COMPUTED_VALUE"""),918430555)</f>
        <v>918430555</v>
      </c>
      <c r="E975" s="35" t="str">
        <f ca="1">IFERROR(__xludf.DUMMYFUNCTION("""COMPUTED_VALUE"""),"binhtt.lan@vnpt.vn")</f>
        <v>binhtt.lan@vnpt.vn</v>
      </c>
      <c r="F975" s="540" t="str">
        <f ca="1">IFERROR(__xludf.DUMMYFUNCTION("""COMPUTED_VALUE"""),"Lần 9")</f>
        <v>Lần 9</v>
      </c>
      <c r="G975" s="278">
        <f ca="1">IFERROR(__xludf.DUMMYFUNCTION("""COMPUTED_VALUE"""),46205)</f>
        <v>46205</v>
      </c>
      <c r="H975" s="35" t="str">
        <f ca="1">IFERROR(__xludf.DUMMYFUNCTION("""COMPUTED_VALUE"""),"76.4")</f>
        <v>76.4</v>
      </c>
      <c r="I975" s="35">
        <f ca="1">IFERROR(__xludf.DUMMYFUNCTION("""COMPUTED_VALUE"""),34)</f>
        <v>34</v>
      </c>
      <c r="J975" s="541">
        <f ca="1">IFERROR(__xludf.DUMMYFUNCTION("""COMPUTED_VALUE"""),748)</f>
        <v>748</v>
      </c>
      <c r="K975" s="35" t="str">
        <f ca="1">IFERROR(__xludf.DUMMYFUNCTION("""COMPUTED_VALUE"""),"45.4")</f>
        <v>45.4</v>
      </c>
      <c r="M975" s="539">
        <f ca="1">IFERROR(__xludf.DUMMYFUNCTION("""COMPUTED_VALUE"""),1)</f>
        <v>1</v>
      </c>
      <c r="N975" s="539">
        <f ca="1">IFERROR(__xludf.DUMMYFUNCTION("""COMPUTED_VALUE"""),1)</f>
        <v>1</v>
      </c>
      <c r="O975" s="539">
        <f ca="1">IFERROR(__xludf.DUMMYFUNCTION("""COMPUTED_VALUE"""),1)</f>
        <v>1</v>
      </c>
    </row>
    <row r="976" spans="1:15" ht="12.75">
      <c r="A976" s="539">
        <f ca="1"/>
        <v>970</v>
      </c>
      <c r="B976" s="35" t="str">
        <f ca="1">IFERROR(__xludf.DUMMYFUNCTION("""COMPUTED_VALUE"""),"Tổ Hạ tầng Tân An")</f>
        <v>Tổ Hạ tầng Tân An</v>
      </c>
      <c r="C976" s="35" t="str">
        <f ca="1">IFERROR(__xludf.DUMMYFUNCTION("""COMPUTED_VALUE"""),"Trần Thái Bình")</f>
        <v>Trần Thái Bình</v>
      </c>
      <c r="D976" s="35">
        <f ca="1">IFERROR(__xludf.DUMMYFUNCTION("""COMPUTED_VALUE"""),918430555)</f>
        <v>918430555</v>
      </c>
      <c r="E976" s="35" t="str">
        <f ca="1">IFERROR(__xludf.DUMMYFUNCTION("""COMPUTED_VALUE"""),"binhtt.lan@vnpt.vn")</f>
        <v>binhtt.lan@vnpt.vn</v>
      </c>
      <c r="F976" s="540" t="str">
        <f ca="1">IFERROR(__xludf.DUMMYFUNCTION("""COMPUTED_VALUE"""),"Lần 10")</f>
        <v>Lần 10</v>
      </c>
      <c r="G976" s="278">
        <f ca="1">IFERROR(__xludf.DUMMYFUNCTION("""COMPUTED_VALUE"""),46212)</f>
        <v>46212</v>
      </c>
      <c r="H976" s="35">
        <f ca="1">IFERROR(__xludf.DUMMYFUNCTION("""COMPUTED_VALUE"""),983)</f>
        <v>983</v>
      </c>
      <c r="I976" s="35">
        <f ca="1">IFERROR(__xludf.DUMMYFUNCTION("""COMPUTED_VALUE"""),117)</f>
        <v>117</v>
      </c>
      <c r="J976" s="541">
        <f ca="1">IFERROR(__xludf.DUMMYFUNCTION("""COMPUTED_VALUE"""),1054)</f>
        <v>1054</v>
      </c>
      <c r="K976" s="541">
        <f ca="1">IFERROR(__xludf.DUMMYFUNCTION("""COMPUTED_VALUE"""),117)</f>
        <v>117</v>
      </c>
      <c r="M976" s="539">
        <f ca="1">IFERROR(__xludf.DUMMYFUNCTION("""COMPUTED_VALUE"""),1)</f>
        <v>1</v>
      </c>
      <c r="N976" s="539">
        <f ca="1">IFERROR(__xludf.DUMMYFUNCTION("""COMPUTED_VALUE"""),1)</f>
        <v>1</v>
      </c>
      <c r="O976" s="539">
        <f ca="1">IFERROR(__xludf.DUMMYFUNCTION("""COMPUTED_VALUE"""),1)</f>
        <v>1</v>
      </c>
    </row>
    <row r="977" spans="1:15" ht="12.75">
      <c r="A977" s="539">
        <f ca="1"/>
        <v>971</v>
      </c>
      <c r="B977" s="35" t="str">
        <f ca="1">IFERROR(__xludf.DUMMYFUNCTION("""COMPUTED_VALUE"""),"Tổ Hạ tầng Tân An")</f>
        <v>Tổ Hạ tầng Tân An</v>
      </c>
      <c r="C977" s="35" t="str">
        <f ca="1">IFERROR(__xludf.DUMMYFUNCTION("""COMPUTED_VALUE"""),"Trần Thái Bình")</f>
        <v>Trần Thái Bình</v>
      </c>
      <c r="D977" s="35">
        <f ca="1">IFERROR(__xludf.DUMMYFUNCTION("""COMPUTED_VALUE"""),918430555)</f>
        <v>918430555</v>
      </c>
      <c r="E977" s="35" t="str">
        <f ca="1">IFERROR(__xludf.DUMMYFUNCTION("""COMPUTED_VALUE"""),"binhtt.lan@vnpt.vn")</f>
        <v>binhtt.lan@vnpt.vn</v>
      </c>
      <c r="F977" s="540" t="str">
        <f ca="1">IFERROR(__xludf.DUMMYFUNCTION("""COMPUTED_VALUE"""),"Lần 11")</f>
        <v>Lần 11</v>
      </c>
      <c r="G977" s="278">
        <f ca="1">IFERROR(__xludf.DUMMYFUNCTION("""COMPUTED_VALUE"""),46212)</f>
        <v>46212</v>
      </c>
      <c r="H977" s="35">
        <f ca="1">IFERROR(__xludf.DUMMYFUNCTION("""COMPUTED_VALUE"""),969)</f>
        <v>969</v>
      </c>
      <c r="I977" s="35">
        <f ca="1">IFERROR(__xludf.DUMMYFUNCTION("""COMPUTED_VALUE"""),115)</f>
        <v>115</v>
      </c>
      <c r="J977" s="541">
        <f ca="1">IFERROR(__xludf.DUMMYFUNCTION("""COMPUTED_VALUE"""),1009)</f>
        <v>1009</v>
      </c>
      <c r="K977" s="541">
        <f ca="1">IFERROR(__xludf.DUMMYFUNCTION("""COMPUTED_VALUE"""),124)</f>
        <v>124</v>
      </c>
      <c r="M977" s="539">
        <f ca="1">IFERROR(__xludf.DUMMYFUNCTION("""COMPUTED_VALUE"""),1)</f>
        <v>1</v>
      </c>
      <c r="N977" s="539">
        <f ca="1">IFERROR(__xludf.DUMMYFUNCTION("""COMPUTED_VALUE"""),1)</f>
        <v>1</v>
      </c>
      <c r="O977" s="539">
        <f ca="1">IFERROR(__xludf.DUMMYFUNCTION("""COMPUTED_VALUE"""),1)</f>
        <v>1</v>
      </c>
    </row>
    <row r="978" spans="1:15" ht="12.75">
      <c r="A978" s="539">
        <f ca="1"/>
        <v>972</v>
      </c>
      <c r="B978" s="35" t="str">
        <f ca="1">IFERROR(__xludf.DUMMYFUNCTION("""COMPUTED_VALUE"""),"Tổ Hạ tầng Tân An")</f>
        <v>Tổ Hạ tầng Tân An</v>
      </c>
      <c r="C978" s="35" t="str">
        <f ca="1">IFERROR(__xludf.DUMMYFUNCTION("""COMPUTED_VALUE"""),"Trần Thái Bình")</f>
        <v>Trần Thái Bình</v>
      </c>
      <c r="D978" s="35">
        <f ca="1">IFERROR(__xludf.DUMMYFUNCTION("""COMPUTED_VALUE"""),918430555)</f>
        <v>918430555</v>
      </c>
      <c r="E978" s="35" t="str">
        <f ca="1">IFERROR(__xludf.DUMMYFUNCTION("""COMPUTED_VALUE"""),"binhtt.lan@vnpt.vn")</f>
        <v>binhtt.lan@vnpt.vn</v>
      </c>
      <c r="F978" s="540" t="str">
        <f ca="1">IFERROR(__xludf.DUMMYFUNCTION("""COMPUTED_VALUE"""),"Lần 12")</f>
        <v>Lần 12</v>
      </c>
      <c r="G978" s="278">
        <f ca="1">IFERROR(__xludf.DUMMYFUNCTION("""COMPUTED_VALUE"""),46212)</f>
        <v>46212</v>
      </c>
      <c r="H978" s="35">
        <f ca="1">IFERROR(__xludf.DUMMYFUNCTION("""COMPUTED_VALUE"""),883)</f>
        <v>883</v>
      </c>
      <c r="I978" s="35">
        <f ca="1">IFERROR(__xludf.DUMMYFUNCTION("""COMPUTED_VALUE"""),120)</f>
        <v>120</v>
      </c>
      <c r="J978" s="541">
        <f ca="1">IFERROR(__xludf.DUMMYFUNCTION("""COMPUTED_VALUE"""),1141)</f>
        <v>1141</v>
      </c>
      <c r="K978" s="541">
        <f ca="1">IFERROR(__xludf.DUMMYFUNCTION("""COMPUTED_VALUE"""),119)</f>
        <v>119</v>
      </c>
      <c r="M978" s="539">
        <f ca="1">IFERROR(__xludf.DUMMYFUNCTION("""COMPUTED_VALUE"""),1)</f>
        <v>1</v>
      </c>
      <c r="N978" s="539">
        <f ca="1">IFERROR(__xludf.DUMMYFUNCTION("""COMPUTED_VALUE"""),1)</f>
        <v>1</v>
      </c>
      <c r="O978" s="539">
        <f ca="1">IFERROR(__xludf.DUMMYFUNCTION("""COMPUTED_VALUE"""),1)</f>
        <v>1</v>
      </c>
    </row>
    <row r="979" spans="1:15" ht="12.75">
      <c r="A979" s="539">
        <f ca="1"/>
        <v>973</v>
      </c>
      <c r="B979" s="35" t="str">
        <f ca="1">IFERROR(__xludf.DUMMYFUNCTION("""COMPUTED_VALUE"""),"Tổ Hạ tầng Tân An")</f>
        <v>Tổ Hạ tầng Tân An</v>
      </c>
      <c r="C979" s="35" t="str">
        <f ca="1">IFERROR(__xludf.DUMMYFUNCTION("""COMPUTED_VALUE"""),"Trần Thái Bình")</f>
        <v>Trần Thái Bình</v>
      </c>
      <c r="D979" s="35">
        <f ca="1">IFERROR(__xludf.DUMMYFUNCTION("""COMPUTED_VALUE"""),918430555)</f>
        <v>918430555</v>
      </c>
      <c r="E979" s="35" t="str">
        <f ca="1">IFERROR(__xludf.DUMMYFUNCTION("""COMPUTED_VALUE"""),"binhtt.lan@vnpt.vn")</f>
        <v>binhtt.lan@vnpt.vn</v>
      </c>
      <c r="F979" s="540" t="str">
        <f ca="1">IFERROR(__xludf.DUMMYFUNCTION("""COMPUTED_VALUE"""),"Lần 13")</f>
        <v>Lần 13</v>
      </c>
      <c r="G979" s="278">
        <f ca="1">IFERROR(__xludf.DUMMYFUNCTION("""COMPUTED_VALUE"""),46212)</f>
        <v>46212</v>
      </c>
      <c r="H979" s="35">
        <f ca="1">IFERROR(__xludf.DUMMYFUNCTION("""COMPUTED_VALUE"""),1089)</f>
        <v>1089</v>
      </c>
      <c r="I979" s="35">
        <f ca="1">IFERROR(__xludf.DUMMYFUNCTION("""COMPUTED_VALUE"""),123)</f>
        <v>123</v>
      </c>
      <c r="J979" s="541">
        <f ca="1">IFERROR(__xludf.DUMMYFUNCTION("""COMPUTED_VALUE"""),1041)</f>
        <v>1041</v>
      </c>
      <c r="K979" s="541">
        <f ca="1">IFERROR(__xludf.DUMMYFUNCTION("""COMPUTED_VALUE"""),117)</f>
        <v>117</v>
      </c>
      <c r="M979" s="539">
        <f ca="1">IFERROR(__xludf.DUMMYFUNCTION("""COMPUTED_VALUE"""),1)</f>
        <v>1</v>
      </c>
      <c r="N979" s="539">
        <f ca="1">IFERROR(__xludf.DUMMYFUNCTION("""COMPUTED_VALUE"""),1)</f>
        <v>1</v>
      </c>
      <c r="O979" s="539">
        <f ca="1">IFERROR(__xludf.DUMMYFUNCTION("""COMPUTED_VALUE"""),1)</f>
        <v>1</v>
      </c>
    </row>
    <row r="980" spans="1:15" ht="12.75">
      <c r="A980" s="539">
        <f ca="1"/>
        <v>974</v>
      </c>
      <c r="B980" s="35" t="str">
        <f ca="1">IFERROR(__xludf.DUMMYFUNCTION("""COMPUTED_VALUE"""),"Tổ Hạ tầng Tân An")</f>
        <v>Tổ Hạ tầng Tân An</v>
      </c>
      <c r="C980" s="35" t="str">
        <f ca="1">IFERROR(__xludf.DUMMYFUNCTION("""COMPUTED_VALUE"""),"Trần Thái Bình")</f>
        <v>Trần Thái Bình</v>
      </c>
      <c r="D980" s="35">
        <f ca="1">IFERROR(__xludf.DUMMYFUNCTION("""COMPUTED_VALUE"""),918430555)</f>
        <v>918430555</v>
      </c>
      <c r="E980" s="35" t="str">
        <f ca="1">IFERROR(__xludf.DUMMYFUNCTION("""COMPUTED_VALUE"""),"binhtt.lan@vnpt.vn")</f>
        <v>binhtt.lan@vnpt.vn</v>
      </c>
      <c r="F980" s="540" t="str">
        <f ca="1">IFERROR(__xludf.DUMMYFUNCTION("""COMPUTED_VALUE"""),"Lần 14")</f>
        <v>Lần 14</v>
      </c>
      <c r="G980" s="278">
        <f ca="1">IFERROR(__xludf.DUMMYFUNCTION("""COMPUTED_VALUE"""),46212)</f>
        <v>46212</v>
      </c>
      <c r="H980" s="35">
        <f ca="1">IFERROR(__xludf.DUMMYFUNCTION("""COMPUTED_VALUE"""),1082)</f>
        <v>1082</v>
      </c>
      <c r="I980" s="35">
        <f ca="1">IFERROR(__xludf.DUMMYFUNCTION("""COMPUTED_VALUE"""),120)</f>
        <v>120</v>
      </c>
      <c r="J980" s="541">
        <f ca="1">IFERROR(__xludf.DUMMYFUNCTION("""COMPUTED_VALUE"""),1017)</f>
        <v>1017</v>
      </c>
      <c r="K980" s="541">
        <f ca="1">IFERROR(__xludf.DUMMYFUNCTION("""COMPUTED_VALUE"""),121)</f>
        <v>121</v>
      </c>
      <c r="M980" s="539">
        <f ca="1">IFERROR(__xludf.DUMMYFUNCTION("""COMPUTED_VALUE"""),1)</f>
        <v>1</v>
      </c>
      <c r="N980" s="539">
        <f ca="1">IFERROR(__xludf.DUMMYFUNCTION("""COMPUTED_VALUE"""),1)</f>
        <v>1</v>
      </c>
      <c r="O980" s="539">
        <f ca="1">IFERROR(__xludf.DUMMYFUNCTION("""COMPUTED_VALUE"""),1)</f>
        <v>1</v>
      </c>
    </row>
    <row r="981" spans="1:15" ht="12.75">
      <c r="A981" s="539">
        <f ca="1"/>
        <v>975</v>
      </c>
      <c r="B981" s="35" t="str">
        <f ca="1">IFERROR(__xludf.DUMMYFUNCTION("""COMPUTED_VALUE"""),"Tổ Hạ tầng Tân An")</f>
        <v>Tổ Hạ tầng Tân An</v>
      </c>
      <c r="C981" s="35" t="str">
        <f ca="1">IFERROR(__xludf.DUMMYFUNCTION("""COMPUTED_VALUE"""),"Trần Thái Bình")</f>
        <v>Trần Thái Bình</v>
      </c>
      <c r="D981" s="35">
        <f ca="1">IFERROR(__xludf.DUMMYFUNCTION("""COMPUTED_VALUE"""),918430555)</f>
        <v>918430555</v>
      </c>
      <c r="E981" s="35" t="str">
        <f ca="1">IFERROR(__xludf.DUMMYFUNCTION("""COMPUTED_VALUE"""),"binhtt.lan@vnpt.vn")</f>
        <v>binhtt.lan@vnpt.vn</v>
      </c>
      <c r="F981" s="540" t="str">
        <f ca="1">IFERROR(__xludf.DUMMYFUNCTION("""COMPUTED_VALUE"""),"Lần 15")</f>
        <v>Lần 15</v>
      </c>
      <c r="G981" s="278">
        <f ca="1">IFERROR(__xludf.DUMMYFUNCTION("""COMPUTED_VALUE"""),46212)</f>
        <v>46212</v>
      </c>
      <c r="H981" s="35">
        <f ca="1">IFERROR(__xludf.DUMMYFUNCTION("""COMPUTED_VALUE"""),953)</f>
        <v>953</v>
      </c>
      <c r="I981" s="35">
        <f ca="1">IFERROR(__xludf.DUMMYFUNCTION("""COMPUTED_VALUE"""),122)</f>
        <v>122</v>
      </c>
      <c r="J981" s="541">
        <f ca="1">IFERROR(__xludf.DUMMYFUNCTION("""COMPUTED_VALUE"""),1005)</f>
        <v>1005</v>
      </c>
      <c r="K981" s="541">
        <f ca="1">IFERROR(__xludf.DUMMYFUNCTION("""COMPUTED_VALUE"""),126)</f>
        <v>126</v>
      </c>
      <c r="M981" s="539">
        <f ca="1">IFERROR(__xludf.DUMMYFUNCTION("""COMPUTED_VALUE"""),1)</f>
        <v>1</v>
      </c>
      <c r="N981" s="539">
        <f ca="1">IFERROR(__xludf.DUMMYFUNCTION("""COMPUTED_VALUE"""),1)</f>
        <v>1</v>
      </c>
      <c r="O981" s="539">
        <f ca="1">IFERROR(__xludf.DUMMYFUNCTION("""COMPUTED_VALUE"""),1)</f>
        <v>1</v>
      </c>
    </row>
    <row r="982" spans="1:15" ht="12.75">
      <c r="A982" s="539">
        <f ca="1"/>
        <v>976</v>
      </c>
      <c r="B982" s="35" t="str">
        <f ca="1">IFERROR(__xludf.DUMMYFUNCTION("""COMPUTED_VALUE"""),"Tổ Hạ tầng Tân An")</f>
        <v>Tổ Hạ tầng Tân An</v>
      </c>
      <c r="C982" s="35" t="str">
        <f ca="1">IFERROR(__xludf.DUMMYFUNCTION("""COMPUTED_VALUE"""),"Trần Thái Bình")</f>
        <v>Trần Thái Bình</v>
      </c>
      <c r="D982" s="35">
        <f ca="1">IFERROR(__xludf.DUMMYFUNCTION("""COMPUTED_VALUE"""),918430555)</f>
        <v>918430555</v>
      </c>
      <c r="E982" s="35" t="str">
        <f ca="1">IFERROR(__xludf.DUMMYFUNCTION("""COMPUTED_VALUE"""),"binhtt.lan@vnpt.vn")</f>
        <v>binhtt.lan@vnpt.vn</v>
      </c>
      <c r="F982" s="540" t="str">
        <f ca="1">IFERROR(__xludf.DUMMYFUNCTION("""COMPUTED_VALUE"""),"Lần 16")</f>
        <v>Lần 16</v>
      </c>
      <c r="G982" s="278">
        <f ca="1">IFERROR(__xludf.DUMMYFUNCTION("""COMPUTED_VALUE"""),46212)</f>
        <v>46212</v>
      </c>
      <c r="H982" s="35">
        <f ca="1">IFERROR(__xludf.DUMMYFUNCTION("""COMPUTED_VALUE"""),1158)</f>
        <v>1158</v>
      </c>
      <c r="I982" s="35">
        <f ca="1">IFERROR(__xludf.DUMMYFUNCTION("""COMPUTED_VALUE"""),111)</f>
        <v>111</v>
      </c>
      <c r="J982" s="541">
        <f ca="1">IFERROR(__xludf.DUMMYFUNCTION("""COMPUTED_VALUE"""),1065)</f>
        <v>1065</v>
      </c>
      <c r="K982" s="541">
        <f ca="1">IFERROR(__xludf.DUMMYFUNCTION("""COMPUTED_VALUE"""),119)</f>
        <v>119</v>
      </c>
      <c r="M982" s="539">
        <f ca="1">IFERROR(__xludf.DUMMYFUNCTION("""COMPUTED_VALUE"""),1)</f>
        <v>1</v>
      </c>
      <c r="N982" s="539">
        <f ca="1">IFERROR(__xludf.DUMMYFUNCTION("""COMPUTED_VALUE"""),1)</f>
        <v>1</v>
      </c>
      <c r="O982" s="539">
        <f ca="1">IFERROR(__xludf.DUMMYFUNCTION("""COMPUTED_VALUE"""),1)</f>
        <v>1</v>
      </c>
    </row>
    <row r="983" spans="1:15" ht="12.75">
      <c r="A983" s="539">
        <f ca="1"/>
        <v>977</v>
      </c>
      <c r="B983" s="35" t="str">
        <f ca="1">IFERROR(__xludf.DUMMYFUNCTION("""COMPUTED_VALUE"""),"Tổ Hạ tầng Tân An")</f>
        <v>Tổ Hạ tầng Tân An</v>
      </c>
      <c r="C983" s="35" t="str">
        <f ca="1">IFERROR(__xludf.DUMMYFUNCTION("""COMPUTED_VALUE"""),"Nguyễn Thành Phạm Trung")</f>
        <v>Nguyễn Thành Phạm Trung</v>
      </c>
      <c r="D983" s="35">
        <f ca="1">IFERROR(__xludf.DUMMYFUNCTION("""COMPUTED_VALUE"""),941328668)</f>
        <v>941328668</v>
      </c>
      <c r="E983" s="35" t="str">
        <f ca="1">IFERROR(__xludf.DUMMYFUNCTION("""COMPUTED_VALUE"""),"trungntp.lan@vnpt.vn")</f>
        <v>trungntp.lan@vnpt.vn</v>
      </c>
      <c r="F983" s="540" t="str">
        <f ca="1">IFERROR(__xludf.DUMMYFUNCTION("""COMPUTED_VALUE"""),"Lần 1")</f>
        <v>Lần 1</v>
      </c>
      <c r="G983" s="278">
        <f ca="1">IFERROR(__xludf.DUMMYFUNCTION("""COMPUTED_VALUE"""),46206)</f>
        <v>46206</v>
      </c>
      <c r="H983" s="35">
        <f ca="1">IFERROR(__xludf.DUMMYFUNCTION("""COMPUTED_VALUE"""),85.3)</f>
        <v>85.3</v>
      </c>
      <c r="I983" s="35">
        <f ca="1">IFERROR(__xludf.DUMMYFUNCTION("""COMPUTED_VALUE"""),50.2)</f>
        <v>50.2</v>
      </c>
      <c r="J983" s="35">
        <f ca="1">IFERROR(__xludf.DUMMYFUNCTION("""COMPUTED_VALUE"""),95)</f>
        <v>95</v>
      </c>
      <c r="K983" s="35">
        <f ca="1">IFERROR(__xludf.DUMMYFUNCTION("""COMPUTED_VALUE"""),45.2)</f>
        <v>45.2</v>
      </c>
      <c r="M983" s="539">
        <f ca="1">IFERROR(__xludf.DUMMYFUNCTION("""COMPUTED_VALUE"""),1)</f>
        <v>1</v>
      </c>
      <c r="N983" s="539">
        <f ca="1">IFERROR(__xludf.DUMMYFUNCTION("""COMPUTED_VALUE"""),1)</f>
        <v>1</v>
      </c>
      <c r="O983" s="539">
        <f ca="1">IFERROR(__xludf.DUMMYFUNCTION("""COMPUTED_VALUE"""),0)</f>
        <v>0</v>
      </c>
    </row>
    <row r="984" spans="1:15" ht="12.75">
      <c r="A984" s="539">
        <f ca="1"/>
        <v>978</v>
      </c>
      <c r="B984" s="35" t="str">
        <f ca="1">IFERROR(__xludf.DUMMYFUNCTION("""COMPUTED_VALUE"""),"Tổ Hạ tầng Tân An")</f>
        <v>Tổ Hạ tầng Tân An</v>
      </c>
      <c r="C984" s="35" t="str">
        <f ca="1">IFERROR(__xludf.DUMMYFUNCTION("""COMPUTED_VALUE"""),"Nguyễn Thành Phạm Trung")</f>
        <v>Nguyễn Thành Phạm Trung</v>
      </c>
      <c r="D984" s="35">
        <f ca="1">IFERROR(__xludf.DUMMYFUNCTION("""COMPUTED_VALUE"""),941328668)</f>
        <v>941328668</v>
      </c>
      <c r="E984" s="35" t="str">
        <f ca="1">IFERROR(__xludf.DUMMYFUNCTION("""COMPUTED_VALUE"""),"trungntp.lan@vnpt.vn")</f>
        <v>trungntp.lan@vnpt.vn</v>
      </c>
      <c r="F984" s="540" t="str">
        <f ca="1">IFERROR(__xludf.DUMMYFUNCTION("""COMPUTED_VALUE"""),"Lần 2")</f>
        <v>Lần 2</v>
      </c>
      <c r="G984" s="278">
        <f ca="1">IFERROR(__xludf.DUMMYFUNCTION("""COMPUTED_VALUE"""),46209)</f>
        <v>46209</v>
      </c>
      <c r="H984" s="35">
        <f ca="1">IFERROR(__xludf.DUMMYFUNCTION("""COMPUTED_VALUE"""),98.7)</f>
        <v>98.7</v>
      </c>
      <c r="I984" s="35">
        <f ca="1">IFERROR(__xludf.DUMMYFUNCTION("""COMPUTED_VALUE"""),45.3)</f>
        <v>45.3</v>
      </c>
      <c r="J984" s="541">
        <f ca="1">IFERROR(__xludf.DUMMYFUNCTION("""COMPUTED_VALUE"""),105)</f>
        <v>105</v>
      </c>
      <c r="K984" s="541">
        <f ca="1">IFERROR(__xludf.DUMMYFUNCTION("""COMPUTED_VALUE"""),45.9)</f>
        <v>45.9</v>
      </c>
      <c r="M984" s="539">
        <f ca="1">IFERROR(__xludf.DUMMYFUNCTION("""COMPUTED_VALUE"""),1)</f>
        <v>1</v>
      </c>
      <c r="N984" s="539">
        <f ca="1">IFERROR(__xludf.DUMMYFUNCTION("""COMPUTED_VALUE"""),1)</f>
        <v>1</v>
      </c>
      <c r="O984" s="539">
        <f ca="1">IFERROR(__xludf.DUMMYFUNCTION("""COMPUTED_VALUE"""),0)</f>
        <v>0</v>
      </c>
    </row>
    <row r="985" spans="1:15" ht="12.75">
      <c r="A985" s="539">
        <f ca="1"/>
        <v>979</v>
      </c>
      <c r="B985" s="35" t="str">
        <f ca="1">IFERROR(__xludf.DUMMYFUNCTION("""COMPUTED_VALUE"""),"Tổ Hạ tầng Tân An")</f>
        <v>Tổ Hạ tầng Tân An</v>
      </c>
      <c r="C985" s="35" t="str">
        <f ca="1">IFERROR(__xludf.DUMMYFUNCTION("""COMPUTED_VALUE"""),"Nguyễn Thành Phạm Trung")</f>
        <v>Nguyễn Thành Phạm Trung</v>
      </c>
      <c r="D985" s="35">
        <f ca="1">IFERROR(__xludf.DUMMYFUNCTION("""COMPUTED_VALUE"""),941328668)</f>
        <v>941328668</v>
      </c>
      <c r="E985" s="35" t="str">
        <f ca="1">IFERROR(__xludf.DUMMYFUNCTION("""COMPUTED_VALUE"""),"trungntp.lan@vnpt.vn")</f>
        <v>trungntp.lan@vnpt.vn</v>
      </c>
      <c r="F985" s="540" t="str">
        <f ca="1">IFERROR(__xludf.DUMMYFUNCTION("""COMPUTED_VALUE"""),"Lần 3")</f>
        <v>Lần 3</v>
      </c>
      <c r="G985" s="278">
        <f ca="1">IFERROR(__xludf.DUMMYFUNCTION("""COMPUTED_VALUE"""),46209)</f>
        <v>46209</v>
      </c>
      <c r="H985" s="35">
        <f ca="1">IFERROR(__xludf.DUMMYFUNCTION("""COMPUTED_VALUE"""),101)</f>
        <v>101</v>
      </c>
      <c r="I985" s="35">
        <f ca="1">IFERROR(__xludf.DUMMYFUNCTION("""COMPUTED_VALUE"""),55.5)</f>
        <v>55.5</v>
      </c>
      <c r="J985" s="541">
        <f ca="1">IFERROR(__xludf.DUMMYFUNCTION("""COMPUTED_VALUE"""),93.7)</f>
        <v>93.7</v>
      </c>
      <c r="K985" s="35">
        <f ca="1">IFERROR(__xludf.DUMMYFUNCTION("""COMPUTED_VALUE"""),53.1)</f>
        <v>53.1</v>
      </c>
      <c r="M985" s="539">
        <f ca="1">IFERROR(__xludf.DUMMYFUNCTION("""COMPUTED_VALUE"""),1)</f>
        <v>1</v>
      </c>
      <c r="N985" s="539">
        <f ca="1">IFERROR(__xludf.DUMMYFUNCTION("""COMPUTED_VALUE"""),1)</f>
        <v>1</v>
      </c>
      <c r="O985" s="539">
        <f ca="1">IFERROR(__xludf.DUMMYFUNCTION("""COMPUTED_VALUE"""),0)</f>
        <v>0</v>
      </c>
    </row>
    <row r="986" spans="1:15" ht="12.75">
      <c r="A986" s="539">
        <f ca="1"/>
        <v>980</v>
      </c>
      <c r="B986" s="35" t="str">
        <f ca="1">IFERROR(__xludf.DUMMYFUNCTION("""COMPUTED_VALUE"""),"Tổ Hạ tầng Tân An")</f>
        <v>Tổ Hạ tầng Tân An</v>
      </c>
      <c r="C986" s="35" t="str">
        <f ca="1">IFERROR(__xludf.DUMMYFUNCTION("""COMPUTED_VALUE"""),"Nguyễn Thành Phạm Trung")</f>
        <v>Nguyễn Thành Phạm Trung</v>
      </c>
      <c r="D986" s="35">
        <f ca="1">IFERROR(__xludf.DUMMYFUNCTION("""COMPUTED_VALUE"""),941328668)</f>
        <v>941328668</v>
      </c>
      <c r="E986" s="35" t="str">
        <f ca="1">IFERROR(__xludf.DUMMYFUNCTION("""COMPUTED_VALUE"""),"trungntp.lan@vnpt.vn")</f>
        <v>trungntp.lan@vnpt.vn</v>
      </c>
      <c r="F986" s="540" t="str">
        <f ca="1">IFERROR(__xludf.DUMMYFUNCTION("""COMPUTED_VALUE"""),"Lần 4")</f>
        <v>Lần 4</v>
      </c>
      <c r="G986" s="278">
        <f ca="1">IFERROR(__xludf.DUMMYFUNCTION("""COMPUTED_VALUE"""),46209)</f>
        <v>46209</v>
      </c>
      <c r="H986" s="35">
        <f ca="1">IFERROR(__xludf.DUMMYFUNCTION("""COMPUTED_VALUE"""),85.8)</f>
        <v>85.8</v>
      </c>
      <c r="I986" s="35">
        <f ca="1">IFERROR(__xludf.DUMMYFUNCTION("""COMPUTED_VALUE"""),52.8)</f>
        <v>52.8</v>
      </c>
      <c r="J986" s="541">
        <f ca="1">IFERROR(__xludf.DUMMYFUNCTION("""COMPUTED_VALUE"""),95.3)</f>
        <v>95.3</v>
      </c>
      <c r="K986" s="541">
        <f ca="1">IFERROR(__xludf.DUMMYFUNCTION("""COMPUTED_VALUE"""),54.3)</f>
        <v>54.3</v>
      </c>
      <c r="M986" s="539">
        <f ca="1">IFERROR(__xludf.DUMMYFUNCTION("""COMPUTED_VALUE"""),1)</f>
        <v>1</v>
      </c>
      <c r="N986" s="539">
        <f ca="1">IFERROR(__xludf.DUMMYFUNCTION("""COMPUTED_VALUE"""),1)</f>
        <v>1</v>
      </c>
      <c r="O986" s="539">
        <f ca="1">IFERROR(__xludf.DUMMYFUNCTION("""COMPUTED_VALUE"""),0)</f>
        <v>0</v>
      </c>
    </row>
    <row r="987" spans="1:15" ht="12.75">
      <c r="A987" s="539">
        <f ca="1"/>
        <v>981</v>
      </c>
      <c r="B987" s="35" t="str">
        <f ca="1">IFERROR(__xludf.DUMMYFUNCTION("""COMPUTED_VALUE"""),"Tổ Hạ tầng Tân An")</f>
        <v>Tổ Hạ tầng Tân An</v>
      </c>
      <c r="C987" s="35" t="str">
        <f ca="1">IFERROR(__xludf.DUMMYFUNCTION("""COMPUTED_VALUE"""),"Nguyễn Thành Phạm Trung")</f>
        <v>Nguyễn Thành Phạm Trung</v>
      </c>
      <c r="D987" s="35">
        <f ca="1">IFERROR(__xludf.DUMMYFUNCTION("""COMPUTED_VALUE"""),941328668)</f>
        <v>941328668</v>
      </c>
      <c r="E987" s="35" t="str">
        <f ca="1">IFERROR(__xludf.DUMMYFUNCTION("""COMPUTED_VALUE"""),"trungntp.lan@vnpt.vn")</f>
        <v>trungntp.lan@vnpt.vn</v>
      </c>
      <c r="F987" s="540" t="str">
        <f ca="1">IFERROR(__xludf.DUMMYFUNCTION("""COMPUTED_VALUE"""),"Lần 5")</f>
        <v>Lần 5</v>
      </c>
      <c r="G987" s="278">
        <f ca="1">IFERROR(__xludf.DUMMYFUNCTION("""COMPUTED_VALUE"""),46213)</f>
        <v>46213</v>
      </c>
      <c r="H987" s="35">
        <f ca="1">IFERROR(__xludf.DUMMYFUNCTION("""COMPUTED_VALUE"""),124)</f>
        <v>124</v>
      </c>
      <c r="I987" s="35">
        <f ca="1">IFERROR(__xludf.DUMMYFUNCTION("""COMPUTED_VALUE"""),54.2)</f>
        <v>54.2</v>
      </c>
      <c r="J987" s="35">
        <f ca="1">IFERROR(__xludf.DUMMYFUNCTION("""COMPUTED_VALUE"""),124)</f>
        <v>124</v>
      </c>
      <c r="K987" s="541">
        <f ca="1">IFERROR(__xludf.DUMMYFUNCTION("""COMPUTED_VALUE"""),51.5)</f>
        <v>51.5</v>
      </c>
      <c r="M987" s="539">
        <f ca="1">IFERROR(__xludf.DUMMYFUNCTION("""COMPUTED_VALUE"""),1)</f>
        <v>1</v>
      </c>
      <c r="N987" s="539">
        <f ca="1">IFERROR(__xludf.DUMMYFUNCTION("""COMPUTED_VALUE"""),1)</f>
        <v>1</v>
      </c>
      <c r="O987" s="539">
        <f ca="1">IFERROR(__xludf.DUMMYFUNCTION("""COMPUTED_VALUE"""),0)</f>
        <v>0</v>
      </c>
    </row>
    <row r="988" spans="1:15" ht="12.75">
      <c r="A988" s="539">
        <f ca="1"/>
        <v>982</v>
      </c>
      <c r="B988" s="35" t="str">
        <f ca="1">IFERROR(__xludf.DUMMYFUNCTION("""COMPUTED_VALUE"""),"Tổ Hạ tầng Tân An")</f>
        <v>Tổ Hạ tầng Tân An</v>
      </c>
      <c r="C988" s="35" t="str">
        <f ca="1">IFERROR(__xludf.DUMMYFUNCTION("""COMPUTED_VALUE"""),"Nguyễn Thành Phạm Trung")</f>
        <v>Nguyễn Thành Phạm Trung</v>
      </c>
      <c r="D988" s="35">
        <f ca="1">IFERROR(__xludf.DUMMYFUNCTION("""COMPUTED_VALUE"""),941328668)</f>
        <v>941328668</v>
      </c>
      <c r="E988" s="35" t="str">
        <f ca="1">IFERROR(__xludf.DUMMYFUNCTION("""COMPUTED_VALUE"""),"trungntp.lan@vnpt.vn")</f>
        <v>trungntp.lan@vnpt.vn</v>
      </c>
      <c r="F988" s="540" t="str">
        <f ca="1">IFERROR(__xludf.DUMMYFUNCTION("""COMPUTED_VALUE"""),"Lần 6")</f>
        <v>Lần 6</v>
      </c>
      <c r="G988" s="278">
        <f ca="1">IFERROR(__xludf.DUMMYFUNCTION("""COMPUTED_VALUE"""),46213)</f>
        <v>46213</v>
      </c>
      <c r="H988" s="35">
        <f ca="1">IFERROR(__xludf.DUMMYFUNCTION("""COMPUTED_VALUE"""),115)</f>
        <v>115</v>
      </c>
      <c r="I988" s="35">
        <f ca="1">IFERROR(__xludf.DUMMYFUNCTION("""COMPUTED_VALUE"""),45.1)</f>
        <v>45.1</v>
      </c>
      <c r="J988" s="541">
        <f ca="1">IFERROR(__xludf.DUMMYFUNCTION("""COMPUTED_VALUE"""),105)</f>
        <v>105</v>
      </c>
      <c r="K988" s="35">
        <f ca="1">IFERROR(__xludf.DUMMYFUNCTION("""COMPUTED_VALUE"""),50.4)</f>
        <v>50.4</v>
      </c>
      <c r="M988" s="539">
        <f ca="1">IFERROR(__xludf.DUMMYFUNCTION("""COMPUTED_VALUE"""),1)</f>
        <v>1</v>
      </c>
      <c r="N988" s="539">
        <f ca="1">IFERROR(__xludf.DUMMYFUNCTION("""COMPUTED_VALUE"""),1)</f>
        <v>1</v>
      </c>
      <c r="O988" s="539">
        <f ca="1">IFERROR(__xludf.DUMMYFUNCTION("""COMPUTED_VALUE"""),0)</f>
        <v>0</v>
      </c>
    </row>
    <row r="989" spans="1:15" ht="12.75">
      <c r="A989" s="539">
        <f ca="1"/>
        <v>983</v>
      </c>
      <c r="B989" s="35" t="str">
        <f ca="1">IFERROR(__xludf.DUMMYFUNCTION("""COMPUTED_VALUE"""),"Tổ Hạ tầng Tân An")</f>
        <v>Tổ Hạ tầng Tân An</v>
      </c>
      <c r="C989" s="35" t="str">
        <f ca="1">IFERROR(__xludf.DUMMYFUNCTION("""COMPUTED_VALUE"""),"Nguyễn Thành Phạm Trung")</f>
        <v>Nguyễn Thành Phạm Trung</v>
      </c>
      <c r="D989" s="35">
        <f ca="1">IFERROR(__xludf.DUMMYFUNCTION("""COMPUTED_VALUE"""),941328668)</f>
        <v>941328668</v>
      </c>
      <c r="E989" s="35" t="str">
        <f ca="1">IFERROR(__xludf.DUMMYFUNCTION("""COMPUTED_VALUE"""),"trungntp.lan@vnpt.vn")</f>
        <v>trungntp.lan@vnpt.vn</v>
      </c>
      <c r="F989" s="540" t="str">
        <f ca="1">IFERROR(__xludf.DUMMYFUNCTION("""COMPUTED_VALUE"""),"Lần 7")</f>
        <v>Lần 7</v>
      </c>
      <c r="G989" s="278">
        <f ca="1">IFERROR(__xludf.DUMMYFUNCTION("""COMPUTED_VALUE"""),46213)</f>
        <v>46213</v>
      </c>
      <c r="H989" s="35">
        <f ca="1">IFERROR(__xludf.DUMMYFUNCTION("""COMPUTED_VALUE"""),87.3)</f>
        <v>87.3</v>
      </c>
      <c r="I989" s="35">
        <f ca="1">IFERROR(__xludf.DUMMYFUNCTION("""COMPUTED_VALUE"""),49.2)</f>
        <v>49.2</v>
      </c>
      <c r="J989" s="541">
        <f ca="1">IFERROR(__xludf.DUMMYFUNCTION("""COMPUTED_VALUE"""),114)</f>
        <v>114</v>
      </c>
      <c r="K989" s="541">
        <f ca="1">IFERROR(__xludf.DUMMYFUNCTION("""COMPUTED_VALUE"""),52.7)</f>
        <v>52.7</v>
      </c>
      <c r="M989" s="539">
        <f ca="1">IFERROR(__xludf.DUMMYFUNCTION("""COMPUTED_VALUE"""),1)</f>
        <v>1</v>
      </c>
      <c r="N989" s="539">
        <f ca="1">IFERROR(__xludf.DUMMYFUNCTION("""COMPUTED_VALUE"""),1)</f>
        <v>1</v>
      </c>
      <c r="O989" s="539">
        <f ca="1">IFERROR(__xludf.DUMMYFUNCTION("""COMPUTED_VALUE"""),0)</f>
        <v>0</v>
      </c>
    </row>
    <row r="990" spans="1:15" ht="12.75">
      <c r="A990" s="539">
        <f ca="1"/>
        <v>984</v>
      </c>
      <c r="B990" s="35" t="str">
        <f ca="1">IFERROR(__xludf.DUMMYFUNCTION("""COMPUTED_VALUE"""),"Tổ Hạ tầng Tân An")</f>
        <v>Tổ Hạ tầng Tân An</v>
      </c>
      <c r="C990" s="35" t="str">
        <f ca="1">IFERROR(__xludf.DUMMYFUNCTION("""COMPUTED_VALUE"""),"Nguyễn Thành Phạm Trung")</f>
        <v>Nguyễn Thành Phạm Trung</v>
      </c>
      <c r="D990" s="35">
        <f ca="1">IFERROR(__xludf.DUMMYFUNCTION("""COMPUTED_VALUE"""),941328668)</f>
        <v>941328668</v>
      </c>
      <c r="E990" s="35" t="str">
        <f ca="1">IFERROR(__xludf.DUMMYFUNCTION("""COMPUTED_VALUE"""),"trungntp.lan@vnpt.vn")</f>
        <v>trungntp.lan@vnpt.vn</v>
      </c>
      <c r="F990" s="540" t="str">
        <f ca="1">IFERROR(__xludf.DUMMYFUNCTION("""COMPUTED_VALUE"""),"Lần 8")</f>
        <v>Lần 8</v>
      </c>
      <c r="G990" s="278">
        <f ca="1">IFERROR(__xludf.DUMMYFUNCTION("""COMPUTED_VALUE"""),46213)</f>
        <v>46213</v>
      </c>
      <c r="H990" s="35">
        <f ca="1">IFERROR(__xludf.DUMMYFUNCTION("""COMPUTED_VALUE"""),88.8)</f>
        <v>88.8</v>
      </c>
      <c r="I990" s="35">
        <f ca="1">IFERROR(__xludf.DUMMYFUNCTION("""COMPUTED_VALUE"""),44.9)</f>
        <v>44.9</v>
      </c>
      <c r="J990" s="541">
        <f ca="1">IFERROR(__xludf.DUMMYFUNCTION("""COMPUTED_VALUE"""),93.5)</f>
        <v>93.5</v>
      </c>
      <c r="K990" s="541">
        <f ca="1">IFERROR(__xludf.DUMMYFUNCTION("""COMPUTED_VALUE"""),51.4)</f>
        <v>51.4</v>
      </c>
      <c r="M990" s="539">
        <f ca="1">IFERROR(__xludf.DUMMYFUNCTION("""COMPUTED_VALUE"""),1)</f>
        <v>1</v>
      </c>
      <c r="N990" s="539">
        <f ca="1">IFERROR(__xludf.DUMMYFUNCTION("""COMPUTED_VALUE"""),1)</f>
        <v>1</v>
      </c>
      <c r="O990" s="539">
        <f ca="1">IFERROR(__xludf.DUMMYFUNCTION("""COMPUTED_VALUE"""),0)</f>
        <v>0</v>
      </c>
    </row>
    <row r="991" spans="1:15" ht="12.75">
      <c r="A991" s="539">
        <f ca="1"/>
        <v>985</v>
      </c>
      <c r="B991" s="35" t="str">
        <f ca="1">IFERROR(__xludf.DUMMYFUNCTION("""COMPUTED_VALUE"""),"Tổ Hạ tầng Tân An")</f>
        <v>Tổ Hạ tầng Tân An</v>
      </c>
      <c r="C991" s="35" t="str">
        <f ca="1">IFERROR(__xludf.DUMMYFUNCTION("""COMPUTED_VALUE"""),"Nguyễn Thành Phạm Trung")</f>
        <v>Nguyễn Thành Phạm Trung</v>
      </c>
      <c r="D991" s="35">
        <f ca="1">IFERROR(__xludf.DUMMYFUNCTION("""COMPUTED_VALUE"""),941328668)</f>
        <v>941328668</v>
      </c>
      <c r="E991" s="35" t="str">
        <f ca="1">IFERROR(__xludf.DUMMYFUNCTION("""COMPUTED_VALUE"""),"trungntp.lan@vnpt.vn")</f>
        <v>trungntp.lan@vnpt.vn</v>
      </c>
      <c r="F991" s="540" t="str">
        <f ca="1">IFERROR(__xludf.DUMMYFUNCTION("""COMPUTED_VALUE"""),"Lần 9")</f>
        <v>Lần 9</v>
      </c>
      <c r="G991" s="278">
        <f ca="1">IFERROR(__xludf.DUMMYFUNCTION("""COMPUTED_VALUE"""),46213)</f>
        <v>46213</v>
      </c>
      <c r="H991" s="35">
        <f ca="1">IFERROR(__xludf.DUMMYFUNCTION("""COMPUTED_VALUE"""),90.2)</f>
        <v>90.2</v>
      </c>
      <c r="I991" s="35">
        <f ca="1">IFERROR(__xludf.DUMMYFUNCTION("""COMPUTED_VALUE"""),45.6)</f>
        <v>45.6</v>
      </c>
      <c r="J991" s="541">
        <f ca="1">IFERROR(__xludf.DUMMYFUNCTION("""COMPUTED_VALUE"""),102)</f>
        <v>102</v>
      </c>
      <c r="K991" s="541">
        <f ca="1">IFERROR(__xludf.DUMMYFUNCTION("""COMPUTED_VALUE"""),47.4)</f>
        <v>47.4</v>
      </c>
      <c r="M991" s="539">
        <f ca="1">IFERROR(__xludf.DUMMYFUNCTION("""COMPUTED_VALUE"""),1)</f>
        <v>1</v>
      </c>
      <c r="N991" s="539">
        <f ca="1">IFERROR(__xludf.DUMMYFUNCTION("""COMPUTED_VALUE"""),1)</f>
        <v>1</v>
      </c>
      <c r="O991" s="539">
        <f ca="1">IFERROR(__xludf.DUMMYFUNCTION("""COMPUTED_VALUE"""),0)</f>
        <v>0</v>
      </c>
    </row>
    <row r="992" spans="1:15" ht="12.75">
      <c r="A992" s="539">
        <f ca="1"/>
        <v>986</v>
      </c>
      <c r="B992" s="35" t="str">
        <f ca="1">IFERROR(__xludf.DUMMYFUNCTION("""COMPUTED_VALUE"""),"Tổ Hạ tầng Tân An")</f>
        <v>Tổ Hạ tầng Tân An</v>
      </c>
      <c r="C992" s="35" t="str">
        <f ca="1">IFERROR(__xludf.DUMMYFUNCTION("""COMPUTED_VALUE"""),"Nguyễn Thành Phạm Trung")</f>
        <v>Nguyễn Thành Phạm Trung</v>
      </c>
      <c r="D992" s="35">
        <f ca="1">IFERROR(__xludf.DUMMYFUNCTION("""COMPUTED_VALUE"""),941328668)</f>
        <v>941328668</v>
      </c>
      <c r="E992" s="35" t="str">
        <f ca="1">IFERROR(__xludf.DUMMYFUNCTION("""COMPUTED_VALUE"""),"trungntp.lan@vnpt.vn")</f>
        <v>trungntp.lan@vnpt.vn</v>
      </c>
      <c r="F992" s="540" t="str">
        <f ca="1">IFERROR(__xludf.DUMMYFUNCTION("""COMPUTED_VALUE"""),"Lần 10")</f>
        <v>Lần 10</v>
      </c>
      <c r="G992" s="278"/>
      <c r="H992" s="35"/>
      <c r="I992" s="35"/>
      <c r="J992" s="541"/>
      <c r="K992" s="541"/>
      <c r="M992" s="539">
        <f ca="1">IFERROR(__xludf.DUMMYFUNCTION("""COMPUTED_VALUE"""),0)</f>
        <v>0</v>
      </c>
      <c r="N992" s="539">
        <f ca="1">IFERROR(__xludf.DUMMYFUNCTION("""COMPUTED_VALUE"""),0)</f>
        <v>0</v>
      </c>
      <c r="O992" s="539">
        <f ca="1">IFERROR(__xludf.DUMMYFUNCTION("""COMPUTED_VALUE"""),0)</f>
        <v>0</v>
      </c>
    </row>
    <row r="993" spans="1:15" ht="12.75">
      <c r="A993" s="539">
        <f ca="1"/>
        <v>987</v>
      </c>
      <c r="B993" s="35" t="str">
        <f ca="1">IFERROR(__xludf.DUMMYFUNCTION("""COMPUTED_VALUE"""),"Tổ Hạ tầng Tân An")</f>
        <v>Tổ Hạ tầng Tân An</v>
      </c>
      <c r="C993" s="35" t="str">
        <f ca="1">IFERROR(__xludf.DUMMYFUNCTION("""COMPUTED_VALUE"""),"Nguyễn Thành Phạm Trung")</f>
        <v>Nguyễn Thành Phạm Trung</v>
      </c>
      <c r="D993" s="35">
        <f ca="1">IFERROR(__xludf.DUMMYFUNCTION("""COMPUTED_VALUE"""),941328668)</f>
        <v>941328668</v>
      </c>
      <c r="E993" s="35" t="str">
        <f ca="1">IFERROR(__xludf.DUMMYFUNCTION("""COMPUTED_VALUE"""),"trungntp.lan@vnpt.vn")</f>
        <v>trungntp.lan@vnpt.vn</v>
      </c>
      <c r="F993" s="540" t="str">
        <f ca="1">IFERROR(__xludf.DUMMYFUNCTION("""COMPUTED_VALUE"""),"Lần 11")</f>
        <v>Lần 11</v>
      </c>
      <c r="G993" s="278"/>
      <c r="H993" s="35"/>
      <c r="I993" s="35"/>
      <c r="J993" s="541"/>
      <c r="K993" s="541"/>
      <c r="M993" s="539">
        <f ca="1">IFERROR(__xludf.DUMMYFUNCTION("""COMPUTED_VALUE"""),0)</f>
        <v>0</v>
      </c>
      <c r="N993" s="539">
        <f ca="1">IFERROR(__xludf.DUMMYFUNCTION("""COMPUTED_VALUE"""),0)</f>
        <v>0</v>
      </c>
      <c r="O993" s="539">
        <f ca="1">IFERROR(__xludf.DUMMYFUNCTION("""COMPUTED_VALUE"""),0)</f>
        <v>0</v>
      </c>
    </row>
    <row r="994" spans="1:15" ht="12.75">
      <c r="A994" s="539">
        <f ca="1"/>
        <v>988</v>
      </c>
      <c r="B994" s="35" t="str">
        <f ca="1">IFERROR(__xludf.DUMMYFUNCTION("""COMPUTED_VALUE"""),"Tổ Hạ tầng Tân An")</f>
        <v>Tổ Hạ tầng Tân An</v>
      </c>
      <c r="C994" s="35" t="str">
        <f ca="1">IFERROR(__xludf.DUMMYFUNCTION("""COMPUTED_VALUE"""),"Nguyễn Thành Phạm Trung")</f>
        <v>Nguyễn Thành Phạm Trung</v>
      </c>
      <c r="D994" s="35">
        <f ca="1">IFERROR(__xludf.DUMMYFUNCTION("""COMPUTED_VALUE"""),941328668)</f>
        <v>941328668</v>
      </c>
      <c r="E994" s="35" t="str">
        <f ca="1">IFERROR(__xludf.DUMMYFUNCTION("""COMPUTED_VALUE"""),"trungntp.lan@vnpt.vn")</f>
        <v>trungntp.lan@vnpt.vn</v>
      </c>
      <c r="F994" s="540" t="str">
        <f ca="1">IFERROR(__xludf.DUMMYFUNCTION("""COMPUTED_VALUE"""),"Lần 12")</f>
        <v>Lần 12</v>
      </c>
      <c r="G994" s="278"/>
      <c r="H994" s="35"/>
      <c r="I994" s="35"/>
      <c r="J994" s="541"/>
      <c r="K994" s="541"/>
      <c r="M994" s="539">
        <f ca="1">IFERROR(__xludf.DUMMYFUNCTION("""COMPUTED_VALUE"""),0)</f>
        <v>0</v>
      </c>
      <c r="N994" s="539">
        <f ca="1">IFERROR(__xludf.DUMMYFUNCTION("""COMPUTED_VALUE"""),0)</f>
        <v>0</v>
      </c>
      <c r="O994" s="539">
        <f ca="1">IFERROR(__xludf.DUMMYFUNCTION("""COMPUTED_VALUE"""),0)</f>
        <v>0</v>
      </c>
    </row>
    <row r="995" spans="1:15" ht="12.75">
      <c r="A995" s="539">
        <f ca="1"/>
        <v>989</v>
      </c>
      <c r="B995" s="35" t="str">
        <f ca="1">IFERROR(__xludf.DUMMYFUNCTION("""COMPUTED_VALUE"""),"Tổ Hạ tầng Tân An")</f>
        <v>Tổ Hạ tầng Tân An</v>
      </c>
      <c r="C995" s="35" t="str">
        <f ca="1">IFERROR(__xludf.DUMMYFUNCTION("""COMPUTED_VALUE"""),"Nguyễn Thành Phạm Trung")</f>
        <v>Nguyễn Thành Phạm Trung</v>
      </c>
      <c r="D995" s="35">
        <f ca="1">IFERROR(__xludf.DUMMYFUNCTION("""COMPUTED_VALUE"""),941328668)</f>
        <v>941328668</v>
      </c>
      <c r="E995" s="35" t="str">
        <f ca="1">IFERROR(__xludf.DUMMYFUNCTION("""COMPUTED_VALUE"""),"trungntp.lan@vnpt.vn")</f>
        <v>trungntp.lan@vnpt.vn</v>
      </c>
      <c r="F995" s="540" t="str">
        <f ca="1">IFERROR(__xludf.DUMMYFUNCTION("""COMPUTED_VALUE"""),"Lần 13")</f>
        <v>Lần 13</v>
      </c>
      <c r="G995" s="278"/>
      <c r="H995" s="35"/>
      <c r="I995" s="35"/>
      <c r="J995" s="541"/>
      <c r="K995" s="541"/>
      <c r="M995" s="539">
        <f ca="1">IFERROR(__xludf.DUMMYFUNCTION("""COMPUTED_VALUE"""),0)</f>
        <v>0</v>
      </c>
      <c r="N995" s="539">
        <f ca="1">IFERROR(__xludf.DUMMYFUNCTION("""COMPUTED_VALUE"""),0)</f>
        <v>0</v>
      </c>
      <c r="O995" s="539">
        <f ca="1">IFERROR(__xludf.DUMMYFUNCTION("""COMPUTED_VALUE"""),0)</f>
        <v>0</v>
      </c>
    </row>
    <row r="996" spans="1:15" ht="12.75">
      <c r="A996" s="539">
        <f ca="1"/>
        <v>990</v>
      </c>
      <c r="B996" s="35" t="str">
        <f ca="1">IFERROR(__xludf.DUMMYFUNCTION("""COMPUTED_VALUE"""),"Tổ Hạ tầng Tân An")</f>
        <v>Tổ Hạ tầng Tân An</v>
      </c>
      <c r="C996" s="35" t="str">
        <f ca="1">IFERROR(__xludf.DUMMYFUNCTION("""COMPUTED_VALUE"""),"Nguyễn Thành Phạm Trung")</f>
        <v>Nguyễn Thành Phạm Trung</v>
      </c>
      <c r="D996" s="35">
        <f ca="1">IFERROR(__xludf.DUMMYFUNCTION("""COMPUTED_VALUE"""),941328668)</f>
        <v>941328668</v>
      </c>
      <c r="E996" s="35" t="str">
        <f ca="1">IFERROR(__xludf.DUMMYFUNCTION("""COMPUTED_VALUE"""),"trungntp.lan@vnpt.vn")</f>
        <v>trungntp.lan@vnpt.vn</v>
      </c>
      <c r="F996" s="540" t="str">
        <f ca="1">IFERROR(__xludf.DUMMYFUNCTION("""COMPUTED_VALUE"""),"Lần 14")</f>
        <v>Lần 14</v>
      </c>
      <c r="G996" s="278"/>
      <c r="H996" s="35"/>
      <c r="I996" s="35"/>
      <c r="J996" s="541"/>
      <c r="K996" s="541"/>
      <c r="M996" s="539">
        <f ca="1">IFERROR(__xludf.DUMMYFUNCTION("""COMPUTED_VALUE"""),0)</f>
        <v>0</v>
      </c>
      <c r="N996" s="539">
        <f ca="1">IFERROR(__xludf.DUMMYFUNCTION("""COMPUTED_VALUE"""),0)</f>
        <v>0</v>
      </c>
      <c r="O996" s="539">
        <f ca="1">IFERROR(__xludf.DUMMYFUNCTION("""COMPUTED_VALUE"""),0)</f>
        <v>0</v>
      </c>
    </row>
    <row r="997" spans="1:15" ht="12.75">
      <c r="A997" s="539">
        <f ca="1"/>
        <v>991</v>
      </c>
      <c r="B997" s="35" t="str">
        <f ca="1">IFERROR(__xludf.DUMMYFUNCTION("""COMPUTED_VALUE"""),"Tổ Hạ tầng Tân An")</f>
        <v>Tổ Hạ tầng Tân An</v>
      </c>
      <c r="C997" s="35" t="str">
        <f ca="1">IFERROR(__xludf.DUMMYFUNCTION("""COMPUTED_VALUE"""),"Nguyễn Thành Phạm Trung")</f>
        <v>Nguyễn Thành Phạm Trung</v>
      </c>
      <c r="D997" s="35">
        <f ca="1">IFERROR(__xludf.DUMMYFUNCTION("""COMPUTED_VALUE"""),941328668)</f>
        <v>941328668</v>
      </c>
      <c r="E997" s="35" t="str">
        <f ca="1">IFERROR(__xludf.DUMMYFUNCTION("""COMPUTED_VALUE"""),"trungntp.lan@vnpt.vn")</f>
        <v>trungntp.lan@vnpt.vn</v>
      </c>
      <c r="F997" s="540" t="str">
        <f ca="1">IFERROR(__xludf.DUMMYFUNCTION("""COMPUTED_VALUE"""),"Lần 15")</f>
        <v>Lần 15</v>
      </c>
      <c r="G997" s="278"/>
      <c r="H997" s="35"/>
      <c r="I997" s="35"/>
      <c r="J997" s="541"/>
      <c r="K997" s="541"/>
      <c r="M997" s="539">
        <f ca="1">IFERROR(__xludf.DUMMYFUNCTION("""COMPUTED_VALUE"""),0)</f>
        <v>0</v>
      </c>
      <c r="N997" s="539">
        <f ca="1">IFERROR(__xludf.DUMMYFUNCTION("""COMPUTED_VALUE"""),0)</f>
        <v>0</v>
      </c>
      <c r="O997" s="539">
        <f ca="1">IFERROR(__xludf.DUMMYFUNCTION("""COMPUTED_VALUE"""),0)</f>
        <v>0</v>
      </c>
    </row>
    <row r="998" spans="1:15" ht="12.75">
      <c r="A998" s="539">
        <f ca="1"/>
        <v>992</v>
      </c>
      <c r="B998" s="35" t="str">
        <f ca="1">IFERROR(__xludf.DUMMYFUNCTION("""COMPUTED_VALUE"""),"Tổ Hạ tầng Tân An")</f>
        <v>Tổ Hạ tầng Tân An</v>
      </c>
      <c r="C998" s="35" t="str">
        <f ca="1">IFERROR(__xludf.DUMMYFUNCTION("""COMPUTED_VALUE"""),"Nguyễn Thành Phạm Trung")</f>
        <v>Nguyễn Thành Phạm Trung</v>
      </c>
      <c r="D998" s="35">
        <f ca="1">IFERROR(__xludf.DUMMYFUNCTION("""COMPUTED_VALUE"""),941328668)</f>
        <v>941328668</v>
      </c>
      <c r="E998" s="35" t="str">
        <f ca="1">IFERROR(__xludf.DUMMYFUNCTION("""COMPUTED_VALUE"""),"trungntp.lan@vnpt.vn")</f>
        <v>trungntp.lan@vnpt.vn</v>
      </c>
      <c r="F998" s="540" t="str">
        <f ca="1">IFERROR(__xludf.DUMMYFUNCTION("""COMPUTED_VALUE"""),"Lần 16")</f>
        <v>Lần 16</v>
      </c>
      <c r="G998" s="278"/>
      <c r="H998" s="35"/>
      <c r="I998" s="35"/>
      <c r="J998" s="541"/>
      <c r="K998" s="541"/>
      <c r="M998" s="539">
        <f ca="1">IFERROR(__xludf.DUMMYFUNCTION("""COMPUTED_VALUE"""),0)</f>
        <v>0</v>
      </c>
      <c r="N998" s="539">
        <f ca="1">IFERROR(__xludf.DUMMYFUNCTION("""COMPUTED_VALUE"""),0)</f>
        <v>0</v>
      </c>
      <c r="O998" s="539">
        <f ca="1">IFERROR(__xludf.DUMMYFUNCTION("""COMPUTED_VALUE"""),0)</f>
        <v>0</v>
      </c>
    </row>
    <row r="999" spans="1:15" ht="12.75">
      <c r="A999" s="539">
        <f ca="1"/>
        <v>993</v>
      </c>
      <c r="B999" s="35" t="str">
        <f ca="1">IFERROR(__xludf.DUMMYFUNCTION("""COMPUTED_VALUE"""),"Tổ Hạ tầng Tân An")</f>
        <v>Tổ Hạ tầng Tân An</v>
      </c>
      <c r="C999" s="35" t="str">
        <f ca="1">IFERROR(__xludf.DUMMYFUNCTION("""COMPUTED_VALUE"""),"Đỗ Tấn Phát")</f>
        <v>Đỗ Tấn Phát</v>
      </c>
      <c r="D999" s="35">
        <f ca="1">IFERROR(__xludf.DUMMYFUNCTION("""COMPUTED_VALUE"""),917769763)</f>
        <v>917769763</v>
      </c>
      <c r="E999" s="35" t="str">
        <f ca="1">IFERROR(__xludf.DUMMYFUNCTION("""COMPUTED_VALUE"""),"phatdt.lan@vnpt.vn")</f>
        <v>phatdt.lan@vnpt.vn</v>
      </c>
      <c r="F999" s="540" t="str">
        <f ca="1">IFERROR(__xludf.DUMMYFUNCTION("""COMPUTED_VALUE"""),"Lần 1")</f>
        <v>Lần 1</v>
      </c>
      <c r="G999" s="278"/>
      <c r="H999" s="35"/>
      <c r="I999" s="35"/>
      <c r="J999" s="541"/>
      <c r="K999" s="541"/>
      <c r="M999" s="539">
        <f ca="1">IFERROR(__xludf.DUMMYFUNCTION("""COMPUTED_VALUE"""),0)</f>
        <v>0</v>
      </c>
      <c r="N999" s="539">
        <f ca="1">IFERROR(__xludf.DUMMYFUNCTION("""COMPUTED_VALUE"""),0)</f>
        <v>0</v>
      </c>
      <c r="O999" s="539">
        <f ca="1">IFERROR(__xludf.DUMMYFUNCTION("""COMPUTED_VALUE"""),0)</f>
        <v>0</v>
      </c>
    </row>
    <row r="1000" spans="1:15" ht="12.75">
      <c r="A1000" s="539">
        <f ca="1"/>
        <v>994</v>
      </c>
      <c r="B1000" s="35" t="str">
        <f ca="1">IFERROR(__xludf.DUMMYFUNCTION("""COMPUTED_VALUE"""),"Tổ Hạ tầng Tân An")</f>
        <v>Tổ Hạ tầng Tân An</v>
      </c>
      <c r="C1000" s="35" t="str">
        <f ca="1">IFERROR(__xludf.DUMMYFUNCTION("""COMPUTED_VALUE"""),"Đỗ Tấn Phát")</f>
        <v>Đỗ Tấn Phát</v>
      </c>
      <c r="D1000" s="35">
        <f ca="1">IFERROR(__xludf.DUMMYFUNCTION("""COMPUTED_VALUE"""),917769763)</f>
        <v>917769763</v>
      </c>
      <c r="E1000" s="35" t="str">
        <f ca="1">IFERROR(__xludf.DUMMYFUNCTION("""COMPUTED_VALUE"""),"phatdt.lan@vnpt.vn")</f>
        <v>phatdt.lan@vnpt.vn</v>
      </c>
      <c r="F1000" s="540" t="str">
        <f ca="1">IFERROR(__xludf.DUMMYFUNCTION("""COMPUTED_VALUE"""),"Lần 2")</f>
        <v>Lần 2</v>
      </c>
      <c r="G1000" s="278"/>
      <c r="H1000" s="35"/>
      <c r="I1000" s="35"/>
      <c r="J1000" s="541"/>
      <c r="K1000" s="541"/>
      <c r="M1000" s="539">
        <f ca="1">IFERROR(__xludf.DUMMYFUNCTION("""COMPUTED_VALUE"""),0)</f>
        <v>0</v>
      </c>
      <c r="N1000" s="539">
        <f ca="1">IFERROR(__xludf.DUMMYFUNCTION("""COMPUTED_VALUE"""),0)</f>
        <v>0</v>
      </c>
      <c r="O1000" s="539">
        <f ca="1">IFERROR(__xludf.DUMMYFUNCTION("""COMPUTED_VALUE"""),0)</f>
        <v>0</v>
      </c>
    </row>
    <row r="1001" spans="1:15" ht="12.75">
      <c r="A1001" s="539">
        <f ca="1"/>
        <v>995</v>
      </c>
      <c r="B1001" s="35" t="str">
        <f ca="1">IFERROR(__xludf.DUMMYFUNCTION("""COMPUTED_VALUE"""),"Tổ Hạ tầng Tân An")</f>
        <v>Tổ Hạ tầng Tân An</v>
      </c>
      <c r="C1001" s="35" t="str">
        <f ca="1">IFERROR(__xludf.DUMMYFUNCTION("""COMPUTED_VALUE"""),"Đỗ Tấn Phát")</f>
        <v>Đỗ Tấn Phát</v>
      </c>
      <c r="D1001" s="35">
        <f ca="1">IFERROR(__xludf.DUMMYFUNCTION("""COMPUTED_VALUE"""),917769763)</f>
        <v>917769763</v>
      </c>
      <c r="E1001" s="35" t="str">
        <f ca="1">IFERROR(__xludf.DUMMYFUNCTION("""COMPUTED_VALUE"""),"phatdt.lan@vnpt.vn")</f>
        <v>phatdt.lan@vnpt.vn</v>
      </c>
      <c r="F1001" s="540" t="str">
        <f ca="1">IFERROR(__xludf.DUMMYFUNCTION("""COMPUTED_VALUE"""),"Lần 3")</f>
        <v>Lần 3</v>
      </c>
      <c r="G1001" s="278"/>
      <c r="H1001" s="35"/>
      <c r="I1001" s="35"/>
      <c r="J1001" s="541"/>
      <c r="K1001" s="541"/>
      <c r="M1001" s="539">
        <f ca="1">IFERROR(__xludf.DUMMYFUNCTION("""COMPUTED_VALUE"""),0)</f>
        <v>0</v>
      </c>
      <c r="N1001" s="539">
        <f ca="1">IFERROR(__xludf.DUMMYFUNCTION("""COMPUTED_VALUE"""),0)</f>
        <v>0</v>
      </c>
      <c r="O1001" s="539">
        <f ca="1">IFERROR(__xludf.DUMMYFUNCTION("""COMPUTED_VALUE"""),0)</f>
        <v>0</v>
      </c>
    </row>
    <row r="1002" spans="1:15" ht="12.75">
      <c r="A1002" s="539">
        <f ca="1"/>
        <v>996</v>
      </c>
      <c r="B1002" s="35" t="str">
        <f ca="1">IFERROR(__xludf.DUMMYFUNCTION("""COMPUTED_VALUE"""),"Tổ Hạ tầng Tân An")</f>
        <v>Tổ Hạ tầng Tân An</v>
      </c>
      <c r="C1002" s="35" t="str">
        <f ca="1">IFERROR(__xludf.DUMMYFUNCTION("""COMPUTED_VALUE"""),"Đỗ Tấn Phát")</f>
        <v>Đỗ Tấn Phát</v>
      </c>
      <c r="D1002" s="35">
        <f ca="1">IFERROR(__xludf.DUMMYFUNCTION("""COMPUTED_VALUE"""),917769763)</f>
        <v>917769763</v>
      </c>
      <c r="E1002" s="35" t="str">
        <f ca="1">IFERROR(__xludf.DUMMYFUNCTION("""COMPUTED_VALUE"""),"phatdt.lan@vnpt.vn")</f>
        <v>phatdt.lan@vnpt.vn</v>
      </c>
      <c r="F1002" s="540" t="str">
        <f ca="1">IFERROR(__xludf.DUMMYFUNCTION("""COMPUTED_VALUE"""),"Lần 4")</f>
        <v>Lần 4</v>
      </c>
      <c r="G1002" s="278"/>
      <c r="H1002" s="35"/>
      <c r="I1002" s="35"/>
      <c r="J1002" s="541"/>
      <c r="K1002" s="541"/>
      <c r="M1002" s="539">
        <f ca="1">IFERROR(__xludf.DUMMYFUNCTION("""COMPUTED_VALUE"""),0)</f>
        <v>0</v>
      </c>
      <c r="N1002" s="539">
        <f ca="1">IFERROR(__xludf.DUMMYFUNCTION("""COMPUTED_VALUE"""),0)</f>
        <v>0</v>
      </c>
      <c r="O1002" s="539">
        <f ca="1">IFERROR(__xludf.DUMMYFUNCTION("""COMPUTED_VALUE"""),0)</f>
        <v>0</v>
      </c>
    </row>
    <row r="1003" spans="1:15" ht="12.75">
      <c r="A1003" s="539">
        <f ca="1"/>
        <v>997</v>
      </c>
      <c r="B1003" s="35" t="str">
        <f ca="1">IFERROR(__xludf.DUMMYFUNCTION("""COMPUTED_VALUE"""),"Tổ Hạ tầng Tân An")</f>
        <v>Tổ Hạ tầng Tân An</v>
      </c>
      <c r="C1003" s="35" t="str">
        <f ca="1">IFERROR(__xludf.DUMMYFUNCTION("""COMPUTED_VALUE"""),"Đỗ Tấn Phát")</f>
        <v>Đỗ Tấn Phát</v>
      </c>
      <c r="D1003" s="35">
        <f ca="1">IFERROR(__xludf.DUMMYFUNCTION("""COMPUTED_VALUE"""),917769763)</f>
        <v>917769763</v>
      </c>
      <c r="E1003" s="35" t="str">
        <f ca="1">IFERROR(__xludf.DUMMYFUNCTION("""COMPUTED_VALUE"""),"phatdt.lan@vnpt.vn")</f>
        <v>phatdt.lan@vnpt.vn</v>
      </c>
      <c r="F1003" s="540" t="str">
        <f ca="1">IFERROR(__xludf.DUMMYFUNCTION("""COMPUTED_VALUE"""),"Lần 5")</f>
        <v>Lần 5</v>
      </c>
      <c r="G1003" s="278"/>
      <c r="H1003" s="35"/>
      <c r="I1003" s="35"/>
      <c r="J1003" s="541"/>
      <c r="K1003" s="541"/>
      <c r="M1003" s="539">
        <f ca="1">IFERROR(__xludf.DUMMYFUNCTION("""COMPUTED_VALUE"""),0)</f>
        <v>0</v>
      </c>
      <c r="N1003" s="539">
        <f ca="1">IFERROR(__xludf.DUMMYFUNCTION("""COMPUTED_VALUE"""),0)</f>
        <v>0</v>
      </c>
      <c r="O1003" s="539">
        <f ca="1">IFERROR(__xludf.DUMMYFUNCTION("""COMPUTED_VALUE"""),0)</f>
        <v>0</v>
      </c>
    </row>
    <row r="1004" spans="1:15" ht="12.75">
      <c r="A1004" s="539">
        <f ca="1"/>
        <v>998</v>
      </c>
      <c r="B1004" s="35" t="str">
        <f ca="1">IFERROR(__xludf.DUMMYFUNCTION("""COMPUTED_VALUE"""),"Tổ Hạ tầng Tân An")</f>
        <v>Tổ Hạ tầng Tân An</v>
      </c>
      <c r="C1004" s="35" t="str">
        <f ca="1">IFERROR(__xludf.DUMMYFUNCTION("""COMPUTED_VALUE"""),"Đỗ Tấn Phát")</f>
        <v>Đỗ Tấn Phát</v>
      </c>
      <c r="D1004" s="35">
        <f ca="1">IFERROR(__xludf.DUMMYFUNCTION("""COMPUTED_VALUE"""),917769763)</f>
        <v>917769763</v>
      </c>
      <c r="E1004" s="35" t="str">
        <f ca="1">IFERROR(__xludf.DUMMYFUNCTION("""COMPUTED_VALUE"""),"phatdt.lan@vnpt.vn")</f>
        <v>phatdt.lan@vnpt.vn</v>
      </c>
      <c r="F1004" s="540" t="str">
        <f ca="1">IFERROR(__xludf.DUMMYFUNCTION("""COMPUTED_VALUE"""),"Lần 6")</f>
        <v>Lần 6</v>
      </c>
      <c r="G1004" s="278"/>
      <c r="H1004" s="35"/>
      <c r="I1004" s="35"/>
      <c r="J1004" s="541"/>
      <c r="K1004" s="541"/>
      <c r="M1004" s="539">
        <f ca="1">IFERROR(__xludf.DUMMYFUNCTION("""COMPUTED_VALUE"""),0)</f>
        <v>0</v>
      </c>
      <c r="N1004" s="539">
        <f ca="1">IFERROR(__xludf.DUMMYFUNCTION("""COMPUTED_VALUE"""),0)</f>
        <v>0</v>
      </c>
      <c r="O1004" s="539">
        <f ca="1">IFERROR(__xludf.DUMMYFUNCTION("""COMPUTED_VALUE"""),0)</f>
        <v>0</v>
      </c>
    </row>
    <row r="1005" spans="1:15" ht="12.75">
      <c r="A1005" s="539">
        <f ca="1"/>
        <v>999</v>
      </c>
      <c r="B1005" s="35" t="str">
        <f ca="1">IFERROR(__xludf.DUMMYFUNCTION("""COMPUTED_VALUE"""),"Tổ Hạ tầng Tân An")</f>
        <v>Tổ Hạ tầng Tân An</v>
      </c>
      <c r="C1005" s="35" t="str">
        <f ca="1">IFERROR(__xludf.DUMMYFUNCTION("""COMPUTED_VALUE"""),"Đỗ Tấn Phát")</f>
        <v>Đỗ Tấn Phát</v>
      </c>
      <c r="D1005" s="35">
        <f ca="1">IFERROR(__xludf.DUMMYFUNCTION("""COMPUTED_VALUE"""),917769763)</f>
        <v>917769763</v>
      </c>
      <c r="E1005" s="35" t="str">
        <f ca="1">IFERROR(__xludf.DUMMYFUNCTION("""COMPUTED_VALUE"""),"phatdt.lan@vnpt.vn")</f>
        <v>phatdt.lan@vnpt.vn</v>
      </c>
      <c r="F1005" s="540" t="str">
        <f ca="1">IFERROR(__xludf.DUMMYFUNCTION("""COMPUTED_VALUE"""),"Lần 7")</f>
        <v>Lần 7</v>
      </c>
      <c r="G1005" s="278"/>
      <c r="H1005" s="35"/>
      <c r="I1005" s="35"/>
      <c r="J1005" s="541"/>
      <c r="K1005" s="541"/>
      <c r="M1005" s="539">
        <f ca="1">IFERROR(__xludf.DUMMYFUNCTION("""COMPUTED_VALUE"""),0)</f>
        <v>0</v>
      </c>
      <c r="N1005" s="539">
        <f ca="1">IFERROR(__xludf.DUMMYFUNCTION("""COMPUTED_VALUE"""),0)</f>
        <v>0</v>
      </c>
      <c r="O1005" s="539">
        <f ca="1">IFERROR(__xludf.DUMMYFUNCTION("""COMPUTED_VALUE"""),0)</f>
        <v>0</v>
      </c>
    </row>
    <row r="1006" spans="1:15" ht="12.75">
      <c r="A1006" s="539">
        <f ca="1"/>
        <v>1000</v>
      </c>
      <c r="B1006" s="35" t="str">
        <f ca="1">IFERROR(__xludf.DUMMYFUNCTION("""COMPUTED_VALUE"""),"Tổ Hạ tầng Tân An")</f>
        <v>Tổ Hạ tầng Tân An</v>
      </c>
      <c r="C1006" s="35" t="str">
        <f ca="1">IFERROR(__xludf.DUMMYFUNCTION("""COMPUTED_VALUE"""),"Đỗ Tấn Phát")</f>
        <v>Đỗ Tấn Phát</v>
      </c>
      <c r="D1006" s="35">
        <f ca="1">IFERROR(__xludf.DUMMYFUNCTION("""COMPUTED_VALUE"""),917769763)</f>
        <v>917769763</v>
      </c>
      <c r="E1006" s="35" t="str">
        <f ca="1">IFERROR(__xludf.DUMMYFUNCTION("""COMPUTED_VALUE"""),"phatdt.lan@vnpt.vn")</f>
        <v>phatdt.lan@vnpt.vn</v>
      </c>
      <c r="F1006" s="540" t="str">
        <f ca="1">IFERROR(__xludf.DUMMYFUNCTION("""COMPUTED_VALUE"""),"Lần 8")</f>
        <v>Lần 8</v>
      </c>
      <c r="G1006" s="278"/>
      <c r="H1006" s="35"/>
      <c r="I1006" s="35"/>
      <c r="J1006" s="541"/>
      <c r="K1006" s="541"/>
      <c r="M1006" s="539">
        <f ca="1">IFERROR(__xludf.DUMMYFUNCTION("""COMPUTED_VALUE"""),0)</f>
        <v>0</v>
      </c>
      <c r="N1006" s="539">
        <f ca="1">IFERROR(__xludf.DUMMYFUNCTION("""COMPUTED_VALUE"""),0)</f>
        <v>0</v>
      </c>
      <c r="O1006" s="539">
        <f ca="1">IFERROR(__xludf.DUMMYFUNCTION("""COMPUTED_VALUE"""),0)</f>
        <v>0</v>
      </c>
    </row>
    <row r="1007" spans="1:15" ht="12.75">
      <c r="A1007" s="539">
        <f ca="1"/>
        <v>1001</v>
      </c>
      <c r="B1007" s="35" t="str">
        <f ca="1">IFERROR(__xludf.DUMMYFUNCTION("""COMPUTED_VALUE"""),"Tổ Hạ tầng Tân An")</f>
        <v>Tổ Hạ tầng Tân An</v>
      </c>
      <c r="C1007" s="35" t="str">
        <f ca="1">IFERROR(__xludf.DUMMYFUNCTION("""COMPUTED_VALUE"""),"Đỗ Tấn Phát")</f>
        <v>Đỗ Tấn Phát</v>
      </c>
      <c r="D1007" s="35">
        <f ca="1">IFERROR(__xludf.DUMMYFUNCTION("""COMPUTED_VALUE"""),917769763)</f>
        <v>917769763</v>
      </c>
      <c r="E1007" s="35" t="str">
        <f ca="1">IFERROR(__xludf.DUMMYFUNCTION("""COMPUTED_VALUE"""),"phatdt.lan@vnpt.vn")</f>
        <v>phatdt.lan@vnpt.vn</v>
      </c>
      <c r="F1007" s="540" t="str">
        <f ca="1">IFERROR(__xludf.DUMMYFUNCTION("""COMPUTED_VALUE"""),"Lần 9")</f>
        <v>Lần 9</v>
      </c>
      <c r="G1007" s="278"/>
      <c r="H1007" s="35"/>
      <c r="I1007" s="35"/>
      <c r="J1007" s="541"/>
      <c r="K1007" s="541"/>
      <c r="M1007" s="539">
        <f ca="1">IFERROR(__xludf.DUMMYFUNCTION("""COMPUTED_VALUE"""),0)</f>
        <v>0</v>
      </c>
      <c r="N1007" s="539">
        <f ca="1">IFERROR(__xludf.DUMMYFUNCTION("""COMPUTED_VALUE"""),0)</f>
        <v>0</v>
      </c>
      <c r="O1007" s="539">
        <f ca="1">IFERROR(__xludf.DUMMYFUNCTION("""COMPUTED_VALUE"""),0)</f>
        <v>0</v>
      </c>
    </row>
    <row r="1008" spans="1:15" ht="12.75">
      <c r="A1008" s="539">
        <f ca="1"/>
        <v>1002</v>
      </c>
      <c r="B1008" s="35" t="str">
        <f ca="1">IFERROR(__xludf.DUMMYFUNCTION("""COMPUTED_VALUE"""),"Tổ Hạ tầng Tân An")</f>
        <v>Tổ Hạ tầng Tân An</v>
      </c>
      <c r="C1008" s="35" t="str">
        <f ca="1">IFERROR(__xludf.DUMMYFUNCTION("""COMPUTED_VALUE"""),"Đỗ Tấn Phát")</f>
        <v>Đỗ Tấn Phát</v>
      </c>
      <c r="D1008" s="35">
        <f ca="1">IFERROR(__xludf.DUMMYFUNCTION("""COMPUTED_VALUE"""),917769763)</f>
        <v>917769763</v>
      </c>
      <c r="E1008" s="35" t="str">
        <f ca="1">IFERROR(__xludf.DUMMYFUNCTION("""COMPUTED_VALUE"""),"phatdt.lan@vnpt.vn")</f>
        <v>phatdt.lan@vnpt.vn</v>
      </c>
      <c r="F1008" s="540" t="str">
        <f ca="1">IFERROR(__xludf.DUMMYFUNCTION("""COMPUTED_VALUE"""),"Lần 10")</f>
        <v>Lần 10</v>
      </c>
      <c r="G1008" s="278"/>
      <c r="H1008" s="35"/>
      <c r="I1008" s="35"/>
      <c r="J1008" s="541"/>
      <c r="K1008" s="541"/>
      <c r="M1008" s="539">
        <f ca="1">IFERROR(__xludf.DUMMYFUNCTION("""COMPUTED_VALUE"""),0)</f>
        <v>0</v>
      </c>
      <c r="N1008" s="539">
        <f ca="1">IFERROR(__xludf.DUMMYFUNCTION("""COMPUTED_VALUE"""),0)</f>
        <v>0</v>
      </c>
      <c r="O1008" s="539">
        <f ca="1">IFERROR(__xludf.DUMMYFUNCTION("""COMPUTED_VALUE"""),0)</f>
        <v>0</v>
      </c>
    </row>
    <row r="1009" spans="1:15" ht="12.75">
      <c r="A1009" s="539">
        <f ca="1"/>
        <v>1003</v>
      </c>
      <c r="B1009" s="35" t="str">
        <f ca="1">IFERROR(__xludf.DUMMYFUNCTION("""COMPUTED_VALUE"""),"Tổ Hạ tầng Tân An")</f>
        <v>Tổ Hạ tầng Tân An</v>
      </c>
      <c r="C1009" s="35" t="str">
        <f ca="1">IFERROR(__xludf.DUMMYFUNCTION("""COMPUTED_VALUE"""),"Đỗ Tấn Phát")</f>
        <v>Đỗ Tấn Phát</v>
      </c>
      <c r="D1009" s="35">
        <f ca="1">IFERROR(__xludf.DUMMYFUNCTION("""COMPUTED_VALUE"""),917769763)</f>
        <v>917769763</v>
      </c>
      <c r="E1009" s="35" t="str">
        <f ca="1">IFERROR(__xludf.DUMMYFUNCTION("""COMPUTED_VALUE"""),"phatdt.lan@vnpt.vn")</f>
        <v>phatdt.lan@vnpt.vn</v>
      </c>
      <c r="F1009" s="540" t="str">
        <f ca="1">IFERROR(__xludf.DUMMYFUNCTION("""COMPUTED_VALUE"""),"Lần 11")</f>
        <v>Lần 11</v>
      </c>
      <c r="G1009" s="278"/>
      <c r="H1009" s="35"/>
      <c r="I1009" s="35"/>
      <c r="J1009" s="541"/>
      <c r="K1009" s="541"/>
      <c r="M1009" s="539">
        <f ca="1">IFERROR(__xludf.DUMMYFUNCTION("""COMPUTED_VALUE"""),0)</f>
        <v>0</v>
      </c>
      <c r="N1009" s="539">
        <f ca="1">IFERROR(__xludf.DUMMYFUNCTION("""COMPUTED_VALUE"""),0)</f>
        <v>0</v>
      </c>
      <c r="O1009" s="539">
        <f ca="1">IFERROR(__xludf.DUMMYFUNCTION("""COMPUTED_VALUE"""),0)</f>
        <v>0</v>
      </c>
    </row>
    <row r="1010" spans="1:15" ht="12.75">
      <c r="A1010" s="539">
        <f ca="1"/>
        <v>1004</v>
      </c>
      <c r="B1010" s="35" t="str">
        <f ca="1">IFERROR(__xludf.DUMMYFUNCTION("""COMPUTED_VALUE"""),"Tổ Hạ tầng Tân An")</f>
        <v>Tổ Hạ tầng Tân An</v>
      </c>
      <c r="C1010" s="35" t="str">
        <f ca="1">IFERROR(__xludf.DUMMYFUNCTION("""COMPUTED_VALUE"""),"Đỗ Tấn Phát")</f>
        <v>Đỗ Tấn Phát</v>
      </c>
      <c r="D1010" s="35">
        <f ca="1">IFERROR(__xludf.DUMMYFUNCTION("""COMPUTED_VALUE"""),917769763)</f>
        <v>917769763</v>
      </c>
      <c r="E1010" s="35" t="str">
        <f ca="1">IFERROR(__xludf.DUMMYFUNCTION("""COMPUTED_VALUE"""),"phatdt.lan@vnpt.vn")</f>
        <v>phatdt.lan@vnpt.vn</v>
      </c>
      <c r="F1010" s="540" t="str">
        <f ca="1">IFERROR(__xludf.DUMMYFUNCTION("""COMPUTED_VALUE"""),"Lần 12")</f>
        <v>Lần 12</v>
      </c>
      <c r="G1010" s="278"/>
      <c r="H1010" s="35"/>
      <c r="I1010" s="35"/>
      <c r="J1010" s="541"/>
      <c r="K1010" s="541"/>
      <c r="M1010" s="539">
        <f ca="1">IFERROR(__xludf.DUMMYFUNCTION("""COMPUTED_VALUE"""),0)</f>
        <v>0</v>
      </c>
      <c r="N1010" s="539">
        <f ca="1">IFERROR(__xludf.DUMMYFUNCTION("""COMPUTED_VALUE"""),0)</f>
        <v>0</v>
      </c>
      <c r="O1010" s="539">
        <f ca="1">IFERROR(__xludf.DUMMYFUNCTION("""COMPUTED_VALUE"""),0)</f>
        <v>0</v>
      </c>
    </row>
    <row r="1011" spans="1:15" ht="12.75">
      <c r="A1011" s="539">
        <f ca="1"/>
        <v>1005</v>
      </c>
      <c r="B1011" s="35" t="str">
        <f ca="1">IFERROR(__xludf.DUMMYFUNCTION("""COMPUTED_VALUE"""),"Tổ Hạ tầng Tân An")</f>
        <v>Tổ Hạ tầng Tân An</v>
      </c>
      <c r="C1011" s="35" t="str">
        <f ca="1">IFERROR(__xludf.DUMMYFUNCTION("""COMPUTED_VALUE"""),"Đỗ Tấn Phát")</f>
        <v>Đỗ Tấn Phát</v>
      </c>
      <c r="D1011" s="35">
        <f ca="1">IFERROR(__xludf.DUMMYFUNCTION("""COMPUTED_VALUE"""),917769763)</f>
        <v>917769763</v>
      </c>
      <c r="E1011" s="35" t="str">
        <f ca="1">IFERROR(__xludf.DUMMYFUNCTION("""COMPUTED_VALUE"""),"phatdt.lan@vnpt.vn")</f>
        <v>phatdt.lan@vnpt.vn</v>
      </c>
      <c r="F1011" s="540" t="str">
        <f ca="1">IFERROR(__xludf.DUMMYFUNCTION("""COMPUTED_VALUE"""),"Lần 13")</f>
        <v>Lần 13</v>
      </c>
      <c r="G1011" s="278"/>
      <c r="H1011" s="35"/>
      <c r="I1011" s="35"/>
      <c r="J1011" s="541"/>
      <c r="K1011" s="541"/>
      <c r="M1011" s="539">
        <f ca="1">IFERROR(__xludf.DUMMYFUNCTION("""COMPUTED_VALUE"""),0)</f>
        <v>0</v>
      </c>
      <c r="N1011" s="539">
        <f ca="1">IFERROR(__xludf.DUMMYFUNCTION("""COMPUTED_VALUE"""),0)</f>
        <v>0</v>
      </c>
      <c r="O1011" s="539">
        <f ca="1">IFERROR(__xludf.DUMMYFUNCTION("""COMPUTED_VALUE"""),0)</f>
        <v>0</v>
      </c>
    </row>
    <row r="1012" spans="1:15" ht="12.75">
      <c r="A1012" s="539">
        <f ca="1"/>
        <v>1006</v>
      </c>
      <c r="B1012" s="35" t="str">
        <f ca="1">IFERROR(__xludf.DUMMYFUNCTION("""COMPUTED_VALUE"""),"Tổ Hạ tầng Tân An")</f>
        <v>Tổ Hạ tầng Tân An</v>
      </c>
      <c r="C1012" s="35" t="str">
        <f ca="1">IFERROR(__xludf.DUMMYFUNCTION("""COMPUTED_VALUE"""),"Đỗ Tấn Phát")</f>
        <v>Đỗ Tấn Phát</v>
      </c>
      <c r="D1012" s="35">
        <f ca="1">IFERROR(__xludf.DUMMYFUNCTION("""COMPUTED_VALUE"""),917769763)</f>
        <v>917769763</v>
      </c>
      <c r="E1012" s="35" t="str">
        <f ca="1">IFERROR(__xludf.DUMMYFUNCTION("""COMPUTED_VALUE"""),"phatdt.lan@vnpt.vn")</f>
        <v>phatdt.lan@vnpt.vn</v>
      </c>
      <c r="F1012" s="540" t="str">
        <f ca="1">IFERROR(__xludf.DUMMYFUNCTION("""COMPUTED_VALUE"""),"Lần 14")</f>
        <v>Lần 14</v>
      </c>
      <c r="G1012" s="278"/>
      <c r="H1012" s="35"/>
      <c r="I1012" s="35"/>
      <c r="J1012" s="541"/>
      <c r="K1012" s="541"/>
      <c r="M1012" s="539">
        <f ca="1">IFERROR(__xludf.DUMMYFUNCTION("""COMPUTED_VALUE"""),0)</f>
        <v>0</v>
      </c>
      <c r="N1012" s="539">
        <f ca="1">IFERROR(__xludf.DUMMYFUNCTION("""COMPUTED_VALUE"""),0)</f>
        <v>0</v>
      </c>
      <c r="O1012" s="539">
        <f ca="1">IFERROR(__xludf.DUMMYFUNCTION("""COMPUTED_VALUE"""),0)</f>
        <v>0</v>
      </c>
    </row>
    <row r="1013" spans="1:15" ht="12.75">
      <c r="A1013" s="539">
        <f ca="1"/>
        <v>1007</v>
      </c>
      <c r="B1013" s="35" t="str">
        <f ca="1">IFERROR(__xludf.DUMMYFUNCTION("""COMPUTED_VALUE"""),"Tổ Hạ tầng Tân An")</f>
        <v>Tổ Hạ tầng Tân An</v>
      </c>
      <c r="C1013" s="35" t="str">
        <f ca="1">IFERROR(__xludf.DUMMYFUNCTION("""COMPUTED_VALUE"""),"Đỗ Tấn Phát")</f>
        <v>Đỗ Tấn Phát</v>
      </c>
      <c r="D1013" s="35">
        <f ca="1">IFERROR(__xludf.DUMMYFUNCTION("""COMPUTED_VALUE"""),917769763)</f>
        <v>917769763</v>
      </c>
      <c r="E1013" s="35" t="str">
        <f ca="1">IFERROR(__xludf.DUMMYFUNCTION("""COMPUTED_VALUE"""),"phatdt.lan@vnpt.vn")</f>
        <v>phatdt.lan@vnpt.vn</v>
      </c>
      <c r="F1013" s="540" t="str">
        <f ca="1">IFERROR(__xludf.DUMMYFUNCTION("""COMPUTED_VALUE"""),"Lần 15")</f>
        <v>Lần 15</v>
      </c>
      <c r="G1013" s="278"/>
      <c r="H1013" s="35"/>
      <c r="I1013" s="35"/>
      <c r="J1013" s="541"/>
      <c r="K1013" s="541"/>
      <c r="M1013" s="539">
        <f ca="1">IFERROR(__xludf.DUMMYFUNCTION("""COMPUTED_VALUE"""),0)</f>
        <v>0</v>
      </c>
      <c r="N1013" s="539">
        <f ca="1">IFERROR(__xludf.DUMMYFUNCTION("""COMPUTED_VALUE"""),0)</f>
        <v>0</v>
      </c>
      <c r="O1013" s="539">
        <f ca="1">IFERROR(__xludf.DUMMYFUNCTION("""COMPUTED_VALUE"""),0)</f>
        <v>0</v>
      </c>
    </row>
    <row r="1014" spans="1:15" ht="12.75">
      <c r="A1014" s="539">
        <f ca="1"/>
        <v>1008</v>
      </c>
      <c r="B1014" s="35" t="str">
        <f ca="1">IFERROR(__xludf.DUMMYFUNCTION("""COMPUTED_VALUE"""),"Tổ Hạ tầng Tân An")</f>
        <v>Tổ Hạ tầng Tân An</v>
      </c>
      <c r="C1014" s="35" t="str">
        <f ca="1">IFERROR(__xludf.DUMMYFUNCTION("""COMPUTED_VALUE"""),"Đỗ Tấn Phát")</f>
        <v>Đỗ Tấn Phát</v>
      </c>
      <c r="D1014" s="35">
        <f ca="1">IFERROR(__xludf.DUMMYFUNCTION("""COMPUTED_VALUE"""),917769763)</f>
        <v>917769763</v>
      </c>
      <c r="E1014" s="35" t="str">
        <f ca="1">IFERROR(__xludf.DUMMYFUNCTION("""COMPUTED_VALUE"""),"phatdt.lan@vnpt.vn")</f>
        <v>phatdt.lan@vnpt.vn</v>
      </c>
      <c r="F1014" s="540" t="str">
        <f ca="1">IFERROR(__xludf.DUMMYFUNCTION("""COMPUTED_VALUE"""),"Lần 16")</f>
        <v>Lần 16</v>
      </c>
      <c r="G1014" s="278"/>
      <c r="H1014" s="35"/>
      <c r="I1014" s="35"/>
      <c r="J1014" s="541"/>
      <c r="K1014" s="541"/>
      <c r="M1014" s="539">
        <f ca="1">IFERROR(__xludf.DUMMYFUNCTION("""COMPUTED_VALUE"""),0)</f>
        <v>0</v>
      </c>
      <c r="N1014" s="539">
        <f ca="1">IFERROR(__xludf.DUMMYFUNCTION("""COMPUTED_VALUE"""),0)</f>
        <v>0</v>
      </c>
      <c r="O1014" s="539">
        <f ca="1">IFERROR(__xludf.DUMMYFUNCTION("""COMPUTED_VALUE"""),0)</f>
        <v>0</v>
      </c>
    </row>
    <row r="1015" spans="1:15" ht="12.75">
      <c r="A1015" s="539">
        <f ca="1"/>
        <v>1009</v>
      </c>
      <c r="B1015" s="35" t="str">
        <f ca="1">IFERROR(__xludf.DUMMYFUNCTION("""COMPUTED_VALUE"""),"Tổ Hạ tầng Tân An")</f>
        <v>Tổ Hạ tầng Tân An</v>
      </c>
      <c r="C1015" s="35" t="str">
        <f ca="1">IFERROR(__xludf.DUMMYFUNCTION("""COMPUTED_VALUE"""),"Phạm Nguyễn Quang Huy")</f>
        <v>Phạm Nguyễn Quang Huy</v>
      </c>
      <c r="D1015" s="35">
        <f ca="1">IFERROR(__xludf.DUMMYFUNCTION("""COMPUTED_VALUE"""),947245878)</f>
        <v>947245878</v>
      </c>
      <c r="E1015" s="35" t="str">
        <f ca="1">IFERROR(__xludf.DUMMYFUNCTION("""COMPUTED_VALUE"""),"huypnq.lan@vnpt.vn")</f>
        <v>huypnq.lan@vnpt.vn</v>
      </c>
      <c r="F1015" s="540" t="str">
        <f ca="1">IFERROR(__xludf.DUMMYFUNCTION("""COMPUTED_VALUE"""),"Lần 1")</f>
        <v>Lần 1</v>
      </c>
      <c r="G1015" s="278">
        <f ca="1">IFERROR(__xludf.DUMMYFUNCTION("""COMPUTED_VALUE"""),46205)</f>
        <v>46205</v>
      </c>
      <c r="H1015" s="35">
        <f ca="1">IFERROR(__xludf.DUMMYFUNCTION("""COMPUTED_VALUE"""),280)</f>
        <v>280</v>
      </c>
      <c r="I1015" s="35" t="str">
        <f ca="1">IFERROR(__xludf.DUMMYFUNCTION("""COMPUTED_VALUE"""),"78.9")</f>
        <v>78.9</v>
      </c>
      <c r="J1015" s="541">
        <f ca="1">IFERROR(__xludf.DUMMYFUNCTION("""COMPUTED_VALUE"""),768)</f>
        <v>768</v>
      </c>
      <c r="K1015" s="541" t="str">
        <f ca="1">IFERROR(__xludf.DUMMYFUNCTION("""COMPUTED_VALUE"""),"93.0")</f>
        <v>93.0</v>
      </c>
      <c r="M1015" s="539">
        <f ca="1">IFERROR(__xludf.DUMMYFUNCTION("""COMPUTED_VALUE"""),1)</f>
        <v>1</v>
      </c>
      <c r="N1015" s="539">
        <f ca="1">IFERROR(__xludf.DUMMYFUNCTION("""COMPUTED_VALUE"""),1)</f>
        <v>1</v>
      </c>
      <c r="O1015" s="539">
        <f ca="1">IFERROR(__xludf.DUMMYFUNCTION("""COMPUTED_VALUE"""),1)</f>
        <v>1</v>
      </c>
    </row>
    <row r="1016" spans="1:15" ht="12.75">
      <c r="A1016" s="539">
        <f ca="1"/>
        <v>1010</v>
      </c>
      <c r="B1016" s="35" t="str">
        <f ca="1">IFERROR(__xludf.DUMMYFUNCTION("""COMPUTED_VALUE"""),"Tổ Hạ tầng Tân An")</f>
        <v>Tổ Hạ tầng Tân An</v>
      </c>
      <c r="C1016" s="35" t="str">
        <f ca="1">IFERROR(__xludf.DUMMYFUNCTION("""COMPUTED_VALUE"""),"Phạm Nguyễn Quang Huy")</f>
        <v>Phạm Nguyễn Quang Huy</v>
      </c>
      <c r="D1016" s="35">
        <f ca="1">IFERROR(__xludf.DUMMYFUNCTION("""COMPUTED_VALUE"""),947245878)</f>
        <v>947245878</v>
      </c>
      <c r="E1016" s="35" t="str">
        <f ca="1">IFERROR(__xludf.DUMMYFUNCTION("""COMPUTED_VALUE"""),"huypnq.lan@vnpt.vn")</f>
        <v>huypnq.lan@vnpt.vn</v>
      </c>
      <c r="F1016" s="540" t="str">
        <f ca="1">IFERROR(__xludf.DUMMYFUNCTION("""COMPUTED_VALUE"""),"Lần 2")</f>
        <v>Lần 2</v>
      </c>
      <c r="G1016" s="278">
        <f ca="1">IFERROR(__xludf.DUMMYFUNCTION("""COMPUTED_VALUE"""),46206)</f>
        <v>46206</v>
      </c>
      <c r="H1016" s="35">
        <f ca="1">IFERROR(__xludf.DUMMYFUNCTION("""COMPUTED_VALUE"""),332)</f>
        <v>332</v>
      </c>
      <c r="I1016" s="35" t="str">
        <f ca="1">IFERROR(__xludf.DUMMYFUNCTION("""COMPUTED_VALUE"""),"47.9")</f>
        <v>47.9</v>
      </c>
      <c r="J1016" s="541">
        <f ca="1">IFERROR(__xludf.DUMMYFUNCTION("""COMPUTED_VALUE"""),657)</f>
        <v>657</v>
      </c>
      <c r="K1016" s="541" t="str">
        <f ca="1">IFERROR(__xludf.DUMMYFUNCTION("""COMPUTED_VALUE"""),"25.0")</f>
        <v>25.0</v>
      </c>
      <c r="M1016" s="539">
        <f ca="1">IFERROR(__xludf.DUMMYFUNCTION("""COMPUTED_VALUE"""),1)</f>
        <v>1</v>
      </c>
      <c r="N1016" s="539">
        <f ca="1">IFERROR(__xludf.DUMMYFUNCTION("""COMPUTED_VALUE"""),1)</f>
        <v>1</v>
      </c>
      <c r="O1016" s="539">
        <f ca="1">IFERROR(__xludf.DUMMYFUNCTION("""COMPUTED_VALUE"""),1)</f>
        <v>1</v>
      </c>
    </row>
    <row r="1017" spans="1:15" ht="12.75">
      <c r="A1017" s="539">
        <f ca="1"/>
        <v>1011</v>
      </c>
      <c r="B1017" s="35" t="str">
        <f ca="1">IFERROR(__xludf.DUMMYFUNCTION("""COMPUTED_VALUE"""),"Tổ Hạ tầng Tân An")</f>
        <v>Tổ Hạ tầng Tân An</v>
      </c>
      <c r="C1017" s="35" t="str">
        <f ca="1">IFERROR(__xludf.DUMMYFUNCTION("""COMPUTED_VALUE"""),"Phạm Nguyễn Quang Huy")</f>
        <v>Phạm Nguyễn Quang Huy</v>
      </c>
      <c r="D1017" s="35">
        <f ca="1">IFERROR(__xludf.DUMMYFUNCTION("""COMPUTED_VALUE"""),947245878)</f>
        <v>947245878</v>
      </c>
      <c r="E1017" s="35" t="str">
        <f ca="1">IFERROR(__xludf.DUMMYFUNCTION("""COMPUTED_VALUE"""),"huypnq.lan@vnpt.vn")</f>
        <v>huypnq.lan@vnpt.vn</v>
      </c>
      <c r="F1017" s="540" t="str">
        <f ca="1">IFERROR(__xludf.DUMMYFUNCTION("""COMPUTED_VALUE"""),"Lần 3")</f>
        <v>Lần 3</v>
      </c>
      <c r="G1017" s="278">
        <f ca="1">IFERROR(__xludf.DUMMYFUNCTION("""COMPUTED_VALUE"""),46209)</f>
        <v>46209</v>
      </c>
      <c r="H1017" s="35">
        <f ca="1">IFERROR(__xludf.DUMMYFUNCTION("""COMPUTED_VALUE"""),311)</f>
        <v>311</v>
      </c>
      <c r="I1017" s="35" t="str">
        <f ca="1">IFERROR(__xludf.DUMMYFUNCTION("""COMPUTED_VALUE"""),"47.6")</f>
        <v>47.6</v>
      </c>
      <c r="J1017" s="541">
        <f ca="1">IFERROR(__xludf.DUMMYFUNCTION("""COMPUTED_VALUE"""),747)</f>
        <v>747</v>
      </c>
      <c r="K1017" s="541" t="str">
        <f ca="1">IFERROR(__xludf.DUMMYFUNCTION("""COMPUTED_VALUE"""),"34.5")</f>
        <v>34.5</v>
      </c>
      <c r="M1017" s="539">
        <f ca="1">IFERROR(__xludf.DUMMYFUNCTION("""COMPUTED_VALUE"""),1)</f>
        <v>1</v>
      </c>
      <c r="N1017" s="539">
        <f ca="1">IFERROR(__xludf.DUMMYFUNCTION("""COMPUTED_VALUE"""),1)</f>
        <v>1</v>
      </c>
      <c r="O1017" s="539">
        <f ca="1">IFERROR(__xludf.DUMMYFUNCTION("""COMPUTED_VALUE"""),1)</f>
        <v>1</v>
      </c>
    </row>
    <row r="1018" spans="1:15" ht="12.75">
      <c r="A1018" s="539">
        <f ca="1"/>
        <v>1012</v>
      </c>
      <c r="B1018" s="35" t="str">
        <f ca="1">IFERROR(__xludf.DUMMYFUNCTION("""COMPUTED_VALUE"""),"Tổ Hạ tầng Tân An")</f>
        <v>Tổ Hạ tầng Tân An</v>
      </c>
      <c r="C1018" s="35" t="str">
        <f ca="1">IFERROR(__xludf.DUMMYFUNCTION("""COMPUTED_VALUE"""),"Phạm Nguyễn Quang Huy")</f>
        <v>Phạm Nguyễn Quang Huy</v>
      </c>
      <c r="D1018" s="35">
        <f ca="1">IFERROR(__xludf.DUMMYFUNCTION("""COMPUTED_VALUE"""),947245878)</f>
        <v>947245878</v>
      </c>
      <c r="E1018" s="35" t="str">
        <f ca="1">IFERROR(__xludf.DUMMYFUNCTION("""COMPUTED_VALUE"""),"huypnq.lan@vnpt.vn")</f>
        <v>huypnq.lan@vnpt.vn</v>
      </c>
      <c r="F1018" s="540" t="str">
        <f ca="1">IFERROR(__xludf.DUMMYFUNCTION("""COMPUTED_VALUE"""),"Lần 4")</f>
        <v>Lần 4</v>
      </c>
      <c r="G1018" s="278">
        <f ca="1">IFERROR(__xludf.DUMMYFUNCTION("""COMPUTED_VALUE"""),46209)</f>
        <v>46209</v>
      </c>
      <c r="H1018" s="35">
        <f ca="1">IFERROR(__xludf.DUMMYFUNCTION("""COMPUTED_VALUE"""),322)</f>
        <v>322</v>
      </c>
      <c r="I1018" s="35" t="str">
        <f ca="1">IFERROR(__xludf.DUMMYFUNCTION("""COMPUTED_VALUE"""),"93.0")</f>
        <v>93.0</v>
      </c>
      <c r="J1018" s="541">
        <f ca="1">IFERROR(__xludf.DUMMYFUNCTION("""COMPUTED_VALUE"""),1100)</f>
        <v>1100</v>
      </c>
      <c r="K1018" s="541">
        <f ca="1">IFERROR(__xludf.DUMMYFUNCTION("""COMPUTED_VALUE"""),121)</f>
        <v>121</v>
      </c>
      <c r="M1018" s="539">
        <f ca="1">IFERROR(__xludf.DUMMYFUNCTION("""COMPUTED_VALUE"""),1)</f>
        <v>1</v>
      </c>
      <c r="N1018" s="539">
        <f ca="1">IFERROR(__xludf.DUMMYFUNCTION("""COMPUTED_VALUE"""),1)</f>
        <v>1</v>
      </c>
      <c r="O1018" s="539">
        <f ca="1">IFERROR(__xludf.DUMMYFUNCTION("""COMPUTED_VALUE"""),1)</f>
        <v>1</v>
      </c>
    </row>
    <row r="1019" spans="1:15" ht="12.75">
      <c r="A1019" s="539">
        <f ca="1"/>
        <v>1013</v>
      </c>
      <c r="B1019" s="35" t="str">
        <f ca="1">IFERROR(__xludf.DUMMYFUNCTION("""COMPUTED_VALUE"""),"Tổ Hạ tầng Tân An")</f>
        <v>Tổ Hạ tầng Tân An</v>
      </c>
      <c r="C1019" s="35" t="str">
        <f ca="1">IFERROR(__xludf.DUMMYFUNCTION("""COMPUTED_VALUE"""),"Phạm Nguyễn Quang Huy")</f>
        <v>Phạm Nguyễn Quang Huy</v>
      </c>
      <c r="D1019" s="35">
        <f ca="1">IFERROR(__xludf.DUMMYFUNCTION("""COMPUTED_VALUE"""),947245878)</f>
        <v>947245878</v>
      </c>
      <c r="E1019" s="35" t="str">
        <f ca="1">IFERROR(__xludf.DUMMYFUNCTION("""COMPUTED_VALUE"""),"huypnq.lan@vnpt.vn")</f>
        <v>huypnq.lan@vnpt.vn</v>
      </c>
      <c r="F1019" s="540" t="str">
        <f ca="1">IFERROR(__xludf.DUMMYFUNCTION("""COMPUTED_VALUE"""),"Lần 5")</f>
        <v>Lần 5</v>
      </c>
      <c r="G1019" s="278">
        <f ca="1">IFERROR(__xludf.DUMMYFUNCTION("""COMPUTED_VALUE"""),46210)</f>
        <v>46210</v>
      </c>
      <c r="H1019" s="35">
        <f ca="1">IFERROR(__xludf.DUMMYFUNCTION("""COMPUTED_VALUE"""),309)</f>
        <v>309</v>
      </c>
      <c r="I1019" s="35" t="str">
        <f ca="1">IFERROR(__xludf.DUMMYFUNCTION("""COMPUTED_VALUE"""),"83.6")</f>
        <v>83.6</v>
      </c>
      <c r="J1019" s="541">
        <f ca="1">IFERROR(__xludf.DUMMYFUNCTION("""COMPUTED_VALUE"""),929)</f>
        <v>929</v>
      </c>
      <c r="K1019" s="541">
        <f ca="1">IFERROR(__xludf.DUMMYFUNCTION("""COMPUTED_VALUE"""),143)</f>
        <v>143</v>
      </c>
      <c r="M1019" s="539">
        <f ca="1">IFERROR(__xludf.DUMMYFUNCTION("""COMPUTED_VALUE"""),1)</f>
        <v>1</v>
      </c>
      <c r="N1019" s="539">
        <f ca="1">IFERROR(__xludf.DUMMYFUNCTION("""COMPUTED_VALUE"""),1)</f>
        <v>1</v>
      </c>
      <c r="O1019" s="539">
        <f ca="1">IFERROR(__xludf.DUMMYFUNCTION("""COMPUTED_VALUE"""),1)</f>
        <v>1</v>
      </c>
    </row>
    <row r="1020" spans="1:15" ht="12.75">
      <c r="A1020" s="539">
        <f ca="1"/>
        <v>1014</v>
      </c>
      <c r="B1020" s="35" t="str">
        <f ca="1">IFERROR(__xludf.DUMMYFUNCTION("""COMPUTED_VALUE"""),"Tổ Hạ tầng Tân An")</f>
        <v>Tổ Hạ tầng Tân An</v>
      </c>
      <c r="C1020" s="35" t="str">
        <f ca="1">IFERROR(__xludf.DUMMYFUNCTION("""COMPUTED_VALUE"""),"Phạm Nguyễn Quang Huy")</f>
        <v>Phạm Nguyễn Quang Huy</v>
      </c>
      <c r="D1020" s="35">
        <f ca="1">IFERROR(__xludf.DUMMYFUNCTION("""COMPUTED_VALUE"""),947245878)</f>
        <v>947245878</v>
      </c>
      <c r="E1020" s="35" t="str">
        <f ca="1">IFERROR(__xludf.DUMMYFUNCTION("""COMPUTED_VALUE"""),"huypnq.lan@vnpt.vn")</f>
        <v>huypnq.lan@vnpt.vn</v>
      </c>
      <c r="F1020" s="540" t="str">
        <f ca="1">IFERROR(__xludf.DUMMYFUNCTION("""COMPUTED_VALUE"""),"Lần 6")</f>
        <v>Lần 6</v>
      </c>
      <c r="G1020" s="278">
        <f ca="1">IFERROR(__xludf.DUMMYFUNCTION("""COMPUTED_VALUE"""),46210)</f>
        <v>46210</v>
      </c>
      <c r="H1020" s="35">
        <f ca="1">IFERROR(__xludf.DUMMYFUNCTION("""COMPUTED_VALUE"""),293)</f>
        <v>293</v>
      </c>
      <c r="I1020" s="35" t="str">
        <f ca="1">IFERROR(__xludf.DUMMYFUNCTION("""COMPUTED_VALUE"""),"42.1")</f>
        <v>42.1</v>
      </c>
      <c r="J1020" s="541">
        <f ca="1">IFERROR(__xludf.DUMMYFUNCTION("""COMPUTED_VALUE"""),763)</f>
        <v>763</v>
      </c>
      <c r="K1020" s="541" t="str">
        <f ca="1">IFERROR(__xludf.DUMMYFUNCTION("""COMPUTED_VALUE"""),"57.9")</f>
        <v>57.9</v>
      </c>
      <c r="M1020" s="539">
        <f ca="1">IFERROR(__xludf.DUMMYFUNCTION("""COMPUTED_VALUE"""),1)</f>
        <v>1</v>
      </c>
      <c r="N1020" s="539">
        <f ca="1">IFERROR(__xludf.DUMMYFUNCTION("""COMPUTED_VALUE"""),1)</f>
        <v>1</v>
      </c>
      <c r="O1020" s="539">
        <f ca="1">IFERROR(__xludf.DUMMYFUNCTION("""COMPUTED_VALUE"""),1)</f>
        <v>1</v>
      </c>
    </row>
    <row r="1021" spans="1:15" ht="12.75">
      <c r="A1021" s="539">
        <f ca="1"/>
        <v>1015</v>
      </c>
      <c r="B1021" s="35" t="str">
        <f ca="1">IFERROR(__xludf.DUMMYFUNCTION("""COMPUTED_VALUE"""),"Tổ Hạ tầng Tân An")</f>
        <v>Tổ Hạ tầng Tân An</v>
      </c>
      <c r="C1021" s="35" t="str">
        <f ca="1">IFERROR(__xludf.DUMMYFUNCTION("""COMPUTED_VALUE"""),"Phạm Nguyễn Quang Huy")</f>
        <v>Phạm Nguyễn Quang Huy</v>
      </c>
      <c r="D1021" s="35">
        <f ca="1">IFERROR(__xludf.DUMMYFUNCTION("""COMPUTED_VALUE"""),947245878)</f>
        <v>947245878</v>
      </c>
      <c r="E1021" s="35" t="str">
        <f ca="1">IFERROR(__xludf.DUMMYFUNCTION("""COMPUTED_VALUE"""),"huypnq.lan@vnpt.vn")</f>
        <v>huypnq.lan@vnpt.vn</v>
      </c>
      <c r="F1021" s="540" t="str">
        <f ca="1">IFERROR(__xludf.DUMMYFUNCTION("""COMPUTED_VALUE"""),"Lần 7")</f>
        <v>Lần 7</v>
      </c>
      <c r="G1021" s="278">
        <f ca="1">IFERROR(__xludf.DUMMYFUNCTION("""COMPUTED_VALUE"""),46210)</f>
        <v>46210</v>
      </c>
      <c r="H1021" s="35">
        <f ca="1">IFERROR(__xludf.DUMMYFUNCTION("""COMPUTED_VALUE"""),283)</f>
        <v>283</v>
      </c>
      <c r="I1021" s="35" t="str">
        <f ca="1">IFERROR(__xludf.DUMMYFUNCTION("""COMPUTED_VALUE"""),"54.4")</f>
        <v>54.4</v>
      </c>
      <c r="J1021" s="541">
        <f ca="1">IFERROR(__xludf.DUMMYFUNCTION("""COMPUTED_VALUE"""),799)</f>
        <v>799</v>
      </c>
      <c r="K1021" s="541" t="str">
        <f ca="1">IFERROR(__xludf.DUMMYFUNCTION("""COMPUTED_VALUE"""),"52.3")</f>
        <v>52.3</v>
      </c>
      <c r="M1021" s="539">
        <f ca="1">IFERROR(__xludf.DUMMYFUNCTION("""COMPUTED_VALUE"""),1)</f>
        <v>1</v>
      </c>
      <c r="N1021" s="539">
        <f ca="1">IFERROR(__xludf.DUMMYFUNCTION("""COMPUTED_VALUE"""),1)</f>
        <v>1</v>
      </c>
      <c r="O1021" s="539">
        <f ca="1">IFERROR(__xludf.DUMMYFUNCTION("""COMPUTED_VALUE"""),1)</f>
        <v>1</v>
      </c>
    </row>
    <row r="1022" spans="1:15" ht="12.75">
      <c r="A1022" s="539">
        <f ca="1"/>
        <v>1016</v>
      </c>
      <c r="B1022" s="35" t="str">
        <f ca="1">IFERROR(__xludf.DUMMYFUNCTION("""COMPUTED_VALUE"""),"Tổ Hạ tầng Tân An")</f>
        <v>Tổ Hạ tầng Tân An</v>
      </c>
      <c r="C1022" s="35" t="str">
        <f ca="1">IFERROR(__xludf.DUMMYFUNCTION("""COMPUTED_VALUE"""),"Phạm Nguyễn Quang Huy")</f>
        <v>Phạm Nguyễn Quang Huy</v>
      </c>
      <c r="D1022" s="35">
        <f ca="1">IFERROR(__xludf.DUMMYFUNCTION("""COMPUTED_VALUE"""),947245878)</f>
        <v>947245878</v>
      </c>
      <c r="E1022" s="35" t="str">
        <f ca="1">IFERROR(__xludf.DUMMYFUNCTION("""COMPUTED_VALUE"""),"huypnq.lan@vnpt.vn")</f>
        <v>huypnq.lan@vnpt.vn</v>
      </c>
      <c r="F1022" s="540" t="str">
        <f ca="1">IFERROR(__xludf.DUMMYFUNCTION("""COMPUTED_VALUE"""),"Lần 8")</f>
        <v>Lần 8</v>
      </c>
      <c r="G1022" s="278">
        <f ca="1">IFERROR(__xludf.DUMMYFUNCTION("""COMPUTED_VALUE"""),46211)</f>
        <v>46211</v>
      </c>
      <c r="H1022" s="35">
        <f ca="1">IFERROR(__xludf.DUMMYFUNCTION("""COMPUTED_VALUE"""),281)</f>
        <v>281</v>
      </c>
      <c r="I1022" s="542">
        <f ca="1">IFERROR(__xludf.DUMMYFUNCTION("""COMPUTED_VALUE"""),46081)</f>
        <v>46081</v>
      </c>
      <c r="J1022" s="541">
        <f ca="1">IFERROR(__xludf.DUMMYFUNCTION("""COMPUTED_VALUE"""),740)</f>
        <v>740</v>
      </c>
      <c r="K1022" s="541" t="str">
        <f ca="1">IFERROR(__xludf.DUMMYFUNCTION("""COMPUTED_VALUE"""),"29.0")</f>
        <v>29.0</v>
      </c>
      <c r="M1022" s="539">
        <f ca="1">IFERROR(__xludf.DUMMYFUNCTION("""COMPUTED_VALUE"""),1)</f>
        <v>1</v>
      </c>
      <c r="N1022" s="539">
        <f ca="1">IFERROR(__xludf.DUMMYFUNCTION("""COMPUTED_VALUE"""),1)</f>
        <v>1</v>
      </c>
      <c r="O1022" s="539">
        <f ca="1">IFERROR(__xludf.DUMMYFUNCTION("""COMPUTED_VALUE"""),1)</f>
        <v>1</v>
      </c>
    </row>
    <row r="1023" spans="1:15" ht="12.75">
      <c r="A1023" s="539">
        <f ca="1"/>
        <v>1017</v>
      </c>
      <c r="B1023" s="35" t="str">
        <f ca="1">IFERROR(__xludf.DUMMYFUNCTION("""COMPUTED_VALUE"""),"Tổ Hạ tầng Tân An")</f>
        <v>Tổ Hạ tầng Tân An</v>
      </c>
      <c r="C1023" s="35" t="str">
        <f ca="1">IFERROR(__xludf.DUMMYFUNCTION("""COMPUTED_VALUE"""),"Phạm Nguyễn Quang Huy")</f>
        <v>Phạm Nguyễn Quang Huy</v>
      </c>
      <c r="D1023" s="35">
        <f ca="1">IFERROR(__xludf.DUMMYFUNCTION("""COMPUTED_VALUE"""),947245878)</f>
        <v>947245878</v>
      </c>
      <c r="E1023" s="35" t="str">
        <f ca="1">IFERROR(__xludf.DUMMYFUNCTION("""COMPUTED_VALUE"""),"huypnq.lan@vnpt.vn")</f>
        <v>huypnq.lan@vnpt.vn</v>
      </c>
      <c r="F1023" s="540" t="str">
        <f ca="1">IFERROR(__xludf.DUMMYFUNCTION("""COMPUTED_VALUE"""),"Lần 9")</f>
        <v>Lần 9</v>
      </c>
      <c r="G1023" s="278">
        <f ca="1">IFERROR(__xludf.DUMMYFUNCTION("""COMPUTED_VALUE"""),46212)</f>
        <v>46212</v>
      </c>
      <c r="H1023" s="35">
        <f ca="1">IFERROR(__xludf.DUMMYFUNCTION("""COMPUTED_VALUE"""),341)</f>
        <v>341</v>
      </c>
      <c r="I1023" s="35" t="str">
        <f ca="1">IFERROR(__xludf.DUMMYFUNCTION("""COMPUTED_VALUE"""),"72.7")</f>
        <v>72.7</v>
      </c>
      <c r="J1023" s="541">
        <f ca="1">IFERROR(__xludf.DUMMYFUNCTION("""COMPUTED_VALUE"""),1028)</f>
        <v>1028</v>
      </c>
      <c r="K1023" s="541">
        <f ca="1">IFERROR(__xludf.DUMMYFUNCTION("""COMPUTED_VALUE"""),155)</f>
        <v>155</v>
      </c>
      <c r="M1023" s="539">
        <f ca="1">IFERROR(__xludf.DUMMYFUNCTION("""COMPUTED_VALUE"""),1)</f>
        <v>1</v>
      </c>
      <c r="N1023" s="539">
        <f ca="1">IFERROR(__xludf.DUMMYFUNCTION("""COMPUTED_VALUE"""),1)</f>
        <v>1</v>
      </c>
      <c r="O1023" s="539">
        <f ca="1">IFERROR(__xludf.DUMMYFUNCTION("""COMPUTED_VALUE"""),1)</f>
        <v>1</v>
      </c>
    </row>
    <row r="1024" spans="1:15" ht="12.75">
      <c r="A1024" s="539">
        <f ca="1"/>
        <v>1018</v>
      </c>
      <c r="B1024" s="35" t="str">
        <f ca="1">IFERROR(__xludf.DUMMYFUNCTION("""COMPUTED_VALUE"""),"Tổ Hạ tầng Tân An")</f>
        <v>Tổ Hạ tầng Tân An</v>
      </c>
      <c r="C1024" s="35" t="str">
        <f ca="1">IFERROR(__xludf.DUMMYFUNCTION("""COMPUTED_VALUE"""),"Phạm Nguyễn Quang Huy")</f>
        <v>Phạm Nguyễn Quang Huy</v>
      </c>
      <c r="D1024" s="35">
        <f ca="1">IFERROR(__xludf.DUMMYFUNCTION("""COMPUTED_VALUE"""),947245878)</f>
        <v>947245878</v>
      </c>
      <c r="E1024" s="35" t="str">
        <f ca="1">IFERROR(__xludf.DUMMYFUNCTION("""COMPUTED_VALUE"""),"huypnq.lan@vnpt.vn")</f>
        <v>huypnq.lan@vnpt.vn</v>
      </c>
      <c r="F1024" s="540" t="str">
        <f ca="1">IFERROR(__xludf.DUMMYFUNCTION("""COMPUTED_VALUE"""),"Lần 10")</f>
        <v>Lần 10</v>
      </c>
      <c r="G1024" s="278">
        <f ca="1">IFERROR(__xludf.DUMMYFUNCTION("""COMPUTED_VALUE"""),46212)</f>
        <v>46212</v>
      </c>
      <c r="H1024" s="35">
        <f ca="1">IFERROR(__xludf.DUMMYFUNCTION("""COMPUTED_VALUE"""),203)</f>
        <v>203</v>
      </c>
      <c r="I1024" s="35" t="str">
        <f ca="1">IFERROR(__xludf.DUMMYFUNCTION("""COMPUTED_VALUE"""),"48.7")</f>
        <v>48.7</v>
      </c>
      <c r="J1024" s="541">
        <f ca="1">IFERROR(__xludf.DUMMYFUNCTION("""COMPUTED_VALUE"""),806)</f>
        <v>806</v>
      </c>
      <c r="K1024" s="541" t="str">
        <f ca="1">IFERROR(__xludf.DUMMYFUNCTION("""COMPUTED_VALUE"""),"50.1")</f>
        <v>50.1</v>
      </c>
      <c r="M1024" s="539">
        <f ca="1">IFERROR(__xludf.DUMMYFUNCTION("""COMPUTED_VALUE"""),1)</f>
        <v>1</v>
      </c>
      <c r="N1024" s="539">
        <f ca="1">IFERROR(__xludf.DUMMYFUNCTION("""COMPUTED_VALUE"""),1)</f>
        <v>1</v>
      </c>
      <c r="O1024" s="539">
        <f ca="1">IFERROR(__xludf.DUMMYFUNCTION("""COMPUTED_VALUE"""),1)</f>
        <v>1</v>
      </c>
    </row>
    <row r="1025" spans="1:15" ht="12.75">
      <c r="A1025" s="539">
        <f ca="1"/>
        <v>1019</v>
      </c>
      <c r="B1025" s="35" t="str">
        <f ca="1">IFERROR(__xludf.DUMMYFUNCTION("""COMPUTED_VALUE"""),"Tổ Hạ tầng Tân An")</f>
        <v>Tổ Hạ tầng Tân An</v>
      </c>
      <c r="C1025" s="35" t="str">
        <f ca="1">IFERROR(__xludf.DUMMYFUNCTION("""COMPUTED_VALUE"""),"Phạm Nguyễn Quang Huy")</f>
        <v>Phạm Nguyễn Quang Huy</v>
      </c>
      <c r="D1025" s="35">
        <f ca="1">IFERROR(__xludf.DUMMYFUNCTION("""COMPUTED_VALUE"""),947245878)</f>
        <v>947245878</v>
      </c>
      <c r="E1025" s="35" t="str">
        <f ca="1">IFERROR(__xludf.DUMMYFUNCTION("""COMPUTED_VALUE"""),"huypnq.lan@vnpt.vn")</f>
        <v>huypnq.lan@vnpt.vn</v>
      </c>
      <c r="F1025" s="540" t="str">
        <f ca="1">IFERROR(__xludf.DUMMYFUNCTION("""COMPUTED_VALUE"""),"Lần 11")</f>
        <v>Lần 11</v>
      </c>
      <c r="G1025" s="278">
        <f ca="1">IFERROR(__xludf.DUMMYFUNCTION("""COMPUTED_VALUE"""),46213)</f>
        <v>46213</v>
      </c>
      <c r="H1025" s="35">
        <f ca="1">IFERROR(__xludf.DUMMYFUNCTION("""COMPUTED_VALUE"""),328)</f>
        <v>328</v>
      </c>
      <c r="I1025" s="542">
        <f ca="1">IFERROR(__xludf.DUMMYFUNCTION("""COMPUTED_VALUE"""),46170)</f>
        <v>46170</v>
      </c>
      <c r="J1025" s="541">
        <f ca="1">IFERROR(__xludf.DUMMYFUNCTION("""COMPUTED_VALUE"""),735)</f>
        <v>735</v>
      </c>
      <c r="K1025" s="542">
        <f ca="1">IFERROR(__xludf.DUMMYFUNCTION("""COMPUTED_VALUE"""),46172)</f>
        <v>46172</v>
      </c>
      <c r="M1025" s="539">
        <f ca="1">IFERROR(__xludf.DUMMYFUNCTION("""COMPUTED_VALUE"""),1)</f>
        <v>1</v>
      </c>
      <c r="N1025" s="539">
        <f ca="1">IFERROR(__xludf.DUMMYFUNCTION("""COMPUTED_VALUE"""),1)</f>
        <v>1</v>
      </c>
      <c r="O1025" s="539">
        <f ca="1">IFERROR(__xludf.DUMMYFUNCTION("""COMPUTED_VALUE"""),1)</f>
        <v>1</v>
      </c>
    </row>
    <row r="1026" spans="1:15" ht="12.75">
      <c r="A1026" s="539">
        <f ca="1"/>
        <v>1020</v>
      </c>
      <c r="B1026" s="35" t="str">
        <f ca="1">IFERROR(__xludf.DUMMYFUNCTION("""COMPUTED_VALUE"""),"Tổ Hạ tầng Tân An")</f>
        <v>Tổ Hạ tầng Tân An</v>
      </c>
      <c r="C1026" s="35" t="str">
        <f ca="1">IFERROR(__xludf.DUMMYFUNCTION("""COMPUTED_VALUE"""),"Phạm Nguyễn Quang Huy")</f>
        <v>Phạm Nguyễn Quang Huy</v>
      </c>
      <c r="D1026" s="35">
        <f ca="1">IFERROR(__xludf.DUMMYFUNCTION("""COMPUTED_VALUE"""),947245878)</f>
        <v>947245878</v>
      </c>
      <c r="E1026" s="35" t="str">
        <f ca="1">IFERROR(__xludf.DUMMYFUNCTION("""COMPUTED_VALUE"""),"huypnq.lan@vnpt.vn")</f>
        <v>huypnq.lan@vnpt.vn</v>
      </c>
      <c r="F1026" s="540" t="str">
        <f ca="1">IFERROR(__xludf.DUMMYFUNCTION("""COMPUTED_VALUE"""),"Lần 12")</f>
        <v>Lần 12</v>
      </c>
      <c r="G1026" s="278">
        <f ca="1">IFERROR(__xludf.DUMMYFUNCTION("""COMPUTED_VALUE"""),46214)</f>
        <v>46214</v>
      </c>
      <c r="H1026" s="35">
        <f ca="1">IFERROR(__xludf.DUMMYFUNCTION("""COMPUTED_VALUE"""),318)</f>
        <v>318</v>
      </c>
      <c r="I1026" s="35" t="str">
        <f ca="1">IFERROR(__xludf.DUMMYFUNCTION("""COMPUTED_VALUE"""),"90.4")</f>
        <v>90.4</v>
      </c>
      <c r="J1026" s="541">
        <f ca="1">IFERROR(__xludf.DUMMYFUNCTION("""COMPUTED_VALUE"""),912)</f>
        <v>912</v>
      </c>
      <c r="K1026" s="541">
        <f ca="1">IFERROR(__xludf.DUMMYFUNCTION("""COMPUTED_VALUE"""),143)</f>
        <v>143</v>
      </c>
      <c r="M1026" s="539">
        <f ca="1">IFERROR(__xludf.DUMMYFUNCTION("""COMPUTED_VALUE"""),1)</f>
        <v>1</v>
      </c>
      <c r="N1026" s="539">
        <f ca="1">IFERROR(__xludf.DUMMYFUNCTION("""COMPUTED_VALUE"""),1)</f>
        <v>1</v>
      </c>
      <c r="O1026" s="539">
        <f ca="1">IFERROR(__xludf.DUMMYFUNCTION("""COMPUTED_VALUE"""),1)</f>
        <v>1</v>
      </c>
    </row>
    <row r="1027" spans="1:15" ht="12.75">
      <c r="A1027" s="539">
        <f ca="1"/>
        <v>1021</v>
      </c>
      <c r="B1027" s="35" t="str">
        <f ca="1">IFERROR(__xludf.DUMMYFUNCTION("""COMPUTED_VALUE"""),"Tổ Hạ tầng Tân An")</f>
        <v>Tổ Hạ tầng Tân An</v>
      </c>
      <c r="C1027" s="35" t="str">
        <f ca="1">IFERROR(__xludf.DUMMYFUNCTION("""COMPUTED_VALUE"""),"Phạm Nguyễn Quang Huy")</f>
        <v>Phạm Nguyễn Quang Huy</v>
      </c>
      <c r="D1027" s="35">
        <f ca="1">IFERROR(__xludf.DUMMYFUNCTION("""COMPUTED_VALUE"""),947245878)</f>
        <v>947245878</v>
      </c>
      <c r="E1027" s="35" t="str">
        <f ca="1">IFERROR(__xludf.DUMMYFUNCTION("""COMPUTED_VALUE"""),"huypnq.lan@vnpt.vn")</f>
        <v>huypnq.lan@vnpt.vn</v>
      </c>
      <c r="F1027" s="540" t="str">
        <f ca="1">IFERROR(__xludf.DUMMYFUNCTION("""COMPUTED_VALUE"""),"Lần 13")</f>
        <v>Lần 13</v>
      </c>
      <c r="G1027" s="278">
        <f ca="1">IFERROR(__xludf.DUMMYFUNCTION("""COMPUTED_VALUE"""),46214)</f>
        <v>46214</v>
      </c>
      <c r="H1027" s="35">
        <f ca="1">IFERROR(__xludf.DUMMYFUNCTION("""COMPUTED_VALUE"""),265)</f>
        <v>265</v>
      </c>
      <c r="I1027" s="35" t="str">
        <f ca="1">IFERROR(__xludf.DUMMYFUNCTION("""COMPUTED_VALUE"""),"82.3")</f>
        <v>82.3</v>
      </c>
      <c r="J1027" s="541">
        <f ca="1">IFERROR(__xludf.DUMMYFUNCTION("""COMPUTED_VALUE"""),920)</f>
        <v>920</v>
      </c>
      <c r="K1027" s="541">
        <f ca="1">IFERROR(__xludf.DUMMYFUNCTION("""COMPUTED_VALUE"""),109)</f>
        <v>109</v>
      </c>
      <c r="M1027" s="539">
        <f ca="1">IFERROR(__xludf.DUMMYFUNCTION("""COMPUTED_VALUE"""),1)</f>
        <v>1</v>
      </c>
      <c r="N1027" s="539">
        <f ca="1">IFERROR(__xludf.DUMMYFUNCTION("""COMPUTED_VALUE"""),1)</f>
        <v>1</v>
      </c>
      <c r="O1027" s="539">
        <f ca="1">IFERROR(__xludf.DUMMYFUNCTION("""COMPUTED_VALUE"""),1)</f>
        <v>1</v>
      </c>
    </row>
    <row r="1028" spans="1:15" ht="12.75">
      <c r="A1028" s="539">
        <f ca="1"/>
        <v>1022</v>
      </c>
      <c r="B1028" s="35" t="str">
        <f ca="1">IFERROR(__xludf.DUMMYFUNCTION("""COMPUTED_VALUE"""),"Tổ Hạ tầng Tân An")</f>
        <v>Tổ Hạ tầng Tân An</v>
      </c>
      <c r="C1028" s="35" t="str">
        <f ca="1">IFERROR(__xludf.DUMMYFUNCTION("""COMPUTED_VALUE"""),"Phạm Nguyễn Quang Huy")</f>
        <v>Phạm Nguyễn Quang Huy</v>
      </c>
      <c r="D1028" s="35">
        <f ca="1">IFERROR(__xludf.DUMMYFUNCTION("""COMPUTED_VALUE"""),947245878)</f>
        <v>947245878</v>
      </c>
      <c r="E1028" s="35" t="str">
        <f ca="1">IFERROR(__xludf.DUMMYFUNCTION("""COMPUTED_VALUE"""),"huypnq.lan@vnpt.vn")</f>
        <v>huypnq.lan@vnpt.vn</v>
      </c>
      <c r="F1028" s="540" t="str">
        <f ca="1">IFERROR(__xludf.DUMMYFUNCTION("""COMPUTED_VALUE"""),"Lần 14")</f>
        <v>Lần 14</v>
      </c>
      <c r="G1028" s="278">
        <f ca="1">IFERROR(__xludf.DUMMYFUNCTION("""COMPUTED_VALUE"""),46214)</f>
        <v>46214</v>
      </c>
      <c r="H1028" s="35">
        <f ca="1">IFERROR(__xludf.DUMMYFUNCTION("""COMPUTED_VALUE"""),291)</f>
        <v>291</v>
      </c>
      <c r="I1028" s="35" t="str">
        <f ca="1">IFERROR(__xludf.DUMMYFUNCTION("""COMPUTED_VALUE"""),"84.5")</f>
        <v>84.5</v>
      </c>
      <c r="J1028" s="541">
        <f ca="1">IFERROR(__xludf.DUMMYFUNCTION("""COMPUTED_VALUE"""),1006)</f>
        <v>1006</v>
      </c>
      <c r="K1028" s="541">
        <f ca="1">IFERROR(__xludf.DUMMYFUNCTION("""COMPUTED_VALUE"""),88)</f>
        <v>88</v>
      </c>
      <c r="M1028" s="539">
        <f ca="1">IFERROR(__xludf.DUMMYFUNCTION("""COMPUTED_VALUE"""),1)</f>
        <v>1</v>
      </c>
      <c r="N1028" s="539">
        <f ca="1">IFERROR(__xludf.DUMMYFUNCTION("""COMPUTED_VALUE"""),1)</f>
        <v>1</v>
      </c>
      <c r="O1028" s="539">
        <f ca="1">IFERROR(__xludf.DUMMYFUNCTION("""COMPUTED_VALUE"""),1)</f>
        <v>1</v>
      </c>
    </row>
    <row r="1029" spans="1:15" ht="12.75">
      <c r="A1029" s="539">
        <f ca="1"/>
        <v>1023</v>
      </c>
      <c r="B1029" s="35" t="str">
        <f ca="1">IFERROR(__xludf.DUMMYFUNCTION("""COMPUTED_VALUE"""),"Tổ Hạ tầng Tân An")</f>
        <v>Tổ Hạ tầng Tân An</v>
      </c>
      <c r="C1029" s="35" t="str">
        <f ca="1">IFERROR(__xludf.DUMMYFUNCTION("""COMPUTED_VALUE"""),"Phạm Nguyễn Quang Huy")</f>
        <v>Phạm Nguyễn Quang Huy</v>
      </c>
      <c r="D1029" s="35">
        <f ca="1">IFERROR(__xludf.DUMMYFUNCTION("""COMPUTED_VALUE"""),947245878)</f>
        <v>947245878</v>
      </c>
      <c r="E1029" s="35" t="str">
        <f ca="1">IFERROR(__xludf.DUMMYFUNCTION("""COMPUTED_VALUE"""),"huypnq.lan@vnpt.vn")</f>
        <v>huypnq.lan@vnpt.vn</v>
      </c>
      <c r="F1029" s="540" t="str">
        <f ca="1">IFERROR(__xludf.DUMMYFUNCTION("""COMPUTED_VALUE"""),"Lần 15")</f>
        <v>Lần 15</v>
      </c>
      <c r="G1029" s="278">
        <f ca="1">IFERROR(__xludf.DUMMYFUNCTION("""COMPUTED_VALUE"""),46217)</f>
        <v>46217</v>
      </c>
      <c r="H1029" s="35">
        <f ca="1">IFERROR(__xludf.DUMMYFUNCTION("""COMPUTED_VALUE"""),217)</f>
        <v>217</v>
      </c>
      <c r="I1029" s="35" t="str">
        <f ca="1">IFERROR(__xludf.DUMMYFUNCTION("""COMPUTED_VALUE"""),"93.6")</f>
        <v>93.6</v>
      </c>
      <c r="J1029" s="541">
        <f ca="1">IFERROR(__xludf.DUMMYFUNCTION("""COMPUTED_VALUE"""),837)</f>
        <v>837</v>
      </c>
      <c r="K1029" s="541">
        <f ca="1">IFERROR(__xludf.DUMMYFUNCTION("""COMPUTED_VALUE"""),146)</f>
        <v>146</v>
      </c>
      <c r="M1029" s="539">
        <f ca="1">IFERROR(__xludf.DUMMYFUNCTION("""COMPUTED_VALUE"""),1)</f>
        <v>1</v>
      </c>
      <c r="N1029" s="539">
        <f ca="1">IFERROR(__xludf.DUMMYFUNCTION("""COMPUTED_VALUE"""),1)</f>
        <v>1</v>
      </c>
      <c r="O1029" s="539">
        <f ca="1">IFERROR(__xludf.DUMMYFUNCTION("""COMPUTED_VALUE"""),1)</f>
        <v>1</v>
      </c>
    </row>
    <row r="1030" spans="1:15" ht="12.75">
      <c r="A1030" s="539">
        <f ca="1"/>
        <v>1024</v>
      </c>
      <c r="B1030" s="35" t="str">
        <f ca="1">IFERROR(__xludf.DUMMYFUNCTION("""COMPUTED_VALUE"""),"Tổ Hạ tầng Tân An")</f>
        <v>Tổ Hạ tầng Tân An</v>
      </c>
      <c r="C1030" s="35" t="str">
        <f ca="1">IFERROR(__xludf.DUMMYFUNCTION("""COMPUTED_VALUE"""),"Phạm Nguyễn Quang Huy")</f>
        <v>Phạm Nguyễn Quang Huy</v>
      </c>
      <c r="D1030" s="35">
        <f ca="1">IFERROR(__xludf.DUMMYFUNCTION("""COMPUTED_VALUE"""),947245878)</f>
        <v>947245878</v>
      </c>
      <c r="E1030" s="35" t="str">
        <f ca="1">IFERROR(__xludf.DUMMYFUNCTION("""COMPUTED_VALUE"""),"huypnq.lan@vnpt.vn")</f>
        <v>huypnq.lan@vnpt.vn</v>
      </c>
      <c r="F1030" s="540" t="str">
        <f ca="1">IFERROR(__xludf.DUMMYFUNCTION("""COMPUTED_VALUE"""),"Lần 16")</f>
        <v>Lần 16</v>
      </c>
      <c r="G1030" s="278">
        <f ca="1">IFERROR(__xludf.DUMMYFUNCTION("""COMPUTED_VALUE"""),46217)</f>
        <v>46217</v>
      </c>
      <c r="H1030" s="35">
        <f ca="1">IFERROR(__xludf.DUMMYFUNCTION("""COMPUTED_VALUE"""),349)</f>
        <v>349</v>
      </c>
      <c r="I1030" s="35" t="str">
        <f ca="1">IFERROR(__xludf.DUMMYFUNCTION("""COMPUTED_VALUE"""),"83.8")</f>
        <v>83.8</v>
      </c>
      <c r="J1030" s="541">
        <f ca="1">IFERROR(__xludf.DUMMYFUNCTION("""COMPUTED_VALUE"""),901)</f>
        <v>901</v>
      </c>
      <c r="K1030" s="541">
        <f ca="1">IFERROR(__xludf.DUMMYFUNCTION("""COMPUTED_VALUE"""),839)</f>
        <v>839</v>
      </c>
      <c r="M1030" s="539">
        <f ca="1">IFERROR(__xludf.DUMMYFUNCTION("""COMPUTED_VALUE"""),1)</f>
        <v>1</v>
      </c>
      <c r="N1030" s="539">
        <f ca="1">IFERROR(__xludf.DUMMYFUNCTION("""COMPUTED_VALUE"""),1)</f>
        <v>1</v>
      </c>
      <c r="O1030" s="539">
        <f ca="1">IFERROR(__xludf.DUMMYFUNCTION("""COMPUTED_VALUE"""),1)</f>
        <v>1</v>
      </c>
    </row>
    <row r="1031" spans="1:15" ht="12.75">
      <c r="A1031" s="539">
        <f ca="1"/>
        <v>1025</v>
      </c>
      <c r="B1031" s="35" t="str">
        <f ca="1">IFERROR(__xludf.DUMMYFUNCTION("""COMPUTED_VALUE"""),"Tổ Hạ tầng Tân An")</f>
        <v>Tổ Hạ tầng Tân An</v>
      </c>
      <c r="C1031" s="35" t="str">
        <f ca="1">IFERROR(__xludf.DUMMYFUNCTION("""COMPUTED_VALUE"""),"Nguyễn Hoàng Tuấn")</f>
        <v>Nguyễn Hoàng Tuấn</v>
      </c>
      <c r="D1031" s="35">
        <f ca="1">IFERROR(__xludf.DUMMYFUNCTION("""COMPUTED_VALUE"""),915282271)</f>
        <v>915282271</v>
      </c>
      <c r="E1031" s="35" t="str">
        <f ca="1">IFERROR(__xludf.DUMMYFUNCTION("""COMPUTED_VALUE"""),"tuannh.lan@vnpt.vn")</f>
        <v>tuannh.lan@vnpt.vn</v>
      </c>
      <c r="F1031" s="540" t="str">
        <f ca="1">IFERROR(__xludf.DUMMYFUNCTION("""COMPUTED_VALUE"""),"Lần 1")</f>
        <v>Lần 1</v>
      </c>
      <c r="G1031" s="278">
        <f ca="1">IFERROR(__xludf.DUMMYFUNCTION("""COMPUTED_VALUE"""),46206)</f>
        <v>46206</v>
      </c>
      <c r="H1031" s="35">
        <f ca="1">IFERROR(__xludf.DUMMYFUNCTION("""COMPUTED_VALUE"""),351)</f>
        <v>351</v>
      </c>
      <c r="I1031" s="35">
        <f ca="1">IFERROR(__xludf.DUMMYFUNCTION("""COMPUTED_VALUE"""),93)</f>
        <v>93</v>
      </c>
      <c r="J1031" s="541">
        <f ca="1">IFERROR(__xludf.DUMMYFUNCTION("""COMPUTED_VALUE"""),878)</f>
        <v>878</v>
      </c>
      <c r="K1031" s="541">
        <f ca="1">IFERROR(__xludf.DUMMYFUNCTION("""COMPUTED_VALUE"""),119)</f>
        <v>119</v>
      </c>
      <c r="M1031" s="539">
        <f ca="1">IFERROR(__xludf.DUMMYFUNCTION("""COMPUTED_VALUE"""),1)</f>
        <v>1</v>
      </c>
      <c r="N1031" s="539">
        <f ca="1">IFERROR(__xludf.DUMMYFUNCTION("""COMPUTED_VALUE"""),1)</f>
        <v>1</v>
      </c>
      <c r="O1031" s="539">
        <f ca="1">IFERROR(__xludf.DUMMYFUNCTION("""COMPUTED_VALUE"""),1)</f>
        <v>1</v>
      </c>
    </row>
    <row r="1032" spans="1:15" ht="12.75">
      <c r="A1032" s="539">
        <f ca="1"/>
        <v>1026</v>
      </c>
      <c r="B1032" s="35" t="str">
        <f ca="1">IFERROR(__xludf.DUMMYFUNCTION("""COMPUTED_VALUE"""),"Tổ Hạ tầng Tân An")</f>
        <v>Tổ Hạ tầng Tân An</v>
      </c>
      <c r="C1032" s="35" t="str">
        <f ca="1">IFERROR(__xludf.DUMMYFUNCTION("""COMPUTED_VALUE"""),"Nguyễn Hoàng Tuấn")</f>
        <v>Nguyễn Hoàng Tuấn</v>
      </c>
      <c r="D1032" s="35">
        <f ca="1">IFERROR(__xludf.DUMMYFUNCTION("""COMPUTED_VALUE"""),915282271)</f>
        <v>915282271</v>
      </c>
      <c r="E1032" s="35" t="str">
        <f ca="1">IFERROR(__xludf.DUMMYFUNCTION("""COMPUTED_VALUE"""),"tuannh.lan@vnpt.vn")</f>
        <v>tuannh.lan@vnpt.vn</v>
      </c>
      <c r="F1032" s="540" t="str">
        <f ca="1">IFERROR(__xludf.DUMMYFUNCTION("""COMPUTED_VALUE"""),"Lần 2")</f>
        <v>Lần 2</v>
      </c>
      <c r="G1032" s="278">
        <f ca="1">IFERROR(__xludf.DUMMYFUNCTION("""COMPUTED_VALUE"""),46209)</f>
        <v>46209</v>
      </c>
      <c r="H1032" s="35">
        <f ca="1">IFERROR(__xludf.DUMMYFUNCTION("""COMPUTED_VALUE"""),944)</f>
        <v>944</v>
      </c>
      <c r="I1032" s="35">
        <f ca="1">IFERROR(__xludf.DUMMYFUNCTION("""COMPUTED_VALUE"""),139)</f>
        <v>139</v>
      </c>
      <c r="J1032" s="541">
        <f ca="1">IFERROR(__xludf.DUMMYFUNCTION("""COMPUTED_VALUE"""),1123)</f>
        <v>1123</v>
      </c>
      <c r="K1032" s="541">
        <f ca="1">IFERROR(__xludf.DUMMYFUNCTION("""COMPUTED_VALUE"""),156)</f>
        <v>156</v>
      </c>
      <c r="M1032" s="539">
        <f ca="1">IFERROR(__xludf.DUMMYFUNCTION("""COMPUTED_VALUE"""),1)</f>
        <v>1</v>
      </c>
      <c r="N1032" s="539">
        <f ca="1">IFERROR(__xludf.DUMMYFUNCTION("""COMPUTED_VALUE"""),1)</f>
        <v>1</v>
      </c>
      <c r="O1032" s="539">
        <f ca="1">IFERROR(__xludf.DUMMYFUNCTION("""COMPUTED_VALUE"""),1)</f>
        <v>1</v>
      </c>
    </row>
    <row r="1033" spans="1:15" ht="12.75">
      <c r="A1033" s="539">
        <f ca="1"/>
        <v>1027</v>
      </c>
      <c r="B1033" s="35" t="str">
        <f ca="1">IFERROR(__xludf.DUMMYFUNCTION("""COMPUTED_VALUE"""),"Tổ Hạ tầng Tân An")</f>
        <v>Tổ Hạ tầng Tân An</v>
      </c>
      <c r="C1033" s="35" t="str">
        <f ca="1">IFERROR(__xludf.DUMMYFUNCTION("""COMPUTED_VALUE"""),"Nguyễn Hoàng Tuấn")</f>
        <v>Nguyễn Hoàng Tuấn</v>
      </c>
      <c r="D1033" s="35">
        <f ca="1">IFERROR(__xludf.DUMMYFUNCTION("""COMPUTED_VALUE"""),915282271)</f>
        <v>915282271</v>
      </c>
      <c r="E1033" s="35" t="str">
        <f ca="1">IFERROR(__xludf.DUMMYFUNCTION("""COMPUTED_VALUE"""),"tuannh.lan@vnpt.vn")</f>
        <v>tuannh.lan@vnpt.vn</v>
      </c>
      <c r="F1033" s="540" t="str">
        <f ca="1">IFERROR(__xludf.DUMMYFUNCTION("""COMPUTED_VALUE"""),"Lần 3")</f>
        <v>Lần 3</v>
      </c>
      <c r="G1033" s="278">
        <f ca="1">IFERROR(__xludf.DUMMYFUNCTION("""COMPUTED_VALUE"""),46209)</f>
        <v>46209</v>
      </c>
      <c r="H1033" s="35">
        <f ca="1">IFERROR(__xludf.DUMMYFUNCTION("""COMPUTED_VALUE"""),947)</f>
        <v>947</v>
      </c>
      <c r="I1033" s="35">
        <f ca="1">IFERROR(__xludf.DUMMYFUNCTION("""COMPUTED_VALUE"""),138)</f>
        <v>138</v>
      </c>
      <c r="J1033" s="541">
        <f ca="1">IFERROR(__xludf.DUMMYFUNCTION("""COMPUTED_VALUE"""),938)</f>
        <v>938</v>
      </c>
      <c r="K1033" s="541">
        <f ca="1">IFERROR(__xludf.DUMMYFUNCTION("""COMPUTED_VALUE"""),150)</f>
        <v>150</v>
      </c>
      <c r="M1033" s="539">
        <f ca="1">IFERROR(__xludf.DUMMYFUNCTION("""COMPUTED_VALUE"""),1)</f>
        <v>1</v>
      </c>
      <c r="N1033" s="539">
        <f ca="1">IFERROR(__xludf.DUMMYFUNCTION("""COMPUTED_VALUE"""),1)</f>
        <v>1</v>
      </c>
      <c r="O1033" s="539">
        <f ca="1">IFERROR(__xludf.DUMMYFUNCTION("""COMPUTED_VALUE"""),1)</f>
        <v>1</v>
      </c>
    </row>
    <row r="1034" spans="1:15" ht="12.75">
      <c r="A1034" s="539">
        <f ca="1"/>
        <v>1028</v>
      </c>
      <c r="B1034" s="35" t="str">
        <f ca="1">IFERROR(__xludf.DUMMYFUNCTION("""COMPUTED_VALUE"""),"Tổ Hạ tầng Tân An")</f>
        <v>Tổ Hạ tầng Tân An</v>
      </c>
      <c r="C1034" s="35" t="str">
        <f ca="1">IFERROR(__xludf.DUMMYFUNCTION("""COMPUTED_VALUE"""),"Nguyễn Hoàng Tuấn")</f>
        <v>Nguyễn Hoàng Tuấn</v>
      </c>
      <c r="D1034" s="35">
        <f ca="1">IFERROR(__xludf.DUMMYFUNCTION("""COMPUTED_VALUE"""),915282271)</f>
        <v>915282271</v>
      </c>
      <c r="E1034" s="35" t="str">
        <f ca="1">IFERROR(__xludf.DUMMYFUNCTION("""COMPUTED_VALUE"""),"tuannh.lan@vnpt.vn")</f>
        <v>tuannh.lan@vnpt.vn</v>
      </c>
      <c r="F1034" s="540" t="str">
        <f ca="1">IFERROR(__xludf.DUMMYFUNCTION("""COMPUTED_VALUE"""),"Lần 4")</f>
        <v>Lần 4</v>
      </c>
      <c r="G1034" s="278">
        <f ca="1">IFERROR(__xludf.DUMMYFUNCTION("""COMPUTED_VALUE"""),46210)</f>
        <v>46210</v>
      </c>
      <c r="H1034" s="35">
        <f ca="1">IFERROR(__xludf.DUMMYFUNCTION("""COMPUTED_VALUE"""),329)</f>
        <v>329</v>
      </c>
      <c r="I1034" s="35">
        <f ca="1">IFERROR(__xludf.DUMMYFUNCTION("""COMPUTED_VALUE"""),91.3)</f>
        <v>91.3</v>
      </c>
      <c r="J1034" s="541">
        <f ca="1">IFERROR(__xludf.DUMMYFUNCTION("""COMPUTED_VALUE"""),974)</f>
        <v>974</v>
      </c>
      <c r="K1034" s="541">
        <f ca="1">IFERROR(__xludf.DUMMYFUNCTION("""COMPUTED_VALUE"""),114)</f>
        <v>114</v>
      </c>
      <c r="M1034" s="539">
        <f ca="1">IFERROR(__xludf.DUMMYFUNCTION("""COMPUTED_VALUE"""),1)</f>
        <v>1</v>
      </c>
      <c r="N1034" s="539">
        <f ca="1">IFERROR(__xludf.DUMMYFUNCTION("""COMPUTED_VALUE"""),1)</f>
        <v>1</v>
      </c>
      <c r="O1034" s="539">
        <f ca="1">IFERROR(__xludf.DUMMYFUNCTION("""COMPUTED_VALUE"""),1)</f>
        <v>1</v>
      </c>
    </row>
    <row r="1035" spans="1:15" ht="12.75">
      <c r="A1035" s="539">
        <f ca="1"/>
        <v>1029</v>
      </c>
      <c r="B1035" s="35" t="str">
        <f ca="1">IFERROR(__xludf.DUMMYFUNCTION("""COMPUTED_VALUE"""),"Tổ Hạ tầng Tân An")</f>
        <v>Tổ Hạ tầng Tân An</v>
      </c>
      <c r="C1035" s="35" t="str">
        <f ca="1">IFERROR(__xludf.DUMMYFUNCTION("""COMPUTED_VALUE"""),"Nguyễn Hoàng Tuấn")</f>
        <v>Nguyễn Hoàng Tuấn</v>
      </c>
      <c r="D1035" s="35">
        <f ca="1">IFERROR(__xludf.DUMMYFUNCTION("""COMPUTED_VALUE"""),915282271)</f>
        <v>915282271</v>
      </c>
      <c r="E1035" s="35" t="str">
        <f ca="1">IFERROR(__xludf.DUMMYFUNCTION("""COMPUTED_VALUE"""),"tuannh.lan@vnpt.vn")</f>
        <v>tuannh.lan@vnpt.vn</v>
      </c>
      <c r="F1035" s="540" t="str">
        <f ca="1">IFERROR(__xludf.DUMMYFUNCTION("""COMPUTED_VALUE"""),"Lần 5")</f>
        <v>Lần 5</v>
      </c>
      <c r="G1035" s="278">
        <f ca="1">IFERROR(__xludf.DUMMYFUNCTION("""COMPUTED_VALUE"""),46210)</f>
        <v>46210</v>
      </c>
      <c r="H1035" s="35">
        <f ca="1">IFERROR(__xludf.DUMMYFUNCTION("""COMPUTED_VALUE"""),300)</f>
        <v>300</v>
      </c>
      <c r="I1035" s="35">
        <f ca="1">IFERROR(__xludf.DUMMYFUNCTION("""COMPUTED_VALUE"""),95.8)</f>
        <v>95.8</v>
      </c>
      <c r="J1035" s="541">
        <f ca="1">IFERROR(__xludf.DUMMYFUNCTION("""COMPUTED_VALUE"""),1018)</f>
        <v>1018</v>
      </c>
      <c r="K1035" s="541">
        <f ca="1">IFERROR(__xludf.DUMMYFUNCTION("""COMPUTED_VALUE"""),124)</f>
        <v>124</v>
      </c>
      <c r="M1035" s="539">
        <f ca="1">IFERROR(__xludf.DUMMYFUNCTION("""COMPUTED_VALUE"""),1)</f>
        <v>1</v>
      </c>
      <c r="N1035" s="539">
        <f ca="1">IFERROR(__xludf.DUMMYFUNCTION("""COMPUTED_VALUE"""),1)</f>
        <v>1</v>
      </c>
      <c r="O1035" s="539">
        <f ca="1">IFERROR(__xludf.DUMMYFUNCTION("""COMPUTED_VALUE"""),1)</f>
        <v>1</v>
      </c>
    </row>
    <row r="1036" spans="1:15" ht="12.75">
      <c r="A1036" s="539">
        <f ca="1"/>
        <v>1030</v>
      </c>
      <c r="B1036" s="35" t="str">
        <f ca="1">IFERROR(__xludf.DUMMYFUNCTION("""COMPUTED_VALUE"""),"Tổ Hạ tầng Tân An")</f>
        <v>Tổ Hạ tầng Tân An</v>
      </c>
      <c r="C1036" s="35" t="str">
        <f ca="1">IFERROR(__xludf.DUMMYFUNCTION("""COMPUTED_VALUE"""),"Nguyễn Hoàng Tuấn")</f>
        <v>Nguyễn Hoàng Tuấn</v>
      </c>
      <c r="D1036" s="35">
        <f ca="1">IFERROR(__xludf.DUMMYFUNCTION("""COMPUTED_VALUE"""),915282271)</f>
        <v>915282271</v>
      </c>
      <c r="E1036" s="35" t="str">
        <f ca="1">IFERROR(__xludf.DUMMYFUNCTION("""COMPUTED_VALUE"""),"tuannh.lan@vnpt.vn")</f>
        <v>tuannh.lan@vnpt.vn</v>
      </c>
      <c r="F1036" s="540" t="str">
        <f ca="1">IFERROR(__xludf.DUMMYFUNCTION("""COMPUTED_VALUE"""),"Lần 6")</f>
        <v>Lần 6</v>
      </c>
      <c r="G1036" s="278">
        <f ca="1">IFERROR(__xludf.DUMMYFUNCTION("""COMPUTED_VALUE"""),46210)</f>
        <v>46210</v>
      </c>
      <c r="H1036" s="35">
        <f ca="1">IFERROR(__xludf.DUMMYFUNCTION("""COMPUTED_VALUE"""),276)</f>
        <v>276</v>
      </c>
      <c r="I1036" s="35">
        <f ca="1">IFERROR(__xludf.DUMMYFUNCTION("""COMPUTED_VALUE"""),76.1)</f>
        <v>76.099999999999994</v>
      </c>
      <c r="J1036" s="541">
        <f ca="1">IFERROR(__xludf.DUMMYFUNCTION("""COMPUTED_VALUE"""),1006)</f>
        <v>1006</v>
      </c>
      <c r="K1036" s="541">
        <f ca="1">IFERROR(__xludf.DUMMYFUNCTION("""COMPUTED_VALUE"""),126)</f>
        <v>126</v>
      </c>
      <c r="M1036" s="539">
        <f ca="1">IFERROR(__xludf.DUMMYFUNCTION("""COMPUTED_VALUE"""),1)</f>
        <v>1</v>
      </c>
      <c r="N1036" s="539">
        <f ca="1">IFERROR(__xludf.DUMMYFUNCTION("""COMPUTED_VALUE"""),1)</f>
        <v>1</v>
      </c>
      <c r="O1036" s="539">
        <f ca="1">IFERROR(__xludf.DUMMYFUNCTION("""COMPUTED_VALUE"""),1)</f>
        <v>1</v>
      </c>
    </row>
    <row r="1037" spans="1:15" ht="12.75">
      <c r="A1037" s="539">
        <f ca="1"/>
        <v>1031</v>
      </c>
      <c r="B1037" s="35" t="str">
        <f ca="1">IFERROR(__xludf.DUMMYFUNCTION("""COMPUTED_VALUE"""),"Tổ Hạ tầng Tân An")</f>
        <v>Tổ Hạ tầng Tân An</v>
      </c>
      <c r="C1037" s="35" t="str">
        <f ca="1">IFERROR(__xludf.DUMMYFUNCTION("""COMPUTED_VALUE"""),"Nguyễn Hoàng Tuấn")</f>
        <v>Nguyễn Hoàng Tuấn</v>
      </c>
      <c r="D1037" s="35">
        <f ca="1">IFERROR(__xludf.DUMMYFUNCTION("""COMPUTED_VALUE"""),915282271)</f>
        <v>915282271</v>
      </c>
      <c r="E1037" s="35" t="str">
        <f ca="1">IFERROR(__xludf.DUMMYFUNCTION("""COMPUTED_VALUE"""),"tuannh.lan@vnpt.vn")</f>
        <v>tuannh.lan@vnpt.vn</v>
      </c>
      <c r="F1037" s="540" t="str">
        <f ca="1">IFERROR(__xludf.DUMMYFUNCTION("""COMPUTED_VALUE"""),"Lần 7")</f>
        <v>Lần 7</v>
      </c>
      <c r="G1037" s="278">
        <f ca="1">IFERROR(__xludf.DUMMYFUNCTION("""COMPUTED_VALUE"""),46211)</f>
        <v>46211</v>
      </c>
      <c r="H1037" s="35">
        <f ca="1">IFERROR(__xludf.DUMMYFUNCTION("""COMPUTED_VALUE"""),375)</f>
        <v>375</v>
      </c>
      <c r="I1037" s="35">
        <f ca="1">IFERROR(__xludf.DUMMYFUNCTION("""COMPUTED_VALUE"""),68.1)</f>
        <v>68.099999999999994</v>
      </c>
      <c r="J1037" s="541">
        <f ca="1">IFERROR(__xludf.DUMMYFUNCTION("""COMPUTED_VALUE"""),917)</f>
        <v>917</v>
      </c>
      <c r="K1037" s="541">
        <f ca="1">IFERROR(__xludf.DUMMYFUNCTION("""COMPUTED_VALUE"""),156)</f>
        <v>156</v>
      </c>
      <c r="M1037" s="539">
        <f ca="1">IFERROR(__xludf.DUMMYFUNCTION("""COMPUTED_VALUE"""),1)</f>
        <v>1</v>
      </c>
      <c r="N1037" s="539">
        <f ca="1">IFERROR(__xludf.DUMMYFUNCTION("""COMPUTED_VALUE"""),1)</f>
        <v>1</v>
      </c>
      <c r="O1037" s="539">
        <f ca="1">IFERROR(__xludf.DUMMYFUNCTION("""COMPUTED_VALUE"""),1)</f>
        <v>1</v>
      </c>
    </row>
    <row r="1038" spans="1:15" ht="12.75">
      <c r="A1038" s="539">
        <f ca="1"/>
        <v>1032</v>
      </c>
      <c r="B1038" s="35" t="str">
        <f ca="1">IFERROR(__xludf.DUMMYFUNCTION("""COMPUTED_VALUE"""),"Tổ Hạ tầng Tân An")</f>
        <v>Tổ Hạ tầng Tân An</v>
      </c>
      <c r="C1038" s="35" t="str">
        <f ca="1">IFERROR(__xludf.DUMMYFUNCTION("""COMPUTED_VALUE"""),"Nguyễn Hoàng Tuấn")</f>
        <v>Nguyễn Hoàng Tuấn</v>
      </c>
      <c r="D1038" s="35">
        <f ca="1">IFERROR(__xludf.DUMMYFUNCTION("""COMPUTED_VALUE"""),915282271)</f>
        <v>915282271</v>
      </c>
      <c r="E1038" s="35" t="str">
        <f ca="1">IFERROR(__xludf.DUMMYFUNCTION("""COMPUTED_VALUE"""),"tuannh.lan@vnpt.vn")</f>
        <v>tuannh.lan@vnpt.vn</v>
      </c>
      <c r="F1038" s="540" t="str">
        <f ca="1">IFERROR(__xludf.DUMMYFUNCTION("""COMPUTED_VALUE"""),"Lần 8")</f>
        <v>Lần 8</v>
      </c>
      <c r="G1038" s="278">
        <f ca="1">IFERROR(__xludf.DUMMYFUNCTION("""COMPUTED_VALUE"""),46211)</f>
        <v>46211</v>
      </c>
      <c r="H1038" s="35">
        <f ca="1">IFERROR(__xludf.DUMMYFUNCTION("""COMPUTED_VALUE"""),383)</f>
        <v>383</v>
      </c>
      <c r="I1038" s="35">
        <f ca="1">IFERROR(__xludf.DUMMYFUNCTION("""COMPUTED_VALUE"""),73.6)</f>
        <v>73.599999999999994</v>
      </c>
      <c r="J1038" s="541">
        <f ca="1">IFERROR(__xludf.DUMMYFUNCTION("""COMPUTED_VALUE"""),932)</f>
        <v>932</v>
      </c>
      <c r="K1038" s="541">
        <f ca="1">IFERROR(__xludf.DUMMYFUNCTION("""COMPUTED_VALUE"""),80.1)</f>
        <v>80.099999999999994</v>
      </c>
      <c r="M1038" s="539">
        <f ca="1">IFERROR(__xludf.DUMMYFUNCTION("""COMPUTED_VALUE"""),1)</f>
        <v>1</v>
      </c>
      <c r="N1038" s="539">
        <f ca="1">IFERROR(__xludf.DUMMYFUNCTION("""COMPUTED_VALUE"""),1)</f>
        <v>1</v>
      </c>
      <c r="O1038" s="539">
        <f ca="1">IFERROR(__xludf.DUMMYFUNCTION("""COMPUTED_VALUE"""),1)</f>
        <v>1</v>
      </c>
    </row>
    <row r="1039" spans="1:15" ht="12.75">
      <c r="A1039" s="539">
        <f ca="1"/>
        <v>1033</v>
      </c>
      <c r="B1039" s="35" t="str">
        <f ca="1">IFERROR(__xludf.DUMMYFUNCTION("""COMPUTED_VALUE"""),"Tổ Hạ tầng Tân An")</f>
        <v>Tổ Hạ tầng Tân An</v>
      </c>
      <c r="C1039" s="35" t="str">
        <f ca="1">IFERROR(__xludf.DUMMYFUNCTION("""COMPUTED_VALUE"""),"Nguyễn Hoàng Tuấn")</f>
        <v>Nguyễn Hoàng Tuấn</v>
      </c>
      <c r="D1039" s="35">
        <f ca="1">IFERROR(__xludf.DUMMYFUNCTION("""COMPUTED_VALUE"""),915282271)</f>
        <v>915282271</v>
      </c>
      <c r="E1039" s="35" t="str">
        <f ca="1">IFERROR(__xludf.DUMMYFUNCTION("""COMPUTED_VALUE"""),"tuannh.lan@vnpt.vn")</f>
        <v>tuannh.lan@vnpt.vn</v>
      </c>
      <c r="F1039" s="540" t="str">
        <f ca="1">IFERROR(__xludf.DUMMYFUNCTION("""COMPUTED_VALUE"""),"Lần 9")</f>
        <v>Lần 9</v>
      </c>
      <c r="G1039" s="278">
        <f ca="1">IFERROR(__xludf.DUMMYFUNCTION("""COMPUTED_VALUE"""),46212)</f>
        <v>46212</v>
      </c>
      <c r="H1039" s="35">
        <f ca="1">IFERROR(__xludf.DUMMYFUNCTION("""COMPUTED_VALUE"""),345)</f>
        <v>345</v>
      </c>
      <c r="I1039" s="35">
        <f ca="1">IFERROR(__xludf.DUMMYFUNCTION("""COMPUTED_VALUE"""),61.2)</f>
        <v>61.2</v>
      </c>
      <c r="J1039" s="541">
        <f ca="1">IFERROR(__xludf.DUMMYFUNCTION("""COMPUTED_VALUE"""),905)</f>
        <v>905</v>
      </c>
      <c r="K1039" s="541">
        <f ca="1">IFERROR(__xludf.DUMMYFUNCTION("""COMPUTED_VALUE"""),91)</f>
        <v>91</v>
      </c>
      <c r="M1039" s="539">
        <f ca="1">IFERROR(__xludf.DUMMYFUNCTION("""COMPUTED_VALUE"""),1)</f>
        <v>1</v>
      </c>
      <c r="N1039" s="539">
        <f ca="1">IFERROR(__xludf.DUMMYFUNCTION("""COMPUTED_VALUE"""),1)</f>
        <v>1</v>
      </c>
      <c r="O1039" s="539">
        <f ca="1">IFERROR(__xludf.DUMMYFUNCTION("""COMPUTED_VALUE"""),1)</f>
        <v>1</v>
      </c>
    </row>
    <row r="1040" spans="1:15" ht="12.75">
      <c r="A1040" s="539">
        <f ca="1"/>
        <v>1034</v>
      </c>
      <c r="B1040" s="35" t="str">
        <f ca="1">IFERROR(__xludf.DUMMYFUNCTION("""COMPUTED_VALUE"""),"Tổ Hạ tầng Tân An")</f>
        <v>Tổ Hạ tầng Tân An</v>
      </c>
      <c r="C1040" s="35" t="str">
        <f ca="1">IFERROR(__xludf.DUMMYFUNCTION("""COMPUTED_VALUE"""),"Nguyễn Hoàng Tuấn")</f>
        <v>Nguyễn Hoàng Tuấn</v>
      </c>
      <c r="D1040" s="35">
        <f ca="1">IFERROR(__xludf.DUMMYFUNCTION("""COMPUTED_VALUE"""),915282271)</f>
        <v>915282271</v>
      </c>
      <c r="E1040" s="35" t="str">
        <f ca="1">IFERROR(__xludf.DUMMYFUNCTION("""COMPUTED_VALUE"""),"tuannh.lan@vnpt.vn")</f>
        <v>tuannh.lan@vnpt.vn</v>
      </c>
      <c r="F1040" s="540" t="str">
        <f ca="1">IFERROR(__xludf.DUMMYFUNCTION("""COMPUTED_VALUE"""),"Lần 10")</f>
        <v>Lần 10</v>
      </c>
      <c r="G1040" s="278">
        <f ca="1">IFERROR(__xludf.DUMMYFUNCTION("""COMPUTED_VALUE"""),46212)</f>
        <v>46212</v>
      </c>
      <c r="H1040" s="35">
        <f ca="1">IFERROR(__xludf.DUMMYFUNCTION("""COMPUTED_VALUE"""),300)</f>
        <v>300</v>
      </c>
      <c r="I1040" s="35">
        <f ca="1">IFERROR(__xludf.DUMMYFUNCTION("""COMPUTED_VALUE"""),91.7)</f>
        <v>91.7</v>
      </c>
      <c r="J1040" s="541">
        <f ca="1">IFERROR(__xludf.DUMMYFUNCTION("""COMPUTED_VALUE"""),972)</f>
        <v>972</v>
      </c>
      <c r="K1040" s="541">
        <f ca="1">IFERROR(__xludf.DUMMYFUNCTION("""COMPUTED_VALUE"""),90.3)</f>
        <v>90.3</v>
      </c>
      <c r="M1040" s="539">
        <f ca="1">IFERROR(__xludf.DUMMYFUNCTION("""COMPUTED_VALUE"""),1)</f>
        <v>1</v>
      </c>
      <c r="N1040" s="539">
        <f ca="1">IFERROR(__xludf.DUMMYFUNCTION("""COMPUTED_VALUE"""),1)</f>
        <v>1</v>
      </c>
      <c r="O1040" s="539">
        <f ca="1">IFERROR(__xludf.DUMMYFUNCTION("""COMPUTED_VALUE"""),1)</f>
        <v>1</v>
      </c>
    </row>
    <row r="1041" spans="1:15" ht="12.75">
      <c r="A1041" s="539">
        <f ca="1"/>
        <v>1035</v>
      </c>
      <c r="B1041" s="35" t="str">
        <f ca="1">IFERROR(__xludf.DUMMYFUNCTION("""COMPUTED_VALUE"""),"Tổ Hạ tầng Tân An")</f>
        <v>Tổ Hạ tầng Tân An</v>
      </c>
      <c r="C1041" s="35" t="str">
        <f ca="1">IFERROR(__xludf.DUMMYFUNCTION("""COMPUTED_VALUE"""),"Nguyễn Hoàng Tuấn")</f>
        <v>Nguyễn Hoàng Tuấn</v>
      </c>
      <c r="D1041" s="35">
        <f ca="1">IFERROR(__xludf.DUMMYFUNCTION("""COMPUTED_VALUE"""),915282271)</f>
        <v>915282271</v>
      </c>
      <c r="E1041" s="35" t="str">
        <f ca="1">IFERROR(__xludf.DUMMYFUNCTION("""COMPUTED_VALUE"""),"tuannh.lan@vnpt.vn")</f>
        <v>tuannh.lan@vnpt.vn</v>
      </c>
      <c r="F1041" s="540" t="str">
        <f ca="1">IFERROR(__xludf.DUMMYFUNCTION("""COMPUTED_VALUE"""),"Lần 11")</f>
        <v>Lần 11</v>
      </c>
      <c r="G1041" s="278">
        <f ca="1">IFERROR(__xludf.DUMMYFUNCTION("""COMPUTED_VALUE"""),46212)</f>
        <v>46212</v>
      </c>
      <c r="H1041" s="35">
        <f ca="1">IFERROR(__xludf.DUMMYFUNCTION("""COMPUTED_VALUE"""),242)</f>
        <v>242</v>
      </c>
      <c r="I1041" s="35">
        <f ca="1">IFERROR(__xludf.DUMMYFUNCTION("""COMPUTED_VALUE"""),107)</f>
        <v>107</v>
      </c>
      <c r="J1041" s="541">
        <f ca="1">IFERROR(__xludf.DUMMYFUNCTION("""COMPUTED_VALUE"""),933)</f>
        <v>933</v>
      </c>
      <c r="K1041" s="541">
        <f ca="1">IFERROR(__xludf.DUMMYFUNCTION("""COMPUTED_VALUE"""),122)</f>
        <v>122</v>
      </c>
      <c r="M1041" s="539">
        <f ca="1">IFERROR(__xludf.DUMMYFUNCTION("""COMPUTED_VALUE"""),1)</f>
        <v>1</v>
      </c>
      <c r="N1041" s="539">
        <f ca="1">IFERROR(__xludf.DUMMYFUNCTION("""COMPUTED_VALUE"""),1)</f>
        <v>1</v>
      </c>
      <c r="O1041" s="539">
        <f ca="1">IFERROR(__xludf.DUMMYFUNCTION("""COMPUTED_VALUE"""),1)</f>
        <v>1</v>
      </c>
    </row>
    <row r="1042" spans="1:15" ht="12.75">
      <c r="A1042" s="539">
        <f ca="1"/>
        <v>1036</v>
      </c>
      <c r="B1042" s="35" t="str">
        <f ca="1">IFERROR(__xludf.DUMMYFUNCTION("""COMPUTED_VALUE"""),"Tổ Hạ tầng Tân An")</f>
        <v>Tổ Hạ tầng Tân An</v>
      </c>
      <c r="C1042" s="35" t="str">
        <f ca="1">IFERROR(__xludf.DUMMYFUNCTION("""COMPUTED_VALUE"""),"Nguyễn Hoàng Tuấn")</f>
        <v>Nguyễn Hoàng Tuấn</v>
      </c>
      <c r="D1042" s="35">
        <f ca="1">IFERROR(__xludf.DUMMYFUNCTION("""COMPUTED_VALUE"""),915282271)</f>
        <v>915282271</v>
      </c>
      <c r="E1042" s="35" t="str">
        <f ca="1">IFERROR(__xludf.DUMMYFUNCTION("""COMPUTED_VALUE"""),"tuannh.lan@vnpt.vn")</f>
        <v>tuannh.lan@vnpt.vn</v>
      </c>
      <c r="F1042" s="540" t="str">
        <f ca="1">IFERROR(__xludf.DUMMYFUNCTION("""COMPUTED_VALUE"""),"Lần 12")</f>
        <v>Lần 12</v>
      </c>
      <c r="G1042" s="278">
        <f ca="1">IFERROR(__xludf.DUMMYFUNCTION("""COMPUTED_VALUE"""),46214)</f>
        <v>46214</v>
      </c>
      <c r="H1042" s="35">
        <f ca="1">IFERROR(__xludf.DUMMYFUNCTION("""COMPUTED_VALUE"""),831)</f>
        <v>831</v>
      </c>
      <c r="I1042" s="35">
        <f ca="1">IFERROR(__xludf.DUMMYFUNCTION("""COMPUTED_VALUE"""),93.5)</f>
        <v>93.5</v>
      </c>
      <c r="J1042" s="541">
        <f ca="1">IFERROR(__xludf.DUMMYFUNCTION("""COMPUTED_VALUE"""),863)</f>
        <v>863</v>
      </c>
      <c r="K1042" s="541">
        <f ca="1">IFERROR(__xludf.DUMMYFUNCTION("""COMPUTED_VALUE"""),100)</f>
        <v>100</v>
      </c>
      <c r="M1042" s="539">
        <f ca="1">IFERROR(__xludf.DUMMYFUNCTION("""COMPUTED_VALUE"""),1)</f>
        <v>1</v>
      </c>
      <c r="N1042" s="539">
        <f ca="1">IFERROR(__xludf.DUMMYFUNCTION("""COMPUTED_VALUE"""),1)</f>
        <v>1</v>
      </c>
      <c r="O1042" s="539">
        <f ca="1">IFERROR(__xludf.DUMMYFUNCTION("""COMPUTED_VALUE"""),1)</f>
        <v>1</v>
      </c>
    </row>
    <row r="1043" spans="1:15" ht="12.75">
      <c r="A1043" s="539">
        <f ca="1"/>
        <v>1037</v>
      </c>
      <c r="B1043" s="35" t="str">
        <f ca="1">IFERROR(__xludf.DUMMYFUNCTION("""COMPUTED_VALUE"""),"Tổ Hạ tầng Tân An")</f>
        <v>Tổ Hạ tầng Tân An</v>
      </c>
      <c r="C1043" s="35" t="str">
        <f ca="1">IFERROR(__xludf.DUMMYFUNCTION("""COMPUTED_VALUE"""),"Nguyễn Hoàng Tuấn")</f>
        <v>Nguyễn Hoàng Tuấn</v>
      </c>
      <c r="D1043" s="35">
        <f ca="1">IFERROR(__xludf.DUMMYFUNCTION("""COMPUTED_VALUE"""),915282271)</f>
        <v>915282271</v>
      </c>
      <c r="E1043" s="35" t="str">
        <f ca="1">IFERROR(__xludf.DUMMYFUNCTION("""COMPUTED_VALUE"""),"tuannh.lan@vnpt.vn")</f>
        <v>tuannh.lan@vnpt.vn</v>
      </c>
      <c r="F1043" s="540" t="str">
        <f ca="1">IFERROR(__xludf.DUMMYFUNCTION("""COMPUTED_VALUE"""),"Lần 13")</f>
        <v>Lần 13</v>
      </c>
      <c r="G1043" s="278">
        <f ca="1">IFERROR(__xludf.DUMMYFUNCTION("""COMPUTED_VALUE"""),46214)</f>
        <v>46214</v>
      </c>
      <c r="H1043" s="35">
        <f ca="1">IFERROR(__xludf.DUMMYFUNCTION("""COMPUTED_VALUE"""),848)</f>
        <v>848</v>
      </c>
      <c r="I1043" s="35">
        <f ca="1">IFERROR(__xludf.DUMMYFUNCTION("""COMPUTED_VALUE"""),76.6)</f>
        <v>76.599999999999994</v>
      </c>
      <c r="J1043" s="541">
        <f ca="1">IFERROR(__xludf.DUMMYFUNCTION("""COMPUTED_VALUE"""),739)</f>
        <v>739</v>
      </c>
      <c r="K1043" s="541">
        <f ca="1">IFERROR(__xludf.DUMMYFUNCTION("""COMPUTED_VALUE"""),98.8)</f>
        <v>98.8</v>
      </c>
      <c r="M1043" s="539">
        <f ca="1">IFERROR(__xludf.DUMMYFUNCTION("""COMPUTED_VALUE"""),1)</f>
        <v>1</v>
      </c>
      <c r="N1043" s="539">
        <f ca="1">IFERROR(__xludf.DUMMYFUNCTION("""COMPUTED_VALUE"""),1)</f>
        <v>1</v>
      </c>
      <c r="O1043" s="539">
        <f ca="1">IFERROR(__xludf.DUMMYFUNCTION("""COMPUTED_VALUE"""),1)</f>
        <v>1</v>
      </c>
    </row>
    <row r="1044" spans="1:15" ht="12.75">
      <c r="A1044" s="539">
        <f ca="1"/>
        <v>1038</v>
      </c>
      <c r="B1044" s="35" t="str">
        <f ca="1">IFERROR(__xludf.DUMMYFUNCTION("""COMPUTED_VALUE"""),"Tổ Hạ tầng Tân An")</f>
        <v>Tổ Hạ tầng Tân An</v>
      </c>
      <c r="C1044" s="35" t="str">
        <f ca="1">IFERROR(__xludf.DUMMYFUNCTION("""COMPUTED_VALUE"""),"Nguyễn Hoàng Tuấn")</f>
        <v>Nguyễn Hoàng Tuấn</v>
      </c>
      <c r="D1044" s="35">
        <f ca="1">IFERROR(__xludf.DUMMYFUNCTION("""COMPUTED_VALUE"""),915282271)</f>
        <v>915282271</v>
      </c>
      <c r="E1044" s="35" t="str">
        <f ca="1">IFERROR(__xludf.DUMMYFUNCTION("""COMPUTED_VALUE"""),"tuannh.lan@vnpt.vn")</f>
        <v>tuannh.lan@vnpt.vn</v>
      </c>
      <c r="F1044" s="540" t="str">
        <f ca="1">IFERROR(__xludf.DUMMYFUNCTION("""COMPUTED_VALUE"""),"Lần 14")</f>
        <v>Lần 14</v>
      </c>
      <c r="G1044" s="278">
        <f ca="1">IFERROR(__xludf.DUMMYFUNCTION("""COMPUTED_VALUE"""),46214)</f>
        <v>46214</v>
      </c>
      <c r="H1044" s="35">
        <f ca="1">IFERROR(__xludf.DUMMYFUNCTION("""COMPUTED_VALUE"""),673)</f>
        <v>673</v>
      </c>
      <c r="I1044" s="35">
        <f ca="1">IFERROR(__xludf.DUMMYFUNCTION("""COMPUTED_VALUE"""),66.8)</f>
        <v>66.8</v>
      </c>
      <c r="J1044" s="541">
        <f ca="1">IFERROR(__xludf.DUMMYFUNCTION("""COMPUTED_VALUE"""),827)</f>
        <v>827</v>
      </c>
      <c r="K1044" s="541">
        <f ca="1">IFERROR(__xludf.DUMMYFUNCTION("""COMPUTED_VALUE"""),97.9)</f>
        <v>97.9</v>
      </c>
      <c r="M1044" s="539">
        <f ca="1">IFERROR(__xludf.DUMMYFUNCTION("""COMPUTED_VALUE"""),1)</f>
        <v>1</v>
      </c>
      <c r="N1044" s="539">
        <f ca="1">IFERROR(__xludf.DUMMYFUNCTION("""COMPUTED_VALUE"""),1)</f>
        <v>1</v>
      </c>
      <c r="O1044" s="539">
        <f ca="1">IFERROR(__xludf.DUMMYFUNCTION("""COMPUTED_VALUE"""),1)</f>
        <v>1</v>
      </c>
    </row>
    <row r="1045" spans="1:15" ht="12.75">
      <c r="A1045" s="539">
        <f ca="1"/>
        <v>1039</v>
      </c>
      <c r="B1045" s="35" t="str">
        <f ca="1">IFERROR(__xludf.DUMMYFUNCTION("""COMPUTED_VALUE"""),"Tổ Hạ tầng Tân An")</f>
        <v>Tổ Hạ tầng Tân An</v>
      </c>
      <c r="C1045" s="35" t="str">
        <f ca="1">IFERROR(__xludf.DUMMYFUNCTION("""COMPUTED_VALUE"""),"Nguyễn Hoàng Tuấn")</f>
        <v>Nguyễn Hoàng Tuấn</v>
      </c>
      <c r="D1045" s="35">
        <f ca="1">IFERROR(__xludf.DUMMYFUNCTION("""COMPUTED_VALUE"""),915282271)</f>
        <v>915282271</v>
      </c>
      <c r="E1045" s="35" t="str">
        <f ca="1">IFERROR(__xludf.DUMMYFUNCTION("""COMPUTED_VALUE"""),"tuannh.lan@vnpt.vn")</f>
        <v>tuannh.lan@vnpt.vn</v>
      </c>
      <c r="F1045" s="540" t="str">
        <f ca="1">IFERROR(__xludf.DUMMYFUNCTION("""COMPUTED_VALUE"""),"Lần 15")</f>
        <v>Lần 15</v>
      </c>
      <c r="G1045" s="278">
        <f ca="1">IFERROR(__xludf.DUMMYFUNCTION("""COMPUTED_VALUE"""),46214)</f>
        <v>46214</v>
      </c>
      <c r="H1045" s="35">
        <f ca="1">IFERROR(__xludf.DUMMYFUNCTION("""COMPUTED_VALUE"""),449)</f>
        <v>449</v>
      </c>
      <c r="I1045" s="35">
        <f ca="1">IFERROR(__xludf.DUMMYFUNCTION("""COMPUTED_VALUE"""),30.5)</f>
        <v>30.5</v>
      </c>
      <c r="J1045" s="541">
        <f ca="1">IFERROR(__xludf.DUMMYFUNCTION("""COMPUTED_VALUE"""),596)</f>
        <v>596</v>
      </c>
      <c r="K1045" s="541">
        <f ca="1">IFERROR(__xludf.DUMMYFUNCTION("""COMPUTED_VALUE"""),94.7)</f>
        <v>94.7</v>
      </c>
      <c r="M1045" s="539">
        <f ca="1">IFERROR(__xludf.DUMMYFUNCTION("""COMPUTED_VALUE"""),1)</f>
        <v>1</v>
      </c>
      <c r="N1045" s="539">
        <f ca="1">IFERROR(__xludf.DUMMYFUNCTION("""COMPUTED_VALUE"""),1)</f>
        <v>1</v>
      </c>
      <c r="O1045" s="539">
        <f ca="1">IFERROR(__xludf.DUMMYFUNCTION("""COMPUTED_VALUE"""),1)</f>
        <v>1</v>
      </c>
    </row>
    <row r="1046" spans="1:15" ht="12.75">
      <c r="A1046" s="539">
        <f ca="1"/>
        <v>1040</v>
      </c>
      <c r="B1046" s="35" t="str">
        <f ca="1">IFERROR(__xludf.DUMMYFUNCTION("""COMPUTED_VALUE"""),"Tổ Hạ tầng Tân An")</f>
        <v>Tổ Hạ tầng Tân An</v>
      </c>
      <c r="C1046" s="35" t="str">
        <f ca="1">IFERROR(__xludf.DUMMYFUNCTION("""COMPUTED_VALUE"""),"Nguyễn Hoàng Tuấn")</f>
        <v>Nguyễn Hoàng Tuấn</v>
      </c>
      <c r="D1046" s="35">
        <f ca="1">IFERROR(__xludf.DUMMYFUNCTION("""COMPUTED_VALUE"""),915282271)</f>
        <v>915282271</v>
      </c>
      <c r="E1046" s="35" t="str">
        <f ca="1">IFERROR(__xludf.DUMMYFUNCTION("""COMPUTED_VALUE"""),"tuannh.lan@vnpt.vn")</f>
        <v>tuannh.lan@vnpt.vn</v>
      </c>
      <c r="F1046" s="540" t="str">
        <f ca="1">IFERROR(__xludf.DUMMYFUNCTION("""COMPUTED_VALUE"""),"Lần 16")</f>
        <v>Lần 16</v>
      </c>
      <c r="G1046" s="278">
        <f ca="1">IFERROR(__xludf.DUMMYFUNCTION("""COMPUTED_VALUE"""),46216)</f>
        <v>46216</v>
      </c>
      <c r="H1046" s="35">
        <f ca="1">IFERROR(__xludf.DUMMYFUNCTION("""COMPUTED_VALUE"""),326)</f>
        <v>326</v>
      </c>
      <c r="I1046" s="35">
        <f ca="1">IFERROR(__xludf.DUMMYFUNCTION("""COMPUTED_VALUE"""),94)</f>
        <v>94</v>
      </c>
      <c r="J1046" s="541">
        <f ca="1">IFERROR(__xludf.DUMMYFUNCTION("""COMPUTED_VALUE"""),786)</f>
        <v>786</v>
      </c>
      <c r="K1046" s="541">
        <f ca="1">IFERROR(__xludf.DUMMYFUNCTION("""COMPUTED_VALUE"""),92.3)</f>
        <v>92.3</v>
      </c>
      <c r="M1046" s="539">
        <f ca="1">IFERROR(__xludf.DUMMYFUNCTION("""COMPUTED_VALUE"""),1)</f>
        <v>1</v>
      </c>
      <c r="N1046" s="539">
        <f ca="1">IFERROR(__xludf.DUMMYFUNCTION("""COMPUTED_VALUE"""),1)</f>
        <v>1</v>
      </c>
      <c r="O1046" s="539">
        <f ca="1">IFERROR(__xludf.DUMMYFUNCTION("""COMPUTED_VALUE"""),1)</f>
        <v>1</v>
      </c>
    </row>
    <row r="1047" spans="1:15" ht="12.75">
      <c r="A1047" s="539">
        <f ca="1"/>
        <v>1041</v>
      </c>
      <c r="B1047" s="35" t="str">
        <f ca="1">IFERROR(__xludf.DUMMYFUNCTION("""COMPUTED_VALUE"""),"Tổ Hạ tầng Tân An")</f>
        <v>Tổ Hạ tầng Tân An</v>
      </c>
      <c r="C1047" s="35" t="str">
        <f ca="1">IFERROR(__xludf.DUMMYFUNCTION("""COMPUTED_VALUE"""),"Võ Quang Duy")</f>
        <v>Võ Quang Duy</v>
      </c>
      <c r="D1047" s="35">
        <f ca="1">IFERROR(__xludf.DUMMYFUNCTION("""COMPUTED_VALUE"""),945833826)</f>
        <v>945833826</v>
      </c>
      <c r="E1047" s="35" t="str">
        <f ca="1">IFERROR(__xludf.DUMMYFUNCTION("""COMPUTED_VALUE"""),"duyvq.lan@vnpt.vn")</f>
        <v>duyvq.lan@vnpt.vn</v>
      </c>
      <c r="F1047" s="540" t="str">
        <f ca="1">IFERROR(__xludf.DUMMYFUNCTION("""COMPUTED_VALUE"""),"Lần 1")</f>
        <v>Lần 1</v>
      </c>
      <c r="G1047" s="278">
        <f ca="1">IFERROR(__xludf.DUMMYFUNCTION("""COMPUTED_VALUE"""),46205)</f>
        <v>46205</v>
      </c>
      <c r="H1047" s="35">
        <f ca="1">IFERROR(__xludf.DUMMYFUNCTION("""COMPUTED_VALUE"""),661)</f>
        <v>661</v>
      </c>
      <c r="I1047" s="35">
        <f ca="1">IFERROR(__xludf.DUMMYFUNCTION("""COMPUTED_VALUE"""),23)</f>
        <v>23</v>
      </c>
      <c r="J1047" s="541">
        <f ca="1">IFERROR(__xludf.DUMMYFUNCTION("""COMPUTED_VALUE"""),676)</f>
        <v>676</v>
      </c>
      <c r="K1047" s="541">
        <f ca="1">IFERROR(__xludf.DUMMYFUNCTION("""COMPUTED_VALUE"""),17.1)</f>
        <v>17.100000000000001</v>
      </c>
      <c r="M1047" s="539">
        <f ca="1">IFERROR(__xludf.DUMMYFUNCTION("""COMPUTED_VALUE"""),1)</f>
        <v>1</v>
      </c>
      <c r="N1047" s="539">
        <f ca="1">IFERROR(__xludf.DUMMYFUNCTION("""COMPUTED_VALUE"""),1)</f>
        <v>1</v>
      </c>
      <c r="O1047" s="539">
        <f ca="1">IFERROR(__xludf.DUMMYFUNCTION("""COMPUTED_VALUE"""),1)</f>
        <v>1</v>
      </c>
    </row>
    <row r="1048" spans="1:15" ht="12.75">
      <c r="A1048" s="539">
        <f ca="1"/>
        <v>1042</v>
      </c>
      <c r="B1048" s="35" t="str">
        <f ca="1">IFERROR(__xludf.DUMMYFUNCTION("""COMPUTED_VALUE"""),"Tổ Hạ tầng Tân An")</f>
        <v>Tổ Hạ tầng Tân An</v>
      </c>
      <c r="C1048" s="35" t="str">
        <f ca="1">IFERROR(__xludf.DUMMYFUNCTION("""COMPUTED_VALUE"""),"Võ Quang Duy")</f>
        <v>Võ Quang Duy</v>
      </c>
      <c r="D1048" s="35">
        <f ca="1">IFERROR(__xludf.DUMMYFUNCTION("""COMPUTED_VALUE"""),945833826)</f>
        <v>945833826</v>
      </c>
      <c r="E1048" s="35" t="str">
        <f ca="1">IFERROR(__xludf.DUMMYFUNCTION("""COMPUTED_VALUE"""),"duyvq.lan@vnpt.vn")</f>
        <v>duyvq.lan@vnpt.vn</v>
      </c>
      <c r="F1048" s="540" t="str">
        <f ca="1">IFERROR(__xludf.DUMMYFUNCTION("""COMPUTED_VALUE"""),"Lần 2")</f>
        <v>Lần 2</v>
      </c>
      <c r="G1048" s="278">
        <f ca="1">IFERROR(__xludf.DUMMYFUNCTION("""COMPUTED_VALUE"""),46205)</f>
        <v>46205</v>
      </c>
      <c r="H1048" s="35">
        <f ca="1">IFERROR(__xludf.DUMMYFUNCTION("""COMPUTED_VALUE"""),477)</f>
        <v>477</v>
      </c>
      <c r="I1048" s="35">
        <f ca="1">IFERROR(__xludf.DUMMYFUNCTION("""COMPUTED_VALUE"""),21.9)</f>
        <v>21.9</v>
      </c>
      <c r="J1048" s="541">
        <f ca="1">IFERROR(__xludf.DUMMYFUNCTION("""COMPUTED_VALUE"""),666)</f>
        <v>666</v>
      </c>
      <c r="K1048" s="541">
        <f ca="1">IFERROR(__xludf.DUMMYFUNCTION("""COMPUTED_VALUE"""),29.9)</f>
        <v>29.9</v>
      </c>
      <c r="M1048" s="539">
        <f ca="1">IFERROR(__xludf.DUMMYFUNCTION("""COMPUTED_VALUE"""),1)</f>
        <v>1</v>
      </c>
      <c r="N1048" s="539">
        <f ca="1">IFERROR(__xludf.DUMMYFUNCTION("""COMPUTED_VALUE"""),1)</f>
        <v>1</v>
      </c>
      <c r="O1048" s="539">
        <f ca="1">IFERROR(__xludf.DUMMYFUNCTION("""COMPUTED_VALUE"""),1)</f>
        <v>1</v>
      </c>
    </row>
    <row r="1049" spans="1:15" ht="12.75">
      <c r="A1049" s="539">
        <f ca="1"/>
        <v>1043</v>
      </c>
      <c r="B1049" s="35" t="str">
        <f ca="1">IFERROR(__xludf.DUMMYFUNCTION("""COMPUTED_VALUE"""),"Tổ Hạ tầng Tân An")</f>
        <v>Tổ Hạ tầng Tân An</v>
      </c>
      <c r="C1049" s="35" t="str">
        <f ca="1">IFERROR(__xludf.DUMMYFUNCTION("""COMPUTED_VALUE"""),"Võ Quang Duy")</f>
        <v>Võ Quang Duy</v>
      </c>
      <c r="D1049" s="35">
        <f ca="1">IFERROR(__xludf.DUMMYFUNCTION("""COMPUTED_VALUE"""),945833826)</f>
        <v>945833826</v>
      </c>
      <c r="E1049" s="35" t="str">
        <f ca="1">IFERROR(__xludf.DUMMYFUNCTION("""COMPUTED_VALUE"""),"duyvq.lan@vnpt.vn")</f>
        <v>duyvq.lan@vnpt.vn</v>
      </c>
      <c r="F1049" s="540" t="str">
        <f ca="1">IFERROR(__xludf.DUMMYFUNCTION("""COMPUTED_VALUE"""),"Lần 3")</f>
        <v>Lần 3</v>
      </c>
      <c r="G1049" s="278">
        <f ca="1">IFERROR(__xludf.DUMMYFUNCTION("""COMPUTED_VALUE"""),46205)</f>
        <v>46205</v>
      </c>
      <c r="H1049" s="35">
        <f ca="1">IFERROR(__xludf.DUMMYFUNCTION("""COMPUTED_VALUE"""),576)</f>
        <v>576</v>
      </c>
      <c r="I1049" s="35">
        <f ca="1">IFERROR(__xludf.DUMMYFUNCTION("""COMPUTED_VALUE"""),15.3)</f>
        <v>15.3</v>
      </c>
      <c r="J1049" s="541">
        <f ca="1">IFERROR(__xludf.DUMMYFUNCTION("""COMPUTED_VALUE"""),676)</f>
        <v>676</v>
      </c>
      <c r="K1049" s="541">
        <f ca="1">IFERROR(__xludf.DUMMYFUNCTION("""COMPUTED_VALUE"""),31.3)</f>
        <v>31.3</v>
      </c>
      <c r="M1049" s="539">
        <f ca="1">IFERROR(__xludf.DUMMYFUNCTION("""COMPUTED_VALUE"""),1)</f>
        <v>1</v>
      </c>
      <c r="N1049" s="539">
        <f ca="1">IFERROR(__xludf.DUMMYFUNCTION("""COMPUTED_VALUE"""),1)</f>
        <v>1</v>
      </c>
      <c r="O1049" s="539">
        <f ca="1">IFERROR(__xludf.DUMMYFUNCTION("""COMPUTED_VALUE"""),1)</f>
        <v>1</v>
      </c>
    </row>
    <row r="1050" spans="1:15" ht="12.75">
      <c r="A1050" s="539">
        <f ca="1"/>
        <v>1044</v>
      </c>
      <c r="B1050" s="35" t="str">
        <f ca="1">IFERROR(__xludf.DUMMYFUNCTION("""COMPUTED_VALUE"""),"Tổ Hạ tầng Tân An")</f>
        <v>Tổ Hạ tầng Tân An</v>
      </c>
      <c r="C1050" s="35" t="str">
        <f ca="1">IFERROR(__xludf.DUMMYFUNCTION("""COMPUTED_VALUE"""),"Võ Quang Duy")</f>
        <v>Võ Quang Duy</v>
      </c>
      <c r="D1050" s="35">
        <f ca="1">IFERROR(__xludf.DUMMYFUNCTION("""COMPUTED_VALUE"""),945833826)</f>
        <v>945833826</v>
      </c>
      <c r="E1050" s="35" t="str">
        <f ca="1">IFERROR(__xludf.DUMMYFUNCTION("""COMPUTED_VALUE"""),"duyvq.lan@vnpt.vn")</f>
        <v>duyvq.lan@vnpt.vn</v>
      </c>
      <c r="F1050" s="540" t="str">
        <f ca="1">IFERROR(__xludf.DUMMYFUNCTION("""COMPUTED_VALUE"""),"Lần 4")</f>
        <v>Lần 4</v>
      </c>
      <c r="G1050" s="278">
        <f ca="1">IFERROR(__xludf.DUMMYFUNCTION("""COMPUTED_VALUE"""),46205)</f>
        <v>46205</v>
      </c>
      <c r="H1050" s="35">
        <f ca="1">IFERROR(__xludf.DUMMYFUNCTION("""COMPUTED_VALUE"""),538)</f>
        <v>538</v>
      </c>
      <c r="I1050" s="35">
        <f ca="1">IFERROR(__xludf.DUMMYFUNCTION("""COMPUTED_VALUE"""),23.5)</f>
        <v>23.5</v>
      </c>
      <c r="J1050" s="541">
        <f ca="1">IFERROR(__xludf.DUMMYFUNCTION("""COMPUTED_VALUE"""),659)</f>
        <v>659</v>
      </c>
      <c r="K1050" s="541">
        <f ca="1">IFERROR(__xludf.DUMMYFUNCTION("""COMPUTED_VALUE"""),26.5)</f>
        <v>26.5</v>
      </c>
      <c r="M1050" s="539">
        <f ca="1">IFERROR(__xludf.DUMMYFUNCTION("""COMPUTED_VALUE"""),1)</f>
        <v>1</v>
      </c>
      <c r="N1050" s="539">
        <f ca="1">IFERROR(__xludf.DUMMYFUNCTION("""COMPUTED_VALUE"""),1)</f>
        <v>1</v>
      </c>
      <c r="O1050" s="539">
        <f ca="1">IFERROR(__xludf.DUMMYFUNCTION("""COMPUTED_VALUE"""),1)</f>
        <v>1</v>
      </c>
    </row>
    <row r="1051" spans="1:15" ht="12.75">
      <c r="A1051" s="539">
        <f ca="1"/>
        <v>1045</v>
      </c>
      <c r="B1051" s="35" t="str">
        <f ca="1">IFERROR(__xludf.DUMMYFUNCTION("""COMPUTED_VALUE"""),"Tổ Hạ tầng Tân An")</f>
        <v>Tổ Hạ tầng Tân An</v>
      </c>
      <c r="C1051" s="35" t="str">
        <f ca="1">IFERROR(__xludf.DUMMYFUNCTION("""COMPUTED_VALUE"""),"Võ Quang Duy")</f>
        <v>Võ Quang Duy</v>
      </c>
      <c r="D1051" s="35">
        <f ca="1">IFERROR(__xludf.DUMMYFUNCTION("""COMPUTED_VALUE"""),945833826)</f>
        <v>945833826</v>
      </c>
      <c r="E1051" s="35" t="str">
        <f ca="1">IFERROR(__xludf.DUMMYFUNCTION("""COMPUTED_VALUE"""),"duyvq.lan@vnpt.vn")</f>
        <v>duyvq.lan@vnpt.vn</v>
      </c>
      <c r="F1051" s="540" t="str">
        <f ca="1">IFERROR(__xludf.DUMMYFUNCTION("""COMPUTED_VALUE"""),"Lần 5")</f>
        <v>Lần 5</v>
      </c>
      <c r="G1051" s="278">
        <f ca="1">IFERROR(__xludf.DUMMYFUNCTION("""COMPUTED_VALUE"""),46205)</f>
        <v>46205</v>
      </c>
      <c r="H1051" s="35">
        <f ca="1">IFERROR(__xludf.DUMMYFUNCTION("""COMPUTED_VALUE"""),406)</f>
        <v>406</v>
      </c>
      <c r="I1051" s="35">
        <f ca="1">IFERROR(__xludf.DUMMYFUNCTION("""COMPUTED_VALUE"""),23.7)</f>
        <v>23.7</v>
      </c>
      <c r="J1051" s="541">
        <f ca="1">IFERROR(__xludf.DUMMYFUNCTION("""COMPUTED_VALUE"""),626)</f>
        <v>626</v>
      </c>
      <c r="K1051" s="541">
        <f ca="1">IFERROR(__xludf.DUMMYFUNCTION("""COMPUTED_VALUE"""),24.5)</f>
        <v>24.5</v>
      </c>
      <c r="M1051" s="539">
        <f ca="1">IFERROR(__xludf.DUMMYFUNCTION("""COMPUTED_VALUE"""),1)</f>
        <v>1</v>
      </c>
      <c r="N1051" s="539">
        <f ca="1">IFERROR(__xludf.DUMMYFUNCTION("""COMPUTED_VALUE"""),1)</f>
        <v>1</v>
      </c>
      <c r="O1051" s="539">
        <f ca="1">IFERROR(__xludf.DUMMYFUNCTION("""COMPUTED_VALUE"""),1)</f>
        <v>1</v>
      </c>
    </row>
    <row r="1052" spans="1:15" ht="12.75">
      <c r="A1052" s="539">
        <f ca="1"/>
        <v>1046</v>
      </c>
      <c r="B1052" s="35" t="str">
        <f ca="1">IFERROR(__xludf.DUMMYFUNCTION("""COMPUTED_VALUE"""),"Tổ Hạ tầng Tân An")</f>
        <v>Tổ Hạ tầng Tân An</v>
      </c>
      <c r="C1052" s="35" t="str">
        <f ca="1">IFERROR(__xludf.DUMMYFUNCTION("""COMPUTED_VALUE"""),"Võ Quang Duy")</f>
        <v>Võ Quang Duy</v>
      </c>
      <c r="D1052" s="35">
        <f ca="1">IFERROR(__xludf.DUMMYFUNCTION("""COMPUTED_VALUE"""),945833826)</f>
        <v>945833826</v>
      </c>
      <c r="E1052" s="35" t="str">
        <f ca="1">IFERROR(__xludf.DUMMYFUNCTION("""COMPUTED_VALUE"""),"duyvq.lan@vnpt.vn")</f>
        <v>duyvq.lan@vnpt.vn</v>
      </c>
      <c r="F1052" s="540" t="str">
        <f ca="1">IFERROR(__xludf.DUMMYFUNCTION("""COMPUTED_VALUE"""),"Lần 6")</f>
        <v>Lần 6</v>
      </c>
      <c r="G1052" s="278">
        <f ca="1">IFERROR(__xludf.DUMMYFUNCTION("""COMPUTED_VALUE"""),46208)</f>
        <v>46208</v>
      </c>
      <c r="H1052" s="35">
        <f ca="1">IFERROR(__xludf.DUMMYFUNCTION("""COMPUTED_VALUE"""),655)</f>
        <v>655</v>
      </c>
      <c r="I1052" s="35">
        <f ca="1">IFERROR(__xludf.DUMMYFUNCTION("""COMPUTED_VALUE"""),58.6)</f>
        <v>58.6</v>
      </c>
      <c r="J1052" s="541">
        <f ca="1">IFERROR(__xludf.DUMMYFUNCTION("""COMPUTED_VALUE"""),1032)</f>
        <v>1032</v>
      </c>
      <c r="K1052" s="541">
        <f ca="1">IFERROR(__xludf.DUMMYFUNCTION("""COMPUTED_VALUE"""),163)</f>
        <v>163</v>
      </c>
      <c r="M1052" s="539">
        <f ca="1">IFERROR(__xludf.DUMMYFUNCTION("""COMPUTED_VALUE"""),1)</f>
        <v>1</v>
      </c>
      <c r="N1052" s="539">
        <f ca="1">IFERROR(__xludf.DUMMYFUNCTION("""COMPUTED_VALUE"""),1)</f>
        <v>1</v>
      </c>
      <c r="O1052" s="539">
        <f ca="1">IFERROR(__xludf.DUMMYFUNCTION("""COMPUTED_VALUE"""),1)</f>
        <v>1</v>
      </c>
    </row>
    <row r="1053" spans="1:15" ht="12.75">
      <c r="A1053" s="539">
        <f ca="1"/>
        <v>1047</v>
      </c>
      <c r="B1053" s="35" t="str">
        <f ca="1">IFERROR(__xludf.DUMMYFUNCTION("""COMPUTED_VALUE"""),"Tổ Hạ tầng Tân An")</f>
        <v>Tổ Hạ tầng Tân An</v>
      </c>
      <c r="C1053" s="35" t="str">
        <f ca="1">IFERROR(__xludf.DUMMYFUNCTION("""COMPUTED_VALUE"""),"Võ Quang Duy")</f>
        <v>Võ Quang Duy</v>
      </c>
      <c r="D1053" s="35">
        <f ca="1">IFERROR(__xludf.DUMMYFUNCTION("""COMPUTED_VALUE"""),945833826)</f>
        <v>945833826</v>
      </c>
      <c r="E1053" s="35" t="str">
        <f ca="1">IFERROR(__xludf.DUMMYFUNCTION("""COMPUTED_VALUE"""),"duyvq.lan@vnpt.vn")</f>
        <v>duyvq.lan@vnpt.vn</v>
      </c>
      <c r="F1053" s="540" t="str">
        <f ca="1">IFERROR(__xludf.DUMMYFUNCTION("""COMPUTED_VALUE"""),"Lần 7")</f>
        <v>Lần 7</v>
      </c>
      <c r="G1053" s="278">
        <f ca="1">IFERROR(__xludf.DUMMYFUNCTION("""COMPUTED_VALUE"""),46208)</f>
        <v>46208</v>
      </c>
      <c r="H1053" s="35">
        <f ca="1">IFERROR(__xludf.DUMMYFUNCTION("""COMPUTED_VALUE"""),575)</f>
        <v>575</v>
      </c>
      <c r="I1053" s="35">
        <f ca="1">IFERROR(__xludf.DUMMYFUNCTION("""COMPUTED_VALUE"""),74.1)</f>
        <v>74.099999999999994</v>
      </c>
      <c r="J1053" s="541">
        <f ca="1">IFERROR(__xludf.DUMMYFUNCTION("""COMPUTED_VALUE"""),1174)</f>
        <v>1174</v>
      </c>
      <c r="K1053" s="541">
        <f ca="1">IFERROR(__xludf.DUMMYFUNCTION("""COMPUTED_VALUE"""),163)</f>
        <v>163</v>
      </c>
      <c r="M1053" s="539">
        <f ca="1">IFERROR(__xludf.DUMMYFUNCTION("""COMPUTED_VALUE"""),1)</f>
        <v>1</v>
      </c>
      <c r="N1053" s="539">
        <f ca="1">IFERROR(__xludf.DUMMYFUNCTION("""COMPUTED_VALUE"""),1)</f>
        <v>1</v>
      </c>
      <c r="O1053" s="539">
        <f ca="1">IFERROR(__xludf.DUMMYFUNCTION("""COMPUTED_VALUE"""),1)</f>
        <v>1</v>
      </c>
    </row>
    <row r="1054" spans="1:15" ht="12.75">
      <c r="A1054" s="539">
        <f ca="1"/>
        <v>1048</v>
      </c>
      <c r="B1054" s="35" t="str">
        <f ca="1">IFERROR(__xludf.DUMMYFUNCTION("""COMPUTED_VALUE"""),"Tổ Hạ tầng Tân An")</f>
        <v>Tổ Hạ tầng Tân An</v>
      </c>
      <c r="C1054" s="35" t="str">
        <f ca="1">IFERROR(__xludf.DUMMYFUNCTION("""COMPUTED_VALUE"""),"Võ Quang Duy")</f>
        <v>Võ Quang Duy</v>
      </c>
      <c r="D1054" s="35">
        <f ca="1">IFERROR(__xludf.DUMMYFUNCTION("""COMPUTED_VALUE"""),945833826)</f>
        <v>945833826</v>
      </c>
      <c r="E1054" s="35" t="str">
        <f ca="1">IFERROR(__xludf.DUMMYFUNCTION("""COMPUTED_VALUE"""),"duyvq.lan@vnpt.vn")</f>
        <v>duyvq.lan@vnpt.vn</v>
      </c>
      <c r="F1054" s="540" t="str">
        <f ca="1">IFERROR(__xludf.DUMMYFUNCTION("""COMPUTED_VALUE"""),"Lần 8")</f>
        <v>Lần 8</v>
      </c>
      <c r="G1054" s="278">
        <f ca="1">IFERROR(__xludf.DUMMYFUNCTION("""COMPUTED_VALUE"""),46208)</f>
        <v>46208</v>
      </c>
      <c r="H1054" s="35">
        <f ca="1">IFERROR(__xludf.DUMMYFUNCTION("""COMPUTED_VALUE"""),564)</f>
        <v>564</v>
      </c>
      <c r="I1054" s="35">
        <f ca="1">IFERROR(__xludf.DUMMYFUNCTION("""COMPUTED_VALUE"""),68.8)</f>
        <v>68.8</v>
      </c>
      <c r="J1054" s="541">
        <f ca="1">IFERROR(__xludf.DUMMYFUNCTION("""COMPUTED_VALUE"""),948)</f>
        <v>948</v>
      </c>
      <c r="K1054" s="541">
        <f ca="1">IFERROR(__xludf.DUMMYFUNCTION("""COMPUTED_VALUE"""),160)</f>
        <v>160</v>
      </c>
      <c r="M1054" s="539">
        <f ca="1">IFERROR(__xludf.DUMMYFUNCTION("""COMPUTED_VALUE"""),1)</f>
        <v>1</v>
      </c>
      <c r="N1054" s="539">
        <f ca="1">IFERROR(__xludf.DUMMYFUNCTION("""COMPUTED_VALUE"""),1)</f>
        <v>1</v>
      </c>
      <c r="O1054" s="539">
        <f ca="1">IFERROR(__xludf.DUMMYFUNCTION("""COMPUTED_VALUE"""),1)</f>
        <v>1</v>
      </c>
    </row>
    <row r="1055" spans="1:15" ht="12.75">
      <c r="A1055" s="539">
        <f ca="1"/>
        <v>1049</v>
      </c>
      <c r="B1055" s="35" t="str">
        <f ca="1">IFERROR(__xludf.DUMMYFUNCTION("""COMPUTED_VALUE"""),"Tổ Hạ tầng Tân An")</f>
        <v>Tổ Hạ tầng Tân An</v>
      </c>
      <c r="C1055" s="35" t="str">
        <f ca="1">IFERROR(__xludf.DUMMYFUNCTION("""COMPUTED_VALUE"""),"Võ Quang Duy")</f>
        <v>Võ Quang Duy</v>
      </c>
      <c r="D1055" s="35">
        <f ca="1">IFERROR(__xludf.DUMMYFUNCTION("""COMPUTED_VALUE"""),945833826)</f>
        <v>945833826</v>
      </c>
      <c r="E1055" s="35" t="str">
        <f ca="1">IFERROR(__xludf.DUMMYFUNCTION("""COMPUTED_VALUE"""),"duyvq.lan@vnpt.vn")</f>
        <v>duyvq.lan@vnpt.vn</v>
      </c>
      <c r="F1055" s="540" t="str">
        <f ca="1">IFERROR(__xludf.DUMMYFUNCTION("""COMPUTED_VALUE"""),"Lần 9")</f>
        <v>Lần 9</v>
      </c>
      <c r="G1055" s="278">
        <f ca="1">IFERROR(__xludf.DUMMYFUNCTION("""COMPUTED_VALUE"""),46208)</f>
        <v>46208</v>
      </c>
      <c r="H1055" s="35">
        <f ca="1">IFERROR(__xludf.DUMMYFUNCTION("""COMPUTED_VALUE"""),612)</f>
        <v>612</v>
      </c>
      <c r="I1055" s="35">
        <f ca="1">IFERROR(__xludf.DUMMYFUNCTION("""COMPUTED_VALUE"""),72.4)</f>
        <v>72.400000000000006</v>
      </c>
      <c r="J1055" s="541">
        <f ca="1">IFERROR(__xludf.DUMMYFUNCTION("""COMPUTED_VALUE"""),1177)</f>
        <v>1177</v>
      </c>
      <c r="K1055" s="541">
        <f ca="1">IFERROR(__xludf.DUMMYFUNCTION("""COMPUTED_VALUE"""),159)</f>
        <v>159</v>
      </c>
      <c r="M1055" s="539">
        <f ca="1">IFERROR(__xludf.DUMMYFUNCTION("""COMPUTED_VALUE"""),1)</f>
        <v>1</v>
      </c>
      <c r="N1055" s="539">
        <f ca="1">IFERROR(__xludf.DUMMYFUNCTION("""COMPUTED_VALUE"""),1)</f>
        <v>1</v>
      </c>
      <c r="O1055" s="539">
        <f ca="1">IFERROR(__xludf.DUMMYFUNCTION("""COMPUTED_VALUE"""),1)</f>
        <v>1</v>
      </c>
    </row>
    <row r="1056" spans="1:15" ht="12.75">
      <c r="A1056" s="539">
        <f ca="1"/>
        <v>1050</v>
      </c>
      <c r="B1056" s="35" t="str">
        <f ca="1">IFERROR(__xludf.DUMMYFUNCTION("""COMPUTED_VALUE"""),"Tổ Hạ tầng Tân An")</f>
        <v>Tổ Hạ tầng Tân An</v>
      </c>
      <c r="C1056" s="35" t="str">
        <f ca="1">IFERROR(__xludf.DUMMYFUNCTION("""COMPUTED_VALUE"""),"Võ Quang Duy")</f>
        <v>Võ Quang Duy</v>
      </c>
      <c r="D1056" s="35">
        <f ca="1">IFERROR(__xludf.DUMMYFUNCTION("""COMPUTED_VALUE"""),945833826)</f>
        <v>945833826</v>
      </c>
      <c r="E1056" s="35" t="str">
        <f ca="1">IFERROR(__xludf.DUMMYFUNCTION("""COMPUTED_VALUE"""),"duyvq.lan@vnpt.vn")</f>
        <v>duyvq.lan@vnpt.vn</v>
      </c>
      <c r="F1056" s="540" t="str">
        <f ca="1">IFERROR(__xludf.DUMMYFUNCTION("""COMPUTED_VALUE"""),"Lần 10")</f>
        <v>Lần 10</v>
      </c>
      <c r="G1056" s="278">
        <f ca="1">IFERROR(__xludf.DUMMYFUNCTION("""COMPUTED_VALUE"""),46208)</f>
        <v>46208</v>
      </c>
      <c r="H1056" s="35">
        <f ca="1">IFERROR(__xludf.DUMMYFUNCTION("""COMPUTED_VALUE"""),607)</f>
        <v>607</v>
      </c>
      <c r="I1056" s="35">
        <f ca="1">IFERROR(__xludf.DUMMYFUNCTION("""COMPUTED_VALUE"""),75.8)</f>
        <v>75.8</v>
      </c>
      <c r="J1056" s="541">
        <f ca="1">IFERROR(__xludf.DUMMYFUNCTION("""COMPUTED_VALUE"""),1155)</f>
        <v>1155</v>
      </c>
      <c r="K1056" s="541">
        <f ca="1">IFERROR(__xludf.DUMMYFUNCTION("""COMPUTED_VALUE"""),161)</f>
        <v>161</v>
      </c>
      <c r="M1056" s="539">
        <f ca="1">IFERROR(__xludf.DUMMYFUNCTION("""COMPUTED_VALUE"""),1)</f>
        <v>1</v>
      </c>
      <c r="N1056" s="539">
        <f ca="1">IFERROR(__xludf.DUMMYFUNCTION("""COMPUTED_VALUE"""),1)</f>
        <v>1</v>
      </c>
      <c r="O1056" s="539">
        <f ca="1">IFERROR(__xludf.DUMMYFUNCTION("""COMPUTED_VALUE"""),1)</f>
        <v>1</v>
      </c>
    </row>
    <row r="1057" spans="1:15" ht="12.75">
      <c r="A1057" s="539">
        <f ca="1"/>
        <v>1051</v>
      </c>
      <c r="B1057" s="35" t="str">
        <f ca="1">IFERROR(__xludf.DUMMYFUNCTION("""COMPUTED_VALUE"""),"Tổ Hạ tầng Tân An")</f>
        <v>Tổ Hạ tầng Tân An</v>
      </c>
      <c r="C1057" s="35" t="str">
        <f ca="1">IFERROR(__xludf.DUMMYFUNCTION("""COMPUTED_VALUE"""),"Võ Quang Duy")</f>
        <v>Võ Quang Duy</v>
      </c>
      <c r="D1057" s="35">
        <f ca="1">IFERROR(__xludf.DUMMYFUNCTION("""COMPUTED_VALUE"""),945833826)</f>
        <v>945833826</v>
      </c>
      <c r="E1057" s="35" t="str">
        <f ca="1">IFERROR(__xludf.DUMMYFUNCTION("""COMPUTED_VALUE"""),"duyvq.lan@vnpt.vn")</f>
        <v>duyvq.lan@vnpt.vn</v>
      </c>
      <c r="F1057" s="540" t="str">
        <f ca="1">IFERROR(__xludf.DUMMYFUNCTION("""COMPUTED_VALUE"""),"Lần 11")</f>
        <v>Lần 11</v>
      </c>
      <c r="G1057" s="278">
        <f ca="1">IFERROR(__xludf.DUMMYFUNCTION("""COMPUTED_VALUE"""),46214)</f>
        <v>46214</v>
      </c>
      <c r="H1057" s="35">
        <f ca="1">IFERROR(__xludf.DUMMYFUNCTION("""COMPUTED_VALUE"""),530)</f>
        <v>530</v>
      </c>
      <c r="I1057" s="35">
        <f ca="1">IFERROR(__xludf.DUMMYFUNCTION("""COMPUTED_VALUE"""),66.1)</f>
        <v>66.099999999999994</v>
      </c>
      <c r="J1057" s="541">
        <f ca="1">IFERROR(__xludf.DUMMYFUNCTION("""COMPUTED_VALUE"""),977)</f>
        <v>977</v>
      </c>
      <c r="K1057" s="541">
        <f ca="1">IFERROR(__xludf.DUMMYFUNCTION("""COMPUTED_VALUE"""),68.6)</f>
        <v>68.599999999999994</v>
      </c>
      <c r="M1057" s="539">
        <f ca="1">IFERROR(__xludf.DUMMYFUNCTION("""COMPUTED_VALUE"""),1)</f>
        <v>1</v>
      </c>
      <c r="N1057" s="539">
        <f ca="1">IFERROR(__xludf.DUMMYFUNCTION("""COMPUTED_VALUE"""),1)</f>
        <v>1</v>
      </c>
      <c r="O1057" s="539">
        <f ca="1">IFERROR(__xludf.DUMMYFUNCTION("""COMPUTED_VALUE"""),1)</f>
        <v>1</v>
      </c>
    </row>
    <row r="1058" spans="1:15" ht="12.75">
      <c r="A1058" s="539">
        <f ca="1"/>
        <v>1052</v>
      </c>
      <c r="B1058" s="35" t="str">
        <f ca="1">IFERROR(__xludf.DUMMYFUNCTION("""COMPUTED_VALUE"""),"Tổ Hạ tầng Tân An")</f>
        <v>Tổ Hạ tầng Tân An</v>
      </c>
      <c r="C1058" s="35" t="str">
        <f ca="1">IFERROR(__xludf.DUMMYFUNCTION("""COMPUTED_VALUE"""),"Võ Quang Duy")</f>
        <v>Võ Quang Duy</v>
      </c>
      <c r="D1058" s="35">
        <f ca="1">IFERROR(__xludf.DUMMYFUNCTION("""COMPUTED_VALUE"""),945833826)</f>
        <v>945833826</v>
      </c>
      <c r="E1058" s="35" t="str">
        <f ca="1">IFERROR(__xludf.DUMMYFUNCTION("""COMPUTED_VALUE"""),"duyvq.lan@vnpt.vn")</f>
        <v>duyvq.lan@vnpt.vn</v>
      </c>
      <c r="F1058" s="540" t="str">
        <f ca="1">IFERROR(__xludf.DUMMYFUNCTION("""COMPUTED_VALUE"""),"Lần 12")</f>
        <v>Lần 12</v>
      </c>
      <c r="G1058" s="278">
        <f ca="1">IFERROR(__xludf.DUMMYFUNCTION("""COMPUTED_VALUE"""),46214)</f>
        <v>46214</v>
      </c>
      <c r="H1058" s="35">
        <f ca="1">IFERROR(__xludf.DUMMYFUNCTION("""COMPUTED_VALUE"""),588)</f>
        <v>588</v>
      </c>
      <c r="I1058" s="35">
        <f ca="1">IFERROR(__xludf.DUMMYFUNCTION("""COMPUTED_VALUE"""),67.5)</f>
        <v>67.5</v>
      </c>
      <c r="J1058" s="541">
        <f ca="1">IFERROR(__xludf.DUMMYFUNCTION("""COMPUTED_VALUE"""),1022)</f>
        <v>1022</v>
      </c>
      <c r="K1058" s="541">
        <f ca="1">IFERROR(__xludf.DUMMYFUNCTION("""COMPUTED_VALUE"""),72.5)</f>
        <v>72.5</v>
      </c>
      <c r="M1058" s="539">
        <f ca="1">IFERROR(__xludf.DUMMYFUNCTION("""COMPUTED_VALUE"""),1)</f>
        <v>1</v>
      </c>
      <c r="N1058" s="539">
        <f ca="1">IFERROR(__xludf.DUMMYFUNCTION("""COMPUTED_VALUE"""),1)</f>
        <v>1</v>
      </c>
      <c r="O1058" s="539">
        <f ca="1">IFERROR(__xludf.DUMMYFUNCTION("""COMPUTED_VALUE"""),1)</f>
        <v>1</v>
      </c>
    </row>
    <row r="1059" spans="1:15" ht="12.75">
      <c r="A1059" s="539">
        <f ca="1"/>
        <v>1053</v>
      </c>
      <c r="B1059" s="35" t="str">
        <f ca="1">IFERROR(__xludf.DUMMYFUNCTION("""COMPUTED_VALUE"""),"Tổ Hạ tầng Tân An")</f>
        <v>Tổ Hạ tầng Tân An</v>
      </c>
      <c r="C1059" s="35" t="str">
        <f ca="1">IFERROR(__xludf.DUMMYFUNCTION("""COMPUTED_VALUE"""),"Võ Quang Duy")</f>
        <v>Võ Quang Duy</v>
      </c>
      <c r="D1059" s="35">
        <f ca="1">IFERROR(__xludf.DUMMYFUNCTION("""COMPUTED_VALUE"""),945833826)</f>
        <v>945833826</v>
      </c>
      <c r="E1059" s="35" t="str">
        <f ca="1">IFERROR(__xludf.DUMMYFUNCTION("""COMPUTED_VALUE"""),"duyvq.lan@vnpt.vn")</f>
        <v>duyvq.lan@vnpt.vn</v>
      </c>
      <c r="F1059" s="540" t="str">
        <f ca="1">IFERROR(__xludf.DUMMYFUNCTION("""COMPUTED_VALUE"""),"Lần 13")</f>
        <v>Lần 13</v>
      </c>
      <c r="G1059" s="278">
        <f ca="1">IFERROR(__xludf.DUMMYFUNCTION("""COMPUTED_VALUE"""),46214)</f>
        <v>46214</v>
      </c>
      <c r="H1059" s="35">
        <f ca="1">IFERROR(__xludf.DUMMYFUNCTION("""COMPUTED_VALUE"""),535)</f>
        <v>535</v>
      </c>
      <c r="I1059" s="35" t="str">
        <f ca="1">IFERROR(__xludf.DUMMYFUNCTION("""COMPUTED_VALUE"""),"56.3")</f>
        <v>56.3</v>
      </c>
      <c r="J1059" s="541">
        <f ca="1">IFERROR(__xludf.DUMMYFUNCTION("""COMPUTED_VALUE"""),873)</f>
        <v>873</v>
      </c>
      <c r="K1059" s="541">
        <f ca="1">IFERROR(__xludf.DUMMYFUNCTION("""COMPUTED_VALUE"""),77.6)</f>
        <v>77.599999999999994</v>
      </c>
      <c r="M1059" s="539">
        <f ca="1">IFERROR(__xludf.DUMMYFUNCTION("""COMPUTED_VALUE"""),1)</f>
        <v>1</v>
      </c>
      <c r="N1059" s="539">
        <f ca="1">IFERROR(__xludf.DUMMYFUNCTION("""COMPUTED_VALUE"""),1)</f>
        <v>1</v>
      </c>
      <c r="O1059" s="539">
        <f ca="1">IFERROR(__xludf.DUMMYFUNCTION("""COMPUTED_VALUE"""),1)</f>
        <v>1</v>
      </c>
    </row>
    <row r="1060" spans="1:15" ht="12.75">
      <c r="A1060" s="539">
        <f ca="1"/>
        <v>1054</v>
      </c>
      <c r="B1060" s="35" t="str">
        <f ca="1">IFERROR(__xludf.DUMMYFUNCTION("""COMPUTED_VALUE"""),"Tổ Hạ tầng Tân An")</f>
        <v>Tổ Hạ tầng Tân An</v>
      </c>
      <c r="C1060" s="35" t="str">
        <f ca="1">IFERROR(__xludf.DUMMYFUNCTION("""COMPUTED_VALUE"""),"Võ Quang Duy")</f>
        <v>Võ Quang Duy</v>
      </c>
      <c r="D1060" s="35">
        <f ca="1">IFERROR(__xludf.DUMMYFUNCTION("""COMPUTED_VALUE"""),945833826)</f>
        <v>945833826</v>
      </c>
      <c r="E1060" s="35" t="str">
        <f ca="1">IFERROR(__xludf.DUMMYFUNCTION("""COMPUTED_VALUE"""),"duyvq.lan@vnpt.vn")</f>
        <v>duyvq.lan@vnpt.vn</v>
      </c>
      <c r="F1060" s="540" t="str">
        <f ca="1">IFERROR(__xludf.DUMMYFUNCTION("""COMPUTED_VALUE"""),"Lần 14")</f>
        <v>Lần 14</v>
      </c>
      <c r="G1060" s="278">
        <f ca="1">IFERROR(__xludf.DUMMYFUNCTION("""COMPUTED_VALUE"""),46214)</f>
        <v>46214</v>
      </c>
      <c r="H1060" s="35">
        <f ca="1">IFERROR(__xludf.DUMMYFUNCTION("""COMPUTED_VALUE"""),579)</f>
        <v>579</v>
      </c>
      <c r="I1060" s="35">
        <f ca="1">IFERROR(__xludf.DUMMYFUNCTION("""COMPUTED_VALUE"""),68.6)</f>
        <v>68.599999999999994</v>
      </c>
      <c r="J1060" s="541">
        <f ca="1">IFERROR(__xludf.DUMMYFUNCTION("""COMPUTED_VALUE"""),962)</f>
        <v>962</v>
      </c>
      <c r="K1060" s="541">
        <f ca="1">IFERROR(__xludf.DUMMYFUNCTION("""COMPUTED_VALUE"""),86.1)</f>
        <v>86.1</v>
      </c>
      <c r="M1060" s="539">
        <f ca="1">IFERROR(__xludf.DUMMYFUNCTION("""COMPUTED_VALUE"""),1)</f>
        <v>1</v>
      </c>
      <c r="N1060" s="539">
        <f ca="1">IFERROR(__xludf.DUMMYFUNCTION("""COMPUTED_VALUE"""),1)</f>
        <v>1</v>
      </c>
      <c r="O1060" s="539">
        <f ca="1">IFERROR(__xludf.DUMMYFUNCTION("""COMPUTED_VALUE"""),1)</f>
        <v>1</v>
      </c>
    </row>
    <row r="1061" spans="1:15" ht="12.75">
      <c r="A1061" s="539">
        <f ca="1"/>
        <v>1055</v>
      </c>
      <c r="B1061" s="35" t="str">
        <f ca="1">IFERROR(__xludf.DUMMYFUNCTION("""COMPUTED_VALUE"""),"Tổ Hạ tầng Tân An")</f>
        <v>Tổ Hạ tầng Tân An</v>
      </c>
      <c r="C1061" s="35" t="str">
        <f ca="1">IFERROR(__xludf.DUMMYFUNCTION("""COMPUTED_VALUE"""),"Võ Quang Duy")</f>
        <v>Võ Quang Duy</v>
      </c>
      <c r="D1061" s="35">
        <f ca="1">IFERROR(__xludf.DUMMYFUNCTION("""COMPUTED_VALUE"""),945833826)</f>
        <v>945833826</v>
      </c>
      <c r="E1061" s="35" t="str">
        <f ca="1">IFERROR(__xludf.DUMMYFUNCTION("""COMPUTED_VALUE"""),"duyvq.lan@vnpt.vn")</f>
        <v>duyvq.lan@vnpt.vn</v>
      </c>
      <c r="F1061" s="540" t="str">
        <f ca="1">IFERROR(__xludf.DUMMYFUNCTION("""COMPUTED_VALUE"""),"Lần 15")</f>
        <v>Lần 15</v>
      </c>
      <c r="G1061" s="278">
        <f ca="1">IFERROR(__xludf.DUMMYFUNCTION("""COMPUTED_VALUE"""),46214)</f>
        <v>46214</v>
      </c>
      <c r="H1061" s="35">
        <f ca="1">IFERROR(__xludf.DUMMYFUNCTION("""COMPUTED_VALUE"""),526)</f>
        <v>526</v>
      </c>
      <c r="I1061" s="35">
        <f ca="1">IFERROR(__xludf.DUMMYFUNCTION("""COMPUTED_VALUE"""),68)</f>
        <v>68</v>
      </c>
      <c r="J1061" s="541">
        <f ca="1">IFERROR(__xludf.DUMMYFUNCTION("""COMPUTED_VALUE"""),946)</f>
        <v>946</v>
      </c>
      <c r="K1061" s="541">
        <f ca="1">IFERROR(__xludf.DUMMYFUNCTION("""COMPUTED_VALUE"""),86.1)</f>
        <v>86.1</v>
      </c>
      <c r="M1061" s="539">
        <f ca="1">IFERROR(__xludf.DUMMYFUNCTION("""COMPUTED_VALUE"""),1)</f>
        <v>1</v>
      </c>
      <c r="N1061" s="539">
        <f ca="1">IFERROR(__xludf.DUMMYFUNCTION("""COMPUTED_VALUE"""),1)</f>
        <v>1</v>
      </c>
      <c r="O1061" s="539">
        <f ca="1">IFERROR(__xludf.DUMMYFUNCTION("""COMPUTED_VALUE"""),1)</f>
        <v>1</v>
      </c>
    </row>
    <row r="1062" spans="1:15" ht="12.75">
      <c r="A1062" s="539">
        <f ca="1"/>
        <v>1056</v>
      </c>
      <c r="B1062" s="35" t="str">
        <f ca="1">IFERROR(__xludf.DUMMYFUNCTION("""COMPUTED_VALUE"""),"Tổ Hạ tầng Tân An")</f>
        <v>Tổ Hạ tầng Tân An</v>
      </c>
      <c r="C1062" s="35" t="str">
        <f ca="1">IFERROR(__xludf.DUMMYFUNCTION("""COMPUTED_VALUE"""),"Võ Quang Duy")</f>
        <v>Võ Quang Duy</v>
      </c>
      <c r="D1062" s="35">
        <f ca="1">IFERROR(__xludf.DUMMYFUNCTION("""COMPUTED_VALUE"""),945833826)</f>
        <v>945833826</v>
      </c>
      <c r="E1062" s="35" t="str">
        <f ca="1">IFERROR(__xludf.DUMMYFUNCTION("""COMPUTED_VALUE"""),"duyvq.lan@vnpt.vn")</f>
        <v>duyvq.lan@vnpt.vn</v>
      </c>
      <c r="F1062" s="540" t="str">
        <f ca="1">IFERROR(__xludf.DUMMYFUNCTION("""COMPUTED_VALUE"""),"Lần 16")</f>
        <v>Lần 16</v>
      </c>
      <c r="G1062" s="278">
        <f ca="1">IFERROR(__xludf.DUMMYFUNCTION("""COMPUTED_VALUE"""),46214)</f>
        <v>46214</v>
      </c>
      <c r="H1062" s="35">
        <f ca="1">IFERROR(__xludf.DUMMYFUNCTION("""COMPUTED_VALUE"""),464)</f>
        <v>464</v>
      </c>
      <c r="I1062" s="35">
        <f ca="1">IFERROR(__xludf.DUMMYFUNCTION("""COMPUTED_VALUE"""),59)</f>
        <v>59</v>
      </c>
      <c r="J1062" s="541">
        <f ca="1">IFERROR(__xludf.DUMMYFUNCTION("""COMPUTED_VALUE"""),1011)</f>
        <v>1011</v>
      </c>
      <c r="K1062" s="541">
        <f ca="1">IFERROR(__xludf.DUMMYFUNCTION("""COMPUTED_VALUE"""),78.3)</f>
        <v>78.3</v>
      </c>
      <c r="M1062" s="539">
        <f ca="1">IFERROR(__xludf.DUMMYFUNCTION("""COMPUTED_VALUE"""),1)</f>
        <v>1</v>
      </c>
      <c r="N1062" s="539">
        <f ca="1">IFERROR(__xludf.DUMMYFUNCTION("""COMPUTED_VALUE"""),1)</f>
        <v>1</v>
      </c>
      <c r="O1062" s="539">
        <f ca="1">IFERROR(__xludf.DUMMYFUNCTION("""COMPUTED_VALUE"""),1)</f>
        <v>1</v>
      </c>
    </row>
    <row r="1063" spans="1:15" ht="12.75">
      <c r="A1063" s="539">
        <f ca="1"/>
        <v>1057</v>
      </c>
      <c r="B1063" s="35" t="str">
        <f ca="1">IFERROR(__xludf.DUMMYFUNCTION("""COMPUTED_VALUE"""),"Tổ Hạ tầng Tân An")</f>
        <v>Tổ Hạ tầng Tân An</v>
      </c>
      <c r="C1063" s="35" t="str">
        <f ca="1">IFERROR(__xludf.DUMMYFUNCTION("""COMPUTED_VALUE"""),"Bùi Phạm Hải Đăng")</f>
        <v>Bùi Phạm Hải Đăng</v>
      </c>
      <c r="D1063" s="35">
        <f ca="1">IFERROR(__xludf.DUMMYFUNCTION("""COMPUTED_VALUE"""),916878010)</f>
        <v>916878010</v>
      </c>
      <c r="E1063" s="35" t="str">
        <f ca="1">IFERROR(__xludf.DUMMYFUNCTION("""COMPUTED_VALUE"""),"dangbph.lan@vnpt.vn")</f>
        <v>dangbph.lan@vnpt.vn</v>
      </c>
      <c r="F1063" s="540" t="str">
        <f ca="1">IFERROR(__xludf.DUMMYFUNCTION("""COMPUTED_VALUE"""),"Lần 1")</f>
        <v>Lần 1</v>
      </c>
      <c r="G1063" s="278">
        <f ca="1">IFERROR(__xludf.DUMMYFUNCTION("""COMPUTED_VALUE"""),46207)</f>
        <v>46207</v>
      </c>
      <c r="H1063" s="35">
        <f ca="1">IFERROR(__xludf.DUMMYFUNCTION("""COMPUTED_VALUE"""),86)</f>
        <v>86</v>
      </c>
      <c r="I1063" s="35">
        <f ca="1">IFERROR(__xludf.DUMMYFUNCTION("""COMPUTED_VALUE"""),37.3)</f>
        <v>37.299999999999997</v>
      </c>
      <c r="J1063" s="35">
        <f ca="1">IFERROR(__xludf.DUMMYFUNCTION("""COMPUTED_VALUE"""),92.5)</f>
        <v>92.5</v>
      </c>
      <c r="K1063" s="35">
        <f ca="1">IFERROR(__xludf.DUMMYFUNCTION("""COMPUTED_VALUE"""),36.4)</f>
        <v>36.4</v>
      </c>
      <c r="M1063" s="539">
        <f ca="1">IFERROR(__xludf.DUMMYFUNCTION("""COMPUTED_VALUE"""),1)</f>
        <v>1</v>
      </c>
      <c r="N1063" s="539">
        <f ca="1">IFERROR(__xludf.DUMMYFUNCTION("""COMPUTED_VALUE"""),1)</f>
        <v>1</v>
      </c>
      <c r="O1063" s="539">
        <f ca="1">IFERROR(__xludf.DUMMYFUNCTION("""COMPUTED_VALUE"""),0)</f>
        <v>0</v>
      </c>
    </row>
    <row r="1064" spans="1:15" ht="12.75">
      <c r="A1064" s="539">
        <f ca="1"/>
        <v>1058</v>
      </c>
      <c r="B1064" s="35" t="str">
        <f ca="1">IFERROR(__xludf.DUMMYFUNCTION("""COMPUTED_VALUE"""),"Tổ Hạ tầng Tân An")</f>
        <v>Tổ Hạ tầng Tân An</v>
      </c>
      <c r="C1064" s="35" t="str">
        <f ca="1">IFERROR(__xludf.DUMMYFUNCTION("""COMPUTED_VALUE"""),"Bùi Phạm Hải Đăng")</f>
        <v>Bùi Phạm Hải Đăng</v>
      </c>
      <c r="D1064" s="35">
        <f ca="1">IFERROR(__xludf.DUMMYFUNCTION("""COMPUTED_VALUE"""),916878010)</f>
        <v>916878010</v>
      </c>
      <c r="E1064" s="35" t="str">
        <f ca="1">IFERROR(__xludf.DUMMYFUNCTION("""COMPUTED_VALUE"""),"dangbph.lan@vnpt.vn")</f>
        <v>dangbph.lan@vnpt.vn</v>
      </c>
      <c r="F1064" s="540" t="str">
        <f ca="1">IFERROR(__xludf.DUMMYFUNCTION("""COMPUTED_VALUE"""),"Lần 2")</f>
        <v>Lần 2</v>
      </c>
      <c r="G1064" s="278">
        <f ca="1">IFERROR(__xludf.DUMMYFUNCTION("""COMPUTED_VALUE"""),46207)</f>
        <v>46207</v>
      </c>
      <c r="H1064" s="35">
        <f ca="1">IFERROR(__xludf.DUMMYFUNCTION("""COMPUTED_VALUE"""),80.4)</f>
        <v>80.400000000000006</v>
      </c>
      <c r="I1064" s="35">
        <f ca="1">IFERROR(__xludf.DUMMYFUNCTION("""COMPUTED_VALUE"""),37.2)</f>
        <v>37.200000000000003</v>
      </c>
      <c r="J1064" s="541">
        <f ca="1">IFERROR(__xludf.DUMMYFUNCTION("""COMPUTED_VALUE"""),95.5)</f>
        <v>95.5</v>
      </c>
      <c r="K1064" s="541">
        <f ca="1">IFERROR(__xludf.DUMMYFUNCTION("""COMPUTED_VALUE"""),37.9)</f>
        <v>37.9</v>
      </c>
      <c r="M1064" s="539">
        <f ca="1">IFERROR(__xludf.DUMMYFUNCTION("""COMPUTED_VALUE"""),1)</f>
        <v>1</v>
      </c>
      <c r="N1064" s="539">
        <f ca="1">IFERROR(__xludf.DUMMYFUNCTION("""COMPUTED_VALUE"""),1)</f>
        <v>1</v>
      </c>
      <c r="O1064" s="539">
        <f ca="1">IFERROR(__xludf.DUMMYFUNCTION("""COMPUTED_VALUE"""),0)</f>
        <v>0</v>
      </c>
    </row>
    <row r="1065" spans="1:15" ht="12.75">
      <c r="A1065" s="539">
        <f ca="1"/>
        <v>1059</v>
      </c>
      <c r="B1065" s="35" t="str">
        <f ca="1">IFERROR(__xludf.DUMMYFUNCTION("""COMPUTED_VALUE"""),"Tổ Hạ tầng Tân An")</f>
        <v>Tổ Hạ tầng Tân An</v>
      </c>
      <c r="C1065" s="35" t="str">
        <f ca="1">IFERROR(__xludf.DUMMYFUNCTION("""COMPUTED_VALUE"""),"Bùi Phạm Hải Đăng")</f>
        <v>Bùi Phạm Hải Đăng</v>
      </c>
      <c r="D1065" s="35">
        <f ca="1">IFERROR(__xludf.DUMMYFUNCTION("""COMPUTED_VALUE"""),916878010)</f>
        <v>916878010</v>
      </c>
      <c r="E1065" s="35" t="str">
        <f ca="1">IFERROR(__xludf.DUMMYFUNCTION("""COMPUTED_VALUE"""),"dangbph.lan@vnpt.vn")</f>
        <v>dangbph.lan@vnpt.vn</v>
      </c>
      <c r="F1065" s="540" t="str">
        <f ca="1">IFERROR(__xludf.DUMMYFUNCTION("""COMPUTED_VALUE"""),"Lần 3")</f>
        <v>Lần 3</v>
      </c>
      <c r="G1065" s="278">
        <f ca="1">IFERROR(__xludf.DUMMYFUNCTION("""COMPUTED_VALUE"""),46207)</f>
        <v>46207</v>
      </c>
      <c r="H1065" s="35">
        <f ca="1">IFERROR(__xludf.DUMMYFUNCTION("""COMPUTED_VALUE"""),77)</f>
        <v>77</v>
      </c>
      <c r="I1065" s="35">
        <f ca="1">IFERROR(__xludf.DUMMYFUNCTION("""COMPUTED_VALUE"""),39)</f>
        <v>39</v>
      </c>
      <c r="J1065" s="541">
        <f ca="1">IFERROR(__xludf.DUMMYFUNCTION("""COMPUTED_VALUE"""),83.3)</f>
        <v>83.3</v>
      </c>
      <c r="K1065" s="541">
        <f ca="1">IFERROR(__xludf.DUMMYFUNCTION("""COMPUTED_VALUE"""),38.7)</f>
        <v>38.700000000000003</v>
      </c>
      <c r="M1065" s="539">
        <f ca="1">IFERROR(__xludf.DUMMYFUNCTION("""COMPUTED_VALUE"""),1)</f>
        <v>1</v>
      </c>
      <c r="N1065" s="539">
        <f ca="1">IFERROR(__xludf.DUMMYFUNCTION("""COMPUTED_VALUE"""),1)</f>
        <v>1</v>
      </c>
      <c r="O1065" s="539">
        <f ca="1">IFERROR(__xludf.DUMMYFUNCTION("""COMPUTED_VALUE"""),0)</f>
        <v>0</v>
      </c>
    </row>
    <row r="1066" spans="1:15" ht="12.75">
      <c r="A1066" s="539">
        <f ca="1"/>
        <v>1060</v>
      </c>
      <c r="B1066" s="35" t="str">
        <f ca="1">IFERROR(__xludf.DUMMYFUNCTION("""COMPUTED_VALUE"""),"Tổ Hạ tầng Tân An")</f>
        <v>Tổ Hạ tầng Tân An</v>
      </c>
      <c r="C1066" s="35" t="str">
        <f ca="1">IFERROR(__xludf.DUMMYFUNCTION("""COMPUTED_VALUE"""),"Bùi Phạm Hải Đăng")</f>
        <v>Bùi Phạm Hải Đăng</v>
      </c>
      <c r="D1066" s="35">
        <f ca="1">IFERROR(__xludf.DUMMYFUNCTION("""COMPUTED_VALUE"""),916878010)</f>
        <v>916878010</v>
      </c>
      <c r="E1066" s="35" t="str">
        <f ca="1">IFERROR(__xludf.DUMMYFUNCTION("""COMPUTED_VALUE"""),"dangbph.lan@vnpt.vn")</f>
        <v>dangbph.lan@vnpt.vn</v>
      </c>
      <c r="F1066" s="540" t="str">
        <f ca="1">IFERROR(__xludf.DUMMYFUNCTION("""COMPUTED_VALUE"""),"Lần 4")</f>
        <v>Lần 4</v>
      </c>
      <c r="G1066" s="278">
        <f ca="1">IFERROR(__xludf.DUMMYFUNCTION("""COMPUTED_VALUE"""),46211)</f>
        <v>46211</v>
      </c>
      <c r="H1066" s="35">
        <f ca="1">IFERROR(__xludf.DUMMYFUNCTION("""COMPUTED_VALUE"""),77.3)</f>
        <v>77.3</v>
      </c>
      <c r="I1066" s="35">
        <f ca="1">IFERROR(__xludf.DUMMYFUNCTION("""COMPUTED_VALUE"""),30.8)</f>
        <v>30.8</v>
      </c>
      <c r="J1066" s="541">
        <f ca="1">IFERROR(__xludf.DUMMYFUNCTION("""COMPUTED_VALUE"""),77.7)</f>
        <v>77.7</v>
      </c>
      <c r="K1066" s="541">
        <f ca="1">IFERROR(__xludf.DUMMYFUNCTION("""COMPUTED_VALUE"""),27.9)</f>
        <v>27.9</v>
      </c>
      <c r="M1066" s="539">
        <f ca="1">IFERROR(__xludf.DUMMYFUNCTION("""COMPUTED_VALUE"""),1)</f>
        <v>1</v>
      </c>
      <c r="N1066" s="539">
        <f ca="1">IFERROR(__xludf.DUMMYFUNCTION("""COMPUTED_VALUE"""),1)</f>
        <v>1</v>
      </c>
      <c r="O1066" s="539">
        <f ca="1">IFERROR(__xludf.DUMMYFUNCTION("""COMPUTED_VALUE"""),0)</f>
        <v>0</v>
      </c>
    </row>
    <row r="1067" spans="1:15" ht="12.75">
      <c r="A1067" s="539">
        <f ca="1"/>
        <v>1061</v>
      </c>
      <c r="B1067" s="35" t="str">
        <f ca="1">IFERROR(__xludf.DUMMYFUNCTION("""COMPUTED_VALUE"""),"Tổ Hạ tầng Tân An")</f>
        <v>Tổ Hạ tầng Tân An</v>
      </c>
      <c r="C1067" s="35" t="str">
        <f ca="1">IFERROR(__xludf.DUMMYFUNCTION("""COMPUTED_VALUE"""),"Bùi Phạm Hải Đăng")</f>
        <v>Bùi Phạm Hải Đăng</v>
      </c>
      <c r="D1067" s="35">
        <f ca="1">IFERROR(__xludf.DUMMYFUNCTION("""COMPUTED_VALUE"""),916878010)</f>
        <v>916878010</v>
      </c>
      <c r="E1067" s="35" t="str">
        <f ca="1">IFERROR(__xludf.DUMMYFUNCTION("""COMPUTED_VALUE"""),"dangbph.lan@vnpt.vn")</f>
        <v>dangbph.lan@vnpt.vn</v>
      </c>
      <c r="F1067" s="540" t="str">
        <f ca="1">IFERROR(__xludf.DUMMYFUNCTION("""COMPUTED_VALUE"""),"Lần 5")</f>
        <v>Lần 5</v>
      </c>
      <c r="G1067" s="278">
        <f ca="1">IFERROR(__xludf.DUMMYFUNCTION("""COMPUTED_VALUE"""),46211)</f>
        <v>46211</v>
      </c>
      <c r="H1067" s="35">
        <f ca="1">IFERROR(__xludf.DUMMYFUNCTION("""COMPUTED_VALUE"""),74.2)</f>
        <v>74.2</v>
      </c>
      <c r="I1067" s="35">
        <f ca="1">IFERROR(__xludf.DUMMYFUNCTION("""COMPUTED_VALUE"""),26)</f>
        <v>26</v>
      </c>
      <c r="J1067" s="541">
        <f ca="1">IFERROR(__xludf.DUMMYFUNCTION("""COMPUTED_VALUE"""),79.7)</f>
        <v>79.7</v>
      </c>
      <c r="K1067" s="541">
        <f ca="1">IFERROR(__xludf.DUMMYFUNCTION("""COMPUTED_VALUE"""),31.4)</f>
        <v>31.4</v>
      </c>
      <c r="M1067" s="539">
        <f ca="1">IFERROR(__xludf.DUMMYFUNCTION("""COMPUTED_VALUE"""),1)</f>
        <v>1</v>
      </c>
      <c r="N1067" s="539">
        <f ca="1">IFERROR(__xludf.DUMMYFUNCTION("""COMPUTED_VALUE"""),1)</f>
        <v>1</v>
      </c>
      <c r="O1067" s="539">
        <f ca="1">IFERROR(__xludf.DUMMYFUNCTION("""COMPUTED_VALUE"""),0)</f>
        <v>0</v>
      </c>
    </row>
    <row r="1068" spans="1:15" ht="12.75">
      <c r="A1068" s="539">
        <f ca="1"/>
        <v>1062</v>
      </c>
      <c r="B1068" s="35" t="str">
        <f ca="1">IFERROR(__xludf.DUMMYFUNCTION("""COMPUTED_VALUE"""),"Tổ Hạ tầng Tân An")</f>
        <v>Tổ Hạ tầng Tân An</v>
      </c>
      <c r="C1068" s="35" t="str">
        <f ca="1">IFERROR(__xludf.DUMMYFUNCTION("""COMPUTED_VALUE"""),"Bùi Phạm Hải Đăng")</f>
        <v>Bùi Phạm Hải Đăng</v>
      </c>
      <c r="D1068" s="35">
        <f ca="1">IFERROR(__xludf.DUMMYFUNCTION("""COMPUTED_VALUE"""),916878010)</f>
        <v>916878010</v>
      </c>
      <c r="E1068" s="35" t="str">
        <f ca="1">IFERROR(__xludf.DUMMYFUNCTION("""COMPUTED_VALUE"""),"dangbph.lan@vnpt.vn")</f>
        <v>dangbph.lan@vnpt.vn</v>
      </c>
      <c r="F1068" s="540" t="str">
        <f ca="1">IFERROR(__xludf.DUMMYFUNCTION("""COMPUTED_VALUE"""),"Lần 6")</f>
        <v>Lần 6</v>
      </c>
      <c r="G1068" s="278">
        <f ca="1">IFERROR(__xludf.DUMMYFUNCTION("""COMPUTED_VALUE"""),46211)</f>
        <v>46211</v>
      </c>
      <c r="H1068" s="35">
        <f ca="1">IFERROR(__xludf.DUMMYFUNCTION("""COMPUTED_VALUE"""),82)</f>
        <v>82</v>
      </c>
      <c r="I1068" s="35">
        <f ca="1">IFERROR(__xludf.DUMMYFUNCTION("""COMPUTED_VALUE"""),28.9)</f>
        <v>28.9</v>
      </c>
      <c r="J1068" s="541">
        <f ca="1">IFERROR(__xludf.DUMMYFUNCTION("""COMPUTED_VALUE"""),82)</f>
        <v>82</v>
      </c>
      <c r="K1068" s="541">
        <f ca="1">IFERROR(__xludf.DUMMYFUNCTION("""COMPUTED_VALUE"""),27.8)</f>
        <v>27.8</v>
      </c>
      <c r="M1068" s="539">
        <f ca="1">IFERROR(__xludf.DUMMYFUNCTION("""COMPUTED_VALUE"""),1)</f>
        <v>1</v>
      </c>
      <c r="N1068" s="539">
        <f ca="1">IFERROR(__xludf.DUMMYFUNCTION("""COMPUTED_VALUE"""),1)</f>
        <v>1</v>
      </c>
      <c r="O1068" s="539">
        <f ca="1">IFERROR(__xludf.DUMMYFUNCTION("""COMPUTED_VALUE"""),0)</f>
        <v>0</v>
      </c>
    </row>
    <row r="1069" spans="1:15" ht="12.75">
      <c r="A1069" s="539">
        <f ca="1"/>
        <v>1063</v>
      </c>
      <c r="B1069" s="35" t="str">
        <f ca="1">IFERROR(__xludf.DUMMYFUNCTION("""COMPUTED_VALUE"""),"Tổ Hạ tầng Tân An")</f>
        <v>Tổ Hạ tầng Tân An</v>
      </c>
      <c r="C1069" s="35" t="str">
        <f ca="1">IFERROR(__xludf.DUMMYFUNCTION("""COMPUTED_VALUE"""),"Bùi Phạm Hải Đăng")</f>
        <v>Bùi Phạm Hải Đăng</v>
      </c>
      <c r="D1069" s="35">
        <f ca="1">IFERROR(__xludf.DUMMYFUNCTION("""COMPUTED_VALUE"""),916878010)</f>
        <v>916878010</v>
      </c>
      <c r="E1069" s="35" t="str">
        <f ca="1">IFERROR(__xludf.DUMMYFUNCTION("""COMPUTED_VALUE"""),"dangbph.lan@vnpt.vn")</f>
        <v>dangbph.lan@vnpt.vn</v>
      </c>
      <c r="F1069" s="540" t="str">
        <f ca="1">IFERROR(__xludf.DUMMYFUNCTION("""COMPUTED_VALUE"""),"Lần 7")</f>
        <v>Lần 7</v>
      </c>
      <c r="G1069" s="278"/>
      <c r="H1069" s="35"/>
      <c r="I1069" s="35"/>
      <c r="J1069" s="541"/>
      <c r="K1069" s="541"/>
      <c r="M1069" s="539">
        <f ca="1">IFERROR(__xludf.DUMMYFUNCTION("""COMPUTED_VALUE"""),0)</f>
        <v>0</v>
      </c>
      <c r="N1069" s="539">
        <f ca="1">IFERROR(__xludf.DUMMYFUNCTION("""COMPUTED_VALUE"""),0)</f>
        <v>0</v>
      </c>
      <c r="O1069" s="539">
        <f ca="1">IFERROR(__xludf.DUMMYFUNCTION("""COMPUTED_VALUE"""),0)</f>
        <v>0</v>
      </c>
    </row>
    <row r="1070" spans="1:15" ht="12.75">
      <c r="A1070" s="539">
        <f ca="1"/>
        <v>1064</v>
      </c>
      <c r="B1070" s="35" t="str">
        <f ca="1">IFERROR(__xludf.DUMMYFUNCTION("""COMPUTED_VALUE"""),"Tổ Hạ tầng Tân An")</f>
        <v>Tổ Hạ tầng Tân An</v>
      </c>
      <c r="C1070" s="35" t="str">
        <f ca="1">IFERROR(__xludf.DUMMYFUNCTION("""COMPUTED_VALUE"""),"Bùi Phạm Hải Đăng")</f>
        <v>Bùi Phạm Hải Đăng</v>
      </c>
      <c r="D1070" s="35">
        <f ca="1">IFERROR(__xludf.DUMMYFUNCTION("""COMPUTED_VALUE"""),916878010)</f>
        <v>916878010</v>
      </c>
      <c r="E1070" s="35" t="str">
        <f ca="1">IFERROR(__xludf.DUMMYFUNCTION("""COMPUTED_VALUE"""),"dangbph.lan@vnpt.vn")</f>
        <v>dangbph.lan@vnpt.vn</v>
      </c>
      <c r="F1070" s="540" t="str">
        <f ca="1">IFERROR(__xludf.DUMMYFUNCTION("""COMPUTED_VALUE"""),"Lần 8")</f>
        <v>Lần 8</v>
      </c>
      <c r="G1070" s="278"/>
      <c r="H1070" s="35"/>
      <c r="I1070" s="35"/>
      <c r="J1070" s="541"/>
      <c r="K1070" s="541"/>
      <c r="M1070" s="539">
        <f ca="1">IFERROR(__xludf.DUMMYFUNCTION("""COMPUTED_VALUE"""),0)</f>
        <v>0</v>
      </c>
      <c r="N1070" s="539">
        <f ca="1">IFERROR(__xludf.DUMMYFUNCTION("""COMPUTED_VALUE"""),0)</f>
        <v>0</v>
      </c>
      <c r="O1070" s="539">
        <f ca="1">IFERROR(__xludf.DUMMYFUNCTION("""COMPUTED_VALUE"""),0)</f>
        <v>0</v>
      </c>
    </row>
    <row r="1071" spans="1:15" ht="12.75">
      <c r="A1071" s="539">
        <f ca="1"/>
        <v>1065</v>
      </c>
      <c r="B1071" s="35" t="str">
        <f ca="1">IFERROR(__xludf.DUMMYFUNCTION("""COMPUTED_VALUE"""),"Tổ Hạ tầng Tân An")</f>
        <v>Tổ Hạ tầng Tân An</v>
      </c>
      <c r="C1071" s="35" t="str">
        <f ca="1">IFERROR(__xludf.DUMMYFUNCTION("""COMPUTED_VALUE"""),"Bùi Phạm Hải Đăng")</f>
        <v>Bùi Phạm Hải Đăng</v>
      </c>
      <c r="D1071" s="35">
        <f ca="1">IFERROR(__xludf.DUMMYFUNCTION("""COMPUTED_VALUE"""),916878010)</f>
        <v>916878010</v>
      </c>
      <c r="E1071" s="35" t="str">
        <f ca="1">IFERROR(__xludf.DUMMYFUNCTION("""COMPUTED_VALUE"""),"dangbph.lan@vnpt.vn")</f>
        <v>dangbph.lan@vnpt.vn</v>
      </c>
      <c r="F1071" s="540" t="str">
        <f ca="1">IFERROR(__xludf.DUMMYFUNCTION("""COMPUTED_VALUE"""),"Lần 9")</f>
        <v>Lần 9</v>
      </c>
      <c r="G1071" s="278"/>
      <c r="H1071" s="35"/>
      <c r="I1071" s="35"/>
      <c r="J1071" s="541"/>
      <c r="K1071" s="541"/>
      <c r="M1071" s="539">
        <f ca="1">IFERROR(__xludf.DUMMYFUNCTION("""COMPUTED_VALUE"""),0)</f>
        <v>0</v>
      </c>
      <c r="N1071" s="539">
        <f ca="1">IFERROR(__xludf.DUMMYFUNCTION("""COMPUTED_VALUE"""),0)</f>
        <v>0</v>
      </c>
      <c r="O1071" s="539">
        <f ca="1">IFERROR(__xludf.DUMMYFUNCTION("""COMPUTED_VALUE"""),0)</f>
        <v>0</v>
      </c>
    </row>
    <row r="1072" spans="1:15" ht="12.75">
      <c r="A1072" s="539">
        <f ca="1"/>
        <v>1066</v>
      </c>
      <c r="B1072" s="35" t="str">
        <f ca="1">IFERROR(__xludf.DUMMYFUNCTION("""COMPUTED_VALUE"""),"Tổ Hạ tầng Tân An")</f>
        <v>Tổ Hạ tầng Tân An</v>
      </c>
      <c r="C1072" s="35" t="str">
        <f ca="1">IFERROR(__xludf.DUMMYFUNCTION("""COMPUTED_VALUE"""),"Bùi Phạm Hải Đăng")</f>
        <v>Bùi Phạm Hải Đăng</v>
      </c>
      <c r="D1072" s="35">
        <f ca="1">IFERROR(__xludf.DUMMYFUNCTION("""COMPUTED_VALUE"""),916878010)</f>
        <v>916878010</v>
      </c>
      <c r="E1072" s="35" t="str">
        <f ca="1">IFERROR(__xludf.DUMMYFUNCTION("""COMPUTED_VALUE"""),"dangbph.lan@vnpt.vn")</f>
        <v>dangbph.lan@vnpt.vn</v>
      </c>
      <c r="F1072" s="540" t="str">
        <f ca="1">IFERROR(__xludf.DUMMYFUNCTION("""COMPUTED_VALUE"""),"Lần 10")</f>
        <v>Lần 10</v>
      </c>
      <c r="G1072" s="278"/>
      <c r="H1072" s="35"/>
      <c r="I1072" s="542"/>
      <c r="J1072" s="541"/>
      <c r="K1072" s="541"/>
      <c r="M1072" s="539">
        <f ca="1">IFERROR(__xludf.DUMMYFUNCTION("""COMPUTED_VALUE"""),0)</f>
        <v>0</v>
      </c>
      <c r="N1072" s="539">
        <f ca="1">IFERROR(__xludf.DUMMYFUNCTION("""COMPUTED_VALUE"""),0)</f>
        <v>0</v>
      </c>
      <c r="O1072" s="539">
        <f ca="1">IFERROR(__xludf.DUMMYFUNCTION("""COMPUTED_VALUE"""),0)</f>
        <v>0</v>
      </c>
    </row>
    <row r="1073" spans="1:15" ht="12.75">
      <c r="A1073" s="539">
        <f ca="1"/>
        <v>1067</v>
      </c>
      <c r="B1073" s="35" t="str">
        <f ca="1">IFERROR(__xludf.DUMMYFUNCTION("""COMPUTED_VALUE"""),"Tổ Hạ tầng Tân An")</f>
        <v>Tổ Hạ tầng Tân An</v>
      </c>
      <c r="C1073" s="35" t="str">
        <f ca="1">IFERROR(__xludf.DUMMYFUNCTION("""COMPUTED_VALUE"""),"Bùi Phạm Hải Đăng")</f>
        <v>Bùi Phạm Hải Đăng</v>
      </c>
      <c r="D1073" s="35">
        <f ca="1">IFERROR(__xludf.DUMMYFUNCTION("""COMPUTED_VALUE"""),916878010)</f>
        <v>916878010</v>
      </c>
      <c r="E1073" s="35" t="str">
        <f ca="1">IFERROR(__xludf.DUMMYFUNCTION("""COMPUTED_VALUE"""),"dangbph.lan@vnpt.vn")</f>
        <v>dangbph.lan@vnpt.vn</v>
      </c>
      <c r="F1073" s="540" t="str">
        <f ca="1">IFERROR(__xludf.DUMMYFUNCTION("""COMPUTED_VALUE"""),"Lần 11")</f>
        <v>Lần 11</v>
      </c>
      <c r="G1073" s="278"/>
      <c r="H1073" s="35"/>
      <c r="I1073" s="35"/>
      <c r="J1073" s="541"/>
      <c r="K1073" s="541"/>
      <c r="M1073" s="539">
        <f ca="1">IFERROR(__xludf.DUMMYFUNCTION("""COMPUTED_VALUE"""),0)</f>
        <v>0</v>
      </c>
      <c r="N1073" s="539">
        <f ca="1">IFERROR(__xludf.DUMMYFUNCTION("""COMPUTED_VALUE"""),0)</f>
        <v>0</v>
      </c>
      <c r="O1073" s="539">
        <f ca="1">IFERROR(__xludf.DUMMYFUNCTION("""COMPUTED_VALUE"""),0)</f>
        <v>0</v>
      </c>
    </row>
    <row r="1074" spans="1:15" ht="12.75">
      <c r="A1074" s="539">
        <f ca="1"/>
        <v>1068</v>
      </c>
      <c r="B1074" s="35" t="str">
        <f ca="1">IFERROR(__xludf.DUMMYFUNCTION("""COMPUTED_VALUE"""),"Tổ Hạ tầng Tân An")</f>
        <v>Tổ Hạ tầng Tân An</v>
      </c>
      <c r="C1074" s="35" t="str">
        <f ca="1">IFERROR(__xludf.DUMMYFUNCTION("""COMPUTED_VALUE"""),"Bùi Phạm Hải Đăng")</f>
        <v>Bùi Phạm Hải Đăng</v>
      </c>
      <c r="D1074" s="35">
        <f ca="1">IFERROR(__xludf.DUMMYFUNCTION("""COMPUTED_VALUE"""),916878010)</f>
        <v>916878010</v>
      </c>
      <c r="E1074" s="35" t="str">
        <f ca="1">IFERROR(__xludf.DUMMYFUNCTION("""COMPUTED_VALUE"""),"dangbph.lan@vnpt.vn")</f>
        <v>dangbph.lan@vnpt.vn</v>
      </c>
      <c r="F1074" s="540" t="str">
        <f ca="1">IFERROR(__xludf.DUMMYFUNCTION("""COMPUTED_VALUE"""),"Lần 12")</f>
        <v>Lần 12</v>
      </c>
      <c r="G1074" s="278"/>
      <c r="H1074" s="35"/>
      <c r="I1074" s="35"/>
      <c r="J1074" s="541"/>
      <c r="K1074" s="541"/>
      <c r="M1074" s="539">
        <f ca="1">IFERROR(__xludf.DUMMYFUNCTION("""COMPUTED_VALUE"""),0)</f>
        <v>0</v>
      </c>
      <c r="N1074" s="539">
        <f ca="1">IFERROR(__xludf.DUMMYFUNCTION("""COMPUTED_VALUE"""),0)</f>
        <v>0</v>
      </c>
      <c r="O1074" s="539">
        <f ca="1">IFERROR(__xludf.DUMMYFUNCTION("""COMPUTED_VALUE"""),0)</f>
        <v>0</v>
      </c>
    </row>
    <row r="1075" spans="1:15" ht="12.75">
      <c r="A1075" s="539">
        <f ca="1"/>
        <v>1069</v>
      </c>
      <c r="B1075" s="35" t="str">
        <f ca="1">IFERROR(__xludf.DUMMYFUNCTION("""COMPUTED_VALUE"""),"Tổ Hạ tầng Tân An")</f>
        <v>Tổ Hạ tầng Tân An</v>
      </c>
      <c r="C1075" s="35" t="str">
        <f ca="1">IFERROR(__xludf.DUMMYFUNCTION("""COMPUTED_VALUE"""),"Bùi Phạm Hải Đăng")</f>
        <v>Bùi Phạm Hải Đăng</v>
      </c>
      <c r="D1075" s="35">
        <f ca="1">IFERROR(__xludf.DUMMYFUNCTION("""COMPUTED_VALUE"""),916878010)</f>
        <v>916878010</v>
      </c>
      <c r="E1075" s="35" t="str">
        <f ca="1">IFERROR(__xludf.DUMMYFUNCTION("""COMPUTED_VALUE"""),"dangbph.lan@vnpt.vn")</f>
        <v>dangbph.lan@vnpt.vn</v>
      </c>
      <c r="F1075" s="540" t="str">
        <f ca="1">IFERROR(__xludf.DUMMYFUNCTION("""COMPUTED_VALUE"""),"Lần 13")</f>
        <v>Lần 13</v>
      </c>
      <c r="G1075" s="278"/>
      <c r="H1075" s="35"/>
      <c r="I1075" s="35"/>
      <c r="J1075" s="541"/>
      <c r="K1075" s="541"/>
      <c r="M1075" s="539">
        <f ca="1">IFERROR(__xludf.DUMMYFUNCTION("""COMPUTED_VALUE"""),0)</f>
        <v>0</v>
      </c>
      <c r="N1075" s="539">
        <f ca="1">IFERROR(__xludf.DUMMYFUNCTION("""COMPUTED_VALUE"""),0)</f>
        <v>0</v>
      </c>
      <c r="O1075" s="539">
        <f ca="1">IFERROR(__xludf.DUMMYFUNCTION("""COMPUTED_VALUE"""),0)</f>
        <v>0</v>
      </c>
    </row>
    <row r="1076" spans="1:15" ht="12.75">
      <c r="A1076" s="539">
        <f ca="1"/>
        <v>1070</v>
      </c>
      <c r="B1076" s="35" t="str">
        <f ca="1">IFERROR(__xludf.DUMMYFUNCTION("""COMPUTED_VALUE"""),"Tổ Hạ tầng Tân An")</f>
        <v>Tổ Hạ tầng Tân An</v>
      </c>
      <c r="C1076" s="35" t="str">
        <f ca="1">IFERROR(__xludf.DUMMYFUNCTION("""COMPUTED_VALUE"""),"Bùi Phạm Hải Đăng")</f>
        <v>Bùi Phạm Hải Đăng</v>
      </c>
      <c r="D1076" s="35">
        <f ca="1">IFERROR(__xludf.DUMMYFUNCTION("""COMPUTED_VALUE"""),916878010)</f>
        <v>916878010</v>
      </c>
      <c r="E1076" s="35" t="str">
        <f ca="1">IFERROR(__xludf.DUMMYFUNCTION("""COMPUTED_VALUE"""),"dangbph.lan@vnpt.vn")</f>
        <v>dangbph.lan@vnpt.vn</v>
      </c>
      <c r="F1076" s="540" t="str">
        <f ca="1">IFERROR(__xludf.DUMMYFUNCTION("""COMPUTED_VALUE"""),"Lần 14")</f>
        <v>Lần 14</v>
      </c>
      <c r="G1076" s="278"/>
      <c r="H1076" s="35"/>
      <c r="I1076" s="35"/>
      <c r="J1076" s="541"/>
      <c r="K1076" s="541"/>
      <c r="M1076" s="539">
        <f ca="1">IFERROR(__xludf.DUMMYFUNCTION("""COMPUTED_VALUE"""),0)</f>
        <v>0</v>
      </c>
      <c r="N1076" s="539">
        <f ca="1">IFERROR(__xludf.DUMMYFUNCTION("""COMPUTED_VALUE"""),0)</f>
        <v>0</v>
      </c>
      <c r="O1076" s="539">
        <f ca="1">IFERROR(__xludf.DUMMYFUNCTION("""COMPUTED_VALUE"""),0)</f>
        <v>0</v>
      </c>
    </row>
    <row r="1077" spans="1:15" ht="12.75">
      <c r="A1077" s="539">
        <f ca="1"/>
        <v>1071</v>
      </c>
      <c r="B1077" s="35" t="str">
        <f ca="1">IFERROR(__xludf.DUMMYFUNCTION("""COMPUTED_VALUE"""),"Tổ Hạ tầng Tân An")</f>
        <v>Tổ Hạ tầng Tân An</v>
      </c>
      <c r="C1077" s="35" t="str">
        <f ca="1">IFERROR(__xludf.DUMMYFUNCTION("""COMPUTED_VALUE"""),"Bùi Phạm Hải Đăng")</f>
        <v>Bùi Phạm Hải Đăng</v>
      </c>
      <c r="D1077" s="35">
        <f ca="1">IFERROR(__xludf.DUMMYFUNCTION("""COMPUTED_VALUE"""),916878010)</f>
        <v>916878010</v>
      </c>
      <c r="E1077" s="35" t="str">
        <f ca="1">IFERROR(__xludf.DUMMYFUNCTION("""COMPUTED_VALUE"""),"dangbph.lan@vnpt.vn")</f>
        <v>dangbph.lan@vnpt.vn</v>
      </c>
      <c r="F1077" s="540" t="str">
        <f ca="1">IFERROR(__xludf.DUMMYFUNCTION("""COMPUTED_VALUE"""),"Lần 15")</f>
        <v>Lần 15</v>
      </c>
      <c r="G1077" s="278"/>
      <c r="H1077" s="35"/>
      <c r="I1077" s="35"/>
      <c r="J1077" s="541"/>
      <c r="K1077" s="541"/>
      <c r="M1077" s="539">
        <f ca="1">IFERROR(__xludf.DUMMYFUNCTION("""COMPUTED_VALUE"""),0)</f>
        <v>0</v>
      </c>
      <c r="N1077" s="539">
        <f ca="1">IFERROR(__xludf.DUMMYFUNCTION("""COMPUTED_VALUE"""),0)</f>
        <v>0</v>
      </c>
      <c r="O1077" s="539">
        <f ca="1">IFERROR(__xludf.DUMMYFUNCTION("""COMPUTED_VALUE"""),0)</f>
        <v>0</v>
      </c>
    </row>
    <row r="1078" spans="1:15" ht="12.75">
      <c r="A1078" s="539">
        <f ca="1"/>
        <v>1072</v>
      </c>
      <c r="B1078" s="35" t="str">
        <f ca="1">IFERROR(__xludf.DUMMYFUNCTION("""COMPUTED_VALUE"""),"Tổ Hạ tầng Tân An")</f>
        <v>Tổ Hạ tầng Tân An</v>
      </c>
      <c r="C1078" s="35" t="str">
        <f ca="1">IFERROR(__xludf.DUMMYFUNCTION("""COMPUTED_VALUE"""),"Bùi Phạm Hải Đăng")</f>
        <v>Bùi Phạm Hải Đăng</v>
      </c>
      <c r="D1078" s="35">
        <f ca="1">IFERROR(__xludf.DUMMYFUNCTION("""COMPUTED_VALUE"""),916878010)</f>
        <v>916878010</v>
      </c>
      <c r="E1078" s="35" t="str">
        <f ca="1">IFERROR(__xludf.DUMMYFUNCTION("""COMPUTED_VALUE"""),"dangbph.lan@vnpt.vn")</f>
        <v>dangbph.lan@vnpt.vn</v>
      </c>
      <c r="F1078" s="540" t="str">
        <f ca="1">IFERROR(__xludf.DUMMYFUNCTION("""COMPUTED_VALUE"""),"Lần 16")</f>
        <v>Lần 16</v>
      </c>
      <c r="G1078" s="278"/>
      <c r="H1078" s="35"/>
      <c r="I1078" s="35"/>
      <c r="J1078" s="541"/>
      <c r="K1078" s="541"/>
      <c r="M1078" s="539">
        <f ca="1">IFERROR(__xludf.DUMMYFUNCTION("""COMPUTED_VALUE"""),0)</f>
        <v>0</v>
      </c>
      <c r="N1078" s="539">
        <f ca="1">IFERROR(__xludf.DUMMYFUNCTION("""COMPUTED_VALUE"""),0)</f>
        <v>0</v>
      </c>
      <c r="O1078" s="539">
        <f ca="1">IFERROR(__xludf.DUMMYFUNCTION("""COMPUTED_VALUE"""),0)</f>
        <v>0</v>
      </c>
    </row>
    <row r="1079" spans="1:15" ht="12.75">
      <c r="A1079" s="539">
        <f ca="1"/>
        <v>1073</v>
      </c>
      <c r="B1079" s="35" t="str">
        <f ca="1">IFERROR(__xludf.DUMMYFUNCTION("""COMPUTED_VALUE"""),"Tổ Hạ tầng Tân An")</f>
        <v>Tổ Hạ tầng Tân An</v>
      </c>
      <c r="C1079" s="35" t="str">
        <f ca="1">IFERROR(__xludf.DUMMYFUNCTION("""COMPUTED_VALUE"""),"Nguyễn Hữu Tân")</f>
        <v>Nguyễn Hữu Tân</v>
      </c>
      <c r="D1079" s="35">
        <f ca="1">IFERROR(__xludf.DUMMYFUNCTION("""COMPUTED_VALUE"""),945663773)</f>
        <v>945663773</v>
      </c>
      <c r="E1079" s="35" t="str">
        <f ca="1">IFERROR(__xludf.DUMMYFUNCTION("""COMPUTED_VALUE"""),"tannh.lan@vnpt.vn")</f>
        <v>tannh.lan@vnpt.vn</v>
      </c>
      <c r="F1079" s="540" t="str">
        <f ca="1">IFERROR(__xludf.DUMMYFUNCTION("""COMPUTED_VALUE"""),"Lần 1")</f>
        <v>Lần 1</v>
      </c>
      <c r="G1079" s="545"/>
      <c r="H1079" s="35"/>
      <c r="I1079" s="35"/>
      <c r="J1079" s="541"/>
      <c r="K1079" s="541"/>
      <c r="M1079" s="539">
        <f ca="1">IFERROR(__xludf.DUMMYFUNCTION("""COMPUTED_VALUE"""),0)</f>
        <v>0</v>
      </c>
      <c r="N1079" s="539">
        <f ca="1">IFERROR(__xludf.DUMMYFUNCTION("""COMPUTED_VALUE"""),0)</f>
        <v>0</v>
      </c>
      <c r="O1079" s="539">
        <f ca="1">IFERROR(__xludf.DUMMYFUNCTION("""COMPUTED_VALUE"""),0)</f>
        <v>0</v>
      </c>
    </row>
    <row r="1080" spans="1:15" ht="12.75">
      <c r="A1080" s="539">
        <f ca="1"/>
        <v>1074</v>
      </c>
      <c r="B1080" s="35" t="str">
        <f ca="1">IFERROR(__xludf.DUMMYFUNCTION("""COMPUTED_VALUE"""),"Tổ Hạ tầng Tân An")</f>
        <v>Tổ Hạ tầng Tân An</v>
      </c>
      <c r="C1080" s="35" t="str">
        <f ca="1">IFERROR(__xludf.DUMMYFUNCTION("""COMPUTED_VALUE"""),"Nguyễn Hữu Tân")</f>
        <v>Nguyễn Hữu Tân</v>
      </c>
      <c r="D1080" s="35">
        <f ca="1">IFERROR(__xludf.DUMMYFUNCTION("""COMPUTED_VALUE"""),945663773)</f>
        <v>945663773</v>
      </c>
      <c r="E1080" s="35" t="str">
        <f ca="1">IFERROR(__xludf.DUMMYFUNCTION("""COMPUTED_VALUE"""),"tannh.lan@vnpt.vn")</f>
        <v>tannh.lan@vnpt.vn</v>
      </c>
      <c r="F1080" s="540" t="str">
        <f ca="1">IFERROR(__xludf.DUMMYFUNCTION("""COMPUTED_VALUE"""),"Lần 2")</f>
        <v>Lần 2</v>
      </c>
      <c r="G1080" s="278"/>
      <c r="H1080" s="35"/>
      <c r="I1080" s="35"/>
      <c r="J1080" s="541"/>
      <c r="K1080" s="541"/>
      <c r="M1080" s="539">
        <f ca="1">IFERROR(__xludf.DUMMYFUNCTION("""COMPUTED_VALUE"""),0)</f>
        <v>0</v>
      </c>
      <c r="N1080" s="539">
        <f ca="1">IFERROR(__xludf.DUMMYFUNCTION("""COMPUTED_VALUE"""),0)</f>
        <v>0</v>
      </c>
      <c r="O1080" s="539">
        <f ca="1">IFERROR(__xludf.DUMMYFUNCTION("""COMPUTED_VALUE"""),0)</f>
        <v>0</v>
      </c>
    </row>
    <row r="1081" spans="1:15" ht="12.75">
      <c r="A1081" s="539">
        <f ca="1"/>
        <v>1075</v>
      </c>
      <c r="B1081" s="35" t="str">
        <f ca="1">IFERROR(__xludf.DUMMYFUNCTION("""COMPUTED_VALUE"""),"Tổ Hạ tầng Tân An")</f>
        <v>Tổ Hạ tầng Tân An</v>
      </c>
      <c r="C1081" s="35" t="str">
        <f ca="1">IFERROR(__xludf.DUMMYFUNCTION("""COMPUTED_VALUE"""),"Nguyễn Hữu Tân")</f>
        <v>Nguyễn Hữu Tân</v>
      </c>
      <c r="D1081" s="35">
        <f ca="1">IFERROR(__xludf.DUMMYFUNCTION("""COMPUTED_VALUE"""),945663773)</f>
        <v>945663773</v>
      </c>
      <c r="E1081" s="35" t="str">
        <f ca="1">IFERROR(__xludf.DUMMYFUNCTION("""COMPUTED_VALUE"""),"tannh.lan@vnpt.vn")</f>
        <v>tannh.lan@vnpt.vn</v>
      </c>
      <c r="F1081" s="540" t="str">
        <f ca="1">IFERROR(__xludf.DUMMYFUNCTION("""COMPUTED_VALUE"""),"Lần 3")</f>
        <v>Lần 3</v>
      </c>
      <c r="G1081" s="278"/>
      <c r="H1081" s="35"/>
      <c r="I1081" s="35"/>
      <c r="J1081" s="541"/>
      <c r="K1081" s="35"/>
      <c r="M1081" s="539">
        <f ca="1">IFERROR(__xludf.DUMMYFUNCTION("""COMPUTED_VALUE"""),0)</f>
        <v>0</v>
      </c>
      <c r="N1081" s="539">
        <f ca="1">IFERROR(__xludf.DUMMYFUNCTION("""COMPUTED_VALUE"""),0)</f>
        <v>0</v>
      </c>
      <c r="O1081" s="539">
        <f ca="1">IFERROR(__xludf.DUMMYFUNCTION("""COMPUTED_VALUE"""),0)</f>
        <v>0</v>
      </c>
    </row>
    <row r="1082" spans="1:15" ht="12.75">
      <c r="A1082" s="539">
        <f ca="1"/>
        <v>1076</v>
      </c>
      <c r="B1082" s="35" t="str">
        <f ca="1">IFERROR(__xludf.DUMMYFUNCTION("""COMPUTED_VALUE"""),"Tổ Hạ tầng Tân An")</f>
        <v>Tổ Hạ tầng Tân An</v>
      </c>
      <c r="C1082" s="35" t="str">
        <f ca="1">IFERROR(__xludf.DUMMYFUNCTION("""COMPUTED_VALUE"""),"Nguyễn Hữu Tân")</f>
        <v>Nguyễn Hữu Tân</v>
      </c>
      <c r="D1082" s="35">
        <f ca="1">IFERROR(__xludf.DUMMYFUNCTION("""COMPUTED_VALUE"""),945663773)</f>
        <v>945663773</v>
      </c>
      <c r="E1082" s="35" t="str">
        <f ca="1">IFERROR(__xludf.DUMMYFUNCTION("""COMPUTED_VALUE"""),"tannh.lan@vnpt.vn")</f>
        <v>tannh.lan@vnpt.vn</v>
      </c>
      <c r="F1082" s="540" t="str">
        <f ca="1">IFERROR(__xludf.DUMMYFUNCTION("""COMPUTED_VALUE"""),"Lần 4")</f>
        <v>Lần 4</v>
      </c>
      <c r="G1082" s="278"/>
      <c r="H1082" s="35"/>
      <c r="I1082" s="35"/>
      <c r="J1082" s="541"/>
      <c r="K1082" s="35"/>
      <c r="M1082" s="539">
        <f ca="1">IFERROR(__xludf.DUMMYFUNCTION("""COMPUTED_VALUE"""),0)</f>
        <v>0</v>
      </c>
      <c r="N1082" s="539">
        <f ca="1">IFERROR(__xludf.DUMMYFUNCTION("""COMPUTED_VALUE"""),0)</f>
        <v>0</v>
      </c>
      <c r="O1082" s="539">
        <f ca="1">IFERROR(__xludf.DUMMYFUNCTION("""COMPUTED_VALUE"""),0)</f>
        <v>0</v>
      </c>
    </row>
    <row r="1083" spans="1:15" ht="12.75">
      <c r="A1083" s="539">
        <f ca="1"/>
        <v>1077</v>
      </c>
      <c r="B1083" s="35" t="str">
        <f ca="1">IFERROR(__xludf.DUMMYFUNCTION("""COMPUTED_VALUE"""),"Tổ Hạ tầng Tân An")</f>
        <v>Tổ Hạ tầng Tân An</v>
      </c>
      <c r="C1083" s="35" t="str">
        <f ca="1">IFERROR(__xludf.DUMMYFUNCTION("""COMPUTED_VALUE"""),"Nguyễn Hữu Tân")</f>
        <v>Nguyễn Hữu Tân</v>
      </c>
      <c r="D1083" s="35">
        <f ca="1">IFERROR(__xludf.DUMMYFUNCTION("""COMPUTED_VALUE"""),945663773)</f>
        <v>945663773</v>
      </c>
      <c r="E1083" s="35" t="str">
        <f ca="1">IFERROR(__xludf.DUMMYFUNCTION("""COMPUTED_VALUE"""),"tannh.lan@vnpt.vn")</f>
        <v>tannh.lan@vnpt.vn</v>
      </c>
      <c r="F1083" s="540" t="str">
        <f ca="1">IFERROR(__xludf.DUMMYFUNCTION("""COMPUTED_VALUE"""),"Lần 5")</f>
        <v>Lần 5</v>
      </c>
      <c r="G1083" s="278"/>
      <c r="H1083" s="35"/>
      <c r="I1083" s="35"/>
      <c r="J1083" s="541"/>
      <c r="K1083" s="35"/>
      <c r="M1083" s="539">
        <f ca="1">IFERROR(__xludf.DUMMYFUNCTION("""COMPUTED_VALUE"""),0)</f>
        <v>0</v>
      </c>
      <c r="N1083" s="539">
        <f ca="1">IFERROR(__xludf.DUMMYFUNCTION("""COMPUTED_VALUE"""),0)</f>
        <v>0</v>
      </c>
      <c r="O1083" s="539">
        <f ca="1">IFERROR(__xludf.DUMMYFUNCTION("""COMPUTED_VALUE"""),0)</f>
        <v>0</v>
      </c>
    </row>
    <row r="1084" spans="1:15" ht="12.75">
      <c r="A1084" s="539">
        <f ca="1"/>
        <v>1078</v>
      </c>
      <c r="B1084" s="35" t="str">
        <f ca="1">IFERROR(__xludf.DUMMYFUNCTION("""COMPUTED_VALUE"""),"Tổ Hạ tầng Tân An")</f>
        <v>Tổ Hạ tầng Tân An</v>
      </c>
      <c r="C1084" s="35" t="str">
        <f ca="1">IFERROR(__xludf.DUMMYFUNCTION("""COMPUTED_VALUE"""),"Nguyễn Hữu Tân")</f>
        <v>Nguyễn Hữu Tân</v>
      </c>
      <c r="D1084" s="35">
        <f ca="1">IFERROR(__xludf.DUMMYFUNCTION("""COMPUTED_VALUE"""),945663773)</f>
        <v>945663773</v>
      </c>
      <c r="E1084" s="35" t="str">
        <f ca="1">IFERROR(__xludf.DUMMYFUNCTION("""COMPUTED_VALUE"""),"tannh.lan@vnpt.vn")</f>
        <v>tannh.lan@vnpt.vn</v>
      </c>
      <c r="F1084" s="540" t="str">
        <f ca="1">IFERROR(__xludf.DUMMYFUNCTION("""COMPUTED_VALUE"""),"Lần 6")</f>
        <v>Lần 6</v>
      </c>
      <c r="G1084" s="278"/>
      <c r="H1084" s="35"/>
      <c r="I1084" s="35"/>
      <c r="J1084" s="541"/>
      <c r="K1084" s="541"/>
      <c r="M1084" s="539">
        <f ca="1">IFERROR(__xludf.DUMMYFUNCTION("""COMPUTED_VALUE"""),0)</f>
        <v>0</v>
      </c>
      <c r="N1084" s="539">
        <f ca="1">IFERROR(__xludf.DUMMYFUNCTION("""COMPUTED_VALUE"""),0)</f>
        <v>0</v>
      </c>
      <c r="O1084" s="539">
        <f ca="1">IFERROR(__xludf.DUMMYFUNCTION("""COMPUTED_VALUE"""),0)</f>
        <v>0</v>
      </c>
    </row>
    <row r="1085" spans="1:15" ht="12.75">
      <c r="A1085" s="539">
        <f ca="1"/>
        <v>1079</v>
      </c>
      <c r="B1085" s="35" t="str">
        <f ca="1">IFERROR(__xludf.DUMMYFUNCTION("""COMPUTED_VALUE"""),"Tổ Hạ tầng Tân An")</f>
        <v>Tổ Hạ tầng Tân An</v>
      </c>
      <c r="C1085" s="35" t="str">
        <f ca="1">IFERROR(__xludf.DUMMYFUNCTION("""COMPUTED_VALUE"""),"Nguyễn Hữu Tân")</f>
        <v>Nguyễn Hữu Tân</v>
      </c>
      <c r="D1085" s="35">
        <f ca="1">IFERROR(__xludf.DUMMYFUNCTION("""COMPUTED_VALUE"""),945663773)</f>
        <v>945663773</v>
      </c>
      <c r="E1085" s="35" t="str">
        <f ca="1">IFERROR(__xludf.DUMMYFUNCTION("""COMPUTED_VALUE"""),"tannh.lan@vnpt.vn")</f>
        <v>tannh.lan@vnpt.vn</v>
      </c>
      <c r="F1085" s="540" t="str">
        <f ca="1">IFERROR(__xludf.DUMMYFUNCTION("""COMPUTED_VALUE"""),"Lần 7")</f>
        <v>Lần 7</v>
      </c>
      <c r="G1085" s="278"/>
      <c r="H1085" s="35"/>
      <c r="I1085" s="35"/>
      <c r="J1085" s="541"/>
      <c r="K1085" s="541"/>
      <c r="M1085" s="539">
        <f ca="1">IFERROR(__xludf.DUMMYFUNCTION("""COMPUTED_VALUE"""),0)</f>
        <v>0</v>
      </c>
      <c r="N1085" s="539">
        <f ca="1">IFERROR(__xludf.DUMMYFUNCTION("""COMPUTED_VALUE"""),0)</f>
        <v>0</v>
      </c>
      <c r="O1085" s="539">
        <f ca="1">IFERROR(__xludf.DUMMYFUNCTION("""COMPUTED_VALUE"""),0)</f>
        <v>0</v>
      </c>
    </row>
    <row r="1086" spans="1:15" ht="12.75">
      <c r="A1086" s="539">
        <f ca="1"/>
        <v>1080</v>
      </c>
      <c r="B1086" s="35" t="str">
        <f ca="1">IFERROR(__xludf.DUMMYFUNCTION("""COMPUTED_VALUE"""),"Tổ Hạ tầng Tân An")</f>
        <v>Tổ Hạ tầng Tân An</v>
      </c>
      <c r="C1086" s="35" t="str">
        <f ca="1">IFERROR(__xludf.DUMMYFUNCTION("""COMPUTED_VALUE"""),"Nguyễn Hữu Tân")</f>
        <v>Nguyễn Hữu Tân</v>
      </c>
      <c r="D1086" s="35">
        <f ca="1">IFERROR(__xludf.DUMMYFUNCTION("""COMPUTED_VALUE"""),945663773)</f>
        <v>945663773</v>
      </c>
      <c r="E1086" s="35" t="str">
        <f ca="1">IFERROR(__xludf.DUMMYFUNCTION("""COMPUTED_VALUE"""),"tannh.lan@vnpt.vn")</f>
        <v>tannh.lan@vnpt.vn</v>
      </c>
      <c r="F1086" s="540" t="str">
        <f ca="1">IFERROR(__xludf.DUMMYFUNCTION("""COMPUTED_VALUE"""),"Lần 8")</f>
        <v>Lần 8</v>
      </c>
      <c r="G1086" s="278"/>
      <c r="H1086" s="35"/>
      <c r="I1086" s="35"/>
      <c r="J1086" s="541"/>
      <c r="K1086" s="541"/>
      <c r="M1086" s="539">
        <f ca="1">IFERROR(__xludf.DUMMYFUNCTION("""COMPUTED_VALUE"""),0)</f>
        <v>0</v>
      </c>
      <c r="N1086" s="539">
        <f ca="1">IFERROR(__xludf.DUMMYFUNCTION("""COMPUTED_VALUE"""),0)</f>
        <v>0</v>
      </c>
      <c r="O1086" s="539">
        <f ca="1">IFERROR(__xludf.DUMMYFUNCTION("""COMPUTED_VALUE"""),0)</f>
        <v>0</v>
      </c>
    </row>
    <row r="1087" spans="1:15" ht="12.75">
      <c r="A1087" s="539">
        <f ca="1"/>
        <v>1081</v>
      </c>
      <c r="B1087" s="35" t="str">
        <f ca="1">IFERROR(__xludf.DUMMYFUNCTION("""COMPUTED_VALUE"""),"Tổ Hạ tầng Tân An")</f>
        <v>Tổ Hạ tầng Tân An</v>
      </c>
      <c r="C1087" s="35" t="str">
        <f ca="1">IFERROR(__xludf.DUMMYFUNCTION("""COMPUTED_VALUE"""),"Nguyễn Hữu Tân")</f>
        <v>Nguyễn Hữu Tân</v>
      </c>
      <c r="D1087" s="35">
        <f ca="1">IFERROR(__xludf.DUMMYFUNCTION("""COMPUTED_VALUE"""),945663773)</f>
        <v>945663773</v>
      </c>
      <c r="E1087" s="35" t="str">
        <f ca="1">IFERROR(__xludf.DUMMYFUNCTION("""COMPUTED_VALUE"""),"tannh.lan@vnpt.vn")</f>
        <v>tannh.lan@vnpt.vn</v>
      </c>
      <c r="F1087" s="540" t="str">
        <f ca="1">IFERROR(__xludf.DUMMYFUNCTION("""COMPUTED_VALUE"""),"Lần 9")</f>
        <v>Lần 9</v>
      </c>
      <c r="G1087" s="278"/>
      <c r="H1087" s="35"/>
      <c r="I1087" s="35"/>
      <c r="J1087" s="541"/>
      <c r="K1087" s="541"/>
      <c r="M1087" s="539">
        <f ca="1">IFERROR(__xludf.DUMMYFUNCTION("""COMPUTED_VALUE"""),0)</f>
        <v>0</v>
      </c>
      <c r="N1087" s="539">
        <f ca="1">IFERROR(__xludf.DUMMYFUNCTION("""COMPUTED_VALUE"""),0)</f>
        <v>0</v>
      </c>
      <c r="O1087" s="539">
        <f ca="1">IFERROR(__xludf.DUMMYFUNCTION("""COMPUTED_VALUE"""),0)</f>
        <v>0</v>
      </c>
    </row>
    <row r="1088" spans="1:15" ht="12.75">
      <c r="A1088" s="539">
        <f ca="1"/>
        <v>1082</v>
      </c>
      <c r="B1088" s="35" t="str">
        <f ca="1">IFERROR(__xludf.DUMMYFUNCTION("""COMPUTED_VALUE"""),"Tổ Hạ tầng Tân An")</f>
        <v>Tổ Hạ tầng Tân An</v>
      </c>
      <c r="C1088" s="35" t="str">
        <f ca="1">IFERROR(__xludf.DUMMYFUNCTION("""COMPUTED_VALUE"""),"Nguyễn Hữu Tân")</f>
        <v>Nguyễn Hữu Tân</v>
      </c>
      <c r="D1088" s="35">
        <f ca="1">IFERROR(__xludf.DUMMYFUNCTION("""COMPUTED_VALUE"""),945663773)</f>
        <v>945663773</v>
      </c>
      <c r="E1088" s="35" t="str">
        <f ca="1">IFERROR(__xludf.DUMMYFUNCTION("""COMPUTED_VALUE"""),"tannh.lan@vnpt.vn")</f>
        <v>tannh.lan@vnpt.vn</v>
      </c>
      <c r="F1088" s="540" t="str">
        <f ca="1">IFERROR(__xludf.DUMMYFUNCTION("""COMPUTED_VALUE"""),"Lần 10")</f>
        <v>Lần 10</v>
      </c>
      <c r="G1088" s="278"/>
      <c r="H1088" s="35"/>
      <c r="I1088" s="35"/>
      <c r="J1088" s="541"/>
      <c r="K1088" s="541"/>
      <c r="M1088" s="539">
        <f ca="1">IFERROR(__xludf.DUMMYFUNCTION("""COMPUTED_VALUE"""),0)</f>
        <v>0</v>
      </c>
      <c r="N1088" s="539">
        <f ca="1">IFERROR(__xludf.DUMMYFUNCTION("""COMPUTED_VALUE"""),0)</f>
        <v>0</v>
      </c>
      <c r="O1088" s="539">
        <f ca="1">IFERROR(__xludf.DUMMYFUNCTION("""COMPUTED_VALUE"""),0)</f>
        <v>0</v>
      </c>
    </row>
    <row r="1089" spans="1:15" ht="12.75">
      <c r="A1089" s="539">
        <f ca="1"/>
        <v>1083</v>
      </c>
      <c r="B1089" s="35" t="str">
        <f ca="1">IFERROR(__xludf.DUMMYFUNCTION("""COMPUTED_VALUE"""),"Tổ Hạ tầng Tân An")</f>
        <v>Tổ Hạ tầng Tân An</v>
      </c>
      <c r="C1089" s="35" t="str">
        <f ca="1">IFERROR(__xludf.DUMMYFUNCTION("""COMPUTED_VALUE"""),"Nguyễn Hữu Tân")</f>
        <v>Nguyễn Hữu Tân</v>
      </c>
      <c r="D1089" s="35">
        <f ca="1">IFERROR(__xludf.DUMMYFUNCTION("""COMPUTED_VALUE"""),945663773)</f>
        <v>945663773</v>
      </c>
      <c r="E1089" s="35" t="str">
        <f ca="1">IFERROR(__xludf.DUMMYFUNCTION("""COMPUTED_VALUE"""),"tannh.lan@vnpt.vn")</f>
        <v>tannh.lan@vnpt.vn</v>
      </c>
      <c r="F1089" s="540" t="str">
        <f ca="1">IFERROR(__xludf.DUMMYFUNCTION("""COMPUTED_VALUE"""),"Lần 11")</f>
        <v>Lần 11</v>
      </c>
      <c r="G1089" s="278"/>
      <c r="H1089" s="35"/>
      <c r="I1089" s="35"/>
      <c r="J1089" s="541"/>
      <c r="K1089" s="541"/>
      <c r="M1089" s="539">
        <f ca="1">IFERROR(__xludf.DUMMYFUNCTION("""COMPUTED_VALUE"""),0)</f>
        <v>0</v>
      </c>
      <c r="N1089" s="539">
        <f ca="1">IFERROR(__xludf.DUMMYFUNCTION("""COMPUTED_VALUE"""),0)</f>
        <v>0</v>
      </c>
      <c r="O1089" s="539">
        <f ca="1">IFERROR(__xludf.DUMMYFUNCTION("""COMPUTED_VALUE"""),0)</f>
        <v>0</v>
      </c>
    </row>
    <row r="1090" spans="1:15" ht="12.75">
      <c r="A1090" s="539">
        <f ca="1"/>
        <v>1084</v>
      </c>
      <c r="B1090" s="35" t="str">
        <f ca="1">IFERROR(__xludf.DUMMYFUNCTION("""COMPUTED_VALUE"""),"Tổ Hạ tầng Tân An")</f>
        <v>Tổ Hạ tầng Tân An</v>
      </c>
      <c r="C1090" s="35" t="str">
        <f ca="1">IFERROR(__xludf.DUMMYFUNCTION("""COMPUTED_VALUE"""),"Nguyễn Hữu Tân")</f>
        <v>Nguyễn Hữu Tân</v>
      </c>
      <c r="D1090" s="35">
        <f ca="1">IFERROR(__xludf.DUMMYFUNCTION("""COMPUTED_VALUE"""),945663773)</f>
        <v>945663773</v>
      </c>
      <c r="E1090" s="35" t="str">
        <f ca="1">IFERROR(__xludf.DUMMYFUNCTION("""COMPUTED_VALUE"""),"tannh.lan@vnpt.vn")</f>
        <v>tannh.lan@vnpt.vn</v>
      </c>
      <c r="F1090" s="540" t="str">
        <f ca="1">IFERROR(__xludf.DUMMYFUNCTION("""COMPUTED_VALUE"""),"Lần 12")</f>
        <v>Lần 12</v>
      </c>
      <c r="G1090" s="278"/>
      <c r="H1090" s="35"/>
      <c r="I1090" s="35"/>
      <c r="J1090" s="541"/>
      <c r="K1090" s="541"/>
      <c r="M1090" s="539">
        <f ca="1">IFERROR(__xludf.DUMMYFUNCTION("""COMPUTED_VALUE"""),0)</f>
        <v>0</v>
      </c>
      <c r="N1090" s="539">
        <f ca="1">IFERROR(__xludf.DUMMYFUNCTION("""COMPUTED_VALUE"""),0)</f>
        <v>0</v>
      </c>
      <c r="O1090" s="539">
        <f ca="1">IFERROR(__xludf.DUMMYFUNCTION("""COMPUTED_VALUE"""),0)</f>
        <v>0</v>
      </c>
    </row>
    <row r="1091" spans="1:15" ht="12.75">
      <c r="A1091" s="539">
        <f ca="1"/>
        <v>1085</v>
      </c>
      <c r="B1091" s="35" t="str">
        <f ca="1">IFERROR(__xludf.DUMMYFUNCTION("""COMPUTED_VALUE"""),"Tổ Hạ tầng Tân An")</f>
        <v>Tổ Hạ tầng Tân An</v>
      </c>
      <c r="C1091" s="35" t="str">
        <f ca="1">IFERROR(__xludf.DUMMYFUNCTION("""COMPUTED_VALUE"""),"Nguyễn Hữu Tân")</f>
        <v>Nguyễn Hữu Tân</v>
      </c>
      <c r="D1091" s="35">
        <f ca="1">IFERROR(__xludf.DUMMYFUNCTION("""COMPUTED_VALUE"""),945663773)</f>
        <v>945663773</v>
      </c>
      <c r="E1091" s="35" t="str">
        <f ca="1">IFERROR(__xludf.DUMMYFUNCTION("""COMPUTED_VALUE"""),"tannh.lan@vnpt.vn")</f>
        <v>tannh.lan@vnpt.vn</v>
      </c>
      <c r="F1091" s="540" t="str">
        <f ca="1">IFERROR(__xludf.DUMMYFUNCTION("""COMPUTED_VALUE"""),"Lần 13")</f>
        <v>Lần 13</v>
      </c>
      <c r="G1091" s="278"/>
      <c r="H1091" s="35"/>
      <c r="I1091" s="35"/>
      <c r="J1091" s="541"/>
      <c r="K1091" s="541"/>
      <c r="M1091" s="539">
        <f ca="1">IFERROR(__xludf.DUMMYFUNCTION("""COMPUTED_VALUE"""),0)</f>
        <v>0</v>
      </c>
      <c r="N1091" s="539">
        <f ca="1">IFERROR(__xludf.DUMMYFUNCTION("""COMPUTED_VALUE"""),0)</f>
        <v>0</v>
      </c>
      <c r="O1091" s="539">
        <f ca="1">IFERROR(__xludf.DUMMYFUNCTION("""COMPUTED_VALUE"""),0)</f>
        <v>0</v>
      </c>
    </row>
    <row r="1092" spans="1:15" ht="12.75">
      <c r="A1092" s="539">
        <f ca="1"/>
        <v>1086</v>
      </c>
      <c r="B1092" s="35" t="str">
        <f ca="1">IFERROR(__xludf.DUMMYFUNCTION("""COMPUTED_VALUE"""),"Tổ Hạ tầng Tân An")</f>
        <v>Tổ Hạ tầng Tân An</v>
      </c>
      <c r="C1092" s="35" t="str">
        <f ca="1">IFERROR(__xludf.DUMMYFUNCTION("""COMPUTED_VALUE"""),"Nguyễn Hữu Tân")</f>
        <v>Nguyễn Hữu Tân</v>
      </c>
      <c r="D1092" s="35">
        <f ca="1">IFERROR(__xludf.DUMMYFUNCTION("""COMPUTED_VALUE"""),945663773)</f>
        <v>945663773</v>
      </c>
      <c r="E1092" s="35" t="str">
        <f ca="1">IFERROR(__xludf.DUMMYFUNCTION("""COMPUTED_VALUE"""),"tannh.lan@vnpt.vn")</f>
        <v>tannh.lan@vnpt.vn</v>
      </c>
      <c r="F1092" s="540" t="str">
        <f ca="1">IFERROR(__xludf.DUMMYFUNCTION("""COMPUTED_VALUE"""),"Lần 14")</f>
        <v>Lần 14</v>
      </c>
      <c r="G1092" s="278"/>
      <c r="H1092" s="35"/>
      <c r="I1092" s="35"/>
      <c r="J1092" s="541"/>
      <c r="K1092" s="541"/>
      <c r="M1092" s="539">
        <f ca="1">IFERROR(__xludf.DUMMYFUNCTION("""COMPUTED_VALUE"""),0)</f>
        <v>0</v>
      </c>
      <c r="N1092" s="539">
        <f ca="1">IFERROR(__xludf.DUMMYFUNCTION("""COMPUTED_VALUE"""),0)</f>
        <v>0</v>
      </c>
      <c r="O1092" s="539">
        <f ca="1">IFERROR(__xludf.DUMMYFUNCTION("""COMPUTED_VALUE"""),0)</f>
        <v>0</v>
      </c>
    </row>
    <row r="1093" spans="1:15" ht="12.75">
      <c r="A1093" s="539">
        <f ca="1"/>
        <v>1087</v>
      </c>
      <c r="B1093" s="35" t="str">
        <f ca="1">IFERROR(__xludf.DUMMYFUNCTION("""COMPUTED_VALUE"""),"Tổ Hạ tầng Tân An")</f>
        <v>Tổ Hạ tầng Tân An</v>
      </c>
      <c r="C1093" s="35" t="str">
        <f ca="1">IFERROR(__xludf.DUMMYFUNCTION("""COMPUTED_VALUE"""),"Nguyễn Hữu Tân")</f>
        <v>Nguyễn Hữu Tân</v>
      </c>
      <c r="D1093" s="35">
        <f ca="1">IFERROR(__xludf.DUMMYFUNCTION("""COMPUTED_VALUE"""),945663773)</f>
        <v>945663773</v>
      </c>
      <c r="E1093" s="35" t="str">
        <f ca="1">IFERROR(__xludf.DUMMYFUNCTION("""COMPUTED_VALUE"""),"tannh.lan@vnpt.vn")</f>
        <v>tannh.lan@vnpt.vn</v>
      </c>
      <c r="F1093" s="540" t="str">
        <f ca="1">IFERROR(__xludf.DUMMYFUNCTION("""COMPUTED_VALUE"""),"Lần 15")</f>
        <v>Lần 15</v>
      </c>
      <c r="G1093" s="278"/>
      <c r="H1093" s="35"/>
      <c r="I1093" s="35"/>
      <c r="J1093" s="541"/>
      <c r="K1093" s="541"/>
      <c r="M1093" s="539">
        <f ca="1">IFERROR(__xludf.DUMMYFUNCTION("""COMPUTED_VALUE"""),0)</f>
        <v>0</v>
      </c>
      <c r="N1093" s="539">
        <f ca="1">IFERROR(__xludf.DUMMYFUNCTION("""COMPUTED_VALUE"""),0)</f>
        <v>0</v>
      </c>
      <c r="O1093" s="539">
        <f ca="1">IFERROR(__xludf.DUMMYFUNCTION("""COMPUTED_VALUE"""),0)</f>
        <v>0</v>
      </c>
    </row>
    <row r="1094" spans="1:15" ht="12.75">
      <c r="A1094" s="539">
        <f ca="1"/>
        <v>1088</v>
      </c>
      <c r="B1094" s="35" t="str">
        <f ca="1">IFERROR(__xludf.DUMMYFUNCTION("""COMPUTED_VALUE"""),"Tổ Hạ tầng Tân An")</f>
        <v>Tổ Hạ tầng Tân An</v>
      </c>
      <c r="C1094" s="35" t="str">
        <f ca="1">IFERROR(__xludf.DUMMYFUNCTION("""COMPUTED_VALUE"""),"Nguyễn Hữu Tân")</f>
        <v>Nguyễn Hữu Tân</v>
      </c>
      <c r="D1094" s="35">
        <f ca="1">IFERROR(__xludf.DUMMYFUNCTION("""COMPUTED_VALUE"""),945663773)</f>
        <v>945663773</v>
      </c>
      <c r="E1094" s="35" t="str">
        <f ca="1">IFERROR(__xludf.DUMMYFUNCTION("""COMPUTED_VALUE"""),"tannh.lan@vnpt.vn")</f>
        <v>tannh.lan@vnpt.vn</v>
      </c>
      <c r="F1094" s="540" t="str">
        <f ca="1">IFERROR(__xludf.DUMMYFUNCTION("""COMPUTED_VALUE"""),"Lần 16")</f>
        <v>Lần 16</v>
      </c>
      <c r="G1094" s="278"/>
      <c r="H1094" s="35"/>
      <c r="I1094" s="35"/>
      <c r="J1094" s="541"/>
      <c r="K1094" s="541"/>
      <c r="M1094" s="539">
        <f ca="1">IFERROR(__xludf.DUMMYFUNCTION("""COMPUTED_VALUE"""),0)</f>
        <v>0</v>
      </c>
      <c r="N1094" s="539">
        <f ca="1">IFERROR(__xludf.DUMMYFUNCTION("""COMPUTED_VALUE"""),0)</f>
        <v>0</v>
      </c>
      <c r="O1094" s="539">
        <f ca="1">IFERROR(__xludf.DUMMYFUNCTION("""COMPUTED_VALUE"""),0)</f>
        <v>0</v>
      </c>
    </row>
    <row r="1095" spans="1:15" ht="12.75">
      <c r="A1095" s="539">
        <f ca="1"/>
        <v>1089</v>
      </c>
      <c r="B1095" s="35" t="str">
        <f ca="1">IFERROR(__xludf.DUMMYFUNCTION("""COMPUTED_VALUE"""),"Tổ Hạ tầng Tân An")</f>
        <v>Tổ Hạ tầng Tân An</v>
      </c>
      <c r="C1095" s="35" t="str">
        <f ca="1">IFERROR(__xludf.DUMMYFUNCTION("""COMPUTED_VALUE"""),"Lê Minh Kha")</f>
        <v>Lê Minh Kha</v>
      </c>
      <c r="D1095" s="35">
        <f ca="1">IFERROR(__xludf.DUMMYFUNCTION("""COMPUTED_VALUE"""),829669739)</f>
        <v>829669739</v>
      </c>
      <c r="E1095" s="35" t="str">
        <f ca="1">IFERROR(__xludf.DUMMYFUNCTION("""COMPUTED_VALUE"""),"khalm.lan@vnpt.vn")</f>
        <v>khalm.lan@vnpt.vn</v>
      </c>
      <c r="F1095" s="540" t="str">
        <f ca="1">IFERROR(__xludf.DUMMYFUNCTION("""COMPUTED_VALUE"""),"Lần 1")</f>
        <v>Lần 1</v>
      </c>
      <c r="G1095" s="278"/>
      <c r="H1095" s="35"/>
      <c r="I1095" s="35"/>
      <c r="J1095" s="35"/>
      <c r="K1095" s="541"/>
      <c r="M1095" s="539">
        <f ca="1">IFERROR(__xludf.DUMMYFUNCTION("""COMPUTED_VALUE"""),0)</f>
        <v>0</v>
      </c>
      <c r="N1095" s="539">
        <f ca="1">IFERROR(__xludf.DUMMYFUNCTION("""COMPUTED_VALUE"""),0)</f>
        <v>0</v>
      </c>
      <c r="O1095" s="539">
        <f ca="1">IFERROR(__xludf.DUMMYFUNCTION("""COMPUTED_VALUE"""),0)</f>
        <v>0</v>
      </c>
    </row>
    <row r="1096" spans="1:15" ht="12.75">
      <c r="A1096" s="539">
        <f ca="1"/>
        <v>1090</v>
      </c>
      <c r="B1096" s="35" t="str">
        <f ca="1">IFERROR(__xludf.DUMMYFUNCTION("""COMPUTED_VALUE"""),"Tổ Hạ tầng Tân An")</f>
        <v>Tổ Hạ tầng Tân An</v>
      </c>
      <c r="C1096" s="35" t="str">
        <f ca="1">IFERROR(__xludf.DUMMYFUNCTION("""COMPUTED_VALUE"""),"Lê Minh Kha")</f>
        <v>Lê Minh Kha</v>
      </c>
      <c r="D1096" s="35">
        <f ca="1">IFERROR(__xludf.DUMMYFUNCTION("""COMPUTED_VALUE"""),829669739)</f>
        <v>829669739</v>
      </c>
      <c r="E1096" s="35" t="str">
        <f ca="1">IFERROR(__xludf.DUMMYFUNCTION("""COMPUTED_VALUE"""),"khalm.lan@vnpt.vn")</f>
        <v>khalm.lan@vnpt.vn</v>
      </c>
      <c r="F1096" s="540" t="str">
        <f ca="1">IFERROR(__xludf.DUMMYFUNCTION("""COMPUTED_VALUE"""),"Lần 2")</f>
        <v>Lần 2</v>
      </c>
      <c r="G1096" s="278"/>
      <c r="H1096" s="35"/>
      <c r="I1096" s="35"/>
      <c r="J1096" s="541"/>
      <c r="K1096" s="541"/>
      <c r="M1096" s="539">
        <f ca="1">IFERROR(__xludf.DUMMYFUNCTION("""COMPUTED_VALUE"""),0)</f>
        <v>0</v>
      </c>
      <c r="N1096" s="539">
        <f ca="1">IFERROR(__xludf.DUMMYFUNCTION("""COMPUTED_VALUE"""),0)</f>
        <v>0</v>
      </c>
      <c r="O1096" s="539">
        <f ca="1">IFERROR(__xludf.DUMMYFUNCTION("""COMPUTED_VALUE"""),0)</f>
        <v>0</v>
      </c>
    </row>
    <row r="1097" spans="1:15" ht="12.75">
      <c r="A1097" s="539">
        <f ca="1"/>
        <v>1091</v>
      </c>
      <c r="B1097" s="35" t="str">
        <f ca="1">IFERROR(__xludf.DUMMYFUNCTION("""COMPUTED_VALUE"""),"Tổ Hạ tầng Tân An")</f>
        <v>Tổ Hạ tầng Tân An</v>
      </c>
      <c r="C1097" s="35" t="str">
        <f ca="1">IFERROR(__xludf.DUMMYFUNCTION("""COMPUTED_VALUE"""),"Lê Minh Kha")</f>
        <v>Lê Minh Kha</v>
      </c>
      <c r="D1097" s="35">
        <f ca="1">IFERROR(__xludf.DUMMYFUNCTION("""COMPUTED_VALUE"""),829669739)</f>
        <v>829669739</v>
      </c>
      <c r="E1097" s="35" t="str">
        <f ca="1">IFERROR(__xludf.DUMMYFUNCTION("""COMPUTED_VALUE"""),"khalm.lan@vnpt.vn")</f>
        <v>khalm.lan@vnpt.vn</v>
      </c>
      <c r="F1097" s="540" t="str">
        <f ca="1">IFERROR(__xludf.DUMMYFUNCTION("""COMPUTED_VALUE"""),"Lần 3")</f>
        <v>Lần 3</v>
      </c>
      <c r="G1097" s="278"/>
      <c r="H1097" s="35"/>
      <c r="I1097" s="35"/>
      <c r="J1097" s="541"/>
      <c r="K1097" s="541"/>
      <c r="M1097" s="539">
        <f ca="1">IFERROR(__xludf.DUMMYFUNCTION("""COMPUTED_VALUE"""),0)</f>
        <v>0</v>
      </c>
      <c r="N1097" s="539">
        <f ca="1">IFERROR(__xludf.DUMMYFUNCTION("""COMPUTED_VALUE"""),0)</f>
        <v>0</v>
      </c>
      <c r="O1097" s="539">
        <f ca="1">IFERROR(__xludf.DUMMYFUNCTION("""COMPUTED_VALUE"""),0)</f>
        <v>0</v>
      </c>
    </row>
    <row r="1098" spans="1:15" ht="12.75">
      <c r="A1098" s="539">
        <f ca="1"/>
        <v>1092</v>
      </c>
      <c r="B1098" s="35" t="str">
        <f ca="1">IFERROR(__xludf.DUMMYFUNCTION("""COMPUTED_VALUE"""),"Tổ Hạ tầng Tân An")</f>
        <v>Tổ Hạ tầng Tân An</v>
      </c>
      <c r="C1098" s="35" t="str">
        <f ca="1">IFERROR(__xludf.DUMMYFUNCTION("""COMPUTED_VALUE"""),"Lê Minh Kha")</f>
        <v>Lê Minh Kha</v>
      </c>
      <c r="D1098" s="35">
        <f ca="1">IFERROR(__xludf.DUMMYFUNCTION("""COMPUTED_VALUE"""),829669739)</f>
        <v>829669739</v>
      </c>
      <c r="E1098" s="35" t="str">
        <f ca="1">IFERROR(__xludf.DUMMYFUNCTION("""COMPUTED_VALUE"""),"khalm.lan@vnpt.vn")</f>
        <v>khalm.lan@vnpt.vn</v>
      </c>
      <c r="F1098" s="540" t="str">
        <f ca="1">IFERROR(__xludf.DUMMYFUNCTION("""COMPUTED_VALUE"""),"Lần 4")</f>
        <v>Lần 4</v>
      </c>
      <c r="G1098" s="278"/>
      <c r="H1098" s="35"/>
      <c r="I1098" s="35"/>
      <c r="J1098" s="541"/>
      <c r="K1098" s="541"/>
      <c r="M1098" s="539">
        <f ca="1">IFERROR(__xludf.DUMMYFUNCTION("""COMPUTED_VALUE"""),0)</f>
        <v>0</v>
      </c>
      <c r="N1098" s="539">
        <f ca="1">IFERROR(__xludf.DUMMYFUNCTION("""COMPUTED_VALUE"""),0)</f>
        <v>0</v>
      </c>
      <c r="O1098" s="539">
        <f ca="1">IFERROR(__xludf.DUMMYFUNCTION("""COMPUTED_VALUE"""),0)</f>
        <v>0</v>
      </c>
    </row>
    <row r="1099" spans="1:15" ht="12.75">
      <c r="A1099" s="539">
        <f ca="1"/>
        <v>1093</v>
      </c>
      <c r="B1099" s="35" t="str">
        <f ca="1">IFERROR(__xludf.DUMMYFUNCTION("""COMPUTED_VALUE"""),"Tổ Hạ tầng Tân An")</f>
        <v>Tổ Hạ tầng Tân An</v>
      </c>
      <c r="C1099" s="35" t="str">
        <f ca="1">IFERROR(__xludf.DUMMYFUNCTION("""COMPUTED_VALUE"""),"Lê Minh Kha")</f>
        <v>Lê Minh Kha</v>
      </c>
      <c r="D1099" s="35">
        <f ca="1">IFERROR(__xludf.DUMMYFUNCTION("""COMPUTED_VALUE"""),829669739)</f>
        <v>829669739</v>
      </c>
      <c r="E1099" s="35" t="str">
        <f ca="1">IFERROR(__xludf.DUMMYFUNCTION("""COMPUTED_VALUE"""),"khalm.lan@vnpt.vn")</f>
        <v>khalm.lan@vnpt.vn</v>
      </c>
      <c r="F1099" s="540" t="str">
        <f ca="1">IFERROR(__xludf.DUMMYFUNCTION("""COMPUTED_VALUE"""),"Lần 5")</f>
        <v>Lần 5</v>
      </c>
      <c r="G1099" s="278"/>
      <c r="H1099" s="35"/>
      <c r="I1099" s="35"/>
      <c r="J1099" s="541"/>
      <c r="K1099" s="541"/>
      <c r="M1099" s="539">
        <f ca="1">IFERROR(__xludf.DUMMYFUNCTION("""COMPUTED_VALUE"""),0)</f>
        <v>0</v>
      </c>
      <c r="N1099" s="539">
        <f ca="1">IFERROR(__xludf.DUMMYFUNCTION("""COMPUTED_VALUE"""),0)</f>
        <v>0</v>
      </c>
      <c r="O1099" s="539">
        <f ca="1">IFERROR(__xludf.DUMMYFUNCTION("""COMPUTED_VALUE"""),0)</f>
        <v>0</v>
      </c>
    </row>
    <row r="1100" spans="1:15" ht="12.75">
      <c r="A1100" s="539">
        <f ca="1"/>
        <v>1094</v>
      </c>
      <c r="B1100" s="35" t="str">
        <f ca="1">IFERROR(__xludf.DUMMYFUNCTION("""COMPUTED_VALUE"""),"Tổ Hạ tầng Tân An")</f>
        <v>Tổ Hạ tầng Tân An</v>
      </c>
      <c r="C1100" s="35" t="str">
        <f ca="1">IFERROR(__xludf.DUMMYFUNCTION("""COMPUTED_VALUE"""),"Lê Minh Kha")</f>
        <v>Lê Minh Kha</v>
      </c>
      <c r="D1100" s="35">
        <f ca="1">IFERROR(__xludf.DUMMYFUNCTION("""COMPUTED_VALUE"""),829669739)</f>
        <v>829669739</v>
      </c>
      <c r="E1100" s="35" t="str">
        <f ca="1">IFERROR(__xludf.DUMMYFUNCTION("""COMPUTED_VALUE"""),"khalm.lan@vnpt.vn")</f>
        <v>khalm.lan@vnpt.vn</v>
      </c>
      <c r="F1100" s="540" t="str">
        <f ca="1">IFERROR(__xludf.DUMMYFUNCTION("""COMPUTED_VALUE"""),"Lần 6")</f>
        <v>Lần 6</v>
      </c>
      <c r="G1100" s="278"/>
      <c r="H1100" s="35"/>
      <c r="I1100" s="35"/>
      <c r="J1100" s="541"/>
      <c r="K1100" s="541"/>
      <c r="M1100" s="539">
        <f ca="1">IFERROR(__xludf.DUMMYFUNCTION("""COMPUTED_VALUE"""),0)</f>
        <v>0</v>
      </c>
      <c r="N1100" s="539">
        <f ca="1">IFERROR(__xludf.DUMMYFUNCTION("""COMPUTED_VALUE"""),0)</f>
        <v>0</v>
      </c>
      <c r="O1100" s="539">
        <f ca="1">IFERROR(__xludf.DUMMYFUNCTION("""COMPUTED_VALUE"""),0)</f>
        <v>0</v>
      </c>
    </row>
    <row r="1101" spans="1:15" ht="12.75">
      <c r="A1101" s="539">
        <f ca="1"/>
        <v>1095</v>
      </c>
      <c r="B1101" s="35" t="str">
        <f ca="1">IFERROR(__xludf.DUMMYFUNCTION("""COMPUTED_VALUE"""),"Tổ Hạ tầng Tân An")</f>
        <v>Tổ Hạ tầng Tân An</v>
      </c>
      <c r="C1101" s="35" t="str">
        <f ca="1">IFERROR(__xludf.DUMMYFUNCTION("""COMPUTED_VALUE"""),"Lê Minh Kha")</f>
        <v>Lê Minh Kha</v>
      </c>
      <c r="D1101" s="35">
        <f ca="1">IFERROR(__xludf.DUMMYFUNCTION("""COMPUTED_VALUE"""),829669739)</f>
        <v>829669739</v>
      </c>
      <c r="E1101" s="35" t="str">
        <f ca="1">IFERROR(__xludf.DUMMYFUNCTION("""COMPUTED_VALUE"""),"khalm.lan@vnpt.vn")</f>
        <v>khalm.lan@vnpt.vn</v>
      </c>
      <c r="F1101" s="540" t="str">
        <f ca="1">IFERROR(__xludf.DUMMYFUNCTION("""COMPUTED_VALUE"""),"Lần 7")</f>
        <v>Lần 7</v>
      </c>
      <c r="G1101" s="278"/>
      <c r="H1101" s="35"/>
      <c r="I1101" s="35"/>
      <c r="J1101" s="541"/>
      <c r="K1101" s="541"/>
      <c r="M1101" s="539">
        <f ca="1">IFERROR(__xludf.DUMMYFUNCTION("""COMPUTED_VALUE"""),0)</f>
        <v>0</v>
      </c>
      <c r="N1101" s="539">
        <f ca="1">IFERROR(__xludf.DUMMYFUNCTION("""COMPUTED_VALUE"""),0)</f>
        <v>0</v>
      </c>
      <c r="O1101" s="539">
        <f ca="1">IFERROR(__xludf.DUMMYFUNCTION("""COMPUTED_VALUE"""),0)</f>
        <v>0</v>
      </c>
    </row>
    <row r="1102" spans="1:15" ht="12.75">
      <c r="A1102" s="539">
        <f ca="1"/>
        <v>1096</v>
      </c>
      <c r="B1102" s="35" t="str">
        <f ca="1">IFERROR(__xludf.DUMMYFUNCTION("""COMPUTED_VALUE"""),"Tổ Hạ tầng Tân An")</f>
        <v>Tổ Hạ tầng Tân An</v>
      </c>
      <c r="C1102" s="35" t="str">
        <f ca="1">IFERROR(__xludf.DUMMYFUNCTION("""COMPUTED_VALUE"""),"Lê Minh Kha")</f>
        <v>Lê Minh Kha</v>
      </c>
      <c r="D1102" s="35">
        <f ca="1">IFERROR(__xludf.DUMMYFUNCTION("""COMPUTED_VALUE"""),829669739)</f>
        <v>829669739</v>
      </c>
      <c r="E1102" s="35" t="str">
        <f ca="1">IFERROR(__xludf.DUMMYFUNCTION("""COMPUTED_VALUE"""),"khalm.lan@vnpt.vn")</f>
        <v>khalm.lan@vnpt.vn</v>
      </c>
      <c r="F1102" s="540" t="str">
        <f ca="1">IFERROR(__xludf.DUMMYFUNCTION("""COMPUTED_VALUE"""),"Lần 8")</f>
        <v>Lần 8</v>
      </c>
      <c r="G1102" s="278"/>
      <c r="H1102" s="35"/>
      <c r="I1102" s="35"/>
      <c r="J1102" s="541"/>
      <c r="K1102" s="541"/>
      <c r="M1102" s="539">
        <f ca="1">IFERROR(__xludf.DUMMYFUNCTION("""COMPUTED_VALUE"""),0)</f>
        <v>0</v>
      </c>
      <c r="N1102" s="539">
        <f ca="1">IFERROR(__xludf.DUMMYFUNCTION("""COMPUTED_VALUE"""),0)</f>
        <v>0</v>
      </c>
      <c r="O1102" s="539">
        <f ca="1">IFERROR(__xludf.DUMMYFUNCTION("""COMPUTED_VALUE"""),0)</f>
        <v>0</v>
      </c>
    </row>
    <row r="1103" spans="1:15" ht="12.75">
      <c r="A1103" s="539">
        <f ca="1"/>
        <v>1097</v>
      </c>
      <c r="B1103" s="35" t="str">
        <f ca="1">IFERROR(__xludf.DUMMYFUNCTION("""COMPUTED_VALUE"""),"Tổ Hạ tầng Tân An")</f>
        <v>Tổ Hạ tầng Tân An</v>
      </c>
      <c r="C1103" s="35" t="str">
        <f ca="1">IFERROR(__xludf.DUMMYFUNCTION("""COMPUTED_VALUE"""),"Lê Minh Kha")</f>
        <v>Lê Minh Kha</v>
      </c>
      <c r="D1103" s="35">
        <f ca="1">IFERROR(__xludf.DUMMYFUNCTION("""COMPUTED_VALUE"""),829669739)</f>
        <v>829669739</v>
      </c>
      <c r="E1103" s="35" t="str">
        <f ca="1">IFERROR(__xludf.DUMMYFUNCTION("""COMPUTED_VALUE"""),"khalm.lan@vnpt.vn")</f>
        <v>khalm.lan@vnpt.vn</v>
      </c>
      <c r="F1103" s="540" t="str">
        <f ca="1">IFERROR(__xludf.DUMMYFUNCTION("""COMPUTED_VALUE"""),"Lần 9")</f>
        <v>Lần 9</v>
      </c>
      <c r="G1103" s="278"/>
      <c r="H1103" s="35"/>
      <c r="I1103" s="35"/>
      <c r="J1103" s="541"/>
      <c r="K1103" s="541"/>
      <c r="M1103" s="539">
        <f ca="1">IFERROR(__xludf.DUMMYFUNCTION("""COMPUTED_VALUE"""),0)</f>
        <v>0</v>
      </c>
      <c r="N1103" s="539">
        <f ca="1">IFERROR(__xludf.DUMMYFUNCTION("""COMPUTED_VALUE"""),0)</f>
        <v>0</v>
      </c>
      <c r="O1103" s="539">
        <f ca="1">IFERROR(__xludf.DUMMYFUNCTION("""COMPUTED_VALUE"""),0)</f>
        <v>0</v>
      </c>
    </row>
    <row r="1104" spans="1:15" ht="12.75">
      <c r="A1104" s="539">
        <f ca="1"/>
        <v>1098</v>
      </c>
      <c r="B1104" s="35" t="str">
        <f ca="1">IFERROR(__xludf.DUMMYFUNCTION("""COMPUTED_VALUE"""),"Tổ Hạ tầng Tân An")</f>
        <v>Tổ Hạ tầng Tân An</v>
      </c>
      <c r="C1104" s="35" t="str">
        <f ca="1">IFERROR(__xludf.DUMMYFUNCTION("""COMPUTED_VALUE"""),"Lê Minh Kha")</f>
        <v>Lê Minh Kha</v>
      </c>
      <c r="D1104" s="35">
        <f ca="1">IFERROR(__xludf.DUMMYFUNCTION("""COMPUTED_VALUE"""),829669739)</f>
        <v>829669739</v>
      </c>
      <c r="E1104" s="35" t="str">
        <f ca="1">IFERROR(__xludf.DUMMYFUNCTION("""COMPUTED_VALUE"""),"khalm.lan@vnpt.vn")</f>
        <v>khalm.lan@vnpt.vn</v>
      </c>
      <c r="F1104" s="540" t="str">
        <f ca="1">IFERROR(__xludf.DUMMYFUNCTION("""COMPUTED_VALUE"""),"Lần 10")</f>
        <v>Lần 10</v>
      </c>
      <c r="G1104" s="278"/>
      <c r="H1104" s="35"/>
      <c r="I1104" s="35"/>
      <c r="J1104" s="541"/>
      <c r="K1104" s="541"/>
      <c r="M1104" s="539">
        <f ca="1">IFERROR(__xludf.DUMMYFUNCTION("""COMPUTED_VALUE"""),0)</f>
        <v>0</v>
      </c>
      <c r="N1104" s="539">
        <f ca="1">IFERROR(__xludf.DUMMYFUNCTION("""COMPUTED_VALUE"""),0)</f>
        <v>0</v>
      </c>
      <c r="O1104" s="539">
        <f ca="1">IFERROR(__xludf.DUMMYFUNCTION("""COMPUTED_VALUE"""),0)</f>
        <v>0</v>
      </c>
    </row>
    <row r="1105" spans="1:15" ht="12.75">
      <c r="A1105" s="539">
        <f ca="1"/>
        <v>1099</v>
      </c>
      <c r="B1105" s="35" t="str">
        <f ca="1">IFERROR(__xludf.DUMMYFUNCTION("""COMPUTED_VALUE"""),"Tổ Hạ tầng Tân An")</f>
        <v>Tổ Hạ tầng Tân An</v>
      </c>
      <c r="C1105" s="35" t="str">
        <f ca="1">IFERROR(__xludf.DUMMYFUNCTION("""COMPUTED_VALUE"""),"Lê Minh Kha")</f>
        <v>Lê Minh Kha</v>
      </c>
      <c r="D1105" s="35">
        <f ca="1">IFERROR(__xludf.DUMMYFUNCTION("""COMPUTED_VALUE"""),829669739)</f>
        <v>829669739</v>
      </c>
      <c r="E1105" s="35" t="str">
        <f ca="1">IFERROR(__xludf.DUMMYFUNCTION("""COMPUTED_VALUE"""),"khalm.lan@vnpt.vn")</f>
        <v>khalm.lan@vnpt.vn</v>
      </c>
      <c r="F1105" s="540" t="str">
        <f ca="1">IFERROR(__xludf.DUMMYFUNCTION("""COMPUTED_VALUE"""),"Lần 11")</f>
        <v>Lần 11</v>
      </c>
      <c r="G1105" s="278"/>
      <c r="H1105" s="35"/>
      <c r="I1105" s="35"/>
      <c r="J1105" s="541"/>
      <c r="K1105" s="541"/>
      <c r="M1105" s="539">
        <f ca="1">IFERROR(__xludf.DUMMYFUNCTION("""COMPUTED_VALUE"""),0)</f>
        <v>0</v>
      </c>
      <c r="N1105" s="539">
        <f ca="1">IFERROR(__xludf.DUMMYFUNCTION("""COMPUTED_VALUE"""),0)</f>
        <v>0</v>
      </c>
      <c r="O1105" s="539">
        <f ca="1">IFERROR(__xludf.DUMMYFUNCTION("""COMPUTED_VALUE"""),0)</f>
        <v>0</v>
      </c>
    </row>
    <row r="1106" spans="1:15" ht="12.75">
      <c r="A1106" s="539">
        <f ca="1"/>
        <v>1100</v>
      </c>
      <c r="B1106" s="35" t="str">
        <f ca="1">IFERROR(__xludf.DUMMYFUNCTION("""COMPUTED_VALUE"""),"Tổ Hạ tầng Tân An")</f>
        <v>Tổ Hạ tầng Tân An</v>
      </c>
      <c r="C1106" s="35" t="str">
        <f ca="1">IFERROR(__xludf.DUMMYFUNCTION("""COMPUTED_VALUE"""),"Lê Minh Kha")</f>
        <v>Lê Minh Kha</v>
      </c>
      <c r="D1106" s="35">
        <f ca="1">IFERROR(__xludf.DUMMYFUNCTION("""COMPUTED_VALUE"""),829669739)</f>
        <v>829669739</v>
      </c>
      <c r="E1106" s="35" t="str">
        <f ca="1">IFERROR(__xludf.DUMMYFUNCTION("""COMPUTED_VALUE"""),"khalm.lan@vnpt.vn")</f>
        <v>khalm.lan@vnpt.vn</v>
      </c>
      <c r="F1106" s="540" t="str">
        <f ca="1">IFERROR(__xludf.DUMMYFUNCTION("""COMPUTED_VALUE"""),"Lần 12")</f>
        <v>Lần 12</v>
      </c>
      <c r="G1106" s="278"/>
      <c r="H1106" s="35"/>
      <c r="I1106" s="35"/>
      <c r="J1106" s="541"/>
      <c r="K1106" s="541"/>
      <c r="M1106" s="539">
        <f ca="1">IFERROR(__xludf.DUMMYFUNCTION("""COMPUTED_VALUE"""),0)</f>
        <v>0</v>
      </c>
      <c r="N1106" s="539">
        <f ca="1">IFERROR(__xludf.DUMMYFUNCTION("""COMPUTED_VALUE"""),0)</f>
        <v>0</v>
      </c>
      <c r="O1106" s="539">
        <f ca="1">IFERROR(__xludf.DUMMYFUNCTION("""COMPUTED_VALUE"""),0)</f>
        <v>0</v>
      </c>
    </row>
    <row r="1107" spans="1:15" ht="12.75">
      <c r="A1107" s="539">
        <f ca="1"/>
        <v>1101</v>
      </c>
      <c r="B1107" s="35" t="str">
        <f ca="1">IFERROR(__xludf.DUMMYFUNCTION("""COMPUTED_VALUE"""),"Tổ Hạ tầng Tân An")</f>
        <v>Tổ Hạ tầng Tân An</v>
      </c>
      <c r="C1107" s="35" t="str">
        <f ca="1">IFERROR(__xludf.DUMMYFUNCTION("""COMPUTED_VALUE"""),"Lê Minh Kha")</f>
        <v>Lê Minh Kha</v>
      </c>
      <c r="D1107" s="35">
        <f ca="1">IFERROR(__xludf.DUMMYFUNCTION("""COMPUTED_VALUE"""),829669739)</f>
        <v>829669739</v>
      </c>
      <c r="E1107" s="35" t="str">
        <f ca="1">IFERROR(__xludf.DUMMYFUNCTION("""COMPUTED_VALUE"""),"khalm.lan@vnpt.vn")</f>
        <v>khalm.lan@vnpt.vn</v>
      </c>
      <c r="F1107" s="540" t="str">
        <f ca="1">IFERROR(__xludf.DUMMYFUNCTION("""COMPUTED_VALUE"""),"Lần 13")</f>
        <v>Lần 13</v>
      </c>
      <c r="G1107" s="278"/>
      <c r="H1107" s="35"/>
      <c r="I1107" s="35"/>
      <c r="J1107" s="541"/>
      <c r="K1107" s="541"/>
      <c r="M1107" s="539">
        <f ca="1">IFERROR(__xludf.DUMMYFUNCTION("""COMPUTED_VALUE"""),0)</f>
        <v>0</v>
      </c>
      <c r="N1107" s="539">
        <f ca="1">IFERROR(__xludf.DUMMYFUNCTION("""COMPUTED_VALUE"""),0)</f>
        <v>0</v>
      </c>
      <c r="O1107" s="539">
        <f ca="1">IFERROR(__xludf.DUMMYFUNCTION("""COMPUTED_VALUE"""),0)</f>
        <v>0</v>
      </c>
    </row>
    <row r="1108" spans="1:15" ht="12.75">
      <c r="A1108" s="539">
        <f ca="1"/>
        <v>1102</v>
      </c>
      <c r="B1108" s="35" t="str">
        <f ca="1">IFERROR(__xludf.DUMMYFUNCTION("""COMPUTED_VALUE"""),"Tổ Hạ tầng Tân An")</f>
        <v>Tổ Hạ tầng Tân An</v>
      </c>
      <c r="C1108" s="35" t="str">
        <f ca="1">IFERROR(__xludf.DUMMYFUNCTION("""COMPUTED_VALUE"""),"Lê Minh Kha")</f>
        <v>Lê Minh Kha</v>
      </c>
      <c r="D1108" s="35">
        <f ca="1">IFERROR(__xludf.DUMMYFUNCTION("""COMPUTED_VALUE"""),829669739)</f>
        <v>829669739</v>
      </c>
      <c r="E1108" s="35" t="str">
        <f ca="1">IFERROR(__xludf.DUMMYFUNCTION("""COMPUTED_VALUE"""),"khalm.lan@vnpt.vn")</f>
        <v>khalm.lan@vnpt.vn</v>
      </c>
      <c r="F1108" s="540" t="str">
        <f ca="1">IFERROR(__xludf.DUMMYFUNCTION("""COMPUTED_VALUE"""),"Lần 14")</f>
        <v>Lần 14</v>
      </c>
      <c r="G1108" s="278"/>
      <c r="H1108" s="35"/>
      <c r="I1108" s="35"/>
      <c r="J1108" s="541"/>
      <c r="K1108" s="541"/>
      <c r="M1108" s="539">
        <f ca="1">IFERROR(__xludf.DUMMYFUNCTION("""COMPUTED_VALUE"""),0)</f>
        <v>0</v>
      </c>
      <c r="N1108" s="539">
        <f ca="1">IFERROR(__xludf.DUMMYFUNCTION("""COMPUTED_VALUE"""),0)</f>
        <v>0</v>
      </c>
      <c r="O1108" s="539">
        <f ca="1">IFERROR(__xludf.DUMMYFUNCTION("""COMPUTED_VALUE"""),0)</f>
        <v>0</v>
      </c>
    </row>
    <row r="1109" spans="1:15" ht="12.75">
      <c r="A1109" s="539">
        <f ca="1"/>
        <v>1103</v>
      </c>
      <c r="B1109" s="35" t="str">
        <f ca="1">IFERROR(__xludf.DUMMYFUNCTION("""COMPUTED_VALUE"""),"Tổ Hạ tầng Tân An")</f>
        <v>Tổ Hạ tầng Tân An</v>
      </c>
      <c r="C1109" s="35" t="str">
        <f ca="1">IFERROR(__xludf.DUMMYFUNCTION("""COMPUTED_VALUE"""),"Lê Minh Kha")</f>
        <v>Lê Minh Kha</v>
      </c>
      <c r="D1109" s="35">
        <f ca="1">IFERROR(__xludf.DUMMYFUNCTION("""COMPUTED_VALUE"""),829669739)</f>
        <v>829669739</v>
      </c>
      <c r="E1109" s="35" t="str">
        <f ca="1">IFERROR(__xludf.DUMMYFUNCTION("""COMPUTED_VALUE"""),"khalm.lan@vnpt.vn")</f>
        <v>khalm.lan@vnpt.vn</v>
      </c>
      <c r="F1109" s="540" t="str">
        <f ca="1">IFERROR(__xludf.DUMMYFUNCTION("""COMPUTED_VALUE"""),"Lần 15")</f>
        <v>Lần 15</v>
      </c>
      <c r="G1109" s="278"/>
      <c r="H1109" s="35"/>
      <c r="I1109" s="35"/>
      <c r="J1109" s="541"/>
      <c r="K1109" s="541"/>
      <c r="M1109" s="539">
        <f ca="1">IFERROR(__xludf.DUMMYFUNCTION("""COMPUTED_VALUE"""),0)</f>
        <v>0</v>
      </c>
      <c r="N1109" s="539">
        <f ca="1">IFERROR(__xludf.DUMMYFUNCTION("""COMPUTED_VALUE"""),0)</f>
        <v>0</v>
      </c>
      <c r="O1109" s="539">
        <f ca="1">IFERROR(__xludf.DUMMYFUNCTION("""COMPUTED_VALUE"""),0)</f>
        <v>0</v>
      </c>
    </row>
    <row r="1110" spans="1:15" ht="12.75">
      <c r="A1110" s="539">
        <f ca="1"/>
        <v>1104</v>
      </c>
      <c r="B1110" s="35" t="str">
        <f ca="1">IFERROR(__xludf.DUMMYFUNCTION("""COMPUTED_VALUE"""),"Tổ Hạ tầng Tân An")</f>
        <v>Tổ Hạ tầng Tân An</v>
      </c>
      <c r="C1110" s="35" t="str">
        <f ca="1">IFERROR(__xludf.DUMMYFUNCTION("""COMPUTED_VALUE"""),"Lê Minh Kha")</f>
        <v>Lê Minh Kha</v>
      </c>
      <c r="D1110" s="35">
        <f ca="1">IFERROR(__xludf.DUMMYFUNCTION("""COMPUTED_VALUE"""),829669739)</f>
        <v>829669739</v>
      </c>
      <c r="E1110" s="35" t="str">
        <f ca="1">IFERROR(__xludf.DUMMYFUNCTION("""COMPUTED_VALUE"""),"khalm.lan@vnpt.vn")</f>
        <v>khalm.lan@vnpt.vn</v>
      </c>
      <c r="F1110" s="540" t="str">
        <f ca="1">IFERROR(__xludf.DUMMYFUNCTION("""COMPUTED_VALUE"""),"Lần 16")</f>
        <v>Lần 16</v>
      </c>
      <c r="G1110" s="278"/>
      <c r="H1110" s="35"/>
      <c r="I1110" s="35"/>
      <c r="J1110" s="541"/>
      <c r="K1110" s="541"/>
      <c r="M1110" s="539">
        <f ca="1">IFERROR(__xludf.DUMMYFUNCTION("""COMPUTED_VALUE"""),0)</f>
        <v>0</v>
      </c>
      <c r="N1110" s="539">
        <f ca="1">IFERROR(__xludf.DUMMYFUNCTION("""COMPUTED_VALUE"""),0)</f>
        <v>0</v>
      </c>
      <c r="O1110" s="539">
        <f ca="1">IFERROR(__xludf.DUMMYFUNCTION("""COMPUTED_VALUE"""),0)</f>
        <v>0</v>
      </c>
    </row>
    <row r="1111" spans="1:15" ht="12.75">
      <c r="A1111" s="539">
        <f ca="1"/>
        <v>1105</v>
      </c>
      <c r="B1111" s="35" t="str">
        <f ca="1">IFERROR(__xludf.DUMMYFUNCTION("""COMPUTED_VALUE"""),"Tổ Hạ tầng Tân An")</f>
        <v>Tổ Hạ tầng Tân An</v>
      </c>
      <c r="C1111" s="35" t="str">
        <f ca="1">IFERROR(__xludf.DUMMYFUNCTION("""COMPUTED_VALUE"""),"Huỳnh Phước Yên")</f>
        <v>Huỳnh Phước Yên</v>
      </c>
      <c r="D1111" s="35">
        <f ca="1">IFERROR(__xludf.DUMMYFUNCTION("""COMPUTED_VALUE"""),918611919)</f>
        <v>918611919</v>
      </c>
      <c r="E1111" s="35" t="str">
        <f ca="1">IFERROR(__xludf.DUMMYFUNCTION("""COMPUTED_VALUE"""),"yenhp.lan@vnpt.vn")</f>
        <v>yenhp.lan@vnpt.vn</v>
      </c>
      <c r="F1111" s="540" t="str">
        <f ca="1">IFERROR(__xludf.DUMMYFUNCTION("""COMPUTED_VALUE"""),"Lần 1")</f>
        <v>Lần 1</v>
      </c>
      <c r="G1111" s="278">
        <f ca="1">IFERROR(__xludf.DUMMYFUNCTION("""COMPUTED_VALUE"""),46204)</f>
        <v>46204</v>
      </c>
      <c r="H1111" s="35">
        <f ca="1">IFERROR(__xludf.DUMMYFUNCTION("""COMPUTED_VALUE"""),514.1)</f>
        <v>514.1</v>
      </c>
      <c r="I1111" s="35">
        <f ca="1">IFERROR(__xludf.DUMMYFUNCTION("""COMPUTED_VALUE"""),107.9)</f>
        <v>107.9</v>
      </c>
      <c r="J1111" s="541">
        <f ca="1">IFERROR(__xludf.DUMMYFUNCTION("""COMPUTED_VALUE"""),1169)</f>
        <v>1169</v>
      </c>
      <c r="K1111" s="35">
        <f ca="1">IFERROR(__xludf.DUMMYFUNCTION("""COMPUTED_VALUE"""),107)</f>
        <v>107</v>
      </c>
      <c r="M1111" s="539">
        <f ca="1">IFERROR(__xludf.DUMMYFUNCTION("""COMPUTED_VALUE"""),1)</f>
        <v>1</v>
      </c>
      <c r="N1111" s="539">
        <f ca="1">IFERROR(__xludf.DUMMYFUNCTION("""COMPUTED_VALUE"""),1)</f>
        <v>1</v>
      </c>
      <c r="O1111" s="539">
        <f ca="1">IFERROR(__xludf.DUMMYFUNCTION("""COMPUTED_VALUE"""),1)</f>
        <v>1</v>
      </c>
    </row>
    <row r="1112" spans="1:15" ht="12.75">
      <c r="A1112" s="539">
        <f ca="1"/>
        <v>1106</v>
      </c>
      <c r="B1112" s="35" t="str">
        <f ca="1">IFERROR(__xludf.DUMMYFUNCTION("""COMPUTED_VALUE"""),"Tổ Hạ tầng Tân An")</f>
        <v>Tổ Hạ tầng Tân An</v>
      </c>
      <c r="C1112" s="35" t="str">
        <f ca="1">IFERROR(__xludf.DUMMYFUNCTION("""COMPUTED_VALUE"""),"Huỳnh Phước Yên")</f>
        <v>Huỳnh Phước Yên</v>
      </c>
      <c r="D1112" s="35">
        <f ca="1">IFERROR(__xludf.DUMMYFUNCTION("""COMPUTED_VALUE"""),918611919)</f>
        <v>918611919</v>
      </c>
      <c r="E1112" s="35" t="str">
        <f ca="1">IFERROR(__xludf.DUMMYFUNCTION("""COMPUTED_VALUE"""),"yenhp.lan@vnpt.vn")</f>
        <v>yenhp.lan@vnpt.vn</v>
      </c>
      <c r="F1112" s="540" t="str">
        <f ca="1">IFERROR(__xludf.DUMMYFUNCTION("""COMPUTED_VALUE"""),"Lần 2")</f>
        <v>Lần 2</v>
      </c>
      <c r="G1112" s="278">
        <f ca="1">IFERROR(__xludf.DUMMYFUNCTION("""COMPUTED_VALUE"""),46204)</f>
        <v>46204</v>
      </c>
      <c r="H1112" s="35">
        <f ca="1">IFERROR(__xludf.DUMMYFUNCTION("""COMPUTED_VALUE"""),561.8)</f>
        <v>561.79999999999995</v>
      </c>
      <c r="I1112" s="35">
        <f ca="1">IFERROR(__xludf.DUMMYFUNCTION("""COMPUTED_VALUE"""),113.6)</f>
        <v>113.6</v>
      </c>
      <c r="J1112" s="541">
        <f ca="1">IFERROR(__xludf.DUMMYFUNCTION("""COMPUTED_VALUE"""),1040)</f>
        <v>1040</v>
      </c>
      <c r="K1112" s="35">
        <f ca="1">IFERROR(__xludf.DUMMYFUNCTION("""COMPUTED_VALUE"""),109)</f>
        <v>109</v>
      </c>
      <c r="M1112" s="539">
        <f ca="1">IFERROR(__xludf.DUMMYFUNCTION("""COMPUTED_VALUE"""),1)</f>
        <v>1</v>
      </c>
      <c r="N1112" s="539">
        <f ca="1">IFERROR(__xludf.DUMMYFUNCTION("""COMPUTED_VALUE"""),1)</f>
        <v>1</v>
      </c>
      <c r="O1112" s="539">
        <f ca="1">IFERROR(__xludf.DUMMYFUNCTION("""COMPUTED_VALUE"""),1)</f>
        <v>1</v>
      </c>
    </row>
    <row r="1113" spans="1:15" ht="12.75">
      <c r="A1113" s="539">
        <f ca="1"/>
        <v>1107</v>
      </c>
      <c r="B1113" s="35" t="str">
        <f ca="1">IFERROR(__xludf.DUMMYFUNCTION("""COMPUTED_VALUE"""),"Tổ Hạ tầng Tân An")</f>
        <v>Tổ Hạ tầng Tân An</v>
      </c>
      <c r="C1113" s="35" t="str">
        <f ca="1">IFERROR(__xludf.DUMMYFUNCTION("""COMPUTED_VALUE"""),"Huỳnh Phước Yên")</f>
        <v>Huỳnh Phước Yên</v>
      </c>
      <c r="D1113" s="35">
        <f ca="1">IFERROR(__xludf.DUMMYFUNCTION("""COMPUTED_VALUE"""),918611919)</f>
        <v>918611919</v>
      </c>
      <c r="E1113" s="35" t="str">
        <f ca="1">IFERROR(__xludf.DUMMYFUNCTION("""COMPUTED_VALUE"""),"yenhp.lan@vnpt.vn")</f>
        <v>yenhp.lan@vnpt.vn</v>
      </c>
      <c r="F1113" s="540" t="str">
        <f ca="1">IFERROR(__xludf.DUMMYFUNCTION("""COMPUTED_VALUE"""),"Lần 3")</f>
        <v>Lần 3</v>
      </c>
      <c r="G1113" s="278">
        <f ca="1">IFERROR(__xludf.DUMMYFUNCTION("""COMPUTED_VALUE"""),46204)</f>
        <v>46204</v>
      </c>
      <c r="H1113" s="35">
        <f ca="1">IFERROR(__xludf.DUMMYFUNCTION("""COMPUTED_VALUE"""),529.1)</f>
        <v>529.1</v>
      </c>
      <c r="I1113" s="35">
        <f ca="1">IFERROR(__xludf.DUMMYFUNCTION("""COMPUTED_VALUE"""),111.2)</f>
        <v>111.2</v>
      </c>
      <c r="J1113" s="541">
        <f ca="1">IFERROR(__xludf.DUMMYFUNCTION("""COMPUTED_VALUE"""),769)</f>
        <v>769</v>
      </c>
      <c r="K1113" s="541">
        <f ca="1">IFERROR(__xludf.DUMMYFUNCTION("""COMPUTED_VALUE"""),104)</f>
        <v>104</v>
      </c>
      <c r="M1113" s="539">
        <f ca="1">IFERROR(__xludf.DUMMYFUNCTION("""COMPUTED_VALUE"""),1)</f>
        <v>1</v>
      </c>
      <c r="N1113" s="539">
        <f ca="1">IFERROR(__xludf.DUMMYFUNCTION("""COMPUTED_VALUE"""),1)</f>
        <v>1</v>
      </c>
      <c r="O1113" s="539">
        <f ca="1">IFERROR(__xludf.DUMMYFUNCTION("""COMPUTED_VALUE"""),1)</f>
        <v>1</v>
      </c>
    </row>
    <row r="1114" spans="1:15" ht="12.75">
      <c r="A1114" s="539">
        <f ca="1"/>
        <v>1108</v>
      </c>
      <c r="B1114" s="35" t="str">
        <f ca="1">IFERROR(__xludf.DUMMYFUNCTION("""COMPUTED_VALUE"""),"Tổ Hạ tầng Tân An")</f>
        <v>Tổ Hạ tầng Tân An</v>
      </c>
      <c r="C1114" s="35" t="str">
        <f ca="1">IFERROR(__xludf.DUMMYFUNCTION("""COMPUTED_VALUE"""),"Huỳnh Phước Yên")</f>
        <v>Huỳnh Phước Yên</v>
      </c>
      <c r="D1114" s="35">
        <f ca="1">IFERROR(__xludf.DUMMYFUNCTION("""COMPUTED_VALUE"""),918611919)</f>
        <v>918611919</v>
      </c>
      <c r="E1114" s="35" t="str">
        <f ca="1">IFERROR(__xludf.DUMMYFUNCTION("""COMPUTED_VALUE"""),"yenhp.lan@vnpt.vn")</f>
        <v>yenhp.lan@vnpt.vn</v>
      </c>
      <c r="F1114" s="540" t="str">
        <f ca="1">IFERROR(__xludf.DUMMYFUNCTION("""COMPUTED_VALUE"""),"Lần 4")</f>
        <v>Lần 4</v>
      </c>
      <c r="G1114" s="278">
        <f ca="1">IFERROR(__xludf.DUMMYFUNCTION("""COMPUTED_VALUE"""),46204)</f>
        <v>46204</v>
      </c>
      <c r="H1114" s="35">
        <f ca="1">IFERROR(__xludf.DUMMYFUNCTION("""COMPUTED_VALUE"""),441.8)</f>
        <v>441.8</v>
      </c>
      <c r="I1114" s="35">
        <f ca="1">IFERROR(__xludf.DUMMYFUNCTION("""COMPUTED_VALUE"""),104)</f>
        <v>104</v>
      </c>
      <c r="J1114" s="541">
        <f ca="1">IFERROR(__xludf.DUMMYFUNCTION("""COMPUTED_VALUE"""),919)</f>
        <v>919</v>
      </c>
      <c r="K1114" s="541">
        <f ca="1">IFERROR(__xludf.DUMMYFUNCTION("""COMPUTED_VALUE"""),100)</f>
        <v>100</v>
      </c>
      <c r="M1114" s="539">
        <f ca="1">IFERROR(__xludf.DUMMYFUNCTION("""COMPUTED_VALUE"""),1)</f>
        <v>1</v>
      </c>
      <c r="N1114" s="539">
        <f ca="1">IFERROR(__xludf.DUMMYFUNCTION("""COMPUTED_VALUE"""),1)</f>
        <v>1</v>
      </c>
      <c r="O1114" s="539">
        <f ca="1">IFERROR(__xludf.DUMMYFUNCTION("""COMPUTED_VALUE"""),1)</f>
        <v>1</v>
      </c>
    </row>
    <row r="1115" spans="1:15" ht="12.75">
      <c r="A1115" s="539">
        <f ca="1"/>
        <v>1109</v>
      </c>
      <c r="B1115" s="35" t="str">
        <f ca="1">IFERROR(__xludf.DUMMYFUNCTION("""COMPUTED_VALUE"""),"Tổ Hạ tầng Tân An")</f>
        <v>Tổ Hạ tầng Tân An</v>
      </c>
      <c r="C1115" s="35" t="str">
        <f ca="1">IFERROR(__xludf.DUMMYFUNCTION("""COMPUTED_VALUE"""),"Huỳnh Phước Yên")</f>
        <v>Huỳnh Phước Yên</v>
      </c>
      <c r="D1115" s="35">
        <f ca="1">IFERROR(__xludf.DUMMYFUNCTION("""COMPUTED_VALUE"""),918611919)</f>
        <v>918611919</v>
      </c>
      <c r="E1115" s="35" t="str">
        <f ca="1">IFERROR(__xludf.DUMMYFUNCTION("""COMPUTED_VALUE"""),"yenhp.lan@vnpt.vn")</f>
        <v>yenhp.lan@vnpt.vn</v>
      </c>
      <c r="F1115" s="540" t="str">
        <f ca="1">IFERROR(__xludf.DUMMYFUNCTION("""COMPUTED_VALUE"""),"Lần 5")</f>
        <v>Lần 5</v>
      </c>
      <c r="G1115" s="278">
        <f ca="1">IFERROR(__xludf.DUMMYFUNCTION("""COMPUTED_VALUE"""),46205)</f>
        <v>46205</v>
      </c>
      <c r="H1115" s="35">
        <f ca="1">IFERROR(__xludf.DUMMYFUNCTION("""COMPUTED_VALUE"""),603.9)</f>
        <v>603.9</v>
      </c>
      <c r="I1115" s="35">
        <f ca="1">IFERROR(__xludf.DUMMYFUNCTION("""COMPUTED_VALUE"""),54.5)</f>
        <v>54.5</v>
      </c>
      <c r="J1115" s="541">
        <f ca="1">IFERROR(__xludf.DUMMYFUNCTION("""COMPUTED_VALUE"""),1122)</f>
        <v>1122</v>
      </c>
      <c r="K1115" s="541">
        <f ca="1">IFERROR(__xludf.DUMMYFUNCTION("""COMPUTED_VALUE"""),53.5)</f>
        <v>53.5</v>
      </c>
      <c r="M1115" s="539">
        <f ca="1">IFERROR(__xludf.DUMMYFUNCTION("""COMPUTED_VALUE"""),1)</f>
        <v>1</v>
      </c>
      <c r="N1115" s="539">
        <f ca="1">IFERROR(__xludf.DUMMYFUNCTION("""COMPUTED_VALUE"""),1)</f>
        <v>1</v>
      </c>
      <c r="O1115" s="539">
        <f ca="1">IFERROR(__xludf.DUMMYFUNCTION("""COMPUTED_VALUE"""),1)</f>
        <v>1</v>
      </c>
    </row>
    <row r="1116" spans="1:15" ht="12.75">
      <c r="A1116" s="539">
        <f ca="1"/>
        <v>1110</v>
      </c>
      <c r="B1116" s="35" t="str">
        <f ca="1">IFERROR(__xludf.DUMMYFUNCTION("""COMPUTED_VALUE"""),"Tổ Hạ tầng Tân An")</f>
        <v>Tổ Hạ tầng Tân An</v>
      </c>
      <c r="C1116" s="35" t="str">
        <f ca="1">IFERROR(__xludf.DUMMYFUNCTION("""COMPUTED_VALUE"""),"Huỳnh Phước Yên")</f>
        <v>Huỳnh Phước Yên</v>
      </c>
      <c r="D1116" s="35">
        <f ca="1">IFERROR(__xludf.DUMMYFUNCTION("""COMPUTED_VALUE"""),918611919)</f>
        <v>918611919</v>
      </c>
      <c r="E1116" s="35" t="str">
        <f ca="1">IFERROR(__xludf.DUMMYFUNCTION("""COMPUTED_VALUE"""),"yenhp.lan@vnpt.vn")</f>
        <v>yenhp.lan@vnpt.vn</v>
      </c>
      <c r="F1116" s="540" t="str">
        <f ca="1">IFERROR(__xludf.DUMMYFUNCTION("""COMPUTED_VALUE"""),"Lần 6")</f>
        <v>Lần 6</v>
      </c>
      <c r="G1116" s="278">
        <f ca="1">IFERROR(__xludf.DUMMYFUNCTION("""COMPUTED_VALUE"""),46205)</f>
        <v>46205</v>
      </c>
      <c r="H1116" s="35">
        <f ca="1">IFERROR(__xludf.DUMMYFUNCTION("""COMPUTED_VALUE"""),601)</f>
        <v>601</v>
      </c>
      <c r="I1116" s="35">
        <f ca="1">IFERROR(__xludf.DUMMYFUNCTION("""COMPUTED_VALUE"""),53.4)</f>
        <v>53.4</v>
      </c>
      <c r="J1116" s="541">
        <f ca="1">IFERROR(__xludf.DUMMYFUNCTION("""COMPUTED_VALUE"""),1277)</f>
        <v>1277</v>
      </c>
      <c r="K1116" s="541">
        <f ca="1">IFERROR(__xludf.DUMMYFUNCTION("""COMPUTED_VALUE"""),45)</f>
        <v>45</v>
      </c>
      <c r="M1116" s="539">
        <f ca="1">IFERROR(__xludf.DUMMYFUNCTION("""COMPUTED_VALUE"""),1)</f>
        <v>1</v>
      </c>
      <c r="N1116" s="539">
        <f ca="1">IFERROR(__xludf.DUMMYFUNCTION("""COMPUTED_VALUE"""),1)</f>
        <v>1</v>
      </c>
      <c r="O1116" s="539">
        <f ca="1">IFERROR(__xludf.DUMMYFUNCTION("""COMPUTED_VALUE"""),1)</f>
        <v>1</v>
      </c>
    </row>
    <row r="1117" spans="1:15" ht="12.75">
      <c r="A1117" s="539">
        <f ca="1"/>
        <v>1111</v>
      </c>
      <c r="B1117" s="35" t="str">
        <f ca="1">IFERROR(__xludf.DUMMYFUNCTION("""COMPUTED_VALUE"""),"Tổ Hạ tầng Tân An")</f>
        <v>Tổ Hạ tầng Tân An</v>
      </c>
      <c r="C1117" s="35" t="str">
        <f ca="1">IFERROR(__xludf.DUMMYFUNCTION("""COMPUTED_VALUE"""),"Huỳnh Phước Yên")</f>
        <v>Huỳnh Phước Yên</v>
      </c>
      <c r="D1117" s="35">
        <f ca="1">IFERROR(__xludf.DUMMYFUNCTION("""COMPUTED_VALUE"""),918611919)</f>
        <v>918611919</v>
      </c>
      <c r="E1117" s="35" t="str">
        <f ca="1">IFERROR(__xludf.DUMMYFUNCTION("""COMPUTED_VALUE"""),"yenhp.lan@vnpt.vn")</f>
        <v>yenhp.lan@vnpt.vn</v>
      </c>
      <c r="F1117" s="540" t="str">
        <f ca="1">IFERROR(__xludf.DUMMYFUNCTION("""COMPUTED_VALUE"""),"Lần 7")</f>
        <v>Lần 7</v>
      </c>
      <c r="G1117" s="278">
        <f ca="1">IFERROR(__xludf.DUMMYFUNCTION("""COMPUTED_VALUE"""),46205)</f>
        <v>46205</v>
      </c>
      <c r="H1117" s="35">
        <f ca="1">IFERROR(__xludf.DUMMYFUNCTION("""COMPUTED_VALUE"""),654.4)</f>
        <v>654.4</v>
      </c>
      <c r="I1117" s="35">
        <f ca="1">IFERROR(__xludf.DUMMYFUNCTION("""COMPUTED_VALUE"""),52)</f>
        <v>52</v>
      </c>
      <c r="J1117" s="541">
        <f ca="1">IFERROR(__xludf.DUMMYFUNCTION("""COMPUTED_VALUE"""),1306)</f>
        <v>1306</v>
      </c>
      <c r="K1117" s="541">
        <f ca="1">IFERROR(__xludf.DUMMYFUNCTION("""COMPUTED_VALUE"""),54.6)</f>
        <v>54.6</v>
      </c>
      <c r="M1117" s="539">
        <f ca="1">IFERROR(__xludf.DUMMYFUNCTION("""COMPUTED_VALUE"""),1)</f>
        <v>1</v>
      </c>
      <c r="N1117" s="539">
        <f ca="1">IFERROR(__xludf.DUMMYFUNCTION("""COMPUTED_VALUE"""),1)</f>
        <v>1</v>
      </c>
      <c r="O1117" s="539">
        <f ca="1">IFERROR(__xludf.DUMMYFUNCTION("""COMPUTED_VALUE"""),1)</f>
        <v>1</v>
      </c>
    </row>
    <row r="1118" spans="1:15" ht="12.75">
      <c r="A1118" s="539">
        <f ca="1"/>
        <v>1112</v>
      </c>
      <c r="B1118" s="35" t="str">
        <f ca="1">IFERROR(__xludf.DUMMYFUNCTION("""COMPUTED_VALUE"""),"Tổ Hạ tầng Tân An")</f>
        <v>Tổ Hạ tầng Tân An</v>
      </c>
      <c r="C1118" s="35" t="str">
        <f ca="1">IFERROR(__xludf.DUMMYFUNCTION("""COMPUTED_VALUE"""),"Huỳnh Phước Yên")</f>
        <v>Huỳnh Phước Yên</v>
      </c>
      <c r="D1118" s="35">
        <f ca="1">IFERROR(__xludf.DUMMYFUNCTION("""COMPUTED_VALUE"""),918611919)</f>
        <v>918611919</v>
      </c>
      <c r="E1118" s="35" t="str">
        <f ca="1">IFERROR(__xludf.DUMMYFUNCTION("""COMPUTED_VALUE"""),"yenhp.lan@vnpt.vn")</f>
        <v>yenhp.lan@vnpt.vn</v>
      </c>
      <c r="F1118" s="540" t="str">
        <f ca="1">IFERROR(__xludf.DUMMYFUNCTION("""COMPUTED_VALUE"""),"Lần 8")</f>
        <v>Lần 8</v>
      </c>
      <c r="G1118" s="278">
        <f ca="1">IFERROR(__xludf.DUMMYFUNCTION("""COMPUTED_VALUE"""),46215)</f>
        <v>46215</v>
      </c>
      <c r="H1118" s="35">
        <f ca="1">IFERROR(__xludf.DUMMYFUNCTION("""COMPUTED_VALUE"""),149.5)</f>
        <v>149.5</v>
      </c>
      <c r="I1118" s="35">
        <f ca="1">IFERROR(__xludf.DUMMYFUNCTION("""COMPUTED_VALUE"""),44)</f>
        <v>44</v>
      </c>
      <c r="J1118" s="541">
        <f ca="1">IFERROR(__xludf.DUMMYFUNCTION("""COMPUTED_VALUE"""),1000)</f>
        <v>1000</v>
      </c>
      <c r="K1118" s="541">
        <f ca="1">IFERROR(__xludf.DUMMYFUNCTION("""COMPUTED_VALUE"""),68.9)</f>
        <v>68.900000000000006</v>
      </c>
      <c r="M1118" s="539">
        <f ca="1">IFERROR(__xludf.DUMMYFUNCTION("""COMPUTED_VALUE"""),1)</f>
        <v>1</v>
      </c>
      <c r="N1118" s="539">
        <f ca="1">IFERROR(__xludf.DUMMYFUNCTION("""COMPUTED_VALUE"""),1)</f>
        <v>1</v>
      </c>
      <c r="O1118" s="539">
        <f ca="1">IFERROR(__xludf.DUMMYFUNCTION("""COMPUTED_VALUE"""),1)</f>
        <v>1</v>
      </c>
    </row>
    <row r="1119" spans="1:15" ht="12.75">
      <c r="A1119" s="539">
        <f ca="1"/>
        <v>1113</v>
      </c>
      <c r="B1119" s="35" t="str">
        <f ca="1">IFERROR(__xludf.DUMMYFUNCTION("""COMPUTED_VALUE"""),"Tổ Hạ tầng Tân An")</f>
        <v>Tổ Hạ tầng Tân An</v>
      </c>
      <c r="C1119" s="35" t="str">
        <f ca="1">IFERROR(__xludf.DUMMYFUNCTION("""COMPUTED_VALUE"""),"Huỳnh Phước Yên")</f>
        <v>Huỳnh Phước Yên</v>
      </c>
      <c r="D1119" s="35">
        <f ca="1">IFERROR(__xludf.DUMMYFUNCTION("""COMPUTED_VALUE"""),918611919)</f>
        <v>918611919</v>
      </c>
      <c r="E1119" s="35" t="str">
        <f ca="1">IFERROR(__xludf.DUMMYFUNCTION("""COMPUTED_VALUE"""),"yenhp.lan@vnpt.vn")</f>
        <v>yenhp.lan@vnpt.vn</v>
      </c>
      <c r="F1119" s="540" t="str">
        <f ca="1">IFERROR(__xludf.DUMMYFUNCTION("""COMPUTED_VALUE"""),"Lần 9")</f>
        <v>Lần 9</v>
      </c>
      <c r="G1119" s="278">
        <f ca="1">IFERROR(__xludf.DUMMYFUNCTION("""COMPUTED_VALUE"""),46215)</f>
        <v>46215</v>
      </c>
      <c r="H1119" s="35">
        <f ca="1">IFERROR(__xludf.DUMMYFUNCTION("""COMPUTED_VALUE"""),143.3)</f>
        <v>143.30000000000001</v>
      </c>
      <c r="I1119" s="35">
        <f ca="1">IFERROR(__xludf.DUMMYFUNCTION("""COMPUTED_VALUE"""),63.4)</f>
        <v>63.4</v>
      </c>
      <c r="J1119" s="541">
        <f ca="1">IFERROR(__xludf.DUMMYFUNCTION("""COMPUTED_VALUE"""),897)</f>
        <v>897</v>
      </c>
      <c r="K1119" s="541">
        <f ca="1">IFERROR(__xludf.DUMMYFUNCTION("""COMPUTED_VALUE"""),58.1)</f>
        <v>58.1</v>
      </c>
      <c r="M1119" s="539">
        <f ca="1">IFERROR(__xludf.DUMMYFUNCTION("""COMPUTED_VALUE"""),1)</f>
        <v>1</v>
      </c>
      <c r="N1119" s="539">
        <f ca="1">IFERROR(__xludf.DUMMYFUNCTION("""COMPUTED_VALUE"""),1)</f>
        <v>1</v>
      </c>
      <c r="O1119" s="539">
        <f ca="1">IFERROR(__xludf.DUMMYFUNCTION("""COMPUTED_VALUE"""),1)</f>
        <v>1</v>
      </c>
    </row>
    <row r="1120" spans="1:15" ht="12.75">
      <c r="A1120" s="539">
        <f ca="1"/>
        <v>1114</v>
      </c>
      <c r="B1120" s="35" t="str">
        <f ca="1">IFERROR(__xludf.DUMMYFUNCTION("""COMPUTED_VALUE"""),"Tổ Hạ tầng Tân An")</f>
        <v>Tổ Hạ tầng Tân An</v>
      </c>
      <c r="C1120" s="35" t="str">
        <f ca="1">IFERROR(__xludf.DUMMYFUNCTION("""COMPUTED_VALUE"""),"Huỳnh Phước Yên")</f>
        <v>Huỳnh Phước Yên</v>
      </c>
      <c r="D1120" s="35">
        <f ca="1">IFERROR(__xludf.DUMMYFUNCTION("""COMPUTED_VALUE"""),918611919)</f>
        <v>918611919</v>
      </c>
      <c r="E1120" s="35" t="str">
        <f ca="1">IFERROR(__xludf.DUMMYFUNCTION("""COMPUTED_VALUE"""),"yenhp.lan@vnpt.vn")</f>
        <v>yenhp.lan@vnpt.vn</v>
      </c>
      <c r="F1120" s="540" t="str">
        <f ca="1">IFERROR(__xludf.DUMMYFUNCTION("""COMPUTED_VALUE"""),"Lần 10")</f>
        <v>Lần 10</v>
      </c>
      <c r="G1120" s="278">
        <f ca="1">IFERROR(__xludf.DUMMYFUNCTION("""COMPUTED_VALUE"""),46215)</f>
        <v>46215</v>
      </c>
      <c r="H1120" s="35">
        <f ca="1">IFERROR(__xludf.DUMMYFUNCTION("""COMPUTED_VALUE"""),166.9)</f>
        <v>166.9</v>
      </c>
      <c r="I1120" s="35">
        <f ca="1">IFERROR(__xludf.DUMMYFUNCTION("""COMPUTED_VALUE"""),56.5)</f>
        <v>56.5</v>
      </c>
      <c r="J1120" s="541">
        <f ca="1">IFERROR(__xludf.DUMMYFUNCTION("""COMPUTED_VALUE"""),838)</f>
        <v>838</v>
      </c>
      <c r="K1120" s="541" t="str">
        <f ca="1">IFERROR(__xludf.DUMMYFUNCTION("""COMPUTED_VALUE"""),"60.6")</f>
        <v>60.6</v>
      </c>
      <c r="M1120" s="539">
        <f ca="1">IFERROR(__xludf.DUMMYFUNCTION("""COMPUTED_VALUE"""),1)</f>
        <v>1</v>
      </c>
      <c r="N1120" s="539">
        <f ca="1">IFERROR(__xludf.DUMMYFUNCTION("""COMPUTED_VALUE"""),1)</f>
        <v>1</v>
      </c>
      <c r="O1120" s="539">
        <f ca="1">IFERROR(__xludf.DUMMYFUNCTION("""COMPUTED_VALUE"""),1)</f>
        <v>1</v>
      </c>
    </row>
    <row r="1121" spans="1:15" ht="12.75">
      <c r="A1121" s="539">
        <f ca="1"/>
        <v>1115</v>
      </c>
      <c r="B1121" s="35" t="str">
        <f ca="1">IFERROR(__xludf.DUMMYFUNCTION("""COMPUTED_VALUE"""),"Tổ Hạ tầng Tân An")</f>
        <v>Tổ Hạ tầng Tân An</v>
      </c>
      <c r="C1121" s="35" t="str">
        <f ca="1">IFERROR(__xludf.DUMMYFUNCTION("""COMPUTED_VALUE"""),"Huỳnh Phước Yên")</f>
        <v>Huỳnh Phước Yên</v>
      </c>
      <c r="D1121" s="35">
        <f ca="1">IFERROR(__xludf.DUMMYFUNCTION("""COMPUTED_VALUE"""),918611919)</f>
        <v>918611919</v>
      </c>
      <c r="E1121" s="35" t="str">
        <f ca="1">IFERROR(__xludf.DUMMYFUNCTION("""COMPUTED_VALUE"""),"yenhp.lan@vnpt.vn")</f>
        <v>yenhp.lan@vnpt.vn</v>
      </c>
      <c r="F1121" s="540" t="str">
        <f ca="1">IFERROR(__xludf.DUMMYFUNCTION("""COMPUTED_VALUE"""),"Lần 11")</f>
        <v>Lần 11</v>
      </c>
      <c r="G1121" s="278"/>
      <c r="H1121" s="35"/>
      <c r="I1121" s="35"/>
      <c r="J1121" s="541"/>
      <c r="K1121" s="541"/>
      <c r="M1121" s="539">
        <f ca="1">IFERROR(__xludf.DUMMYFUNCTION("""COMPUTED_VALUE"""),0)</f>
        <v>0</v>
      </c>
      <c r="N1121" s="539">
        <f ca="1">IFERROR(__xludf.DUMMYFUNCTION("""COMPUTED_VALUE"""),0)</f>
        <v>0</v>
      </c>
      <c r="O1121" s="539">
        <f ca="1">IFERROR(__xludf.DUMMYFUNCTION("""COMPUTED_VALUE"""),0)</f>
        <v>0</v>
      </c>
    </row>
    <row r="1122" spans="1:15" ht="12.75">
      <c r="A1122" s="539">
        <f ca="1"/>
        <v>1116</v>
      </c>
      <c r="B1122" s="35" t="str">
        <f ca="1">IFERROR(__xludf.DUMMYFUNCTION("""COMPUTED_VALUE"""),"Tổ Hạ tầng Tân An")</f>
        <v>Tổ Hạ tầng Tân An</v>
      </c>
      <c r="C1122" s="35" t="str">
        <f ca="1">IFERROR(__xludf.DUMMYFUNCTION("""COMPUTED_VALUE"""),"Huỳnh Phước Yên")</f>
        <v>Huỳnh Phước Yên</v>
      </c>
      <c r="D1122" s="35">
        <f ca="1">IFERROR(__xludf.DUMMYFUNCTION("""COMPUTED_VALUE"""),918611919)</f>
        <v>918611919</v>
      </c>
      <c r="E1122" s="35" t="str">
        <f ca="1">IFERROR(__xludf.DUMMYFUNCTION("""COMPUTED_VALUE"""),"yenhp.lan@vnpt.vn")</f>
        <v>yenhp.lan@vnpt.vn</v>
      </c>
      <c r="F1122" s="540" t="str">
        <f ca="1">IFERROR(__xludf.DUMMYFUNCTION("""COMPUTED_VALUE"""),"Lần 12")</f>
        <v>Lần 12</v>
      </c>
      <c r="G1122" s="278"/>
      <c r="H1122" s="35"/>
      <c r="I1122" s="35"/>
      <c r="J1122" s="541"/>
      <c r="K1122" s="541"/>
      <c r="M1122" s="539">
        <f ca="1">IFERROR(__xludf.DUMMYFUNCTION("""COMPUTED_VALUE"""),0)</f>
        <v>0</v>
      </c>
      <c r="N1122" s="539">
        <f ca="1">IFERROR(__xludf.DUMMYFUNCTION("""COMPUTED_VALUE"""),0)</f>
        <v>0</v>
      </c>
      <c r="O1122" s="539">
        <f ca="1">IFERROR(__xludf.DUMMYFUNCTION("""COMPUTED_VALUE"""),0)</f>
        <v>0</v>
      </c>
    </row>
    <row r="1123" spans="1:15" ht="12.75">
      <c r="A1123" s="539">
        <f ca="1"/>
        <v>1117</v>
      </c>
      <c r="B1123" s="35" t="str">
        <f ca="1">IFERROR(__xludf.DUMMYFUNCTION("""COMPUTED_VALUE"""),"Tổ Hạ tầng Tân An")</f>
        <v>Tổ Hạ tầng Tân An</v>
      </c>
      <c r="C1123" s="35" t="str">
        <f ca="1">IFERROR(__xludf.DUMMYFUNCTION("""COMPUTED_VALUE"""),"Huỳnh Phước Yên")</f>
        <v>Huỳnh Phước Yên</v>
      </c>
      <c r="D1123" s="35">
        <f ca="1">IFERROR(__xludf.DUMMYFUNCTION("""COMPUTED_VALUE"""),918611919)</f>
        <v>918611919</v>
      </c>
      <c r="E1123" s="35" t="str">
        <f ca="1">IFERROR(__xludf.DUMMYFUNCTION("""COMPUTED_VALUE"""),"yenhp.lan@vnpt.vn")</f>
        <v>yenhp.lan@vnpt.vn</v>
      </c>
      <c r="F1123" s="540" t="str">
        <f ca="1">IFERROR(__xludf.DUMMYFUNCTION("""COMPUTED_VALUE"""),"Lần 13")</f>
        <v>Lần 13</v>
      </c>
      <c r="G1123" s="278"/>
      <c r="H1123" s="35"/>
      <c r="I1123" s="35"/>
      <c r="J1123" s="541"/>
      <c r="K1123" s="541"/>
      <c r="M1123" s="539">
        <f ca="1">IFERROR(__xludf.DUMMYFUNCTION("""COMPUTED_VALUE"""),0)</f>
        <v>0</v>
      </c>
      <c r="N1123" s="539">
        <f ca="1">IFERROR(__xludf.DUMMYFUNCTION("""COMPUTED_VALUE"""),0)</f>
        <v>0</v>
      </c>
      <c r="O1123" s="539">
        <f ca="1">IFERROR(__xludf.DUMMYFUNCTION("""COMPUTED_VALUE"""),0)</f>
        <v>0</v>
      </c>
    </row>
    <row r="1124" spans="1:15" ht="12.75">
      <c r="A1124" s="539">
        <f ca="1"/>
        <v>1118</v>
      </c>
      <c r="B1124" s="35" t="str">
        <f ca="1">IFERROR(__xludf.DUMMYFUNCTION("""COMPUTED_VALUE"""),"Tổ Hạ tầng Tân An")</f>
        <v>Tổ Hạ tầng Tân An</v>
      </c>
      <c r="C1124" s="35" t="str">
        <f ca="1">IFERROR(__xludf.DUMMYFUNCTION("""COMPUTED_VALUE"""),"Huỳnh Phước Yên")</f>
        <v>Huỳnh Phước Yên</v>
      </c>
      <c r="D1124" s="35">
        <f ca="1">IFERROR(__xludf.DUMMYFUNCTION("""COMPUTED_VALUE"""),918611919)</f>
        <v>918611919</v>
      </c>
      <c r="E1124" s="35" t="str">
        <f ca="1">IFERROR(__xludf.DUMMYFUNCTION("""COMPUTED_VALUE"""),"yenhp.lan@vnpt.vn")</f>
        <v>yenhp.lan@vnpt.vn</v>
      </c>
      <c r="F1124" s="540" t="str">
        <f ca="1">IFERROR(__xludf.DUMMYFUNCTION("""COMPUTED_VALUE"""),"Lần 14")</f>
        <v>Lần 14</v>
      </c>
      <c r="G1124" s="278"/>
      <c r="H1124" s="35"/>
      <c r="I1124" s="35"/>
      <c r="J1124" s="541"/>
      <c r="K1124" s="541"/>
      <c r="M1124" s="539">
        <f ca="1">IFERROR(__xludf.DUMMYFUNCTION("""COMPUTED_VALUE"""),0)</f>
        <v>0</v>
      </c>
      <c r="N1124" s="539">
        <f ca="1">IFERROR(__xludf.DUMMYFUNCTION("""COMPUTED_VALUE"""),0)</f>
        <v>0</v>
      </c>
      <c r="O1124" s="539">
        <f ca="1">IFERROR(__xludf.DUMMYFUNCTION("""COMPUTED_VALUE"""),0)</f>
        <v>0</v>
      </c>
    </row>
    <row r="1125" spans="1:15" ht="12.75">
      <c r="A1125" s="539">
        <f ca="1"/>
        <v>1119</v>
      </c>
      <c r="B1125" s="35" t="str">
        <f ca="1">IFERROR(__xludf.DUMMYFUNCTION("""COMPUTED_VALUE"""),"Tổ Hạ tầng Tân An")</f>
        <v>Tổ Hạ tầng Tân An</v>
      </c>
      <c r="C1125" s="35" t="str">
        <f ca="1">IFERROR(__xludf.DUMMYFUNCTION("""COMPUTED_VALUE"""),"Huỳnh Phước Yên")</f>
        <v>Huỳnh Phước Yên</v>
      </c>
      <c r="D1125" s="35">
        <f ca="1">IFERROR(__xludf.DUMMYFUNCTION("""COMPUTED_VALUE"""),918611919)</f>
        <v>918611919</v>
      </c>
      <c r="E1125" s="35" t="str">
        <f ca="1">IFERROR(__xludf.DUMMYFUNCTION("""COMPUTED_VALUE"""),"yenhp.lan@vnpt.vn")</f>
        <v>yenhp.lan@vnpt.vn</v>
      </c>
      <c r="F1125" s="540" t="str">
        <f ca="1">IFERROR(__xludf.DUMMYFUNCTION("""COMPUTED_VALUE"""),"Lần 15")</f>
        <v>Lần 15</v>
      </c>
      <c r="G1125" s="278"/>
      <c r="H1125" s="35"/>
      <c r="I1125" s="35"/>
      <c r="J1125" s="541"/>
      <c r="K1125" s="541"/>
      <c r="M1125" s="539">
        <f ca="1">IFERROR(__xludf.DUMMYFUNCTION("""COMPUTED_VALUE"""),0)</f>
        <v>0</v>
      </c>
      <c r="N1125" s="539">
        <f ca="1">IFERROR(__xludf.DUMMYFUNCTION("""COMPUTED_VALUE"""),0)</f>
        <v>0</v>
      </c>
      <c r="O1125" s="539">
        <f ca="1">IFERROR(__xludf.DUMMYFUNCTION("""COMPUTED_VALUE"""),0)</f>
        <v>0</v>
      </c>
    </row>
    <row r="1126" spans="1:15" ht="12.75">
      <c r="A1126" s="539">
        <f ca="1"/>
        <v>1120</v>
      </c>
      <c r="B1126" s="35" t="str">
        <f ca="1">IFERROR(__xludf.DUMMYFUNCTION("""COMPUTED_VALUE"""),"Tổ Hạ tầng Tân An")</f>
        <v>Tổ Hạ tầng Tân An</v>
      </c>
      <c r="C1126" s="35" t="str">
        <f ca="1">IFERROR(__xludf.DUMMYFUNCTION("""COMPUTED_VALUE"""),"Huỳnh Phước Yên")</f>
        <v>Huỳnh Phước Yên</v>
      </c>
      <c r="D1126" s="35">
        <f ca="1">IFERROR(__xludf.DUMMYFUNCTION("""COMPUTED_VALUE"""),918611919)</f>
        <v>918611919</v>
      </c>
      <c r="E1126" s="35" t="str">
        <f ca="1">IFERROR(__xludf.DUMMYFUNCTION("""COMPUTED_VALUE"""),"yenhp.lan@vnpt.vn")</f>
        <v>yenhp.lan@vnpt.vn</v>
      </c>
      <c r="F1126" s="540" t="str">
        <f ca="1">IFERROR(__xludf.DUMMYFUNCTION("""COMPUTED_VALUE"""),"Lần 16")</f>
        <v>Lần 16</v>
      </c>
      <c r="G1126" s="545"/>
      <c r="H1126" s="35"/>
      <c r="I1126" s="35"/>
      <c r="J1126" s="541"/>
      <c r="K1126" s="541"/>
      <c r="M1126" s="539">
        <f ca="1">IFERROR(__xludf.DUMMYFUNCTION("""COMPUTED_VALUE"""),0)</f>
        <v>0</v>
      </c>
      <c r="N1126" s="539">
        <f ca="1">IFERROR(__xludf.DUMMYFUNCTION("""COMPUTED_VALUE"""),0)</f>
        <v>0</v>
      </c>
      <c r="O1126" s="539">
        <f ca="1">IFERROR(__xludf.DUMMYFUNCTION("""COMPUTED_VALUE"""),0)</f>
        <v>0</v>
      </c>
    </row>
    <row r="1127" spans="1:15" ht="12.75">
      <c r="A1127" s="539">
        <f ca="1"/>
        <v>1121</v>
      </c>
      <c r="B1127" s="35" t="str">
        <f ca="1">IFERROR(__xludf.DUMMYFUNCTION("""COMPUTED_VALUE"""),"Tổ Hạ tầng Tân An")</f>
        <v>Tổ Hạ tầng Tân An</v>
      </c>
      <c r="C1127" s="35" t="str">
        <f ca="1">IFERROR(__xludf.DUMMYFUNCTION("""COMPUTED_VALUE"""),"Lê Xuân Tình")</f>
        <v>Lê Xuân Tình</v>
      </c>
      <c r="D1127" s="35">
        <f ca="1">IFERROR(__xludf.DUMMYFUNCTION("""COMPUTED_VALUE"""),918371799)</f>
        <v>918371799</v>
      </c>
      <c r="E1127" s="35" t="str">
        <f ca="1">IFERROR(__xludf.DUMMYFUNCTION("""COMPUTED_VALUE"""),"tinhlx.lan@vnpt.vn")</f>
        <v>tinhlx.lan@vnpt.vn</v>
      </c>
      <c r="F1127" s="540" t="str">
        <f ca="1">IFERROR(__xludf.DUMMYFUNCTION("""COMPUTED_VALUE"""),"Lần 1")</f>
        <v>Lần 1</v>
      </c>
      <c r="G1127" s="278">
        <f ca="1">IFERROR(__xludf.DUMMYFUNCTION("""COMPUTED_VALUE"""),46207)</f>
        <v>46207</v>
      </c>
      <c r="H1127" s="35">
        <f ca="1">IFERROR(__xludf.DUMMYFUNCTION("""COMPUTED_VALUE"""),62.9)</f>
        <v>62.9</v>
      </c>
      <c r="I1127" s="35">
        <f ca="1">IFERROR(__xludf.DUMMYFUNCTION("""COMPUTED_VALUE"""),35.3)</f>
        <v>35.299999999999997</v>
      </c>
      <c r="J1127" s="541">
        <f ca="1">IFERROR(__xludf.DUMMYFUNCTION("""COMPUTED_VALUE"""),67.1)</f>
        <v>67.099999999999994</v>
      </c>
      <c r="K1127" s="541">
        <f ca="1">IFERROR(__xludf.DUMMYFUNCTION("""COMPUTED_VALUE"""),36.7)</f>
        <v>36.700000000000003</v>
      </c>
      <c r="M1127" s="539">
        <f ca="1">IFERROR(__xludf.DUMMYFUNCTION("""COMPUTED_VALUE"""),1)</f>
        <v>1</v>
      </c>
      <c r="N1127" s="539">
        <f ca="1">IFERROR(__xludf.DUMMYFUNCTION("""COMPUTED_VALUE"""),1)</f>
        <v>1</v>
      </c>
      <c r="O1127" s="539">
        <f ca="1">IFERROR(__xludf.DUMMYFUNCTION("""COMPUTED_VALUE"""),0)</f>
        <v>0</v>
      </c>
    </row>
    <row r="1128" spans="1:15" ht="12.75">
      <c r="A1128" s="539">
        <f ca="1"/>
        <v>1122</v>
      </c>
      <c r="B1128" s="35" t="str">
        <f ca="1">IFERROR(__xludf.DUMMYFUNCTION("""COMPUTED_VALUE"""),"Tổ Hạ tầng Tân An")</f>
        <v>Tổ Hạ tầng Tân An</v>
      </c>
      <c r="C1128" s="35" t="str">
        <f ca="1">IFERROR(__xludf.DUMMYFUNCTION("""COMPUTED_VALUE"""),"Lê Xuân Tình")</f>
        <v>Lê Xuân Tình</v>
      </c>
      <c r="D1128" s="35">
        <f ca="1">IFERROR(__xludf.DUMMYFUNCTION("""COMPUTED_VALUE"""),918371799)</f>
        <v>918371799</v>
      </c>
      <c r="E1128" s="35" t="str">
        <f ca="1">IFERROR(__xludf.DUMMYFUNCTION("""COMPUTED_VALUE"""),"tinhlx.lan@vnpt.vn")</f>
        <v>tinhlx.lan@vnpt.vn</v>
      </c>
      <c r="F1128" s="540" t="str">
        <f ca="1">IFERROR(__xludf.DUMMYFUNCTION("""COMPUTED_VALUE"""),"Lần 2")</f>
        <v>Lần 2</v>
      </c>
      <c r="G1128" s="278">
        <f ca="1">IFERROR(__xludf.DUMMYFUNCTION("""COMPUTED_VALUE"""),46207)</f>
        <v>46207</v>
      </c>
      <c r="H1128" s="35">
        <f ca="1">IFERROR(__xludf.DUMMYFUNCTION("""COMPUTED_VALUE"""),48.2)</f>
        <v>48.2</v>
      </c>
      <c r="I1128" s="35">
        <f ca="1">IFERROR(__xludf.DUMMYFUNCTION("""COMPUTED_VALUE"""),43.4)</f>
        <v>43.4</v>
      </c>
      <c r="J1128" s="541">
        <f ca="1">IFERROR(__xludf.DUMMYFUNCTION("""COMPUTED_VALUE"""),76.9)</f>
        <v>76.900000000000006</v>
      </c>
      <c r="K1128" s="541">
        <f ca="1">IFERROR(__xludf.DUMMYFUNCTION("""COMPUTED_VALUE"""),42.1)</f>
        <v>42.1</v>
      </c>
      <c r="M1128" s="539">
        <f ca="1">IFERROR(__xludf.DUMMYFUNCTION("""COMPUTED_VALUE"""),1)</f>
        <v>1</v>
      </c>
      <c r="N1128" s="539">
        <f ca="1">IFERROR(__xludf.DUMMYFUNCTION("""COMPUTED_VALUE"""),1)</f>
        <v>1</v>
      </c>
      <c r="O1128" s="539">
        <f ca="1">IFERROR(__xludf.DUMMYFUNCTION("""COMPUTED_VALUE"""),0)</f>
        <v>0</v>
      </c>
    </row>
    <row r="1129" spans="1:15" ht="12.75">
      <c r="A1129" s="539">
        <f ca="1"/>
        <v>1123</v>
      </c>
      <c r="B1129" s="35" t="str">
        <f ca="1">IFERROR(__xludf.DUMMYFUNCTION("""COMPUTED_VALUE"""),"Tổ Hạ tầng Tân An")</f>
        <v>Tổ Hạ tầng Tân An</v>
      </c>
      <c r="C1129" s="35" t="str">
        <f ca="1">IFERROR(__xludf.DUMMYFUNCTION("""COMPUTED_VALUE"""),"Lê Xuân Tình")</f>
        <v>Lê Xuân Tình</v>
      </c>
      <c r="D1129" s="35">
        <f ca="1">IFERROR(__xludf.DUMMYFUNCTION("""COMPUTED_VALUE"""),918371799)</f>
        <v>918371799</v>
      </c>
      <c r="E1129" s="35" t="str">
        <f ca="1">IFERROR(__xludf.DUMMYFUNCTION("""COMPUTED_VALUE"""),"tinhlx.lan@vnpt.vn")</f>
        <v>tinhlx.lan@vnpt.vn</v>
      </c>
      <c r="F1129" s="540" t="str">
        <f ca="1">IFERROR(__xludf.DUMMYFUNCTION("""COMPUTED_VALUE"""),"Lần 3")</f>
        <v>Lần 3</v>
      </c>
      <c r="G1129" s="278">
        <f ca="1">IFERROR(__xludf.DUMMYFUNCTION("""COMPUTED_VALUE"""),46207)</f>
        <v>46207</v>
      </c>
      <c r="H1129" s="35">
        <f ca="1">IFERROR(__xludf.DUMMYFUNCTION("""COMPUTED_VALUE"""),49.7)</f>
        <v>49.7</v>
      </c>
      <c r="I1129" s="35">
        <f ca="1">IFERROR(__xludf.DUMMYFUNCTION("""COMPUTED_VALUE"""),24.5)</f>
        <v>24.5</v>
      </c>
      <c r="J1129" s="541">
        <f ca="1">IFERROR(__xludf.DUMMYFUNCTION("""COMPUTED_VALUE"""),69.9)</f>
        <v>69.900000000000006</v>
      </c>
      <c r="K1129" s="541">
        <f ca="1">IFERROR(__xludf.DUMMYFUNCTION("""COMPUTED_VALUE"""),36.5)</f>
        <v>36.5</v>
      </c>
      <c r="M1129" s="539">
        <f ca="1">IFERROR(__xludf.DUMMYFUNCTION("""COMPUTED_VALUE"""),1)</f>
        <v>1</v>
      </c>
      <c r="N1129" s="539">
        <f ca="1">IFERROR(__xludf.DUMMYFUNCTION("""COMPUTED_VALUE"""),1)</f>
        <v>1</v>
      </c>
      <c r="O1129" s="539">
        <f ca="1">IFERROR(__xludf.DUMMYFUNCTION("""COMPUTED_VALUE"""),0)</f>
        <v>0</v>
      </c>
    </row>
    <row r="1130" spans="1:15" ht="12.75">
      <c r="A1130" s="539">
        <f ca="1"/>
        <v>1124</v>
      </c>
      <c r="B1130" s="35" t="str">
        <f ca="1">IFERROR(__xludf.DUMMYFUNCTION("""COMPUTED_VALUE"""),"Tổ Hạ tầng Tân An")</f>
        <v>Tổ Hạ tầng Tân An</v>
      </c>
      <c r="C1130" s="35" t="str">
        <f ca="1">IFERROR(__xludf.DUMMYFUNCTION("""COMPUTED_VALUE"""),"Lê Xuân Tình")</f>
        <v>Lê Xuân Tình</v>
      </c>
      <c r="D1130" s="35">
        <f ca="1">IFERROR(__xludf.DUMMYFUNCTION("""COMPUTED_VALUE"""),918371799)</f>
        <v>918371799</v>
      </c>
      <c r="E1130" s="35" t="str">
        <f ca="1">IFERROR(__xludf.DUMMYFUNCTION("""COMPUTED_VALUE"""),"tinhlx.lan@vnpt.vn")</f>
        <v>tinhlx.lan@vnpt.vn</v>
      </c>
      <c r="F1130" s="540" t="str">
        <f ca="1">IFERROR(__xludf.DUMMYFUNCTION("""COMPUTED_VALUE"""),"Lần 4")</f>
        <v>Lần 4</v>
      </c>
      <c r="G1130" s="545">
        <f ca="1">IFERROR(__xludf.DUMMYFUNCTION("""COMPUTED_VALUE"""),46205)</f>
        <v>46205</v>
      </c>
      <c r="H1130" s="35">
        <f ca="1">IFERROR(__xludf.DUMMYFUNCTION("""COMPUTED_VALUE"""),51)</f>
        <v>51</v>
      </c>
      <c r="I1130" s="35">
        <f ca="1">IFERROR(__xludf.DUMMYFUNCTION("""COMPUTED_VALUE"""),40.7)</f>
        <v>40.700000000000003</v>
      </c>
      <c r="J1130" s="541">
        <f ca="1">IFERROR(__xludf.DUMMYFUNCTION("""COMPUTED_VALUE"""),60.8)</f>
        <v>60.8</v>
      </c>
      <c r="K1130" s="541">
        <f ca="1">IFERROR(__xludf.DUMMYFUNCTION("""COMPUTED_VALUE"""),37.6)</f>
        <v>37.6</v>
      </c>
      <c r="M1130" s="539">
        <f ca="1">IFERROR(__xludf.DUMMYFUNCTION("""COMPUTED_VALUE"""),1)</f>
        <v>1</v>
      </c>
      <c r="N1130" s="539">
        <f ca="1">IFERROR(__xludf.DUMMYFUNCTION("""COMPUTED_VALUE"""),1)</f>
        <v>1</v>
      </c>
      <c r="O1130" s="539">
        <f ca="1">IFERROR(__xludf.DUMMYFUNCTION("""COMPUTED_VALUE"""),0)</f>
        <v>0</v>
      </c>
    </row>
    <row r="1131" spans="1:15" ht="12.75">
      <c r="A1131" s="539">
        <f ca="1"/>
        <v>1125</v>
      </c>
      <c r="B1131" s="35" t="str">
        <f ca="1">IFERROR(__xludf.DUMMYFUNCTION("""COMPUTED_VALUE"""),"Tổ Hạ tầng Tân An")</f>
        <v>Tổ Hạ tầng Tân An</v>
      </c>
      <c r="C1131" s="35" t="str">
        <f ca="1">IFERROR(__xludf.DUMMYFUNCTION("""COMPUTED_VALUE"""),"Lê Xuân Tình")</f>
        <v>Lê Xuân Tình</v>
      </c>
      <c r="D1131" s="35">
        <f ca="1">IFERROR(__xludf.DUMMYFUNCTION("""COMPUTED_VALUE"""),918371799)</f>
        <v>918371799</v>
      </c>
      <c r="E1131" s="35" t="str">
        <f ca="1">IFERROR(__xludf.DUMMYFUNCTION("""COMPUTED_VALUE"""),"tinhlx.lan@vnpt.vn")</f>
        <v>tinhlx.lan@vnpt.vn</v>
      </c>
      <c r="F1131" s="540" t="str">
        <f ca="1">IFERROR(__xludf.DUMMYFUNCTION("""COMPUTED_VALUE"""),"Lần 5")</f>
        <v>Lần 5</v>
      </c>
      <c r="G1131" s="35" t="str">
        <f ca="1">IFERROR(__xludf.DUMMYFUNCTION("""COMPUTED_VALUE"""),"02//07/2026")</f>
        <v>02//07/2026</v>
      </c>
      <c r="H1131" s="35">
        <f ca="1">IFERROR(__xludf.DUMMYFUNCTION("""COMPUTED_VALUE"""),64.5)</f>
        <v>64.5</v>
      </c>
      <c r="I1131" s="35">
        <f ca="1">IFERROR(__xludf.DUMMYFUNCTION("""COMPUTED_VALUE"""),40.5)</f>
        <v>40.5</v>
      </c>
      <c r="J1131" s="541">
        <f ca="1">IFERROR(__xludf.DUMMYFUNCTION("""COMPUTED_VALUE"""),79.1)</f>
        <v>79.099999999999994</v>
      </c>
      <c r="K1131" s="541">
        <f ca="1">IFERROR(__xludf.DUMMYFUNCTION("""COMPUTED_VALUE"""),39.2)</f>
        <v>39.200000000000003</v>
      </c>
      <c r="M1131" s="539">
        <f ca="1">IFERROR(__xludf.DUMMYFUNCTION("""COMPUTED_VALUE"""),1)</f>
        <v>1</v>
      </c>
      <c r="N1131" s="539">
        <f ca="1">IFERROR(__xludf.DUMMYFUNCTION("""COMPUTED_VALUE"""),1)</f>
        <v>1</v>
      </c>
      <c r="O1131" s="539">
        <f ca="1">IFERROR(__xludf.DUMMYFUNCTION("""COMPUTED_VALUE"""),0)</f>
        <v>0</v>
      </c>
    </row>
    <row r="1132" spans="1:15" ht="12.75">
      <c r="A1132" s="539">
        <f ca="1"/>
        <v>1126</v>
      </c>
      <c r="B1132" s="35" t="str">
        <f ca="1">IFERROR(__xludf.DUMMYFUNCTION("""COMPUTED_VALUE"""),"Tổ Hạ tầng Tân An")</f>
        <v>Tổ Hạ tầng Tân An</v>
      </c>
      <c r="C1132" s="35" t="str">
        <f ca="1">IFERROR(__xludf.DUMMYFUNCTION("""COMPUTED_VALUE"""),"Lê Xuân Tình")</f>
        <v>Lê Xuân Tình</v>
      </c>
      <c r="D1132" s="35">
        <f ca="1">IFERROR(__xludf.DUMMYFUNCTION("""COMPUTED_VALUE"""),918371799)</f>
        <v>918371799</v>
      </c>
      <c r="E1132" s="35" t="str">
        <f ca="1">IFERROR(__xludf.DUMMYFUNCTION("""COMPUTED_VALUE"""),"tinhlx.lan@vnpt.vn")</f>
        <v>tinhlx.lan@vnpt.vn</v>
      </c>
      <c r="F1132" s="540" t="str">
        <f ca="1">IFERROR(__xludf.DUMMYFUNCTION("""COMPUTED_VALUE"""),"Lần 6")</f>
        <v>Lần 6</v>
      </c>
      <c r="G1132" s="35" t="str">
        <f ca="1">IFERROR(__xludf.DUMMYFUNCTION("""COMPUTED_VALUE"""),"02//07/2026")</f>
        <v>02//07/2026</v>
      </c>
      <c r="H1132" s="35">
        <f ca="1">IFERROR(__xludf.DUMMYFUNCTION("""COMPUTED_VALUE"""),88)</f>
        <v>88</v>
      </c>
      <c r="I1132" s="35">
        <f ca="1">IFERROR(__xludf.DUMMYFUNCTION("""COMPUTED_VALUE"""),50.3)</f>
        <v>50.3</v>
      </c>
      <c r="J1132" s="541">
        <f ca="1">IFERROR(__xludf.DUMMYFUNCTION("""COMPUTED_VALUE"""),73.2)</f>
        <v>73.2</v>
      </c>
      <c r="K1132" s="541">
        <f ca="1">IFERROR(__xludf.DUMMYFUNCTION("""COMPUTED_VALUE"""),41.3)</f>
        <v>41.3</v>
      </c>
      <c r="M1132" s="539">
        <f ca="1">IFERROR(__xludf.DUMMYFUNCTION("""COMPUTED_VALUE"""),1)</f>
        <v>1</v>
      </c>
      <c r="N1132" s="539">
        <f ca="1">IFERROR(__xludf.DUMMYFUNCTION("""COMPUTED_VALUE"""),1)</f>
        <v>1</v>
      </c>
      <c r="O1132" s="539">
        <f ca="1">IFERROR(__xludf.DUMMYFUNCTION("""COMPUTED_VALUE"""),0)</f>
        <v>0</v>
      </c>
    </row>
    <row r="1133" spans="1:15" ht="12.75">
      <c r="A1133" s="539">
        <f ca="1"/>
        <v>1127</v>
      </c>
      <c r="B1133" s="35" t="str">
        <f ca="1">IFERROR(__xludf.DUMMYFUNCTION("""COMPUTED_VALUE"""),"Tổ Hạ tầng Tân An")</f>
        <v>Tổ Hạ tầng Tân An</v>
      </c>
      <c r="C1133" s="35" t="str">
        <f ca="1">IFERROR(__xludf.DUMMYFUNCTION("""COMPUTED_VALUE"""),"Lê Xuân Tình")</f>
        <v>Lê Xuân Tình</v>
      </c>
      <c r="D1133" s="35">
        <f ca="1">IFERROR(__xludf.DUMMYFUNCTION("""COMPUTED_VALUE"""),918371799)</f>
        <v>918371799</v>
      </c>
      <c r="E1133" s="35" t="str">
        <f ca="1">IFERROR(__xludf.DUMMYFUNCTION("""COMPUTED_VALUE"""),"tinhlx.lan@vnpt.vn")</f>
        <v>tinhlx.lan@vnpt.vn</v>
      </c>
      <c r="F1133" s="540" t="str">
        <f ca="1">IFERROR(__xludf.DUMMYFUNCTION("""COMPUTED_VALUE"""),"Lần 7")</f>
        <v>Lần 7</v>
      </c>
      <c r="G1133" s="35" t="str">
        <f ca="1">IFERROR(__xludf.DUMMYFUNCTION("""COMPUTED_VALUE"""),"02//07/2026")</f>
        <v>02//07/2026</v>
      </c>
      <c r="H1133" s="35">
        <f ca="1">IFERROR(__xludf.DUMMYFUNCTION("""COMPUTED_VALUE"""),86.3)</f>
        <v>86.3</v>
      </c>
      <c r="I1133" s="35">
        <f ca="1">IFERROR(__xludf.DUMMYFUNCTION("""COMPUTED_VALUE"""),46.9)</f>
        <v>46.9</v>
      </c>
      <c r="J1133" s="541">
        <f ca="1">IFERROR(__xludf.DUMMYFUNCTION("""COMPUTED_VALUE"""),99.1)</f>
        <v>99.1</v>
      </c>
      <c r="K1133" s="541">
        <f ca="1">IFERROR(__xludf.DUMMYFUNCTION("""COMPUTED_VALUE"""),44.7)</f>
        <v>44.7</v>
      </c>
      <c r="M1133" s="539">
        <f ca="1">IFERROR(__xludf.DUMMYFUNCTION("""COMPUTED_VALUE"""),1)</f>
        <v>1</v>
      </c>
      <c r="N1133" s="539">
        <f ca="1">IFERROR(__xludf.DUMMYFUNCTION("""COMPUTED_VALUE"""),1)</f>
        <v>1</v>
      </c>
      <c r="O1133" s="539">
        <f ca="1">IFERROR(__xludf.DUMMYFUNCTION("""COMPUTED_VALUE"""),0)</f>
        <v>0</v>
      </c>
    </row>
    <row r="1134" spans="1:15" ht="12.75">
      <c r="A1134" s="539">
        <f ca="1"/>
        <v>1128</v>
      </c>
      <c r="B1134" s="35" t="str">
        <f ca="1">IFERROR(__xludf.DUMMYFUNCTION("""COMPUTED_VALUE"""),"Tổ Hạ tầng Tân An")</f>
        <v>Tổ Hạ tầng Tân An</v>
      </c>
      <c r="C1134" s="35" t="str">
        <f ca="1">IFERROR(__xludf.DUMMYFUNCTION("""COMPUTED_VALUE"""),"Lê Xuân Tình")</f>
        <v>Lê Xuân Tình</v>
      </c>
      <c r="D1134" s="35">
        <f ca="1">IFERROR(__xludf.DUMMYFUNCTION("""COMPUTED_VALUE"""),918371799)</f>
        <v>918371799</v>
      </c>
      <c r="E1134" s="35" t="str">
        <f ca="1">IFERROR(__xludf.DUMMYFUNCTION("""COMPUTED_VALUE"""),"tinhlx.lan@vnpt.vn")</f>
        <v>tinhlx.lan@vnpt.vn</v>
      </c>
      <c r="F1134" s="540" t="str">
        <f ca="1">IFERROR(__xludf.DUMMYFUNCTION("""COMPUTED_VALUE"""),"Lần 8")</f>
        <v>Lần 8</v>
      </c>
      <c r="G1134" s="35" t="str">
        <f ca="1">IFERROR(__xludf.DUMMYFUNCTION("""COMPUTED_VALUE"""),"02//07/2026")</f>
        <v>02//07/2026</v>
      </c>
      <c r="H1134" s="35">
        <f ca="1">IFERROR(__xludf.DUMMYFUNCTION("""COMPUTED_VALUE"""),68.9)</f>
        <v>68.900000000000006</v>
      </c>
      <c r="I1134" s="35">
        <f ca="1">IFERROR(__xludf.DUMMYFUNCTION("""COMPUTED_VALUE"""),46.9)</f>
        <v>46.9</v>
      </c>
      <c r="J1134" s="541">
        <f ca="1">IFERROR(__xludf.DUMMYFUNCTION("""COMPUTED_VALUE"""),105)</f>
        <v>105</v>
      </c>
      <c r="K1134" s="541">
        <f ca="1">IFERROR(__xludf.DUMMYFUNCTION("""COMPUTED_VALUE"""),43.7)</f>
        <v>43.7</v>
      </c>
      <c r="M1134" s="539">
        <f ca="1">IFERROR(__xludf.DUMMYFUNCTION("""COMPUTED_VALUE"""),1)</f>
        <v>1</v>
      </c>
      <c r="N1134" s="539">
        <f ca="1">IFERROR(__xludf.DUMMYFUNCTION("""COMPUTED_VALUE"""),1)</f>
        <v>1</v>
      </c>
      <c r="O1134" s="539">
        <f ca="1">IFERROR(__xludf.DUMMYFUNCTION("""COMPUTED_VALUE"""),0)</f>
        <v>0</v>
      </c>
    </row>
    <row r="1135" spans="1:15" ht="12.75">
      <c r="A1135" s="539">
        <f ca="1"/>
        <v>1129</v>
      </c>
      <c r="B1135" s="35" t="str">
        <f ca="1">IFERROR(__xludf.DUMMYFUNCTION("""COMPUTED_VALUE"""),"Tổ Hạ tầng Tân An")</f>
        <v>Tổ Hạ tầng Tân An</v>
      </c>
      <c r="C1135" s="35" t="str">
        <f ca="1">IFERROR(__xludf.DUMMYFUNCTION("""COMPUTED_VALUE"""),"Lê Xuân Tình")</f>
        <v>Lê Xuân Tình</v>
      </c>
      <c r="D1135" s="35">
        <f ca="1">IFERROR(__xludf.DUMMYFUNCTION("""COMPUTED_VALUE"""),918371799)</f>
        <v>918371799</v>
      </c>
      <c r="E1135" s="35" t="str">
        <f ca="1">IFERROR(__xludf.DUMMYFUNCTION("""COMPUTED_VALUE"""),"tinhlx.lan@vnpt.vn")</f>
        <v>tinhlx.lan@vnpt.vn</v>
      </c>
      <c r="F1135" s="540" t="str">
        <f ca="1">IFERROR(__xludf.DUMMYFUNCTION("""COMPUTED_VALUE"""),"Lần 9")</f>
        <v>Lần 9</v>
      </c>
      <c r="G1135" s="278"/>
      <c r="H1135" s="35"/>
      <c r="I1135" s="35"/>
      <c r="J1135" s="541"/>
      <c r="K1135" s="541"/>
      <c r="M1135" s="539">
        <f ca="1">IFERROR(__xludf.DUMMYFUNCTION("""COMPUTED_VALUE"""),0)</f>
        <v>0</v>
      </c>
      <c r="N1135" s="539">
        <f ca="1">IFERROR(__xludf.DUMMYFUNCTION("""COMPUTED_VALUE"""),0)</f>
        <v>0</v>
      </c>
      <c r="O1135" s="539">
        <f ca="1">IFERROR(__xludf.DUMMYFUNCTION("""COMPUTED_VALUE"""),0)</f>
        <v>0</v>
      </c>
    </row>
    <row r="1136" spans="1:15" ht="12.75">
      <c r="A1136" s="539">
        <f ca="1"/>
        <v>1130</v>
      </c>
      <c r="B1136" s="35" t="str">
        <f ca="1">IFERROR(__xludf.DUMMYFUNCTION("""COMPUTED_VALUE"""),"Tổ Hạ tầng Tân An")</f>
        <v>Tổ Hạ tầng Tân An</v>
      </c>
      <c r="C1136" s="35" t="str">
        <f ca="1">IFERROR(__xludf.DUMMYFUNCTION("""COMPUTED_VALUE"""),"Lê Xuân Tình")</f>
        <v>Lê Xuân Tình</v>
      </c>
      <c r="D1136" s="35">
        <f ca="1">IFERROR(__xludf.DUMMYFUNCTION("""COMPUTED_VALUE"""),918371799)</f>
        <v>918371799</v>
      </c>
      <c r="E1136" s="35" t="str">
        <f ca="1">IFERROR(__xludf.DUMMYFUNCTION("""COMPUTED_VALUE"""),"tinhlx.lan@vnpt.vn")</f>
        <v>tinhlx.lan@vnpt.vn</v>
      </c>
      <c r="F1136" s="540" t="str">
        <f ca="1">IFERROR(__xludf.DUMMYFUNCTION("""COMPUTED_VALUE"""),"Lần 10")</f>
        <v>Lần 10</v>
      </c>
      <c r="G1136" s="278"/>
      <c r="H1136" s="35"/>
      <c r="I1136" s="35"/>
      <c r="J1136" s="541"/>
      <c r="K1136" s="541"/>
      <c r="M1136" s="539">
        <f ca="1">IFERROR(__xludf.DUMMYFUNCTION("""COMPUTED_VALUE"""),0)</f>
        <v>0</v>
      </c>
      <c r="N1136" s="539">
        <f ca="1">IFERROR(__xludf.DUMMYFUNCTION("""COMPUTED_VALUE"""),0)</f>
        <v>0</v>
      </c>
      <c r="O1136" s="539">
        <f ca="1">IFERROR(__xludf.DUMMYFUNCTION("""COMPUTED_VALUE"""),0)</f>
        <v>0</v>
      </c>
    </row>
    <row r="1137" spans="1:15" ht="12.75">
      <c r="A1137" s="539">
        <f ca="1"/>
        <v>1131</v>
      </c>
      <c r="B1137" s="35" t="str">
        <f ca="1">IFERROR(__xludf.DUMMYFUNCTION("""COMPUTED_VALUE"""),"Tổ Hạ tầng Tân An")</f>
        <v>Tổ Hạ tầng Tân An</v>
      </c>
      <c r="C1137" s="35" t="str">
        <f ca="1">IFERROR(__xludf.DUMMYFUNCTION("""COMPUTED_VALUE"""),"Lê Xuân Tình")</f>
        <v>Lê Xuân Tình</v>
      </c>
      <c r="D1137" s="35">
        <f ca="1">IFERROR(__xludf.DUMMYFUNCTION("""COMPUTED_VALUE"""),918371799)</f>
        <v>918371799</v>
      </c>
      <c r="E1137" s="35" t="str">
        <f ca="1">IFERROR(__xludf.DUMMYFUNCTION("""COMPUTED_VALUE"""),"tinhlx.lan@vnpt.vn")</f>
        <v>tinhlx.lan@vnpt.vn</v>
      </c>
      <c r="F1137" s="540" t="str">
        <f ca="1">IFERROR(__xludf.DUMMYFUNCTION("""COMPUTED_VALUE"""),"Lần 11")</f>
        <v>Lần 11</v>
      </c>
      <c r="G1137" s="278"/>
      <c r="H1137" s="35"/>
      <c r="I1137" s="35"/>
      <c r="J1137" s="541"/>
      <c r="K1137" s="541"/>
      <c r="M1137" s="539">
        <f ca="1">IFERROR(__xludf.DUMMYFUNCTION("""COMPUTED_VALUE"""),0)</f>
        <v>0</v>
      </c>
      <c r="N1137" s="539">
        <f ca="1">IFERROR(__xludf.DUMMYFUNCTION("""COMPUTED_VALUE"""),0)</f>
        <v>0</v>
      </c>
      <c r="O1137" s="539">
        <f ca="1">IFERROR(__xludf.DUMMYFUNCTION("""COMPUTED_VALUE"""),0)</f>
        <v>0</v>
      </c>
    </row>
    <row r="1138" spans="1:15" ht="12.75">
      <c r="A1138" s="539">
        <f ca="1"/>
        <v>1132</v>
      </c>
      <c r="B1138" s="35" t="str">
        <f ca="1">IFERROR(__xludf.DUMMYFUNCTION("""COMPUTED_VALUE"""),"Tổ Hạ tầng Tân An")</f>
        <v>Tổ Hạ tầng Tân An</v>
      </c>
      <c r="C1138" s="35" t="str">
        <f ca="1">IFERROR(__xludf.DUMMYFUNCTION("""COMPUTED_VALUE"""),"Lê Xuân Tình")</f>
        <v>Lê Xuân Tình</v>
      </c>
      <c r="D1138" s="35">
        <f ca="1">IFERROR(__xludf.DUMMYFUNCTION("""COMPUTED_VALUE"""),918371799)</f>
        <v>918371799</v>
      </c>
      <c r="E1138" s="35" t="str">
        <f ca="1">IFERROR(__xludf.DUMMYFUNCTION("""COMPUTED_VALUE"""),"tinhlx.lan@vnpt.vn")</f>
        <v>tinhlx.lan@vnpt.vn</v>
      </c>
      <c r="F1138" s="540" t="str">
        <f ca="1">IFERROR(__xludf.DUMMYFUNCTION("""COMPUTED_VALUE"""),"Lần 12")</f>
        <v>Lần 12</v>
      </c>
      <c r="G1138" s="278"/>
      <c r="H1138" s="35"/>
      <c r="I1138" s="35"/>
      <c r="J1138" s="541"/>
      <c r="K1138" s="541"/>
      <c r="M1138" s="539">
        <f ca="1">IFERROR(__xludf.DUMMYFUNCTION("""COMPUTED_VALUE"""),0)</f>
        <v>0</v>
      </c>
      <c r="N1138" s="539">
        <f ca="1">IFERROR(__xludf.DUMMYFUNCTION("""COMPUTED_VALUE"""),0)</f>
        <v>0</v>
      </c>
      <c r="O1138" s="539">
        <f ca="1">IFERROR(__xludf.DUMMYFUNCTION("""COMPUTED_VALUE"""),0)</f>
        <v>0</v>
      </c>
    </row>
    <row r="1139" spans="1:15" ht="12.75">
      <c r="A1139" s="539">
        <f ca="1"/>
        <v>1133</v>
      </c>
      <c r="B1139" s="35" t="str">
        <f ca="1">IFERROR(__xludf.DUMMYFUNCTION("""COMPUTED_VALUE"""),"Tổ Hạ tầng Tân An")</f>
        <v>Tổ Hạ tầng Tân An</v>
      </c>
      <c r="C1139" s="35" t="str">
        <f ca="1">IFERROR(__xludf.DUMMYFUNCTION("""COMPUTED_VALUE"""),"Lê Xuân Tình")</f>
        <v>Lê Xuân Tình</v>
      </c>
      <c r="D1139" s="35">
        <f ca="1">IFERROR(__xludf.DUMMYFUNCTION("""COMPUTED_VALUE"""),918371799)</f>
        <v>918371799</v>
      </c>
      <c r="E1139" s="35" t="str">
        <f ca="1">IFERROR(__xludf.DUMMYFUNCTION("""COMPUTED_VALUE"""),"tinhlx.lan@vnpt.vn")</f>
        <v>tinhlx.lan@vnpt.vn</v>
      </c>
      <c r="F1139" s="540" t="str">
        <f ca="1">IFERROR(__xludf.DUMMYFUNCTION("""COMPUTED_VALUE"""),"Lần 13")</f>
        <v>Lần 13</v>
      </c>
      <c r="G1139" s="278"/>
      <c r="H1139" s="35"/>
      <c r="I1139" s="35"/>
      <c r="J1139" s="541"/>
      <c r="K1139" s="541"/>
      <c r="M1139" s="539">
        <f ca="1">IFERROR(__xludf.DUMMYFUNCTION("""COMPUTED_VALUE"""),0)</f>
        <v>0</v>
      </c>
      <c r="N1139" s="539">
        <f ca="1">IFERROR(__xludf.DUMMYFUNCTION("""COMPUTED_VALUE"""),0)</f>
        <v>0</v>
      </c>
      <c r="O1139" s="539">
        <f ca="1">IFERROR(__xludf.DUMMYFUNCTION("""COMPUTED_VALUE"""),0)</f>
        <v>0</v>
      </c>
    </row>
    <row r="1140" spans="1:15" ht="12.75">
      <c r="A1140" s="539">
        <f ca="1"/>
        <v>1134</v>
      </c>
      <c r="B1140" s="35" t="str">
        <f ca="1">IFERROR(__xludf.DUMMYFUNCTION("""COMPUTED_VALUE"""),"Tổ Hạ tầng Tân An")</f>
        <v>Tổ Hạ tầng Tân An</v>
      </c>
      <c r="C1140" s="35" t="str">
        <f ca="1">IFERROR(__xludf.DUMMYFUNCTION("""COMPUTED_VALUE"""),"Lê Xuân Tình")</f>
        <v>Lê Xuân Tình</v>
      </c>
      <c r="D1140" s="35">
        <f ca="1">IFERROR(__xludf.DUMMYFUNCTION("""COMPUTED_VALUE"""),918371799)</f>
        <v>918371799</v>
      </c>
      <c r="E1140" s="35" t="str">
        <f ca="1">IFERROR(__xludf.DUMMYFUNCTION("""COMPUTED_VALUE"""),"tinhlx.lan@vnpt.vn")</f>
        <v>tinhlx.lan@vnpt.vn</v>
      </c>
      <c r="F1140" s="540" t="str">
        <f ca="1">IFERROR(__xludf.DUMMYFUNCTION("""COMPUTED_VALUE"""),"Lần 14")</f>
        <v>Lần 14</v>
      </c>
      <c r="G1140" s="278"/>
      <c r="H1140" s="35"/>
      <c r="I1140" s="35"/>
      <c r="J1140" s="541"/>
      <c r="K1140" s="541"/>
      <c r="M1140" s="539">
        <f ca="1">IFERROR(__xludf.DUMMYFUNCTION("""COMPUTED_VALUE"""),0)</f>
        <v>0</v>
      </c>
      <c r="N1140" s="539">
        <f ca="1">IFERROR(__xludf.DUMMYFUNCTION("""COMPUTED_VALUE"""),0)</f>
        <v>0</v>
      </c>
      <c r="O1140" s="539">
        <f ca="1">IFERROR(__xludf.DUMMYFUNCTION("""COMPUTED_VALUE"""),0)</f>
        <v>0</v>
      </c>
    </row>
    <row r="1141" spans="1:15" ht="12.75">
      <c r="A1141" s="539">
        <f ca="1"/>
        <v>1135</v>
      </c>
      <c r="B1141" s="35" t="str">
        <f ca="1">IFERROR(__xludf.DUMMYFUNCTION("""COMPUTED_VALUE"""),"Tổ Hạ tầng Tân An")</f>
        <v>Tổ Hạ tầng Tân An</v>
      </c>
      <c r="C1141" s="35" t="str">
        <f ca="1">IFERROR(__xludf.DUMMYFUNCTION("""COMPUTED_VALUE"""),"Lê Xuân Tình")</f>
        <v>Lê Xuân Tình</v>
      </c>
      <c r="D1141" s="35">
        <f ca="1">IFERROR(__xludf.DUMMYFUNCTION("""COMPUTED_VALUE"""),918371799)</f>
        <v>918371799</v>
      </c>
      <c r="E1141" s="35" t="str">
        <f ca="1">IFERROR(__xludf.DUMMYFUNCTION("""COMPUTED_VALUE"""),"tinhlx.lan@vnpt.vn")</f>
        <v>tinhlx.lan@vnpt.vn</v>
      </c>
      <c r="F1141" s="540" t="str">
        <f ca="1">IFERROR(__xludf.DUMMYFUNCTION("""COMPUTED_VALUE"""),"Lần 15")</f>
        <v>Lần 15</v>
      </c>
      <c r="G1141" s="278"/>
      <c r="H1141" s="35"/>
      <c r="I1141" s="35"/>
      <c r="J1141" s="541"/>
      <c r="K1141" s="541"/>
      <c r="M1141" s="539">
        <f ca="1">IFERROR(__xludf.DUMMYFUNCTION("""COMPUTED_VALUE"""),0)</f>
        <v>0</v>
      </c>
      <c r="N1141" s="539">
        <f ca="1">IFERROR(__xludf.DUMMYFUNCTION("""COMPUTED_VALUE"""),0)</f>
        <v>0</v>
      </c>
      <c r="O1141" s="539">
        <f ca="1">IFERROR(__xludf.DUMMYFUNCTION("""COMPUTED_VALUE"""),0)</f>
        <v>0</v>
      </c>
    </row>
    <row r="1142" spans="1:15" ht="12.75">
      <c r="A1142" s="539">
        <f ca="1"/>
        <v>1136</v>
      </c>
      <c r="B1142" s="35" t="str">
        <f ca="1">IFERROR(__xludf.DUMMYFUNCTION("""COMPUTED_VALUE"""),"Tổ Hạ tầng Tân An")</f>
        <v>Tổ Hạ tầng Tân An</v>
      </c>
      <c r="C1142" s="35" t="str">
        <f ca="1">IFERROR(__xludf.DUMMYFUNCTION("""COMPUTED_VALUE"""),"Lê Xuân Tình")</f>
        <v>Lê Xuân Tình</v>
      </c>
      <c r="D1142" s="35">
        <f ca="1">IFERROR(__xludf.DUMMYFUNCTION("""COMPUTED_VALUE"""),918371799)</f>
        <v>918371799</v>
      </c>
      <c r="E1142" s="35" t="str">
        <f ca="1">IFERROR(__xludf.DUMMYFUNCTION("""COMPUTED_VALUE"""),"tinhlx.lan@vnpt.vn")</f>
        <v>tinhlx.lan@vnpt.vn</v>
      </c>
      <c r="F1142" s="540" t="str">
        <f ca="1">IFERROR(__xludf.DUMMYFUNCTION("""COMPUTED_VALUE"""),"Lần 16")</f>
        <v>Lần 16</v>
      </c>
      <c r="G1142" s="278"/>
      <c r="H1142" s="35"/>
      <c r="I1142" s="35"/>
      <c r="J1142" s="541"/>
      <c r="K1142" s="541"/>
      <c r="M1142" s="539">
        <f ca="1">IFERROR(__xludf.DUMMYFUNCTION("""COMPUTED_VALUE"""),0)</f>
        <v>0</v>
      </c>
      <c r="N1142" s="539">
        <f ca="1">IFERROR(__xludf.DUMMYFUNCTION("""COMPUTED_VALUE"""),0)</f>
        <v>0</v>
      </c>
      <c r="O1142" s="539">
        <f ca="1">IFERROR(__xludf.DUMMYFUNCTION("""COMPUTED_VALUE"""),0)</f>
        <v>0</v>
      </c>
    </row>
    <row r="1143" spans="1:15" ht="12.75">
      <c r="A1143" s="539">
        <f ca="1"/>
        <v>1137</v>
      </c>
      <c r="B1143" s="35" t="str">
        <f ca="1">IFERROR(__xludf.DUMMYFUNCTION("""COMPUTED_VALUE"""),"Tổ Hạ tầng Tân An")</f>
        <v>Tổ Hạ tầng Tân An</v>
      </c>
      <c r="C1143" s="35" t="str">
        <f ca="1">IFERROR(__xludf.DUMMYFUNCTION("""COMPUTED_VALUE"""),"Phù Hoàng Thành")</f>
        <v>Phù Hoàng Thành</v>
      </c>
      <c r="D1143" s="35">
        <f ca="1">IFERROR(__xludf.DUMMYFUNCTION("""COMPUTED_VALUE"""),832428439)</f>
        <v>832428439</v>
      </c>
      <c r="E1143" s="35" t="str">
        <f ca="1">IFERROR(__xludf.DUMMYFUNCTION("""COMPUTED_VALUE"""),"thanhhp.lan@vnpt.vn")</f>
        <v>thanhhp.lan@vnpt.vn</v>
      </c>
      <c r="F1143" s="540" t="str">
        <f ca="1">IFERROR(__xludf.DUMMYFUNCTION("""COMPUTED_VALUE"""),"Lần 1")</f>
        <v>Lần 1</v>
      </c>
      <c r="G1143" s="278"/>
      <c r="H1143" s="35"/>
      <c r="I1143" s="35"/>
      <c r="J1143" s="541"/>
      <c r="K1143" s="541"/>
      <c r="M1143" s="539">
        <f ca="1">IFERROR(__xludf.DUMMYFUNCTION("""COMPUTED_VALUE"""),0)</f>
        <v>0</v>
      </c>
      <c r="N1143" s="539">
        <f ca="1">IFERROR(__xludf.DUMMYFUNCTION("""COMPUTED_VALUE"""),0)</f>
        <v>0</v>
      </c>
      <c r="O1143" s="539">
        <f ca="1">IFERROR(__xludf.DUMMYFUNCTION("""COMPUTED_VALUE"""),0)</f>
        <v>0</v>
      </c>
    </row>
    <row r="1144" spans="1:15" ht="12.75">
      <c r="A1144" s="539">
        <f ca="1"/>
        <v>1138</v>
      </c>
      <c r="B1144" s="35" t="str">
        <f ca="1">IFERROR(__xludf.DUMMYFUNCTION("""COMPUTED_VALUE"""),"Tổ Hạ tầng Tân An")</f>
        <v>Tổ Hạ tầng Tân An</v>
      </c>
      <c r="C1144" s="35" t="str">
        <f ca="1">IFERROR(__xludf.DUMMYFUNCTION("""COMPUTED_VALUE"""),"Phù Hoàng Thành")</f>
        <v>Phù Hoàng Thành</v>
      </c>
      <c r="D1144" s="35">
        <f ca="1">IFERROR(__xludf.DUMMYFUNCTION("""COMPUTED_VALUE"""),832428439)</f>
        <v>832428439</v>
      </c>
      <c r="E1144" s="35" t="str">
        <f ca="1">IFERROR(__xludf.DUMMYFUNCTION("""COMPUTED_VALUE"""),"thanhhp.lan@vnpt.vn")</f>
        <v>thanhhp.lan@vnpt.vn</v>
      </c>
      <c r="F1144" s="540" t="str">
        <f ca="1">IFERROR(__xludf.DUMMYFUNCTION("""COMPUTED_VALUE"""),"Lần 2")</f>
        <v>Lần 2</v>
      </c>
      <c r="G1144" s="278"/>
      <c r="H1144" s="35"/>
      <c r="I1144" s="35"/>
      <c r="J1144" s="541"/>
      <c r="K1144" s="35"/>
      <c r="M1144" s="539">
        <f ca="1">IFERROR(__xludf.DUMMYFUNCTION("""COMPUTED_VALUE"""),0)</f>
        <v>0</v>
      </c>
      <c r="N1144" s="539">
        <f ca="1">IFERROR(__xludf.DUMMYFUNCTION("""COMPUTED_VALUE"""),0)</f>
        <v>0</v>
      </c>
      <c r="O1144" s="539">
        <f ca="1">IFERROR(__xludf.DUMMYFUNCTION("""COMPUTED_VALUE"""),0)</f>
        <v>0</v>
      </c>
    </row>
    <row r="1145" spans="1:15" ht="12.75">
      <c r="A1145" s="539">
        <f ca="1"/>
        <v>1139</v>
      </c>
      <c r="B1145" s="35" t="str">
        <f ca="1">IFERROR(__xludf.DUMMYFUNCTION("""COMPUTED_VALUE"""),"Tổ Hạ tầng Tân An")</f>
        <v>Tổ Hạ tầng Tân An</v>
      </c>
      <c r="C1145" s="35" t="str">
        <f ca="1">IFERROR(__xludf.DUMMYFUNCTION("""COMPUTED_VALUE"""),"Phù Hoàng Thành")</f>
        <v>Phù Hoàng Thành</v>
      </c>
      <c r="D1145" s="35">
        <f ca="1">IFERROR(__xludf.DUMMYFUNCTION("""COMPUTED_VALUE"""),832428439)</f>
        <v>832428439</v>
      </c>
      <c r="E1145" s="35" t="str">
        <f ca="1">IFERROR(__xludf.DUMMYFUNCTION("""COMPUTED_VALUE"""),"thanhhp.lan@vnpt.vn")</f>
        <v>thanhhp.lan@vnpt.vn</v>
      </c>
      <c r="F1145" s="540" t="str">
        <f ca="1">IFERROR(__xludf.DUMMYFUNCTION("""COMPUTED_VALUE"""),"Lần 3")</f>
        <v>Lần 3</v>
      </c>
      <c r="G1145" s="278"/>
      <c r="H1145" s="35"/>
      <c r="I1145" s="35"/>
      <c r="J1145" s="541"/>
      <c r="K1145" s="541"/>
      <c r="M1145" s="539">
        <f ca="1">IFERROR(__xludf.DUMMYFUNCTION("""COMPUTED_VALUE"""),0)</f>
        <v>0</v>
      </c>
      <c r="N1145" s="539">
        <f ca="1">IFERROR(__xludf.DUMMYFUNCTION("""COMPUTED_VALUE"""),0)</f>
        <v>0</v>
      </c>
      <c r="O1145" s="539">
        <f ca="1">IFERROR(__xludf.DUMMYFUNCTION("""COMPUTED_VALUE"""),0)</f>
        <v>0</v>
      </c>
    </row>
    <row r="1146" spans="1:15" ht="12.75">
      <c r="A1146" s="539">
        <f ca="1"/>
        <v>1140</v>
      </c>
      <c r="B1146" s="35" t="str">
        <f ca="1">IFERROR(__xludf.DUMMYFUNCTION("""COMPUTED_VALUE"""),"Tổ Hạ tầng Tân An")</f>
        <v>Tổ Hạ tầng Tân An</v>
      </c>
      <c r="C1146" s="35" t="str">
        <f ca="1">IFERROR(__xludf.DUMMYFUNCTION("""COMPUTED_VALUE"""),"Phù Hoàng Thành")</f>
        <v>Phù Hoàng Thành</v>
      </c>
      <c r="D1146" s="35">
        <f ca="1">IFERROR(__xludf.DUMMYFUNCTION("""COMPUTED_VALUE"""),832428439)</f>
        <v>832428439</v>
      </c>
      <c r="E1146" s="35" t="str">
        <f ca="1">IFERROR(__xludf.DUMMYFUNCTION("""COMPUTED_VALUE"""),"thanhhp.lan@vnpt.vn")</f>
        <v>thanhhp.lan@vnpt.vn</v>
      </c>
      <c r="F1146" s="540" t="str">
        <f ca="1">IFERROR(__xludf.DUMMYFUNCTION("""COMPUTED_VALUE"""),"Lần 4")</f>
        <v>Lần 4</v>
      </c>
      <c r="G1146" s="278"/>
      <c r="H1146" s="35"/>
      <c r="I1146" s="35"/>
      <c r="J1146" s="541"/>
      <c r="K1146" s="35"/>
      <c r="M1146" s="539">
        <f ca="1">IFERROR(__xludf.DUMMYFUNCTION("""COMPUTED_VALUE"""),0)</f>
        <v>0</v>
      </c>
      <c r="N1146" s="539">
        <f ca="1">IFERROR(__xludf.DUMMYFUNCTION("""COMPUTED_VALUE"""),0)</f>
        <v>0</v>
      </c>
      <c r="O1146" s="539">
        <f ca="1">IFERROR(__xludf.DUMMYFUNCTION("""COMPUTED_VALUE"""),0)</f>
        <v>0</v>
      </c>
    </row>
    <row r="1147" spans="1:15" ht="12.75">
      <c r="A1147" s="539">
        <f ca="1"/>
        <v>1141</v>
      </c>
      <c r="B1147" s="35" t="str">
        <f ca="1">IFERROR(__xludf.DUMMYFUNCTION("""COMPUTED_VALUE"""),"Tổ Hạ tầng Tân An")</f>
        <v>Tổ Hạ tầng Tân An</v>
      </c>
      <c r="C1147" s="35" t="str">
        <f ca="1">IFERROR(__xludf.DUMMYFUNCTION("""COMPUTED_VALUE"""),"Phù Hoàng Thành")</f>
        <v>Phù Hoàng Thành</v>
      </c>
      <c r="D1147" s="35">
        <f ca="1">IFERROR(__xludf.DUMMYFUNCTION("""COMPUTED_VALUE"""),832428439)</f>
        <v>832428439</v>
      </c>
      <c r="E1147" s="35" t="str">
        <f ca="1">IFERROR(__xludf.DUMMYFUNCTION("""COMPUTED_VALUE"""),"thanhhp.lan@vnpt.vn")</f>
        <v>thanhhp.lan@vnpt.vn</v>
      </c>
      <c r="F1147" s="540" t="str">
        <f ca="1">IFERROR(__xludf.DUMMYFUNCTION("""COMPUTED_VALUE"""),"Lần 5")</f>
        <v>Lần 5</v>
      </c>
      <c r="G1147" s="278"/>
      <c r="H1147" s="35"/>
      <c r="I1147" s="35"/>
      <c r="J1147" s="541"/>
      <c r="K1147" s="541"/>
      <c r="M1147" s="539">
        <f ca="1">IFERROR(__xludf.DUMMYFUNCTION("""COMPUTED_VALUE"""),0)</f>
        <v>0</v>
      </c>
      <c r="N1147" s="539">
        <f ca="1">IFERROR(__xludf.DUMMYFUNCTION("""COMPUTED_VALUE"""),0)</f>
        <v>0</v>
      </c>
      <c r="O1147" s="539">
        <f ca="1">IFERROR(__xludf.DUMMYFUNCTION("""COMPUTED_VALUE"""),0)</f>
        <v>0</v>
      </c>
    </row>
    <row r="1148" spans="1:15" ht="12.75">
      <c r="A1148" s="539">
        <f ca="1"/>
        <v>1142</v>
      </c>
      <c r="B1148" s="35" t="str">
        <f ca="1">IFERROR(__xludf.DUMMYFUNCTION("""COMPUTED_VALUE"""),"Tổ Hạ tầng Tân An")</f>
        <v>Tổ Hạ tầng Tân An</v>
      </c>
      <c r="C1148" s="35" t="str">
        <f ca="1">IFERROR(__xludf.DUMMYFUNCTION("""COMPUTED_VALUE"""),"Phù Hoàng Thành")</f>
        <v>Phù Hoàng Thành</v>
      </c>
      <c r="D1148" s="35">
        <f ca="1">IFERROR(__xludf.DUMMYFUNCTION("""COMPUTED_VALUE"""),832428439)</f>
        <v>832428439</v>
      </c>
      <c r="E1148" s="35" t="str">
        <f ca="1">IFERROR(__xludf.DUMMYFUNCTION("""COMPUTED_VALUE"""),"thanhhp.lan@vnpt.vn")</f>
        <v>thanhhp.lan@vnpt.vn</v>
      </c>
      <c r="F1148" s="540" t="str">
        <f ca="1">IFERROR(__xludf.DUMMYFUNCTION("""COMPUTED_VALUE"""),"Lần 6")</f>
        <v>Lần 6</v>
      </c>
      <c r="G1148" s="278"/>
      <c r="H1148" s="35"/>
      <c r="I1148" s="35"/>
      <c r="J1148" s="541"/>
      <c r="K1148" s="541"/>
      <c r="M1148" s="539">
        <f ca="1">IFERROR(__xludf.DUMMYFUNCTION("""COMPUTED_VALUE"""),0)</f>
        <v>0</v>
      </c>
      <c r="N1148" s="539">
        <f ca="1">IFERROR(__xludf.DUMMYFUNCTION("""COMPUTED_VALUE"""),0)</f>
        <v>0</v>
      </c>
      <c r="O1148" s="539">
        <f ca="1">IFERROR(__xludf.DUMMYFUNCTION("""COMPUTED_VALUE"""),0)</f>
        <v>0</v>
      </c>
    </row>
    <row r="1149" spans="1:15" ht="12.75">
      <c r="A1149" s="539">
        <f ca="1"/>
        <v>1143</v>
      </c>
      <c r="B1149" s="35" t="str">
        <f ca="1">IFERROR(__xludf.DUMMYFUNCTION("""COMPUTED_VALUE"""),"Tổ Hạ tầng Tân An")</f>
        <v>Tổ Hạ tầng Tân An</v>
      </c>
      <c r="C1149" s="35" t="str">
        <f ca="1">IFERROR(__xludf.DUMMYFUNCTION("""COMPUTED_VALUE"""),"Phù Hoàng Thành")</f>
        <v>Phù Hoàng Thành</v>
      </c>
      <c r="D1149" s="35">
        <f ca="1">IFERROR(__xludf.DUMMYFUNCTION("""COMPUTED_VALUE"""),832428439)</f>
        <v>832428439</v>
      </c>
      <c r="E1149" s="35" t="str">
        <f ca="1">IFERROR(__xludf.DUMMYFUNCTION("""COMPUTED_VALUE"""),"thanhhp.lan@vnpt.vn")</f>
        <v>thanhhp.lan@vnpt.vn</v>
      </c>
      <c r="F1149" s="540" t="str">
        <f ca="1">IFERROR(__xludf.DUMMYFUNCTION("""COMPUTED_VALUE"""),"Lần 7")</f>
        <v>Lần 7</v>
      </c>
      <c r="G1149" s="278"/>
      <c r="H1149" s="35"/>
      <c r="I1149" s="35"/>
      <c r="J1149" s="541"/>
      <c r="K1149" s="541"/>
      <c r="M1149" s="539">
        <f ca="1">IFERROR(__xludf.DUMMYFUNCTION("""COMPUTED_VALUE"""),0)</f>
        <v>0</v>
      </c>
      <c r="N1149" s="539">
        <f ca="1">IFERROR(__xludf.DUMMYFUNCTION("""COMPUTED_VALUE"""),0)</f>
        <v>0</v>
      </c>
      <c r="O1149" s="539">
        <f ca="1">IFERROR(__xludf.DUMMYFUNCTION("""COMPUTED_VALUE"""),0)</f>
        <v>0</v>
      </c>
    </row>
    <row r="1150" spans="1:15" ht="12.75">
      <c r="A1150" s="539">
        <f ca="1"/>
        <v>1144</v>
      </c>
      <c r="B1150" s="35" t="str">
        <f ca="1">IFERROR(__xludf.DUMMYFUNCTION("""COMPUTED_VALUE"""),"Tổ Hạ tầng Tân An")</f>
        <v>Tổ Hạ tầng Tân An</v>
      </c>
      <c r="C1150" s="35" t="str">
        <f ca="1">IFERROR(__xludf.DUMMYFUNCTION("""COMPUTED_VALUE"""),"Phù Hoàng Thành")</f>
        <v>Phù Hoàng Thành</v>
      </c>
      <c r="D1150" s="35">
        <f ca="1">IFERROR(__xludf.DUMMYFUNCTION("""COMPUTED_VALUE"""),832428439)</f>
        <v>832428439</v>
      </c>
      <c r="E1150" s="35" t="str">
        <f ca="1">IFERROR(__xludf.DUMMYFUNCTION("""COMPUTED_VALUE"""),"thanhhp.lan@vnpt.vn")</f>
        <v>thanhhp.lan@vnpt.vn</v>
      </c>
      <c r="F1150" s="540" t="str">
        <f ca="1">IFERROR(__xludf.DUMMYFUNCTION("""COMPUTED_VALUE"""),"Lần 8")</f>
        <v>Lần 8</v>
      </c>
      <c r="G1150" s="278"/>
      <c r="H1150" s="35"/>
      <c r="I1150" s="35"/>
      <c r="J1150" s="541"/>
      <c r="K1150" s="541"/>
      <c r="M1150" s="539">
        <f ca="1">IFERROR(__xludf.DUMMYFUNCTION("""COMPUTED_VALUE"""),0)</f>
        <v>0</v>
      </c>
      <c r="N1150" s="539">
        <f ca="1">IFERROR(__xludf.DUMMYFUNCTION("""COMPUTED_VALUE"""),0)</f>
        <v>0</v>
      </c>
      <c r="O1150" s="539">
        <f ca="1">IFERROR(__xludf.DUMMYFUNCTION("""COMPUTED_VALUE"""),0)</f>
        <v>0</v>
      </c>
    </row>
    <row r="1151" spans="1:15" ht="12.75">
      <c r="A1151" s="539">
        <f ca="1"/>
        <v>1145</v>
      </c>
      <c r="B1151" s="35" t="str">
        <f ca="1">IFERROR(__xludf.DUMMYFUNCTION("""COMPUTED_VALUE"""),"Tổ Hạ tầng Tân An")</f>
        <v>Tổ Hạ tầng Tân An</v>
      </c>
      <c r="C1151" s="35" t="str">
        <f ca="1">IFERROR(__xludf.DUMMYFUNCTION("""COMPUTED_VALUE"""),"Phù Hoàng Thành")</f>
        <v>Phù Hoàng Thành</v>
      </c>
      <c r="D1151" s="35">
        <f ca="1">IFERROR(__xludf.DUMMYFUNCTION("""COMPUTED_VALUE"""),832428439)</f>
        <v>832428439</v>
      </c>
      <c r="E1151" s="35" t="str">
        <f ca="1">IFERROR(__xludf.DUMMYFUNCTION("""COMPUTED_VALUE"""),"thanhhp.lan@vnpt.vn")</f>
        <v>thanhhp.lan@vnpt.vn</v>
      </c>
      <c r="F1151" s="540" t="str">
        <f ca="1">IFERROR(__xludf.DUMMYFUNCTION("""COMPUTED_VALUE"""),"Lần 9")</f>
        <v>Lần 9</v>
      </c>
      <c r="G1151" s="278"/>
      <c r="H1151" s="35"/>
      <c r="I1151" s="35"/>
      <c r="J1151" s="541"/>
      <c r="K1151" s="541"/>
      <c r="M1151" s="539">
        <f ca="1">IFERROR(__xludf.DUMMYFUNCTION("""COMPUTED_VALUE"""),0)</f>
        <v>0</v>
      </c>
      <c r="N1151" s="539">
        <f ca="1">IFERROR(__xludf.DUMMYFUNCTION("""COMPUTED_VALUE"""),0)</f>
        <v>0</v>
      </c>
      <c r="O1151" s="539">
        <f ca="1">IFERROR(__xludf.DUMMYFUNCTION("""COMPUTED_VALUE"""),0)</f>
        <v>0</v>
      </c>
    </row>
    <row r="1152" spans="1:15" ht="12.75">
      <c r="A1152" s="539">
        <f ca="1"/>
        <v>1146</v>
      </c>
      <c r="B1152" s="35" t="str">
        <f ca="1">IFERROR(__xludf.DUMMYFUNCTION("""COMPUTED_VALUE"""),"Tổ Hạ tầng Tân An")</f>
        <v>Tổ Hạ tầng Tân An</v>
      </c>
      <c r="C1152" s="35" t="str">
        <f ca="1">IFERROR(__xludf.DUMMYFUNCTION("""COMPUTED_VALUE"""),"Phù Hoàng Thành")</f>
        <v>Phù Hoàng Thành</v>
      </c>
      <c r="D1152" s="35">
        <f ca="1">IFERROR(__xludf.DUMMYFUNCTION("""COMPUTED_VALUE"""),832428439)</f>
        <v>832428439</v>
      </c>
      <c r="E1152" s="35" t="str">
        <f ca="1">IFERROR(__xludf.DUMMYFUNCTION("""COMPUTED_VALUE"""),"thanhhp.lan@vnpt.vn")</f>
        <v>thanhhp.lan@vnpt.vn</v>
      </c>
      <c r="F1152" s="540" t="str">
        <f ca="1">IFERROR(__xludf.DUMMYFUNCTION("""COMPUTED_VALUE"""),"Lần 10")</f>
        <v>Lần 10</v>
      </c>
      <c r="G1152" s="278"/>
      <c r="H1152" s="35"/>
      <c r="I1152" s="35"/>
      <c r="J1152" s="541"/>
      <c r="K1152" s="541"/>
      <c r="M1152" s="539">
        <f ca="1">IFERROR(__xludf.DUMMYFUNCTION("""COMPUTED_VALUE"""),0)</f>
        <v>0</v>
      </c>
      <c r="N1152" s="539">
        <f ca="1">IFERROR(__xludf.DUMMYFUNCTION("""COMPUTED_VALUE"""),0)</f>
        <v>0</v>
      </c>
      <c r="O1152" s="539">
        <f ca="1">IFERROR(__xludf.DUMMYFUNCTION("""COMPUTED_VALUE"""),0)</f>
        <v>0</v>
      </c>
    </row>
    <row r="1153" spans="1:15" ht="12.75">
      <c r="A1153" s="539">
        <f ca="1"/>
        <v>1147</v>
      </c>
      <c r="B1153" s="35" t="str">
        <f ca="1">IFERROR(__xludf.DUMMYFUNCTION("""COMPUTED_VALUE"""),"Tổ Hạ tầng Tân An")</f>
        <v>Tổ Hạ tầng Tân An</v>
      </c>
      <c r="C1153" s="35" t="str">
        <f ca="1">IFERROR(__xludf.DUMMYFUNCTION("""COMPUTED_VALUE"""),"Phù Hoàng Thành")</f>
        <v>Phù Hoàng Thành</v>
      </c>
      <c r="D1153" s="35">
        <f ca="1">IFERROR(__xludf.DUMMYFUNCTION("""COMPUTED_VALUE"""),832428439)</f>
        <v>832428439</v>
      </c>
      <c r="E1153" s="35" t="str">
        <f ca="1">IFERROR(__xludf.DUMMYFUNCTION("""COMPUTED_VALUE"""),"thanhhp.lan@vnpt.vn")</f>
        <v>thanhhp.lan@vnpt.vn</v>
      </c>
      <c r="F1153" s="540" t="str">
        <f ca="1">IFERROR(__xludf.DUMMYFUNCTION("""COMPUTED_VALUE"""),"Lần 11")</f>
        <v>Lần 11</v>
      </c>
      <c r="G1153" s="278"/>
      <c r="H1153" s="35"/>
      <c r="I1153" s="35"/>
      <c r="J1153" s="541"/>
      <c r="K1153" s="541"/>
      <c r="M1153" s="539">
        <f ca="1">IFERROR(__xludf.DUMMYFUNCTION("""COMPUTED_VALUE"""),0)</f>
        <v>0</v>
      </c>
      <c r="N1153" s="539">
        <f ca="1">IFERROR(__xludf.DUMMYFUNCTION("""COMPUTED_VALUE"""),0)</f>
        <v>0</v>
      </c>
      <c r="O1153" s="539">
        <f ca="1">IFERROR(__xludf.DUMMYFUNCTION("""COMPUTED_VALUE"""),0)</f>
        <v>0</v>
      </c>
    </row>
    <row r="1154" spans="1:15" ht="12.75">
      <c r="A1154" s="539">
        <f ca="1"/>
        <v>1148</v>
      </c>
      <c r="B1154" s="35" t="str">
        <f ca="1">IFERROR(__xludf.DUMMYFUNCTION("""COMPUTED_VALUE"""),"Tổ Hạ tầng Tân An")</f>
        <v>Tổ Hạ tầng Tân An</v>
      </c>
      <c r="C1154" s="35" t="str">
        <f ca="1">IFERROR(__xludf.DUMMYFUNCTION("""COMPUTED_VALUE"""),"Phù Hoàng Thành")</f>
        <v>Phù Hoàng Thành</v>
      </c>
      <c r="D1154" s="35">
        <f ca="1">IFERROR(__xludf.DUMMYFUNCTION("""COMPUTED_VALUE"""),832428439)</f>
        <v>832428439</v>
      </c>
      <c r="E1154" s="35" t="str">
        <f ca="1">IFERROR(__xludf.DUMMYFUNCTION("""COMPUTED_VALUE"""),"thanhhp.lan@vnpt.vn")</f>
        <v>thanhhp.lan@vnpt.vn</v>
      </c>
      <c r="F1154" s="540" t="str">
        <f ca="1">IFERROR(__xludf.DUMMYFUNCTION("""COMPUTED_VALUE"""),"Lần 12")</f>
        <v>Lần 12</v>
      </c>
      <c r="G1154" s="278"/>
      <c r="H1154" s="35"/>
      <c r="I1154" s="35"/>
      <c r="J1154" s="541"/>
      <c r="K1154" s="541"/>
      <c r="M1154" s="539">
        <f ca="1">IFERROR(__xludf.DUMMYFUNCTION("""COMPUTED_VALUE"""),0)</f>
        <v>0</v>
      </c>
      <c r="N1154" s="539">
        <f ca="1">IFERROR(__xludf.DUMMYFUNCTION("""COMPUTED_VALUE"""),0)</f>
        <v>0</v>
      </c>
      <c r="O1154" s="539">
        <f ca="1">IFERROR(__xludf.DUMMYFUNCTION("""COMPUTED_VALUE"""),0)</f>
        <v>0</v>
      </c>
    </row>
    <row r="1155" spans="1:15" ht="12.75">
      <c r="A1155" s="539">
        <f ca="1"/>
        <v>1149</v>
      </c>
      <c r="B1155" s="35" t="str">
        <f ca="1">IFERROR(__xludf.DUMMYFUNCTION("""COMPUTED_VALUE"""),"Tổ Hạ tầng Tân An")</f>
        <v>Tổ Hạ tầng Tân An</v>
      </c>
      <c r="C1155" s="35" t="str">
        <f ca="1">IFERROR(__xludf.DUMMYFUNCTION("""COMPUTED_VALUE"""),"Phù Hoàng Thành")</f>
        <v>Phù Hoàng Thành</v>
      </c>
      <c r="D1155" s="35">
        <f ca="1">IFERROR(__xludf.DUMMYFUNCTION("""COMPUTED_VALUE"""),832428439)</f>
        <v>832428439</v>
      </c>
      <c r="E1155" s="35" t="str">
        <f ca="1">IFERROR(__xludf.DUMMYFUNCTION("""COMPUTED_VALUE"""),"thanhhp.lan@vnpt.vn")</f>
        <v>thanhhp.lan@vnpt.vn</v>
      </c>
      <c r="F1155" s="540" t="str">
        <f ca="1">IFERROR(__xludf.DUMMYFUNCTION("""COMPUTED_VALUE"""),"Lần 13")</f>
        <v>Lần 13</v>
      </c>
      <c r="G1155" s="35"/>
      <c r="H1155" s="35"/>
      <c r="I1155" s="35"/>
      <c r="J1155" s="541"/>
      <c r="K1155" s="541"/>
      <c r="M1155" s="539">
        <f ca="1">IFERROR(__xludf.DUMMYFUNCTION("""COMPUTED_VALUE"""),0)</f>
        <v>0</v>
      </c>
      <c r="N1155" s="539">
        <f ca="1">IFERROR(__xludf.DUMMYFUNCTION("""COMPUTED_VALUE"""),0)</f>
        <v>0</v>
      </c>
      <c r="O1155" s="539">
        <f ca="1">IFERROR(__xludf.DUMMYFUNCTION("""COMPUTED_VALUE"""),0)</f>
        <v>0</v>
      </c>
    </row>
    <row r="1156" spans="1:15" ht="12.75">
      <c r="A1156" s="539">
        <f ca="1"/>
        <v>1150</v>
      </c>
      <c r="B1156" s="35" t="str">
        <f ca="1">IFERROR(__xludf.DUMMYFUNCTION("""COMPUTED_VALUE"""),"Tổ Hạ tầng Tân An")</f>
        <v>Tổ Hạ tầng Tân An</v>
      </c>
      <c r="C1156" s="35" t="str">
        <f ca="1">IFERROR(__xludf.DUMMYFUNCTION("""COMPUTED_VALUE"""),"Phù Hoàng Thành")</f>
        <v>Phù Hoàng Thành</v>
      </c>
      <c r="D1156" s="35">
        <f ca="1">IFERROR(__xludf.DUMMYFUNCTION("""COMPUTED_VALUE"""),832428439)</f>
        <v>832428439</v>
      </c>
      <c r="E1156" s="35" t="str">
        <f ca="1">IFERROR(__xludf.DUMMYFUNCTION("""COMPUTED_VALUE"""),"thanhhp.lan@vnpt.vn")</f>
        <v>thanhhp.lan@vnpt.vn</v>
      </c>
      <c r="F1156" s="540" t="str">
        <f ca="1">IFERROR(__xludf.DUMMYFUNCTION("""COMPUTED_VALUE"""),"Lần 14")</f>
        <v>Lần 14</v>
      </c>
      <c r="G1156" s="278"/>
      <c r="H1156" s="35"/>
      <c r="I1156" s="35"/>
      <c r="J1156" s="541"/>
      <c r="K1156" s="541"/>
      <c r="M1156" s="539">
        <f ca="1">IFERROR(__xludf.DUMMYFUNCTION("""COMPUTED_VALUE"""),0)</f>
        <v>0</v>
      </c>
      <c r="N1156" s="539">
        <f ca="1">IFERROR(__xludf.DUMMYFUNCTION("""COMPUTED_VALUE"""),0)</f>
        <v>0</v>
      </c>
      <c r="O1156" s="539">
        <f ca="1">IFERROR(__xludf.DUMMYFUNCTION("""COMPUTED_VALUE"""),0)</f>
        <v>0</v>
      </c>
    </row>
    <row r="1157" spans="1:15" ht="12.75">
      <c r="A1157" s="539">
        <f ca="1"/>
        <v>1151</v>
      </c>
      <c r="B1157" s="35" t="str">
        <f ca="1">IFERROR(__xludf.DUMMYFUNCTION("""COMPUTED_VALUE"""),"Tổ Hạ tầng Tân An")</f>
        <v>Tổ Hạ tầng Tân An</v>
      </c>
      <c r="C1157" s="35" t="str">
        <f ca="1">IFERROR(__xludf.DUMMYFUNCTION("""COMPUTED_VALUE"""),"Phù Hoàng Thành")</f>
        <v>Phù Hoàng Thành</v>
      </c>
      <c r="D1157" s="35">
        <f ca="1">IFERROR(__xludf.DUMMYFUNCTION("""COMPUTED_VALUE"""),832428439)</f>
        <v>832428439</v>
      </c>
      <c r="E1157" s="35" t="str">
        <f ca="1">IFERROR(__xludf.DUMMYFUNCTION("""COMPUTED_VALUE"""),"thanhhp.lan@vnpt.vn")</f>
        <v>thanhhp.lan@vnpt.vn</v>
      </c>
      <c r="F1157" s="540" t="str">
        <f ca="1">IFERROR(__xludf.DUMMYFUNCTION("""COMPUTED_VALUE"""),"Lần 15")</f>
        <v>Lần 15</v>
      </c>
      <c r="G1157" s="278"/>
      <c r="H1157" s="35"/>
      <c r="I1157" s="35"/>
      <c r="J1157" s="541"/>
      <c r="K1157" s="541"/>
      <c r="M1157" s="539">
        <f ca="1">IFERROR(__xludf.DUMMYFUNCTION("""COMPUTED_VALUE"""),0)</f>
        <v>0</v>
      </c>
      <c r="N1157" s="539">
        <f ca="1">IFERROR(__xludf.DUMMYFUNCTION("""COMPUTED_VALUE"""),0)</f>
        <v>0</v>
      </c>
      <c r="O1157" s="539">
        <f ca="1">IFERROR(__xludf.DUMMYFUNCTION("""COMPUTED_VALUE"""),0)</f>
        <v>0</v>
      </c>
    </row>
    <row r="1158" spans="1:15" ht="12.75">
      <c r="A1158" s="539">
        <f ca="1"/>
        <v>1152</v>
      </c>
      <c r="B1158" s="35" t="str">
        <f ca="1">IFERROR(__xludf.DUMMYFUNCTION("""COMPUTED_VALUE"""),"Tổ Hạ tầng Tân An")</f>
        <v>Tổ Hạ tầng Tân An</v>
      </c>
      <c r="C1158" s="35" t="str">
        <f ca="1">IFERROR(__xludf.DUMMYFUNCTION("""COMPUTED_VALUE"""),"Phù Hoàng Thành")</f>
        <v>Phù Hoàng Thành</v>
      </c>
      <c r="D1158" s="35">
        <f ca="1">IFERROR(__xludf.DUMMYFUNCTION("""COMPUTED_VALUE"""),832428439)</f>
        <v>832428439</v>
      </c>
      <c r="E1158" s="35" t="str">
        <f ca="1">IFERROR(__xludf.DUMMYFUNCTION("""COMPUTED_VALUE"""),"thanhhp.lan@vnpt.vn")</f>
        <v>thanhhp.lan@vnpt.vn</v>
      </c>
      <c r="F1158" s="540" t="str">
        <f ca="1">IFERROR(__xludf.DUMMYFUNCTION("""COMPUTED_VALUE"""),"Lần 16")</f>
        <v>Lần 16</v>
      </c>
      <c r="G1158" s="278"/>
      <c r="H1158" s="35"/>
      <c r="I1158" s="35"/>
      <c r="J1158" s="541"/>
      <c r="K1158" s="541"/>
      <c r="M1158" s="539">
        <f ca="1">IFERROR(__xludf.DUMMYFUNCTION("""COMPUTED_VALUE"""),0)</f>
        <v>0</v>
      </c>
      <c r="N1158" s="539">
        <f ca="1">IFERROR(__xludf.DUMMYFUNCTION("""COMPUTED_VALUE"""),0)</f>
        <v>0</v>
      </c>
      <c r="O1158" s="539">
        <f ca="1">IFERROR(__xludf.DUMMYFUNCTION("""COMPUTED_VALUE"""),0)</f>
        <v>0</v>
      </c>
    </row>
    <row r="1159" spans="1:15" ht="12.75">
      <c r="A1159" s="539">
        <f ca="1"/>
        <v>1153</v>
      </c>
      <c r="B1159" s="35" t="str">
        <f ca="1">IFERROR(__xludf.DUMMYFUNCTION("""COMPUTED_VALUE"""),"Tổ Hạ tầng Tân An")</f>
        <v>Tổ Hạ tầng Tân An</v>
      </c>
      <c r="C1159" s="35" t="str">
        <f ca="1">IFERROR(__xludf.DUMMYFUNCTION("""COMPUTED_VALUE"""),"Nguyễn Thành Chí")</f>
        <v>Nguyễn Thành Chí</v>
      </c>
      <c r="D1159" s="35">
        <f ca="1">IFERROR(__xludf.DUMMYFUNCTION("""COMPUTED_VALUE"""),837012768)</f>
        <v>837012768</v>
      </c>
      <c r="E1159" s="35" t="str">
        <f ca="1">IFERROR(__xludf.DUMMYFUNCTION("""COMPUTED_VALUE"""),"chint.lan@vnpt.vn")</f>
        <v>chint.lan@vnpt.vn</v>
      </c>
      <c r="F1159" s="540" t="str">
        <f ca="1">IFERROR(__xludf.DUMMYFUNCTION("""COMPUTED_VALUE"""),"Lần 1")</f>
        <v>Lần 1</v>
      </c>
      <c r="G1159" s="278">
        <f ca="1">IFERROR(__xludf.DUMMYFUNCTION("""COMPUTED_VALUE"""),46205)</f>
        <v>46205</v>
      </c>
      <c r="H1159" s="35">
        <f ca="1">IFERROR(__xludf.DUMMYFUNCTION("""COMPUTED_VALUE"""),311.1)</f>
        <v>311.10000000000002</v>
      </c>
      <c r="I1159" s="35">
        <f ca="1">IFERROR(__xludf.DUMMYFUNCTION("""COMPUTED_VALUE"""),72.3)</f>
        <v>72.3</v>
      </c>
      <c r="J1159" s="541">
        <f ca="1">IFERROR(__xludf.DUMMYFUNCTION("""COMPUTED_VALUE"""),753)</f>
        <v>753</v>
      </c>
      <c r="K1159" s="541">
        <f ca="1">IFERROR(__xludf.DUMMYFUNCTION("""COMPUTED_VALUE"""),79.1)</f>
        <v>79.099999999999994</v>
      </c>
      <c r="M1159" s="539">
        <f ca="1">IFERROR(__xludf.DUMMYFUNCTION("""COMPUTED_VALUE"""),1)</f>
        <v>1</v>
      </c>
      <c r="N1159" s="539">
        <f ca="1">IFERROR(__xludf.DUMMYFUNCTION("""COMPUTED_VALUE"""),1)</f>
        <v>1</v>
      </c>
      <c r="O1159" s="539">
        <f ca="1">IFERROR(__xludf.DUMMYFUNCTION("""COMPUTED_VALUE"""),1)</f>
        <v>1</v>
      </c>
    </row>
    <row r="1160" spans="1:15" ht="12.75">
      <c r="A1160" s="539">
        <f ca="1"/>
        <v>1154</v>
      </c>
      <c r="B1160" s="35" t="str">
        <f ca="1">IFERROR(__xludf.DUMMYFUNCTION("""COMPUTED_VALUE"""),"Tổ Hạ tầng Tân An")</f>
        <v>Tổ Hạ tầng Tân An</v>
      </c>
      <c r="C1160" s="35" t="str">
        <f ca="1">IFERROR(__xludf.DUMMYFUNCTION("""COMPUTED_VALUE"""),"Nguyễn Thành Chí")</f>
        <v>Nguyễn Thành Chí</v>
      </c>
      <c r="D1160" s="35">
        <f ca="1">IFERROR(__xludf.DUMMYFUNCTION("""COMPUTED_VALUE"""),837012768)</f>
        <v>837012768</v>
      </c>
      <c r="E1160" s="35" t="str">
        <f ca="1">IFERROR(__xludf.DUMMYFUNCTION("""COMPUTED_VALUE"""),"chint.lan@vnpt.vn")</f>
        <v>chint.lan@vnpt.vn</v>
      </c>
      <c r="F1160" s="540" t="str">
        <f ca="1">IFERROR(__xludf.DUMMYFUNCTION("""COMPUTED_VALUE"""),"Lần 2")</f>
        <v>Lần 2</v>
      </c>
      <c r="G1160" s="278">
        <f ca="1">IFERROR(__xludf.DUMMYFUNCTION("""COMPUTED_VALUE"""),46205)</f>
        <v>46205</v>
      </c>
      <c r="H1160" s="35">
        <f ca="1">IFERROR(__xludf.DUMMYFUNCTION("""COMPUTED_VALUE"""),246)</f>
        <v>246</v>
      </c>
      <c r="I1160" s="35">
        <f ca="1">IFERROR(__xludf.DUMMYFUNCTION("""COMPUTED_VALUE"""),76)</f>
        <v>76</v>
      </c>
      <c r="J1160" s="541">
        <f ca="1">IFERROR(__xludf.DUMMYFUNCTION("""COMPUTED_VALUE"""),777)</f>
        <v>777</v>
      </c>
      <c r="K1160" s="541">
        <f ca="1">IFERROR(__xludf.DUMMYFUNCTION("""COMPUTED_VALUE"""),97.9)</f>
        <v>97.9</v>
      </c>
      <c r="M1160" s="539">
        <f ca="1">IFERROR(__xludf.DUMMYFUNCTION("""COMPUTED_VALUE"""),1)</f>
        <v>1</v>
      </c>
      <c r="N1160" s="539">
        <f ca="1">IFERROR(__xludf.DUMMYFUNCTION("""COMPUTED_VALUE"""),1)</f>
        <v>1</v>
      </c>
      <c r="O1160" s="539">
        <f ca="1">IFERROR(__xludf.DUMMYFUNCTION("""COMPUTED_VALUE"""),1)</f>
        <v>1</v>
      </c>
    </row>
    <row r="1161" spans="1:15" ht="12.75">
      <c r="A1161" s="539">
        <f ca="1"/>
        <v>1155</v>
      </c>
      <c r="B1161" s="35" t="str">
        <f ca="1">IFERROR(__xludf.DUMMYFUNCTION("""COMPUTED_VALUE"""),"Tổ Hạ tầng Tân An")</f>
        <v>Tổ Hạ tầng Tân An</v>
      </c>
      <c r="C1161" s="35" t="str">
        <f ca="1">IFERROR(__xludf.DUMMYFUNCTION("""COMPUTED_VALUE"""),"Nguyễn Thành Chí")</f>
        <v>Nguyễn Thành Chí</v>
      </c>
      <c r="D1161" s="35">
        <f ca="1">IFERROR(__xludf.DUMMYFUNCTION("""COMPUTED_VALUE"""),837012768)</f>
        <v>837012768</v>
      </c>
      <c r="E1161" s="35" t="str">
        <f ca="1">IFERROR(__xludf.DUMMYFUNCTION("""COMPUTED_VALUE"""),"chint.lan@vnpt.vn")</f>
        <v>chint.lan@vnpt.vn</v>
      </c>
      <c r="F1161" s="540" t="str">
        <f ca="1">IFERROR(__xludf.DUMMYFUNCTION("""COMPUTED_VALUE"""),"Lần 3")</f>
        <v>Lần 3</v>
      </c>
      <c r="G1161" s="278">
        <f ca="1">IFERROR(__xludf.DUMMYFUNCTION("""COMPUTED_VALUE"""),46205)</f>
        <v>46205</v>
      </c>
      <c r="H1161" s="35">
        <f ca="1">IFERROR(__xludf.DUMMYFUNCTION("""COMPUTED_VALUE"""),264.6)</f>
        <v>264.60000000000002</v>
      </c>
      <c r="I1161" s="35">
        <f ca="1">IFERROR(__xludf.DUMMYFUNCTION("""COMPUTED_VALUE"""),76.7)</f>
        <v>76.7</v>
      </c>
      <c r="J1161" s="541">
        <f ca="1">IFERROR(__xludf.DUMMYFUNCTION("""COMPUTED_VALUE"""),410)</f>
        <v>410</v>
      </c>
      <c r="K1161" s="541">
        <f ca="1">IFERROR(__xludf.DUMMYFUNCTION("""COMPUTED_VALUE"""),95.2)</f>
        <v>95.2</v>
      </c>
      <c r="M1161" s="539">
        <f ca="1">IFERROR(__xludf.DUMMYFUNCTION("""COMPUTED_VALUE"""),1)</f>
        <v>1</v>
      </c>
      <c r="N1161" s="539">
        <f ca="1">IFERROR(__xludf.DUMMYFUNCTION("""COMPUTED_VALUE"""),1)</f>
        <v>1</v>
      </c>
      <c r="O1161" s="539">
        <f ca="1">IFERROR(__xludf.DUMMYFUNCTION("""COMPUTED_VALUE"""),1)</f>
        <v>1</v>
      </c>
    </row>
    <row r="1162" spans="1:15" ht="12.75">
      <c r="A1162" s="539">
        <f ca="1"/>
        <v>1156</v>
      </c>
      <c r="B1162" s="35" t="str">
        <f ca="1">IFERROR(__xludf.DUMMYFUNCTION("""COMPUTED_VALUE"""),"Tổ Hạ tầng Tân An")</f>
        <v>Tổ Hạ tầng Tân An</v>
      </c>
      <c r="C1162" s="35" t="str">
        <f ca="1">IFERROR(__xludf.DUMMYFUNCTION("""COMPUTED_VALUE"""),"Nguyễn Thành Chí")</f>
        <v>Nguyễn Thành Chí</v>
      </c>
      <c r="D1162" s="35">
        <f ca="1">IFERROR(__xludf.DUMMYFUNCTION("""COMPUTED_VALUE"""),837012768)</f>
        <v>837012768</v>
      </c>
      <c r="E1162" s="35" t="str">
        <f ca="1">IFERROR(__xludf.DUMMYFUNCTION("""COMPUTED_VALUE"""),"chint.lan@vnpt.vn")</f>
        <v>chint.lan@vnpt.vn</v>
      </c>
      <c r="F1162" s="540" t="str">
        <f ca="1">IFERROR(__xludf.DUMMYFUNCTION("""COMPUTED_VALUE"""),"Lần 4")</f>
        <v>Lần 4</v>
      </c>
      <c r="G1162" s="278">
        <f ca="1">IFERROR(__xludf.DUMMYFUNCTION("""COMPUTED_VALUE"""),46205)</f>
        <v>46205</v>
      </c>
      <c r="H1162" s="35">
        <f ca="1">IFERROR(__xludf.DUMMYFUNCTION("""COMPUTED_VALUE"""),289.6)</f>
        <v>289.60000000000002</v>
      </c>
      <c r="I1162" s="35">
        <f ca="1">IFERROR(__xludf.DUMMYFUNCTION("""COMPUTED_VALUE"""),74)</f>
        <v>74</v>
      </c>
      <c r="J1162" s="541">
        <f ca="1">IFERROR(__xludf.DUMMYFUNCTION("""COMPUTED_VALUE"""),667)</f>
        <v>667</v>
      </c>
      <c r="K1162" s="541">
        <f ca="1">IFERROR(__xludf.DUMMYFUNCTION("""COMPUTED_VALUE"""),97.3)</f>
        <v>97.3</v>
      </c>
      <c r="M1162" s="539">
        <f ca="1">IFERROR(__xludf.DUMMYFUNCTION("""COMPUTED_VALUE"""),1)</f>
        <v>1</v>
      </c>
      <c r="N1162" s="539">
        <f ca="1">IFERROR(__xludf.DUMMYFUNCTION("""COMPUTED_VALUE"""),1)</f>
        <v>1</v>
      </c>
      <c r="O1162" s="539">
        <f ca="1">IFERROR(__xludf.DUMMYFUNCTION("""COMPUTED_VALUE"""),1)</f>
        <v>1</v>
      </c>
    </row>
    <row r="1163" spans="1:15" ht="12.75">
      <c r="A1163" s="539">
        <f ca="1"/>
        <v>1157</v>
      </c>
      <c r="B1163" s="35" t="str">
        <f ca="1">IFERROR(__xludf.DUMMYFUNCTION("""COMPUTED_VALUE"""),"Tổ Hạ tầng Tân An")</f>
        <v>Tổ Hạ tầng Tân An</v>
      </c>
      <c r="C1163" s="35" t="str">
        <f ca="1">IFERROR(__xludf.DUMMYFUNCTION("""COMPUTED_VALUE"""),"Nguyễn Thành Chí")</f>
        <v>Nguyễn Thành Chí</v>
      </c>
      <c r="D1163" s="35">
        <f ca="1">IFERROR(__xludf.DUMMYFUNCTION("""COMPUTED_VALUE"""),837012768)</f>
        <v>837012768</v>
      </c>
      <c r="E1163" s="35" t="str">
        <f ca="1">IFERROR(__xludf.DUMMYFUNCTION("""COMPUTED_VALUE"""),"chint.lan@vnpt.vn")</f>
        <v>chint.lan@vnpt.vn</v>
      </c>
      <c r="F1163" s="540" t="str">
        <f ca="1">IFERROR(__xludf.DUMMYFUNCTION("""COMPUTED_VALUE"""),"Lần 5")</f>
        <v>Lần 5</v>
      </c>
      <c r="G1163" s="278">
        <f ca="1">IFERROR(__xludf.DUMMYFUNCTION("""COMPUTED_VALUE"""),46206)</f>
        <v>46206</v>
      </c>
      <c r="H1163" s="35">
        <f ca="1">IFERROR(__xludf.DUMMYFUNCTION("""COMPUTED_VALUE"""),333.1)</f>
        <v>333.1</v>
      </c>
      <c r="I1163" s="35">
        <f ca="1">IFERROR(__xludf.DUMMYFUNCTION("""COMPUTED_VALUE"""),94.3)</f>
        <v>94.3</v>
      </c>
      <c r="J1163" s="541">
        <f ca="1">IFERROR(__xludf.DUMMYFUNCTION("""COMPUTED_VALUE"""),928)</f>
        <v>928</v>
      </c>
      <c r="K1163" s="541">
        <f ca="1">IFERROR(__xludf.DUMMYFUNCTION("""COMPUTED_VALUE"""),110)</f>
        <v>110</v>
      </c>
      <c r="M1163" s="539">
        <f ca="1">IFERROR(__xludf.DUMMYFUNCTION("""COMPUTED_VALUE"""),1)</f>
        <v>1</v>
      </c>
      <c r="N1163" s="539">
        <f ca="1">IFERROR(__xludf.DUMMYFUNCTION("""COMPUTED_VALUE"""),1)</f>
        <v>1</v>
      </c>
      <c r="O1163" s="539">
        <f ca="1">IFERROR(__xludf.DUMMYFUNCTION("""COMPUTED_VALUE"""),1)</f>
        <v>1</v>
      </c>
    </row>
    <row r="1164" spans="1:15" ht="12.75">
      <c r="A1164" s="539">
        <f ca="1"/>
        <v>1158</v>
      </c>
      <c r="B1164" s="35" t="str">
        <f ca="1">IFERROR(__xludf.DUMMYFUNCTION("""COMPUTED_VALUE"""),"Tổ Hạ tầng Tân An")</f>
        <v>Tổ Hạ tầng Tân An</v>
      </c>
      <c r="C1164" s="35" t="str">
        <f ca="1">IFERROR(__xludf.DUMMYFUNCTION("""COMPUTED_VALUE"""),"Nguyễn Thành Chí")</f>
        <v>Nguyễn Thành Chí</v>
      </c>
      <c r="D1164" s="35">
        <f ca="1">IFERROR(__xludf.DUMMYFUNCTION("""COMPUTED_VALUE"""),837012768)</f>
        <v>837012768</v>
      </c>
      <c r="E1164" s="35" t="str">
        <f ca="1">IFERROR(__xludf.DUMMYFUNCTION("""COMPUTED_VALUE"""),"chint.lan@vnpt.vn")</f>
        <v>chint.lan@vnpt.vn</v>
      </c>
      <c r="F1164" s="540" t="str">
        <f ca="1">IFERROR(__xludf.DUMMYFUNCTION("""COMPUTED_VALUE"""),"Lần 6")</f>
        <v>Lần 6</v>
      </c>
      <c r="G1164" s="278">
        <f ca="1">IFERROR(__xludf.DUMMYFUNCTION("""COMPUTED_VALUE"""),46206)</f>
        <v>46206</v>
      </c>
      <c r="H1164" s="35">
        <f ca="1">IFERROR(__xludf.DUMMYFUNCTION("""COMPUTED_VALUE"""),280.7)</f>
        <v>280.7</v>
      </c>
      <c r="I1164" s="35">
        <f ca="1">IFERROR(__xludf.DUMMYFUNCTION("""COMPUTED_VALUE"""),88.7)</f>
        <v>88.7</v>
      </c>
      <c r="J1164" s="541">
        <f ca="1">IFERROR(__xludf.DUMMYFUNCTION("""COMPUTED_VALUE"""),1009)</f>
        <v>1009</v>
      </c>
      <c r="K1164" s="541">
        <f ca="1">IFERROR(__xludf.DUMMYFUNCTION("""COMPUTED_VALUE"""),49.7)</f>
        <v>49.7</v>
      </c>
      <c r="M1164" s="539">
        <f ca="1">IFERROR(__xludf.DUMMYFUNCTION("""COMPUTED_VALUE"""),1)</f>
        <v>1</v>
      </c>
      <c r="N1164" s="539">
        <f ca="1">IFERROR(__xludf.DUMMYFUNCTION("""COMPUTED_VALUE"""),1)</f>
        <v>1</v>
      </c>
      <c r="O1164" s="539">
        <f ca="1">IFERROR(__xludf.DUMMYFUNCTION("""COMPUTED_VALUE"""),1)</f>
        <v>1</v>
      </c>
    </row>
    <row r="1165" spans="1:15" ht="12.75">
      <c r="A1165" s="539">
        <f ca="1"/>
        <v>1159</v>
      </c>
      <c r="B1165" s="35" t="str">
        <f ca="1">IFERROR(__xludf.DUMMYFUNCTION("""COMPUTED_VALUE"""),"Tổ Hạ tầng Tân An")</f>
        <v>Tổ Hạ tầng Tân An</v>
      </c>
      <c r="C1165" s="35" t="str">
        <f ca="1">IFERROR(__xludf.DUMMYFUNCTION("""COMPUTED_VALUE"""),"Nguyễn Thành Chí")</f>
        <v>Nguyễn Thành Chí</v>
      </c>
      <c r="D1165" s="35">
        <f ca="1">IFERROR(__xludf.DUMMYFUNCTION("""COMPUTED_VALUE"""),837012768)</f>
        <v>837012768</v>
      </c>
      <c r="E1165" s="35" t="str">
        <f ca="1">IFERROR(__xludf.DUMMYFUNCTION("""COMPUTED_VALUE"""),"chint.lan@vnpt.vn")</f>
        <v>chint.lan@vnpt.vn</v>
      </c>
      <c r="F1165" s="540" t="str">
        <f ca="1">IFERROR(__xludf.DUMMYFUNCTION("""COMPUTED_VALUE"""),"Lần 7")</f>
        <v>Lần 7</v>
      </c>
      <c r="G1165" s="278">
        <f ca="1">IFERROR(__xludf.DUMMYFUNCTION("""COMPUTED_VALUE"""),46206)</f>
        <v>46206</v>
      </c>
      <c r="H1165" s="35">
        <f ca="1">IFERROR(__xludf.DUMMYFUNCTION("""COMPUTED_VALUE"""),248.3)</f>
        <v>248.3</v>
      </c>
      <c r="I1165" s="35">
        <f ca="1">IFERROR(__xludf.DUMMYFUNCTION("""COMPUTED_VALUE"""),97)</f>
        <v>97</v>
      </c>
      <c r="J1165" s="541">
        <f ca="1">IFERROR(__xludf.DUMMYFUNCTION("""COMPUTED_VALUE"""),908)</f>
        <v>908</v>
      </c>
      <c r="K1165" s="541">
        <f ca="1">IFERROR(__xludf.DUMMYFUNCTION("""COMPUTED_VALUE"""),116)</f>
        <v>116</v>
      </c>
      <c r="M1165" s="539">
        <f ca="1">IFERROR(__xludf.DUMMYFUNCTION("""COMPUTED_VALUE"""),1)</f>
        <v>1</v>
      </c>
      <c r="N1165" s="539">
        <f ca="1">IFERROR(__xludf.DUMMYFUNCTION("""COMPUTED_VALUE"""),1)</f>
        <v>1</v>
      </c>
      <c r="O1165" s="539">
        <f ca="1">IFERROR(__xludf.DUMMYFUNCTION("""COMPUTED_VALUE"""),1)</f>
        <v>1</v>
      </c>
    </row>
    <row r="1166" spans="1:15" ht="12.75">
      <c r="A1166" s="539">
        <f ca="1"/>
        <v>1160</v>
      </c>
      <c r="B1166" s="35" t="str">
        <f ca="1">IFERROR(__xludf.DUMMYFUNCTION("""COMPUTED_VALUE"""),"Tổ Hạ tầng Tân An")</f>
        <v>Tổ Hạ tầng Tân An</v>
      </c>
      <c r="C1166" s="35" t="str">
        <f ca="1">IFERROR(__xludf.DUMMYFUNCTION("""COMPUTED_VALUE"""),"Nguyễn Thành Chí")</f>
        <v>Nguyễn Thành Chí</v>
      </c>
      <c r="D1166" s="35">
        <f ca="1">IFERROR(__xludf.DUMMYFUNCTION("""COMPUTED_VALUE"""),837012768)</f>
        <v>837012768</v>
      </c>
      <c r="E1166" s="35" t="str">
        <f ca="1">IFERROR(__xludf.DUMMYFUNCTION("""COMPUTED_VALUE"""),"chint.lan@vnpt.vn")</f>
        <v>chint.lan@vnpt.vn</v>
      </c>
      <c r="F1166" s="540" t="str">
        <f ca="1">IFERROR(__xludf.DUMMYFUNCTION("""COMPUTED_VALUE"""),"Lần 8")</f>
        <v>Lần 8</v>
      </c>
      <c r="G1166" s="278">
        <f ca="1">IFERROR(__xludf.DUMMYFUNCTION("""COMPUTED_VALUE"""),46206)</f>
        <v>46206</v>
      </c>
      <c r="H1166" s="35">
        <f ca="1">IFERROR(__xludf.DUMMYFUNCTION("""COMPUTED_VALUE"""),270.8)</f>
        <v>270.8</v>
      </c>
      <c r="I1166" s="35">
        <f ca="1">IFERROR(__xludf.DUMMYFUNCTION("""COMPUTED_VALUE"""),91.6)</f>
        <v>91.6</v>
      </c>
      <c r="J1166" s="541">
        <f ca="1">IFERROR(__xludf.DUMMYFUNCTION("""COMPUTED_VALUE"""),890)</f>
        <v>890</v>
      </c>
      <c r="K1166" s="541">
        <f ca="1">IFERROR(__xludf.DUMMYFUNCTION("""COMPUTED_VALUE"""),115)</f>
        <v>115</v>
      </c>
      <c r="M1166" s="539">
        <f ca="1">IFERROR(__xludf.DUMMYFUNCTION("""COMPUTED_VALUE"""),1)</f>
        <v>1</v>
      </c>
      <c r="N1166" s="539">
        <f ca="1">IFERROR(__xludf.DUMMYFUNCTION("""COMPUTED_VALUE"""),1)</f>
        <v>1</v>
      </c>
      <c r="O1166" s="539">
        <f ca="1">IFERROR(__xludf.DUMMYFUNCTION("""COMPUTED_VALUE"""),1)</f>
        <v>1</v>
      </c>
    </row>
    <row r="1167" spans="1:15" ht="12.75">
      <c r="A1167" s="539">
        <f ca="1"/>
        <v>1161</v>
      </c>
      <c r="B1167" s="35" t="str">
        <f ca="1">IFERROR(__xludf.DUMMYFUNCTION("""COMPUTED_VALUE"""),"Tổ Hạ tầng Tân An")</f>
        <v>Tổ Hạ tầng Tân An</v>
      </c>
      <c r="C1167" s="35" t="str">
        <f ca="1">IFERROR(__xludf.DUMMYFUNCTION("""COMPUTED_VALUE"""),"Nguyễn Thành Chí")</f>
        <v>Nguyễn Thành Chí</v>
      </c>
      <c r="D1167" s="35">
        <f ca="1">IFERROR(__xludf.DUMMYFUNCTION("""COMPUTED_VALUE"""),837012768)</f>
        <v>837012768</v>
      </c>
      <c r="E1167" s="35" t="str">
        <f ca="1">IFERROR(__xludf.DUMMYFUNCTION("""COMPUTED_VALUE"""),"chint.lan@vnpt.vn")</f>
        <v>chint.lan@vnpt.vn</v>
      </c>
      <c r="F1167" s="540" t="str">
        <f ca="1">IFERROR(__xludf.DUMMYFUNCTION("""COMPUTED_VALUE"""),"Lần 9")</f>
        <v>Lần 9</v>
      </c>
      <c r="G1167" s="278">
        <f ca="1">IFERROR(__xludf.DUMMYFUNCTION("""COMPUTED_VALUE"""),46209)</f>
        <v>46209</v>
      </c>
      <c r="H1167" s="35">
        <f ca="1">IFERROR(__xludf.DUMMYFUNCTION("""COMPUTED_VALUE"""),226.1)</f>
        <v>226.1</v>
      </c>
      <c r="I1167" s="35">
        <f ca="1">IFERROR(__xludf.DUMMYFUNCTION("""COMPUTED_VALUE"""),50.6)</f>
        <v>50.6</v>
      </c>
      <c r="J1167" s="541">
        <f ca="1">IFERROR(__xludf.DUMMYFUNCTION("""COMPUTED_VALUE"""),223)</f>
        <v>223</v>
      </c>
      <c r="K1167" s="541">
        <f ca="1">IFERROR(__xludf.DUMMYFUNCTION("""COMPUTED_VALUE"""),48.1)</f>
        <v>48.1</v>
      </c>
      <c r="M1167" s="539">
        <f ca="1">IFERROR(__xludf.DUMMYFUNCTION("""COMPUTED_VALUE"""),1)</f>
        <v>1</v>
      </c>
      <c r="N1167" s="539">
        <f ca="1">IFERROR(__xludf.DUMMYFUNCTION("""COMPUTED_VALUE"""),1)</f>
        <v>1</v>
      </c>
      <c r="O1167" s="539">
        <f ca="1">IFERROR(__xludf.DUMMYFUNCTION("""COMPUTED_VALUE"""),1)</f>
        <v>1</v>
      </c>
    </row>
    <row r="1168" spans="1:15" ht="12.75">
      <c r="A1168" s="539">
        <f ca="1"/>
        <v>1162</v>
      </c>
      <c r="B1168" s="35" t="str">
        <f ca="1">IFERROR(__xludf.DUMMYFUNCTION("""COMPUTED_VALUE"""),"Tổ Hạ tầng Tân An")</f>
        <v>Tổ Hạ tầng Tân An</v>
      </c>
      <c r="C1168" s="35" t="str">
        <f ca="1">IFERROR(__xludf.DUMMYFUNCTION("""COMPUTED_VALUE"""),"Nguyễn Thành Chí")</f>
        <v>Nguyễn Thành Chí</v>
      </c>
      <c r="D1168" s="35">
        <f ca="1">IFERROR(__xludf.DUMMYFUNCTION("""COMPUTED_VALUE"""),837012768)</f>
        <v>837012768</v>
      </c>
      <c r="E1168" s="35" t="str">
        <f ca="1">IFERROR(__xludf.DUMMYFUNCTION("""COMPUTED_VALUE"""),"chint.lan@vnpt.vn")</f>
        <v>chint.lan@vnpt.vn</v>
      </c>
      <c r="F1168" s="540" t="str">
        <f ca="1">IFERROR(__xludf.DUMMYFUNCTION("""COMPUTED_VALUE"""),"Lần 10")</f>
        <v>Lần 10</v>
      </c>
      <c r="G1168" s="278">
        <f ca="1">IFERROR(__xludf.DUMMYFUNCTION("""COMPUTED_VALUE"""),46209)</f>
        <v>46209</v>
      </c>
      <c r="H1168" s="35">
        <f ca="1">IFERROR(__xludf.DUMMYFUNCTION("""COMPUTED_VALUE"""),164)</f>
        <v>164</v>
      </c>
      <c r="I1168" s="35">
        <f ca="1">IFERROR(__xludf.DUMMYFUNCTION("""COMPUTED_VALUE"""),33)</f>
        <v>33</v>
      </c>
      <c r="J1168" s="541">
        <f ca="1">IFERROR(__xludf.DUMMYFUNCTION("""COMPUTED_VALUE"""),235)</f>
        <v>235</v>
      </c>
      <c r="K1168" s="541">
        <f ca="1">IFERROR(__xludf.DUMMYFUNCTION("""COMPUTED_VALUE"""),45.5)</f>
        <v>45.5</v>
      </c>
      <c r="M1168" s="539">
        <f ca="1">IFERROR(__xludf.DUMMYFUNCTION("""COMPUTED_VALUE"""),1)</f>
        <v>1</v>
      </c>
      <c r="N1168" s="539">
        <f ca="1">IFERROR(__xludf.DUMMYFUNCTION("""COMPUTED_VALUE"""),1)</f>
        <v>1</v>
      </c>
      <c r="O1168" s="539">
        <f ca="1">IFERROR(__xludf.DUMMYFUNCTION("""COMPUTED_VALUE"""),1)</f>
        <v>1</v>
      </c>
    </row>
    <row r="1169" spans="1:15" ht="12.75">
      <c r="A1169" s="539">
        <f ca="1"/>
        <v>1163</v>
      </c>
      <c r="B1169" s="35" t="str">
        <f ca="1">IFERROR(__xludf.DUMMYFUNCTION("""COMPUTED_VALUE"""),"Tổ Hạ tầng Tân An")</f>
        <v>Tổ Hạ tầng Tân An</v>
      </c>
      <c r="C1169" s="35" t="str">
        <f ca="1">IFERROR(__xludf.DUMMYFUNCTION("""COMPUTED_VALUE"""),"Nguyễn Thành Chí")</f>
        <v>Nguyễn Thành Chí</v>
      </c>
      <c r="D1169" s="35">
        <f ca="1">IFERROR(__xludf.DUMMYFUNCTION("""COMPUTED_VALUE"""),837012768)</f>
        <v>837012768</v>
      </c>
      <c r="E1169" s="35" t="str">
        <f ca="1">IFERROR(__xludf.DUMMYFUNCTION("""COMPUTED_VALUE"""),"chint.lan@vnpt.vn")</f>
        <v>chint.lan@vnpt.vn</v>
      </c>
      <c r="F1169" s="540" t="str">
        <f ca="1">IFERROR(__xludf.DUMMYFUNCTION("""COMPUTED_VALUE"""),"Lần 11")</f>
        <v>Lần 11</v>
      </c>
      <c r="G1169" s="278">
        <f ca="1">IFERROR(__xludf.DUMMYFUNCTION("""COMPUTED_VALUE"""),46217)</f>
        <v>46217</v>
      </c>
      <c r="H1169" s="35">
        <f ca="1">IFERROR(__xludf.DUMMYFUNCTION("""COMPUTED_VALUE"""),292.3)</f>
        <v>292.3</v>
      </c>
      <c r="I1169" s="35">
        <f ca="1">IFERROR(__xludf.DUMMYFUNCTION("""COMPUTED_VALUE"""),12.8)</f>
        <v>12.8</v>
      </c>
      <c r="J1169" s="541">
        <f ca="1">IFERROR(__xludf.DUMMYFUNCTION("""COMPUTED_VALUE"""),728)</f>
        <v>728</v>
      </c>
      <c r="K1169" s="541">
        <f ca="1">IFERROR(__xludf.DUMMYFUNCTION("""COMPUTED_VALUE"""),73.4)</f>
        <v>73.400000000000006</v>
      </c>
      <c r="M1169" s="539">
        <f ca="1">IFERROR(__xludf.DUMMYFUNCTION("""COMPUTED_VALUE"""),1)</f>
        <v>1</v>
      </c>
      <c r="N1169" s="539">
        <f ca="1">IFERROR(__xludf.DUMMYFUNCTION("""COMPUTED_VALUE"""),1)</f>
        <v>1</v>
      </c>
      <c r="O1169" s="539">
        <f ca="1">IFERROR(__xludf.DUMMYFUNCTION("""COMPUTED_VALUE"""),1)</f>
        <v>1</v>
      </c>
    </row>
    <row r="1170" spans="1:15" ht="12.75">
      <c r="A1170" s="539">
        <f ca="1"/>
        <v>1164</v>
      </c>
      <c r="B1170" s="35" t="str">
        <f ca="1">IFERROR(__xludf.DUMMYFUNCTION("""COMPUTED_VALUE"""),"Tổ Hạ tầng Tân An")</f>
        <v>Tổ Hạ tầng Tân An</v>
      </c>
      <c r="C1170" s="35" t="str">
        <f ca="1">IFERROR(__xludf.DUMMYFUNCTION("""COMPUTED_VALUE"""),"Nguyễn Thành Chí")</f>
        <v>Nguyễn Thành Chí</v>
      </c>
      <c r="D1170" s="35">
        <f ca="1">IFERROR(__xludf.DUMMYFUNCTION("""COMPUTED_VALUE"""),837012768)</f>
        <v>837012768</v>
      </c>
      <c r="E1170" s="35" t="str">
        <f ca="1">IFERROR(__xludf.DUMMYFUNCTION("""COMPUTED_VALUE"""),"chint.lan@vnpt.vn")</f>
        <v>chint.lan@vnpt.vn</v>
      </c>
      <c r="F1170" s="540" t="str">
        <f ca="1">IFERROR(__xludf.DUMMYFUNCTION("""COMPUTED_VALUE"""),"Lần 12")</f>
        <v>Lần 12</v>
      </c>
      <c r="G1170" s="278">
        <f ca="1">IFERROR(__xludf.DUMMYFUNCTION("""COMPUTED_VALUE"""),46217)</f>
        <v>46217</v>
      </c>
      <c r="H1170" s="35">
        <f ca="1">IFERROR(__xludf.DUMMYFUNCTION("""COMPUTED_VALUE"""),203.2)</f>
        <v>203.2</v>
      </c>
      <c r="I1170" s="35">
        <f ca="1">IFERROR(__xludf.DUMMYFUNCTION("""COMPUTED_VALUE"""),55.1)</f>
        <v>55.1</v>
      </c>
      <c r="J1170" s="541">
        <f ca="1">IFERROR(__xludf.DUMMYFUNCTION("""COMPUTED_VALUE"""),796)</f>
        <v>796</v>
      </c>
      <c r="K1170" s="541">
        <f ca="1">IFERROR(__xludf.DUMMYFUNCTION("""COMPUTED_VALUE"""),83.8)</f>
        <v>83.8</v>
      </c>
      <c r="M1170" s="539">
        <f ca="1">IFERROR(__xludf.DUMMYFUNCTION("""COMPUTED_VALUE"""),1)</f>
        <v>1</v>
      </c>
      <c r="N1170" s="539">
        <f ca="1">IFERROR(__xludf.DUMMYFUNCTION("""COMPUTED_VALUE"""),1)</f>
        <v>1</v>
      </c>
      <c r="O1170" s="539">
        <f ca="1">IFERROR(__xludf.DUMMYFUNCTION("""COMPUTED_VALUE"""),1)</f>
        <v>1</v>
      </c>
    </row>
    <row r="1171" spans="1:15" ht="12.75">
      <c r="A1171" s="539">
        <f ca="1"/>
        <v>1165</v>
      </c>
      <c r="B1171" s="35" t="str">
        <f ca="1">IFERROR(__xludf.DUMMYFUNCTION("""COMPUTED_VALUE"""),"Tổ Hạ tầng Tân An")</f>
        <v>Tổ Hạ tầng Tân An</v>
      </c>
      <c r="C1171" s="35" t="str">
        <f ca="1">IFERROR(__xludf.DUMMYFUNCTION("""COMPUTED_VALUE"""),"Nguyễn Thành Chí")</f>
        <v>Nguyễn Thành Chí</v>
      </c>
      <c r="D1171" s="35">
        <f ca="1">IFERROR(__xludf.DUMMYFUNCTION("""COMPUTED_VALUE"""),837012768)</f>
        <v>837012768</v>
      </c>
      <c r="E1171" s="35" t="str">
        <f ca="1">IFERROR(__xludf.DUMMYFUNCTION("""COMPUTED_VALUE"""),"chint.lan@vnpt.vn")</f>
        <v>chint.lan@vnpt.vn</v>
      </c>
      <c r="F1171" s="540" t="str">
        <f ca="1">IFERROR(__xludf.DUMMYFUNCTION("""COMPUTED_VALUE"""),"Lần 13")</f>
        <v>Lần 13</v>
      </c>
      <c r="G1171" s="278">
        <f ca="1">IFERROR(__xludf.DUMMYFUNCTION("""COMPUTED_VALUE"""),46217)</f>
        <v>46217</v>
      </c>
      <c r="H1171" s="35">
        <f ca="1">IFERROR(__xludf.DUMMYFUNCTION("""COMPUTED_VALUE"""),259.4)</f>
        <v>259.39999999999998</v>
      </c>
      <c r="I1171" s="35">
        <f ca="1">IFERROR(__xludf.DUMMYFUNCTION("""COMPUTED_VALUE"""),60.3)</f>
        <v>60.3</v>
      </c>
      <c r="J1171" s="541">
        <f ca="1">IFERROR(__xludf.DUMMYFUNCTION("""COMPUTED_VALUE"""),772)</f>
        <v>772</v>
      </c>
      <c r="K1171" s="541">
        <f ca="1">IFERROR(__xludf.DUMMYFUNCTION("""COMPUTED_VALUE"""),87.9)</f>
        <v>87.9</v>
      </c>
      <c r="M1171" s="539">
        <f ca="1">IFERROR(__xludf.DUMMYFUNCTION("""COMPUTED_VALUE"""),1)</f>
        <v>1</v>
      </c>
      <c r="N1171" s="539">
        <f ca="1">IFERROR(__xludf.DUMMYFUNCTION("""COMPUTED_VALUE"""),1)</f>
        <v>1</v>
      </c>
      <c r="O1171" s="539">
        <f ca="1">IFERROR(__xludf.DUMMYFUNCTION("""COMPUTED_VALUE"""),1)</f>
        <v>1</v>
      </c>
    </row>
    <row r="1172" spans="1:15" ht="12.75">
      <c r="A1172" s="539">
        <f ca="1"/>
        <v>1166</v>
      </c>
      <c r="B1172" s="35" t="str">
        <f ca="1">IFERROR(__xludf.DUMMYFUNCTION("""COMPUTED_VALUE"""),"Tổ Hạ tầng Tân An")</f>
        <v>Tổ Hạ tầng Tân An</v>
      </c>
      <c r="C1172" s="35" t="str">
        <f ca="1">IFERROR(__xludf.DUMMYFUNCTION("""COMPUTED_VALUE"""),"Nguyễn Thành Chí")</f>
        <v>Nguyễn Thành Chí</v>
      </c>
      <c r="D1172" s="35">
        <f ca="1">IFERROR(__xludf.DUMMYFUNCTION("""COMPUTED_VALUE"""),837012768)</f>
        <v>837012768</v>
      </c>
      <c r="E1172" s="35" t="str">
        <f ca="1">IFERROR(__xludf.DUMMYFUNCTION("""COMPUTED_VALUE"""),"chint.lan@vnpt.vn")</f>
        <v>chint.lan@vnpt.vn</v>
      </c>
      <c r="F1172" s="540" t="str">
        <f ca="1">IFERROR(__xludf.DUMMYFUNCTION("""COMPUTED_VALUE"""),"Lần 14")</f>
        <v>Lần 14</v>
      </c>
      <c r="G1172" s="278">
        <f ca="1">IFERROR(__xludf.DUMMYFUNCTION("""COMPUTED_VALUE"""),46217)</f>
        <v>46217</v>
      </c>
      <c r="H1172" s="35">
        <f ca="1">IFERROR(__xludf.DUMMYFUNCTION("""COMPUTED_VALUE"""),239)</f>
        <v>239</v>
      </c>
      <c r="I1172" s="35">
        <f ca="1">IFERROR(__xludf.DUMMYFUNCTION("""COMPUTED_VALUE"""),54.7)</f>
        <v>54.7</v>
      </c>
      <c r="J1172" s="541">
        <f ca="1">IFERROR(__xludf.DUMMYFUNCTION("""COMPUTED_VALUE"""),709)</f>
        <v>709</v>
      </c>
      <c r="K1172" s="541">
        <f ca="1">IFERROR(__xludf.DUMMYFUNCTION("""COMPUTED_VALUE"""),62.4)</f>
        <v>62.4</v>
      </c>
      <c r="M1172" s="539">
        <f ca="1">IFERROR(__xludf.DUMMYFUNCTION("""COMPUTED_VALUE"""),1)</f>
        <v>1</v>
      </c>
      <c r="N1172" s="539">
        <f ca="1">IFERROR(__xludf.DUMMYFUNCTION("""COMPUTED_VALUE"""),1)</f>
        <v>1</v>
      </c>
      <c r="O1172" s="539">
        <f ca="1">IFERROR(__xludf.DUMMYFUNCTION("""COMPUTED_VALUE"""),1)</f>
        <v>1</v>
      </c>
    </row>
    <row r="1173" spans="1:15" ht="12.75">
      <c r="A1173" s="539">
        <f ca="1"/>
        <v>1167</v>
      </c>
      <c r="B1173" s="35" t="str">
        <f ca="1">IFERROR(__xludf.DUMMYFUNCTION("""COMPUTED_VALUE"""),"Tổ Hạ tầng Tân An")</f>
        <v>Tổ Hạ tầng Tân An</v>
      </c>
      <c r="C1173" s="35" t="str">
        <f ca="1">IFERROR(__xludf.DUMMYFUNCTION("""COMPUTED_VALUE"""),"Nguyễn Thành Chí")</f>
        <v>Nguyễn Thành Chí</v>
      </c>
      <c r="D1173" s="35">
        <f ca="1">IFERROR(__xludf.DUMMYFUNCTION("""COMPUTED_VALUE"""),837012768)</f>
        <v>837012768</v>
      </c>
      <c r="E1173" s="35" t="str">
        <f ca="1">IFERROR(__xludf.DUMMYFUNCTION("""COMPUTED_VALUE"""),"chint.lan@vnpt.vn")</f>
        <v>chint.lan@vnpt.vn</v>
      </c>
      <c r="F1173" s="540" t="str">
        <f ca="1">IFERROR(__xludf.DUMMYFUNCTION("""COMPUTED_VALUE"""),"Lần 15")</f>
        <v>Lần 15</v>
      </c>
      <c r="G1173" s="278">
        <f ca="1">IFERROR(__xludf.DUMMYFUNCTION("""COMPUTED_VALUE"""),46217)</f>
        <v>46217</v>
      </c>
      <c r="H1173" s="35">
        <f ca="1">IFERROR(__xludf.DUMMYFUNCTION("""COMPUTED_VALUE"""),174.7)</f>
        <v>174.7</v>
      </c>
      <c r="I1173" s="35">
        <f ca="1">IFERROR(__xludf.DUMMYFUNCTION("""COMPUTED_VALUE"""),59)</f>
        <v>59</v>
      </c>
      <c r="J1173" s="541">
        <f ca="1">IFERROR(__xludf.DUMMYFUNCTION("""COMPUTED_VALUE"""),828)</f>
        <v>828</v>
      </c>
      <c r="K1173" s="541">
        <f ca="1">IFERROR(__xludf.DUMMYFUNCTION("""COMPUTED_VALUE"""),71.6)</f>
        <v>71.599999999999994</v>
      </c>
      <c r="M1173" s="539">
        <f ca="1">IFERROR(__xludf.DUMMYFUNCTION("""COMPUTED_VALUE"""),1)</f>
        <v>1</v>
      </c>
      <c r="N1173" s="539">
        <f ca="1">IFERROR(__xludf.DUMMYFUNCTION("""COMPUTED_VALUE"""),1)</f>
        <v>1</v>
      </c>
      <c r="O1173" s="539">
        <f ca="1">IFERROR(__xludf.DUMMYFUNCTION("""COMPUTED_VALUE"""),1)</f>
        <v>1</v>
      </c>
    </row>
    <row r="1174" spans="1:15" ht="12.75">
      <c r="A1174" s="539">
        <f ca="1"/>
        <v>1168</v>
      </c>
      <c r="B1174" s="35" t="str">
        <f ca="1">IFERROR(__xludf.DUMMYFUNCTION("""COMPUTED_VALUE"""),"Tổ Hạ tầng Tân An")</f>
        <v>Tổ Hạ tầng Tân An</v>
      </c>
      <c r="C1174" s="35" t="str">
        <f ca="1">IFERROR(__xludf.DUMMYFUNCTION("""COMPUTED_VALUE"""),"Nguyễn Thành Chí")</f>
        <v>Nguyễn Thành Chí</v>
      </c>
      <c r="D1174" s="35">
        <f ca="1">IFERROR(__xludf.DUMMYFUNCTION("""COMPUTED_VALUE"""),837012768)</f>
        <v>837012768</v>
      </c>
      <c r="E1174" s="35" t="str">
        <f ca="1">IFERROR(__xludf.DUMMYFUNCTION("""COMPUTED_VALUE"""),"chint.lan@vnpt.vn")</f>
        <v>chint.lan@vnpt.vn</v>
      </c>
      <c r="F1174" s="540" t="str">
        <f ca="1">IFERROR(__xludf.DUMMYFUNCTION("""COMPUTED_VALUE"""),"Lần 16")</f>
        <v>Lần 16</v>
      </c>
      <c r="G1174" s="278">
        <f ca="1">IFERROR(__xludf.DUMMYFUNCTION("""COMPUTED_VALUE"""),46217)</f>
        <v>46217</v>
      </c>
      <c r="H1174" s="35">
        <f ca="1">IFERROR(__xludf.DUMMYFUNCTION("""COMPUTED_VALUE"""),232.7)</f>
        <v>232.7</v>
      </c>
      <c r="I1174" s="35">
        <f ca="1">IFERROR(__xludf.DUMMYFUNCTION("""COMPUTED_VALUE"""),39.1)</f>
        <v>39.1</v>
      </c>
      <c r="J1174" s="541">
        <f ca="1">IFERROR(__xludf.DUMMYFUNCTION("""COMPUTED_VALUE"""),837)</f>
        <v>837</v>
      </c>
      <c r="K1174" s="541">
        <f ca="1">IFERROR(__xludf.DUMMYFUNCTION("""COMPUTED_VALUE"""),62.7)</f>
        <v>62.7</v>
      </c>
      <c r="M1174" s="539">
        <f ca="1">IFERROR(__xludf.DUMMYFUNCTION("""COMPUTED_VALUE"""),1)</f>
        <v>1</v>
      </c>
      <c r="N1174" s="539">
        <f ca="1">IFERROR(__xludf.DUMMYFUNCTION("""COMPUTED_VALUE"""),1)</f>
        <v>1</v>
      </c>
      <c r="O1174" s="539">
        <f ca="1">IFERROR(__xludf.DUMMYFUNCTION("""COMPUTED_VALUE"""),1)</f>
        <v>1</v>
      </c>
    </row>
    <row r="1175" spans="1:15" ht="12.75">
      <c r="A1175" s="539">
        <f ca="1"/>
        <v>1169</v>
      </c>
      <c r="B1175" s="35" t="str">
        <f ca="1">IFERROR(__xludf.DUMMYFUNCTION("""COMPUTED_VALUE"""),"Tổ Hạ tầng Tân An")</f>
        <v>Tổ Hạ tầng Tân An</v>
      </c>
      <c r="C1175" s="35" t="str">
        <f ca="1">IFERROR(__xludf.DUMMYFUNCTION("""COMPUTED_VALUE"""),"Bùi Thanh Sương")</f>
        <v>Bùi Thanh Sương</v>
      </c>
      <c r="D1175" s="35">
        <f ca="1">IFERROR(__xludf.DUMMYFUNCTION("""COMPUTED_VALUE"""),817385078)</f>
        <v>817385078</v>
      </c>
      <c r="E1175" s="35" t="str">
        <f ca="1">IFERROR(__xludf.DUMMYFUNCTION("""COMPUTED_VALUE"""),"btsuong.lan@vnpt.vn")</f>
        <v>btsuong.lan@vnpt.vn</v>
      </c>
      <c r="F1175" s="540" t="str">
        <f ca="1">IFERROR(__xludf.DUMMYFUNCTION("""COMPUTED_VALUE"""),"Lần 1")</f>
        <v>Lần 1</v>
      </c>
      <c r="G1175" s="278">
        <f ca="1">IFERROR(__xludf.DUMMYFUNCTION("""COMPUTED_VALUE"""),46204)</f>
        <v>46204</v>
      </c>
      <c r="H1175" s="35">
        <f ca="1">IFERROR(__xludf.DUMMYFUNCTION("""COMPUTED_VALUE"""),561)</f>
        <v>561</v>
      </c>
      <c r="I1175" s="35">
        <f ca="1">IFERROR(__xludf.DUMMYFUNCTION("""COMPUTED_VALUE"""),100)</f>
        <v>100</v>
      </c>
      <c r="J1175" s="541">
        <f ca="1">IFERROR(__xludf.DUMMYFUNCTION("""COMPUTED_VALUE"""),886)</f>
        <v>886</v>
      </c>
      <c r="K1175" s="35">
        <f ca="1">IFERROR(__xludf.DUMMYFUNCTION("""COMPUTED_VALUE"""),90)</f>
        <v>90</v>
      </c>
      <c r="M1175" s="539">
        <f ca="1">IFERROR(__xludf.DUMMYFUNCTION("""COMPUTED_VALUE"""),1)</f>
        <v>1</v>
      </c>
      <c r="N1175" s="539">
        <f ca="1">IFERROR(__xludf.DUMMYFUNCTION("""COMPUTED_VALUE"""),1)</f>
        <v>1</v>
      </c>
      <c r="O1175" s="539">
        <f ca="1">IFERROR(__xludf.DUMMYFUNCTION("""COMPUTED_VALUE"""),1)</f>
        <v>1</v>
      </c>
    </row>
    <row r="1176" spans="1:15" ht="12.75">
      <c r="A1176" s="539">
        <f ca="1"/>
        <v>1170</v>
      </c>
      <c r="B1176" s="35" t="str">
        <f ca="1">IFERROR(__xludf.DUMMYFUNCTION("""COMPUTED_VALUE"""),"Tổ Hạ tầng Tân An")</f>
        <v>Tổ Hạ tầng Tân An</v>
      </c>
      <c r="C1176" s="35" t="str">
        <f ca="1">IFERROR(__xludf.DUMMYFUNCTION("""COMPUTED_VALUE"""),"Bùi Thanh Sương")</f>
        <v>Bùi Thanh Sương</v>
      </c>
      <c r="D1176" s="35">
        <f ca="1">IFERROR(__xludf.DUMMYFUNCTION("""COMPUTED_VALUE"""),817385078)</f>
        <v>817385078</v>
      </c>
      <c r="E1176" s="35" t="str">
        <f ca="1">IFERROR(__xludf.DUMMYFUNCTION("""COMPUTED_VALUE"""),"btsuong.lan@vnpt.vn")</f>
        <v>btsuong.lan@vnpt.vn</v>
      </c>
      <c r="F1176" s="540" t="str">
        <f ca="1">IFERROR(__xludf.DUMMYFUNCTION("""COMPUTED_VALUE"""),"Lần 2")</f>
        <v>Lần 2</v>
      </c>
      <c r="G1176" s="278">
        <f ca="1">IFERROR(__xludf.DUMMYFUNCTION("""COMPUTED_VALUE"""),46204)</f>
        <v>46204</v>
      </c>
      <c r="H1176" s="35">
        <f ca="1">IFERROR(__xludf.DUMMYFUNCTION("""COMPUTED_VALUE"""),574)</f>
        <v>574</v>
      </c>
      <c r="I1176" s="35">
        <f ca="1">IFERROR(__xludf.DUMMYFUNCTION("""COMPUTED_VALUE"""),84)</f>
        <v>84</v>
      </c>
      <c r="J1176" s="541">
        <f ca="1">IFERROR(__xludf.DUMMYFUNCTION("""COMPUTED_VALUE"""),618)</f>
        <v>618</v>
      </c>
      <c r="K1176" s="35">
        <f ca="1">IFERROR(__xludf.DUMMYFUNCTION("""COMPUTED_VALUE"""),96)</f>
        <v>96</v>
      </c>
      <c r="M1176" s="539">
        <f ca="1">IFERROR(__xludf.DUMMYFUNCTION("""COMPUTED_VALUE"""),1)</f>
        <v>1</v>
      </c>
      <c r="N1176" s="539">
        <f ca="1">IFERROR(__xludf.DUMMYFUNCTION("""COMPUTED_VALUE"""),1)</f>
        <v>1</v>
      </c>
      <c r="O1176" s="539">
        <f ca="1">IFERROR(__xludf.DUMMYFUNCTION("""COMPUTED_VALUE"""),1)</f>
        <v>1</v>
      </c>
    </row>
    <row r="1177" spans="1:15" ht="12.75">
      <c r="A1177" s="539">
        <f ca="1"/>
        <v>1171</v>
      </c>
      <c r="B1177" s="35" t="str">
        <f ca="1">IFERROR(__xludf.DUMMYFUNCTION("""COMPUTED_VALUE"""),"Tổ Hạ tầng Tân An")</f>
        <v>Tổ Hạ tầng Tân An</v>
      </c>
      <c r="C1177" s="35" t="str">
        <f ca="1">IFERROR(__xludf.DUMMYFUNCTION("""COMPUTED_VALUE"""),"Bùi Thanh Sương")</f>
        <v>Bùi Thanh Sương</v>
      </c>
      <c r="D1177" s="35">
        <f ca="1">IFERROR(__xludf.DUMMYFUNCTION("""COMPUTED_VALUE"""),817385078)</f>
        <v>817385078</v>
      </c>
      <c r="E1177" s="35" t="str">
        <f ca="1">IFERROR(__xludf.DUMMYFUNCTION("""COMPUTED_VALUE"""),"btsuong.lan@vnpt.vn")</f>
        <v>btsuong.lan@vnpt.vn</v>
      </c>
      <c r="F1177" s="540" t="str">
        <f ca="1">IFERROR(__xludf.DUMMYFUNCTION("""COMPUTED_VALUE"""),"Lần 3")</f>
        <v>Lần 3</v>
      </c>
      <c r="G1177" s="278">
        <f ca="1">IFERROR(__xludf.DUMMYFUNCTION("""COMPUTED_VALUE"""),46205)</f>
        <v>46205</v>
      </c>
      <c r="H1177" s="35">
        <f ca="1">IFERROR(__xludf.DUMMYFUNCTION("""COMPUTED_VALUE"""),292)</f>
        <v>292</v>
      </c>
      <c r="I1177" s="35">
        <f ca="1">IFERROR(__xludf.DUMMYFUNCTION("""COMPUTED_VALUE"""),50)</f>
        <v>50</v>
      </c>
      <c r="J1177" s="541">
        <f ca="1">IFERROR(__xludf.DUMMYFUNCTION("""COMPUTED_VALUE"""),1074)</f>
        <v>1074</v>
      </c>
      <c r="K1177" s="35">
        <f ca="1">IFERROR(__xludf.DUMMYFUNCTION("""COMPUTED_VALUE"""),99)</f>
        <v>99</v>
      </c>
      <c r="M1177" s="539">
        <f ca="1">IFERROR(__xludf.DUMMYFUNCTION("""COMPUTED_VALUE"""),1)</f>
        <v>1</v>
      </c>
      <c r="N1177" s="539">
        <f ca="1">IFERROR(__xludf.DUMMYFUNCTION("""COMPUTED_VALUE"""),1)</f>
        <v>1</v>
      </c>
      <c r="O1177" s="539">
        <f ca="1">IFERROR(__xludf.DUMMYFUNCTION("""COMPUTED_VALUE"""),1)</f>
        <v>1</v>
      </c>
    </row>
    <row r="1178" spans="1:15" ht="12.75">
      <c r="A1178" s="539">
        <f ca="1"/>
        <v>1172</v>
      </c>
      <c r="B1178" s="35" t="str">
        <f ca="1">IFERROR(__xludf.DUMMYFUNCTION("""COMPUTED_VALUE"""),"Tổ Hạ tầng Tân An")</f>
        <v>Tổ Hạ tầng Tân An</v>
      </c>
      <c r="C1178" s="35" t="str">
        <f ca="1">IFERROR(__xludf.DUMMYFUNCTION("""COMPUTED_VALUE"""),"Bùi Thanh Sương")</f>
        <v>Bùi Thanh Sương</v>
      </c>
      <c r="D1178" s="35">
        <f ca="1">IFERROR(__xludf.DUMMYFUNCTION("""COMPUTED_VALUE"""),817385078)</f>
        <v>817385078</v>
      </c>
      <c r="E1178" s="35" t="str">
        <f ca="1">IFERROR(__xludf.DUMMYFUNCTION("""COMPUTED_VALUE"""),"btsuong.lan@vnpt.vn")</f>
        <v>btsuong.lan@vnpt.vn</v>
      </c>
      <c r="F1178" s="540" t="str">
        <f ca="1">IFERROR(__xludf.DUMMYFUNCTION("""COMPUTED_VALUE"""),"Lần 4")</f>
        <v>Lần 4</v>
      </c>
      <c r="G1178" s="278">
        <f ca="1">IFERROR(__xludf.DUMMYFUNCTION("""COMPUTED_VALUE"""),46205)</f>
        <v>46205</v>
      </c>
      <c r="H1178" s="35">
        <f ca="1">IFERROR(__xludf.DUMMYFUNCTION("""COMPUTED_VALUE"""),146)</f>
        <v>146</v>
      </c>
      <c r="I1178" s="35">
        <f ca="1">IFERROR(__xludf.DUMMYFUNCTION("""COMPUTED_VALUE"""),40)</f>
        <v>40</v>
      </c>
      <c r="J1178" s="541">
        <f ca="1">IFERROR(__xludf.DUMMYFUNCTION("""COMPUTED_VALUE"""),998)</f>
        <v>998</v>
      </c>
      <c r="K1178" s="541">
        <f ca="1">IFERROR(__xludf.DUMMYFUNCTION("""COMPUTED_VALUE"""),110)</f>
        <v>110</v>
      </c>
      <c r="M1178" s="539">
        <f ca="1">IFERROR(__xludf.DUMMYFUNCTION("""COMPUTED_VALUE"""),1)</f>
        <v>1</v>
      </c>
      <c r="N1178" s="539">
        <f ca="1">IFERROR(__xludf.DUMMYFUNCTION("""COMPUTED_VALUE"""),1)</f>
        <v>1</v>
      </c>
      <c r="O1178" s="539">
        <f ca="1">IFERROR(__xludf.DUMMYFUNCTION("""COMPUTED_VALUE"""),1)</f>
        <v>1</v>
      </c>
    </row>
    <row r="1179" spans="1:15" ht="12.75">
      <c r="A1179" s="539">
        <f ca="1"/>
        <v>1173</v>
      </c>
      <c r="B1179" s="35" t="str">
        <f ca="1">IFERROR(__xludf.DUMMYFUNCTION("""COMPUTED_VALUE"""),"Tổ Hạ tầng Tân An")</f>
        <v>Tổ Hạ tầng Tân An</v>
      </c>
      <c r="C1179" s="35" t="str">
        <f ca="1">IFERROR(__xludf.DUMMYFUNCTION("""COMPUTED_VALUE"""),"Bùi Thanh Sương")</f>
        <v>Bùi Thanh Sương</v>
      </c>
      <c r="D1179" s="35">
        <f ca="1">IFERROR(__xludf.DUMMYFUNCTION("""COMPUTED_VALUE"""),817385078)</f>
        <v>817385078</v>
      </c>
      <c r="E1179" s="35" t="str">
        <f ca="1">IFERROR(__xludf.DUMMYFUNCTION("""COMPUTED_VALUE"""),"btsuong.lan@vnpt.vn")</f>
        <v>btsuong.lan@vnpt.vn</v>
      </c>
      <c r="F1179" s="540" t="str">
        <f ca="1">IFERROR(__xludf.DUMMYFUNCTION("""COMPUTED_VALUE"""),"Lần 5")</f>
        <v>Lần 5</v>
      </c>
      <c r="G1179" s="278">
        <f ca="1">IFERROR(__xludf.DUMMYFUNCTION("""COMPUTED_VALUE"""),59354)</f>
        <v>59354</v>
      </c>
      <c r="H1179" s="35">
        <f ca="1">IFERROR(__xludf.DUMMYFUNCTION("""COMPUTED_VALUE"""),155)</f>
        <v>155</v>
      </c>
      <c r="I1179" s="35">
        <f ca="1">IFERROR(__xludf.DUMMYFUNCTION("""COMPUTED_VALUE"""),36)</f>
        <v>36</v>
      </c>
      <c r="J1179" s="541">
        <f ca="1">IFERROR(__xludf.DUMMYFUNCTION("""COMPUTED_VALUE"""),1013)</f>
        <v>1013</v>
      </c>
      <c r="K1179" s="541">
        <f ca="1">IFERROR(__xludf.DUMMYFUNCTION("""COMPUTED_VALUE"""),109)</f>
        <v>109</v>
      </c>
      <c r="M1179" s="539">
        <f ca="1">IFERROR(__xludf.DUMMYFUNCTION("""COMPUTED_VALUE"""),1)</f>
        <v>1</v>
      </c>
      <c r="N1179" s="539">
        <f ca="1">IFERROR(__xludf.DUMMYFUNCTION("""COMPUTED_VALUE"""),1)</f>
        <v>1</v>
      </c>
      <c r="O1179" s="539">
        <f ca="1">IFERROR(__xludf.DUMMYFUNCTION("""COMPUTED_VALUE"""),1)</f>
        <v>1</v>
      </c>
    </row>
    <row r="1180" spans="1:15" ht="12.75">
      <c r="A1180" s="539">
        <f ca="1"/>
        <v>1174</v>
      </c>
      <c r="B1180" s="35" t="str">
        <f ca="1">IFERROR(__xludf.DUMMYFUNCTION("""COMPUTED_VALUE"""),"Tổ Hạ tầng Tân An")</f>
        <v>Tổ Hạ tầng Tân An</v>
      </c>
      <c r="C1180" s="35" t="str">
        <f ca="1">IFERROR(__xludf.DUMMYFUNCTION("""COMPUTED_VALUE"""),"Bùi Thanh Sương")</f>
        <v>Bùi Thanh Sương</v>
      </c>
      <c r="D1180" s="35">
        <f ca="1">IFERROR(__xludf.DUMMYFUNCTION("""COMPUTED_VALUE"""),817385078)</f>
        <v>817385078</v>
      </c>
      <c r="E1180" s="35" t="str">
        <f ca="1">IFERROR(__xludf.DUMMYFUNCTION("""COMPUTED_VALUE"""),"btsuong.lan@vnpt.vn")</f>
        <v>btsuong.lan@vnpt.vn</v>
      </c>
      <c r="F1180" s="540" t="str">
        <f ca="1">IFERROR(__xludf.DUMMYFUNCTION("""COMPUTED_VALUE"""),"Lần 6")</f>
        <v>Lần 6</v>
      </c>
      <c r="G1180" s="278">
        <f ca="1">IFERROR(__xludf.DUMMYFUNCTION("""COMPUTED_VALUE"""),46209)</f>
        <v>46209</v>
      </c>
      <c r="H1180" s="35">
        <f ca="1">IFERROR(__xludf.DUMMYFUNCTION("""COMPUTED_VALUE"""),281)</f>
        <v>281</v>
      </c>
      <c r="I1180" s="35">
        <f ca="1">IFERROR(__xludf.DUMMYFUNCTION("""COMPUTED_VALUE"""),86)</f>
        <v>86</v>
      </c>
      <c r="J1180" s="541">
        <f ca="1">IFERROR(__xludf.DUMMYFUNCTION("""COMPUTED_VALUE"""),571)</f>
        <v>571</v>
      </c>
      <c r="K1180" s="541">
        <f ca="1">IFERROR(__xludf.DUMMYFUNCTION("""COMPUTED_VALUE"""),128)</f>
        <v>128</v>
      </c>
      <c r="M1180" s="539">
        <f ca="1">IFERROR(__xludf.DUMMYFUNCTION("""COMPUTED_VALUE"""),1)</f>
        <v>1</v>
      </c>
      <c r="N1180" s="539">
        <f ca="1">IFERROR(__xludf.DUMMYFUNCTION("""COMPUTED_VALUE"""),1)</f>
        <v>1</v>
      </c>
      <c r="O1180" s="539">
        <f ca="1">IFERROR(__xludf.DUMMYFUNCTION("""COMPUTED_VALUE"""),1)</f>
        <v>1</v>
      </c>
    </row>
    <row r="1181" spans="1:15" ht="12.75">
      <c r="A1181" s="539">
        <f ca="1"/>
        <v>1175</v>
      </c>
      <c r="B1181" s="35" t="str">
        <f ca="1">IFERROR(__xludf.DUMMYFUNCTION("""COMPUTED_VALUE"""),"Tổ Hạ tầng Tân An")</f>
        <v>Tổ Hạ tầng Tân An</v>
      </c>
      <c r="C1181" s="35" t="str">
        <f ca="1">IFERROR(__xludf.DUMMYFUNCTION("""COMPUTED_VALUE"""),"Bùi Thanh Sương")</f>
        <v>Bùi Thanh Sương</v>
      </c>
      <c r="D1181" s="35">
        <f ca="1">IFERROR(__xludf.DUMMYFUNCTION("""COMPUTED_VALUE"""),817385078)</f>
        <v>817385078</v>
      </c>
      <c r="E1181" s="35" t="str">
        <f ca="1">IFERROR(__xludf.DUMMYFUNCTION("""COMPUTED_VALUE"""),"btsuong.lan@vnpt.vn")</f>
        <v>btsuong.lan@vnpt.vn</v>
      </c>
      <c r="F1181" s="540" t="str">
        <f ca="1">IFERROR(__xludf.DUMMYFUNCTION("""COMPUTED_VALUE"""),"Lần 7")</f>
        <v>Lần 7</v>
      </c>
      <c r="G1181" s="278">
        <f ca="1">IFERROR(__xludf.DUMMYFUNCTION("""COMPUTED_VALUE"""),46209)</f>
        <v>46209</v>
      </c>
      <c r="H1181" s="35">
        <f ca="1">IFERROR(__xludf.DUMMYFUNCTION("""COMPUTED_VALUE"""),208)</f>
        <v>208</v>
      </c>
      <c r="I1181" s="35">
        <f ca="1">IFERROR(__xludf.DUMMYFUNCTION("""COMPUTED_VALUE"""),107)</f>
        <v>107</v>
      </c>
      <c r="J1181" s="541">
        <f ca="1">IFERROR(__xludf.DUMMYFUNCTION("""COMPUTED_VALUE"""),803)</f>
        <v>803</v>
      </c>
      <c r="K1181" s="541">
        <f ca="1">IFERROR(__xludf.DUMMYFUNCTION("""COMPUTED_VALUE"""),133)</f>
        <v>133</v>
      </c>
      <c r="M1181" s="539">
        <f ca="1">IFERROR(__xludf.DUMMYFUNCTION("""COMPUTED_VALUE"""),1)</f>
        <v>1</v>
      </c>
      <c r="N1181" s="539">
        <f ca="1">IFERROR(__xludf.DUMMYFUNCTION("""COMPUTED_VALUE"""),1)</f>
        <v>1</v>
      </c>
      <c r="O1181" s="539">
        <f ca="1">IFERROR(__xludf.DUMMYFUNCTION("""COMPUTED_VALUE"""),1)</f>
        <v>1</v>
      </c>
    </row>
    <row r="1182" spans="1:15" ht="12.75">
      <c r="A1182" s="539">
        <f ca="1"/>
        <v>1176</v>
      </c>
      <c r="B1182" s="35" t="str">
        <f ca="1">IFERROR(__xludf.DUMMYFUNCTION("""COMPUTED_VALUE"""),"Tổ Hạ tầng Tân An")</f>
        <v>Tổ Hạ tầng Tân An</v>
      </c>
      <c r="C1182" s="35" t="str">
        <f ca="1">IFERROR(__xludf.DUMMYFUNCTION("""COMPUTED_VALUE"""),"Bùi Thanh Sương")</f>
        <v>Bùi Thanh Sương</v>
      </c>
      <c r="D1182" s="35">
        <f ca="1">IFERROR(__xludf.DUMMYFUNCTION("""COMPUTED_VALUE"""),817385078)</f>
        <v>817385078</v>
      </c>
      <c r="E1182" s="35" t="str">
        <f ca="1">IFERROR(__xludf.DUMMYFUNCTION("""COMPUTED_VALUE"""),"btsuong.lan@vnpt.vn")</f>
        <v>btsuong.lan@vnpt.vn</v>
      </c>
      <c r="F1182" s="540" t="str">
        <f ca="1">IFERROR(__xludf.DUMMYFUNCTION("""COMPUTED_VALUE"""),"Lần 8")</f>
        <v>Lần 8</v>
      </c>
      <c r="G1182" s="278">
        <f ca="1">IFERROR(__xludf.DUMMYFUNCTION("""COMPUTED_VALUE"""),46209)</f>
        <v>46209</v>
      </c>
      <c r="H1182" s="35">
        <f ca="1">IFERROR(__xludf.DUMMYFUNCTION("""COMPUTED_VALUE"""),285)</f>
        <v>285</v>
      </c>
      <c r="I1182" s="35">
        <f ca="1">IFERROR(__xludf.DUMMYFUNCTION("""COMPUTED_VALUE"""),93)</f>
        <v>93</v>
      </c>
      <c r="J1182" s="541">
        <f ca="1">IFERROR(__xludf.DUMMYFUNCTION("""COMPUTED_VALUE"""),760)</f>
        <v>760</v>
      </c>
      <c r="K1182" s="541">
        <f ca="1">IFERROR(__xludf.DUMMYFUNCTION("""COMPUTED_VALUE"""),136)</f>
        <v>136</v>
      </c>
      <c r="M1182" s="539">
        <f ca="1">IFERROR(__xludf.DUMMYFUNCTION("""COMPUTED_VALUE"""),1)</f>
        <v>1</v>
      </c>
      <c r="N1182" s="539">
        <f ca="1">IFERROR(__xludf.DUMMYFUNCTION("""COMPUTED_VALUE"""),1)</f>
        <v>1</v>
      </c>
      <c r="O1182" s="539">
        <f ca="1">IFERROR(__xludf.DUMMYFUNCTION("""COMPUTED_VALUE"""),1)</f>
        <v>1</v>
      </c>
    </row>
    <row r="1183" spans="1:15" ht="12.75">
      <c r="A1183" s="539">
        <f ca="1"/>
        <v>1177</v>
      </c>
      <c r="B1183" s="35" t="str">
        <f ca="1">IFERROR(__xludf.DUMMYFUNCTION("""COMPUTED_VALUE"""),"Tổ Hạ tầng Tân An")</f>
        <v>Tổ Hạ tầng Tân An</v>
      </c>
      <c r="C1183" s="35" t="str">
        <f ca="1">IFERROR(__xludf.DUMMYFUNCTION("""COMPUTED_VALUE"""),"Bùi Thanh Sương")</f>
        <v>Bùi Thanh Sương</v>
      </c>
      <c r="D1183" s="35">
        <f ca="1">IFERROR(__xludf.DUMMYFUNCTION("""COMPUTED_VALUE"""),817385078)</f>
        <v>817385078</v>
      </c>
      <c r="E1183" s="35" t="str">
        <f ca="1">IFERROR(__xludf.DUMMYFUNCTION("""COMPUTED_VALUE"""),"btsuong.lan@vnpt.vn")</f>
        <v>btsuong.lan@vnpt.vn</v>
      </c>
      <c r="F1183" s="540" t="str">
        <f ca="1">IFERROR(__xludf.DUMMYFUNCTION("""COMPUTED_VALUE"""),"Lần 9")</f>
        <v>Lần 9</v>
      </c>
      <c r="G1183" s="278">
        <f ca="1">IFERROR(__xludf.DUMMYFUNCTION("""COMPUTED_VALUE"""),46215)</f>
        <v>46215</v>
      </c>
      <c r="H1183" s="35">
        <f ca="1">IFERROR(__xludf.DUMMYFUNCTION("""COMPUTED_VALUE"""),351)</f>
        <v>351</v>
      </c>
      <c r="I1183" s="35">
        <f ca="1">IFERROR(__xludf.DUMMYFUNCTION("""COMPUTED_VALUE"""),81)</f>
        <v>81</v>
      </c>
      <c r="J1183" s="541">
        <f ca="1">IFERROR(__xludf.DUMMYFUNCTION("""COMPUTED_VALUE"""),737)</f>
        <v>737</v>
      </c>
      <c r="K1183" s="541">
        <f ca="1">IFERROR(__xludf.DUMMYFUNCTION("""COMPUTED_VALUE"""),81)</f>
        <v>81</v>
      </c>
      <c r="M1183" s="539">
        <f ca="1">IFERROR(__xludf.DUMMYFUNCTION("""COMPUTED_VALUE"""),1)</f>
        <v>1</v>
      </c>
      <c r="N1183" s="539">
        <f ca="1">IFERROR(__xludf.DUMMYFUNCTION("""COMPUTED_VALUE"""),1)</f>
        <v>1</v>
      </c>
      <c r="O1183" s="539">
        <f ca="1">IFERROR(__xludf.DUMMYFUNCTION("""COMPUTED_VALUE"""),1)</f>
        <v>1</v>
      </c>
    </row>
    <row r="1184" spans="1:15" ht="12.75">
      <c r="A1184" s="539">
        <f ca="1"/>
        <v>1178</v>
      </c>
      <c r="B1184" s="35" t="str">
        <f ca="1">IFERROR(__xludf.DUMMYFUNCTION("""COMPUTED_VALUE"""),"Tổ Hạ tầng Tân An")</f>
        <v>Tổ Hạ tầng Tân An</v>
      </c>
      <c r="C1184" s="35" t="str">
        <f ca="1">IFERROR(__xludf.DUMMYFUNCTION("""COMPUTED_VALUE"""),"Bùi Thanh Sương")</f>
        <v>Bùi Thanh Sương</v>
      </c>
      <c r="D1184" s="35">
        <f ca="1">IFERROR(__xludf.DUMMYFUNCTION("""COMPUTED_VALUE"""),817385078)</f>
        <v>817385078</v>
      </c>
      <c r="E1184" s="35" t="str">
        <f ca="1">IFERROR(__xludf.DUMMYFUNCTION("""COMPUTED_VALUE"""),"btsuong.lan@vnpt.vn")</f>
        <v>btsuong.lan@vnpt.vn</v>
      </c>
      <c r="F1184" s="540" t="str">
        <f ca="1">IFERROR(__xludf.DUMMYFUNCTION("""COMPUTED_VALUE"""),"Lần 10")</f>
        <v>Lần 10</v>
      </c>
      <c r="G1184" s="278">
        <f ca="1">IFERROR(__xludf.DUMMYFUNCTION("""COMPUTED_VALUE"""),46215)</f>
        <v>46215</v>
      </c>
      <c r="H1184" s="35">
        <f ca="1">IFERROR(__xludf.DUMMYFUNCTION("""COMPUTED_VALUE"""),257)</f>
        <v>257</v>
      </c>
      <c r="I1184" s="35">
        <f ca="1">IFERROR(__xludf.DUMMYFUNCTION("""COMPUTED_VALUE"""),81)</f>
        <v>81</v>
      </c>
      <c r="J1184" s="541">
        <f ca="1">IFERROR(__xludf.DUMMYFUNCTION("""COMPUTED_VALUE"""),635)</f>
        <v>635</v>
      </c>
      <c r="K1184" s="541">
        <f ca="1">IFERROR(__xludf.DUMMYFUNCTION("""COMPUTED_VALUE"""),134)</f>
        <v>134</v>
      </c>
      <c r="M1184" s="539">
        <f ca="1">IFERROR(__xludf.DUMMYFUNCTION("""COMPUTED_VALUE"""),1)</f>
        <v>1</v>
      </c>
      <c r="N1184" s="539">
        <f ca="1">IFERROR(__xludf.DUMMYFUNCTION("""COMPUTED_VALUE"""),1)</f>
        <v>1</v>
      </c>
      <c r="O1184" s="539">
        <f ca="1">IFERROR(__xludf.DUMMYFUNCTION("""COMPUTED_VALUE"""),1)</f>
        <v>1</v>
      </c>
    </row>
    <row r="1185" spans="1:15" ht="12.75">
      <c r="A1185" s="539">
        <f ca="1"/>
        <v>1179</v>
      </c>
      <c r="B1185" s="35" t="str">
        <f ca="1">IFERROR(__xludf.DUMMYFUNCTION("""COMPUTED_VALUE"""),"Tổ Hạ tầng Tân An")</f>
        <v>Tổ Hạ tầng Tân An</v>
      </c>
      <c r="C1185" s="35" t="str">
        <f ca="1">IFERROR(__xludf.DUMMYFUNCTION("""COMPUTED_VALUE"""),"Bùi Thanh Sương")</f>
        <v>Bùi Thanh Sương</v>
      </c>
      <c r="D1185" s="35">
        <f ca="1">IFERROR(__xludf.DUMMYFUNCTION("""COMPUTED_VALUE"""),817385078)</f>
        <v>817385078</v>
      </c>
      <c r="E1185" s="35" t="str">
        <f ca="1">IFERROR(__xludf.DUMMYFUNCTION("""COMPUTED_VALUE"""),"btsuong.lan@vnpt.vn")</f>
        <v>btsuong.lan@vnpt.vn</v>
      </c>
      <c r="F1185" s="540" t="str">
        <f ca="1">IFERROR(__xludf.DUMMYFUNCTION("""COMPUTED_VALUE"""),"Lần 11")</f>
        <v>Lần 11</v>
      </c>
      <c r="G1185" s="278">
        <f ca="1">IFERROR(__xludf.DUMMYFUNCTION("""COMPUTED_VALUE"""),46215)</f>
        <v>46215</v>
      </c>
      <c r="H1185" s="35">
        <f ca="1">IFERROR(__xludf.DUMMYFUNCTION("""COMPUTED_VALUE"""),324)</f>
        <v>324</v>
      </c>
      <c r="I1185" s="35">
        <f ca="1">IFERROR(__xludf.DUMMYFUNCTION("""COMPUTED_VALUE"""),72)</f>
        <v>72</v>
      </c>
      <c r="J1185" s="541">
        <f ca="1">IFERROR(__xludf.DUMMYFUNCTION("""COMPUTED_VALUE"""),660)</f>
        <v>660</v>
      </c>
      <c r="K1185" s="541">
        <f ca="1">IFERROR(__xludf.DUMMYFUNCTION("""COMPUTED_VALUE"""),128)</f>
        <v>128</v>
      </c>
      <c r="M1185" s="539">
        <f ca="1">IFERROR(__xludf.DUMMYFUNCTION("""COMPUTED_VALUE"""),1)</f>
        <v>1</v>
      </c>
      <c r="N1185" s="539">
        <f ca="1">IFERROR(__xludf.DUMMYFUNCTION("""COMPUTED_VALUE"""),1)</f>
        <v>1</v>
      </c>
      <c r="O1185" s="539">
        <f ca="1">IFERROR(__xludf.DUMMYFUNCTION("""COMPUTED_VALUE"""),1)</f>
        <v>1</v>
      </c>
    </row>
    <row r="1186" spans="1:15" ht="12.75">
      <c r="A1186" s="539">
        <f ca="1"/>
        <v>1180</v>
      </c>
      <c r="B1186" s="35" t="str">
        <f ca="1">IFERROR(__xludf.DUMMYFUNCTION("""COMPUTED_VALUE"""),"Tổ Hạ tầng Tân An")</f>
        <v>Tổ Hạ tầng Tân An</v>
      </c>
      <c r="C1186" s="35" t="str">
        <f ca="1">IFERROR(__xludf.DUMMYFUNCTION("""COMPUTED_VALUE"""),"Bùi Thanh Sương")</f>
        <v>Bùi Thanh Sương</v>
      </c>
      <c r="D1186" s="35">
        <f ca="1">IFERROR(__xludf.DUMMYFUNCTION("""COMPUTED_VALUE"""),817385078)</f>
        <v>817385078</v>
      </c>
      <c r="E1186" s="35" t="str">
        <f ca="1">IFERROR(__xludf.DUMMYFUNCTION("""COMPUTED_VALUE"""),"btsuong.lan@vnpt.vn")</f>
        <v>btsuong.lan@vnpt.vn</v>
      </c>
      <c r="F1186" s="540" t="str">
        <f ca="1">IFERROR(__xludf.DUMMYFUNCTION("""COMPUTED_VALUE"""),"Lần 12")</f>
        <v>Lần 12</v>
      </c>
      <c r="G1186" s="278">
        <f ca="1">IFERROR(__xludf.DUMMYFUNCTION("""COMPUTED_VALUE"""),46215)</f>
        <v>46215</v>
      </c>
      <c r="H1186" s="35">
        <f ca="1">IFERROR(__xludf.DUMMYFUNCTION("""COMPUTED_VALUE"""),209)</f>
        <v>209</v>
      </c>
      <c r="I1186" s="35">
        <f ca="1">IFERROR(__xludf.DUMMYFUNCTION("""COMPUTED_VALUE"""),89)</f>
        <v>89</v>
      </c>
      <c r="J1186" s="541">
        <f ca="1">IFERROR(__xludf.DUMMYFUNCTION("""COMPUTED_VALUE"""),755)</f>
        <v>755</v>
      </c>
      <c r="K1186" s="541">
        <f ca="1">IFERROR(__xludf.DUMMYFUNCTION("""COMPUTED_VALUE"""),123)</f>
        <v>123</v>
      </c>
      <c r="M1186" s="539">
        <f ca="1">IFERROR(__xludf.DUMMYFUNCTION("""COMPUTED_VALUE"""),1)</f>
        <v>1</v>
      </c>
      <c r="N1186" s="539">
        <f ca="1">IFERROR(__xludf.DUMMYFUNCTION("""COMPUTED_VALUE"""),1)</f>
        <v>1</v>
      </c>
      <c r="O1186" s="539">
        <f ca="1">IFERROR(__xludf.DUMMYFUNCTION("""COMPUTED_VALUE"""),1)</f>
        <v>1</v>
      </c>
    </row>
    <row r="1187" spans="1:15" ht="12.75">
      <c r="A1187" s="539">
        <f ca="1"/>
        <v>1181</v>
      </c>
      <c r="B1187" s="35" t="str">
        <f ca="1">IFERROR(__xludf.DUMMYFUNCTION("""COMPUTED_VALUE"""),"Tổ Hạ tầng Tân An")</f>
        <v>Tổ Hạ tầng Tân An</v>
      </c>
      <c r="C1187" s="35" t="str">
        <f ca="1">IFERROR(__xludf.DUMMYFUNCTION("""COMPUTED_VALUE"""),"Bùi Thanh Sương")</f>
        <v>Bùi Thanh Sương</v>
      </c>
      <c r="D1187" s="35">
        <f ca="1">IFERROR(__xludf.DUMMYFUNCTION("""COMPUTED_VALUE"""),817385078)</f>
        <v>817385078</v>
      </c>
      <c r="E1187" s="35" t="str">
        <f ca="1">IFERROR(__xludf.DUMMYFUNCTION("""COMPUTED_VALUE"""),"btsuong.lan@vnpt.vn")</f>
        <v>btsuong.lan@vnpt.vn</v>
      </c>
      <c r="F1187" s="540" t="str">
        <f ca="1">IFERROR(__xludf.DUMMYFUNCTION("""COMPUTED_VALUE"""),"Lần 13")</f>
        <v>Lần 13</v>
      </c>
      <c r="G1187" s="278">
        <f ca="1">IFERROR(__xludf.DUMMYFUNCTION("""COMPUTED_VALUE"""),46215)</f>
        <v>46215</v>
      </c>
      <c r="H1187" s="35">
        <f ca="1">IFERROR(__xludf.DUMMYFUNCTION("""COMPUTED_VALUE"""),297)</f>
        <v>297</v>
      </c>
      <c r="I1187" s="35">
        <f ca="1">IFERROR(__xludf.DUMMYFUNCTION("""COMPUTED_VALUE"""),121)</f>
        <v>121</v>
      </c>
      <c r="J1187" s="541">
        <f ca="1">IFERROR(__xludf.DUMMYFUNCTION("""COMPUTED_VALUE"""),693)</f>
        <v>693</v>
      </c>
      <c r="K1187" s="541">
        <f ca="1">IFERROR(__xludf.DUMMYFUNCTION("""COMPUTED_VALUE"""),129)</f>
        <v>129</v>
      </c>
      <c r="M1187" s="539">
        <f ca="1">IFERROR(__xludf.DUMMYFUNCTION("""COMPUTED_VALUE"""),1)</f>
        <v>1</v>
      </c>
      <c r="N1187" s="539">
        <f ca="1">IFERROR(__xludf.DUMMYFUNCTION("""COMPUTED_VALUE"""),1)</f>
        <v>1</v>
      </c>
      <c r="O1187" s="539">
        <f ca="1">IFERROR(__xludf.DUMMYFUNCTION("""COMPUTED_VALUE"""),1)</f>
        <v>1</v>
      </c>
    </row>
    <row r="1188" spans="1:15" ht="12.75">
      <c r="A1188" s="539">
        <f ca="1"/>
        <v>1182</v>
      </c>
      <c r="B1188" s="35" t="str">
        <f ca="1">IFERROR(__xludf.DUMMYFUNCTION("""COMPUTED_VALUE"""),"Tổ Hạ tầng Tân An")</f>
        <v>Tổ Hạ tầng Tân An</v>
      </c>
      <c r="C1188" s="35" t="str">
        <f ca="1">IFERROR(__xludf.DUMMYFUNCTION("""COMPUTED_VALUE"""),"Bùi Thanh Sương")</f>
        <v>Bùi Thanh Sương</v>
      </c>
      <c r="D1188" s="35">
        <f ca="1">IFERROR(__xludf.DUMMYFUNCTION("""COMPUTED_VALUE"""),817385078)</f>
        <v>817385078</v>
      </c>
      <c r="E1188" s="35" t="str">
        <f ca="1">IFERROR(__xludf.DUMMYFUNCTION("""COMPUTED_VALUE"""),"btsuong.lan@vnpt.vn")</f>
        <v>btsuong.lan@vnpt.vn</v>
      </c>
      <c r="F1188" s="540" t="str">
        <f ca="1">IFERROR(__xludf.DUMMYFUNCTION("""COMPUTED_VALUE"""),"Lần 14")</f>
        <v>Lần 14</v>
      </c>
      <c r="G1188" s="278"/>
      <c r="H1188" s="35"/>
      <c r="I1188" s="35"/>
      <c r="J1188" s="541"/>
      <c r="K1188" s="541"/>
      <c r="M1188" s="539">
        <f ca="1">IFERROR(__xludf.DUMMYFUNCTION("""COMPUTED_VALUE"""),0)</f>
        <v>0</v>
      </c>
      <c r="N1188" s="539">
        <f ca="1">IFERROR(__xludf.DUMMYFUNCTION("""COMPUTED_VALUE"""),0)</f>
        <v>0</v>
      </c>
      <c r="O1188" s="539">
        <f ca="1">IFERROR(__xludf.DUMMYFUNCTION("""COMPUTED_VALUE"""),0)</f>
        <v>0</v>
      </c>
    </row>
    <row r="1189" spans="1:15" ht="12.75">
      <c r="A1189" s="539">
        <f ca="1"/>
        <v>1183</v>
      </c>
      <c r="B1189" s="35" t="str">
        <f ca="1">IFERROR(__xludf.DUMMYFUNCTION("""COMPUTED_VALUE"""),"Tổ Hạ tầng Tân An")</f>
        <v>Tổ Hạ tầng Tân An</v>
      </c>
      <c r="C1189" s="35" t="str">
        <f ca="1">IFERROR(__xludf.DUMMYFUNCTION("""COMPUTED_VALUE"""),"Bùi Thanh Sương")</f>
        <v>Bùi Thanh Sương</v>
      </c>
      <c r="D1189" s="35">
        <f ca="1">IFERROR(__xludf.DUMMYFUNCTION("""COMPUTED_VALUE"""),817385078)</f>
        <v>817385078</v>
      </c>
      <c r="E1189" s="35" t="str">
        <f ca="1">IFERROR(__xludf.DUMMYFUNCTION("""COMPUTED_VALUE"""),"btsuong.lan@vnpt.vn")</f>
        <v>btsuong.lan@vnpt.vn</v>
      </c>
      <c r="F1189" s="540" t="str">
        <f ca="1">IFERROR(__xludf.DUMMYFUNCTION("""COMPUTED_VALUE"""),"Lần 15")</f>
        <v>Lần 15</v>
      </c>
      <c r="G1189" s="278"/>
      <c r="H1189" s="35"/>
      <c r="I1189" s="35"/>
      <c r="J1189" s="541"/>
      <c r="K1189" s="541"/>
      <c r="M1189" s="539">
        <f ca="1">IFERROR(__xludf.DUMMYFUNCTION("""COMPUTED_VALUE"""),0)</f>
        <v>0</v>
      </c>
      <c r="N1189" s="539">
        <f ca="1">IFERROR(__xludf.DUMMYFUNCTION("""COMPUTED_VALUE"""),0)</f>
        <v>0</v>
      </c>
      <c r="O1189" s="539">
        <f ca="1">IFERROR(__xludf.DUMMYFUNCTION("""COMPUTED_VALUE"""),0)</f>
        <v>0</v>
      </c>
    </row>
    <row r="1190" spans="1:15" ht="12.75">
      <c r="A1190" s="539">
        <f ca="1"/>
        <v>1184</v>
      </c>
      <c r="B1190" s="35" t="str">
        <f ca="1">IFERROR(__xludf.DUMMYFUNCTION("""COMPUTED_VALUE"""),"Tổ Hạ tầng Tân An")</f>
        <v>Tổ Hạ tầng Tân An</v>
      </c>
      <c r="C1190" s="35" t="str">
        <f ca="1">IFERROR(__xludf.DUMMYFUNCTION("""COMPUTED_VALUE"""),"Bùi Thanh Sương")</f>
        <v>Bùi Thanh Sương</v>
      </c>
      <c r="D1190" s="35">
        <f ca="1">IFERROR(__xludf.DUMMYFUNCTION("""COMPUTED_VALUE"""),817385078)</f>
        <v>817385078</v>
      </c>
      <c r="E1190" s="35" t="str">
        <f ca="1">IFERROR(__xludf.DUMMYFUNCTION("""COMPUTED_VALUE"""),"btsuong.lan@vnpt.vn")</f>
        <v>btsuong.lan@vnpt.vn</v>
      </c>
      <c r="F1190" s="540" t="str">
        <f ca="1">IFERROR(__xludf.DUMMYFUNCTION("""COMPUTED_VALUE"""),"Lần 16")</f>
        <v>Lần 16</v>
      </c>
      <c r="G1190" s="278"/>
      <c r="H1190" s="35"/>
      <c r="I1190" s="35"/>
      <c r="J1190" s="541"/>
      <c r="K1190" s="541"/>
      <c r="M1190" s="539">
        <f ca="1">IFERROR(__xludf.DUMMYFUNCTION("""COMPUTED_VALUE"""),0)</f>
        <v>0</v>
      </c>
      <c r="N1190" s="539">
        <f ca="1">IFERROR(__xludf.DUMMYFUNCTION("""COMPUTED_VALUE"""),0)</f>
        <v>0</v>
      </c>
      <c r="O1190" s="539">
        <f ca="1">IFERROR(__xludf.DUMMYFUNCTION("""COMPUTED_VALUE"""),0)</f>
        <v>0</v>
      </c>
    </row>
    <row r="1191" spans="1:15" ht="12.75">
      <c r="A1191" s="539">
        <f ca="1"/>
        <v>1185</v>
      </c>
      <c r="B1191" s="35" t="str">
        <f ca="1">IFERROR(__xludf.DUMMYFUNCTION("""COMPUTED_VALUE"""),"Tổ Hạ tầng Tân Châu")</f>
        <v>Tổ Hạ tầng Tân Châu</v>
      </c>
      <c r="C1191" s="35" t="str">
        <f ca="1">IFERROR(__xludf.DUMMYFUNCTION("""COMPUTED_VALUE"""),"Trần Minh Tuấn")</f>
        <v>Trần Minh Tuấn</v>
      </c>
      <c r="D1191" s="35">
        <f ca="1">IFERROR(__xludf.DUMMYFUNCTION("""COMPUTED_VALUE"""),913858404)</f>
        <v>913858404</v>
      </c>
      <c r="E1191" s="35" t="str">
        <f ca="1">IFERROR(__xludf.DUMMYFUNCTION("""COMPUTED_VALUE"""),"tuantm.tnh@vnpt.vn")</f>
        <v>tuantm.tnh@vnpt.vn</v>
      </c>
      <c r="F1191" s="540" t="str">
        <f ca="1">IFERROR(__xludf.DUMMYFUNCTION("""COMPUTED_VALUE"""),"Lần 1")</f>
        <v>Lần 1</v>
      </c>
      <c r="G1191" s="278"/>
      <c r="H1191" s="35"/>
      <c r="I1191" s="35"/>
      <c r="J1191" s="541"/>
      <c r="K1191" s="541"/>
      <c r="M1191" s="539">
        <f ca="1">IFERROR(__xludf.DUMMYFUNCTION("""COMPUTED_VALUE"""),0)</f>
        <v>0</v>
      </c>
      <c r="N1191" s="539">
        <f ca="1">IFERROR(__xludf.DUMMYFUNCTION("""COMPUTED_VALUE"""),0)</f>
        <v>0</v>
      </c>
      <c r="O1191" s="539">
        <f ca="1">IFERROR(__xludf.DUMMYFUNCTION("""COMPUTED_VALUE"""),0)</f>
        <v>0</v>
      </c>
    </row>
    <row r="1192" spans="1:15" ht="12.75">
      <c r="A1192" s="539">
        <f ca="1"/>
        <v>1186</v>
      </c>
      <c r="B1192" s="35" t="str">
        <f ca="1">IFERROR(__xludf.DUMMYFUNCTION("""COMPUTED_VALUE"""),"Tổ Hạ tầng Tân Châu")</f>
        <v>Tổ Hạ tầng Tân Châu</v>
      </c>
      <c r="C1192" s="35" t="str">
        <f ca="1">IFERROR(__xludf.DUMMYFUNCTION("""COMPUTED_VALUE"""),"Trần Minh Tuấn")</f>
        <v>Trần Minh Tuấn</v>
      </c>
      <c r="D1192" s="35">
        <f ca="1">IFERROR(__xludf.DUMMYFUNCTION("""COMPUTED_VALUE"""),913858404)</f>
        <v>913858404</v>
      </c>
      <c r="E1192" s="35" t="str">
        <f ca="1">IFERROR(__xludf.DUMMYFUNCTION("""COMPUTED_VALUE"""),"tuantm.tnh@vnpt.vn")</f>
        <v>tuantm.tnh@vnpt.vn</v>
      </c>
      <c r="F1192" s="540" t="str">
        <f ca="1">IFERROR(__xludf.DUMMYFUNCTION("""COMPUTED_VALUE"""),"Lần 2")</f>
        <v>Lần 2</v>
      </c>
      <c r="G1192" s="278"/>
      <c r="H1192" s="35"/>
      <c r="I1192" s="35"/>
      <c r="J1192" s="541"/>
      <c r="K1192" s="541"/>
      <c r="M1192" s="539">
        <f ca="1">IFERROR(__xludf.DUMMYFUNCTION("""COMPUTED_VALUE"""),0)</f>
        <v>0</v>
      </c>
      <c r="N1192" s="539">
        <f ca="1">IFERROR(__xludf.DUMMYFUNCTION("""COMPUTED_VALUE"""),0)</f>
        <v>0</v>
      </c>
      <c r="O1192" s="539">
        <f ca="1">IFERROR(__xludf.DUMMYFUNCTION("""COMPUTED_VALUE"""),0)</f>
        <v>0</v>
      </c>
    </row>
    <row r="1193" spans="1:15" ht="12.75">
      <c r="A1193" s="539">
        <f ca="1"/>
        <v>1187</v>
      </c>
      <c r="B1193" s="35" t="str">
        <f ca="1">IFERROR(__xludf.DUMMYFUNCTION("""COMPUTED_VALUE"""),"Tổ Hạ tầng Tân Châu")</f>
        <v>Tổ Hạ tầng Tân Châu</v>
      </c>
      <c r="C1193" s="35" t="str">
        <f ca="1">IFERROR(__xludf.DUMMYFUNCTION("""COMPUTED_VALUE"""),"Trần Minh Tuấn")</f>
        <v>Trần Minh Tuấn</v>
      </c>
      <c r="D1193" s="35">
        <f ca="1">IFERROR(__xludf.DUMMYFUNCTION("""COMPUTED_VALUE"""),913858404)</f>
        <v>913858404</v>
      </c>
      <c r="E1193" s="35" t="str">
        <f ca="1">IFERROR(__xludf.DUMMYFUNCTION("""COMPUTED_VALUE"""),"tuantm.tnh@vnpt.vn")</f>
        <v>tuantm.tnh@vnpt.vn</v>
      </c>
      <c r="F1193" s="540" t="str">
        <f ca="1">IFERROR(__xludf.DUMMYFUNCTION("""COMPUTED_VALUE"""),"Lần 3")</f>
        <v>Lần 3</v>
      </c>
      <c r="G1193" s="278"/>
      <c r="H1193" s="35"/>
      <c r="I1193" s="35"/>
      <c r="J1193" s="541"/>
      <c r="K1193" s="541"/>
      <c r="M1193" s="539">
        <f ca="1">IFERROR(__xludf.DUMMYFUNCTION("""COMPUTED_VALUE"""),0)</f>
        <v>0</v>
      </c>
      <c r="N1193" s="539">
        <f ca="1">IFERROR(__xludf.DUMMYFUNCTION("""COMPUTED_VALUE"""),0)</f>
        <v>0</v>
      </c>
      <c r="O1193" s="539">
        <f ca="1">IFERROR(__xludf.DUMMYFUNCTION("""COMPUTED_VALUE"""),0)</f>
        <v>0</v>
      </c>
    </row>
    <row r="1194" spans="1:15" ht="12.75">
      <c r="A1194" s="539">
        <f ca="1"/>
        <v>1188</v>
      </c>
      <c r="B1194" s="35" t="str">
        <f ca="1">IFERROR(__xludf.DUMMYFUNCTION("""COMPUTED_VALUE"""),"Tổ Hạ tầng Tân Châu")</f>
        <v>Tổ Hạ tầng Tân Châu</v>
      </c>
      <c r="C1194" s="35" t="str">
        <f ca="1">IFERROR(__xludf.DUMMYFUNCTION("""COMPUTED_VALUE"""),"Trần Minh Tuấn")</f>
        <v>Trần Minh Tuấn</v>
      </c>
      <c r="D1194" s="35">
        <f ca="1">IFERROR(__xludf.DUMMYFUNCTION("""COMPUTED_VALUE"""),913858404)</f>
        <v>913858404</v>
      </c>
      <c r="E1194" s="35" t="str">
        <f ca="1">IFERROR(__xludf.DUMMYFUNCTION("""COMPUTED_VALUE"""),"tuantm.tnh@vnpt.vn")</f>
        <v>tuantm.tnh@vnpt.vn</v>
      </c>
      <c r="F1194" s="540" t="str">
        <f ca="1">IFERROR(__xludf.DUMMYFUNCTION("""COMPUTED_VALUE"""),"Lần 4")</f>
        <v>Lần 4</v>
      </c>
      <c r="G1194" s="278"/>
      <c r="H1194" s="35"/>
      <c r="I1194" s="35"/>
      <c r="J1194" s="541"/>
      <c r="K1194" s="541"/>
      <c r="M1194" s="539">
        <f ca="1">IFERROR(__xludf.DUMMYFUNCTION("""COMPUTED_VALUE"""),0)</f>
        <v>0</v>
      </c>
      <c r="N1194" s="539">
        <f ca="1">IFERROR(__xludf.DUMMYFUNCTION("""COMPUTED_VALUE"""),0)</f>
        <v>0</v>
      </c>
      <c r="O1194" s="539">
        <f ca="1">IFERROR(__xludf.DUMMYFUNCTION("""COMPUTED_VALUE"""),0)</f>
        <v>0</v>
      </c>
    </row>
    <row r="1195" spans="1:15" ht="12.75">
      <c r="A1195" s="539">
        <f ca="1"/>
        <v>1189</v>
      </c>
      <c r="B1195" s="35" t="str">
        <f ca="1">IFERROR(__xludf.DUMMYFUNCTION("""COMPUTED_VALUE"""),"Tổ Hạ tầng Tân Châu")</f>
        <v>Tổ Hạ tầng Tân Châu</v>
      </c>
      <c r="C1195" s="35" t="str">
        <f ca="1">IFERROR(__xludf.DUMMYFUNCTION("""COMPUTED_VALUE"""),"Trần Minh Tuấn")</f>
        <v>Trần Minh Tuấn</v>
      </c>
      <c r="D1195" s="35">
        <f ca="1">IFERROR(__xludf.DUMMYFUNCTION("""COMPUTED_VALUE"""),913858404)</f>
        <v>913858404</v>
      </c>
      <c r="E1195" s="35" t="str">
        <f ca="1">IFERROR(__xludf.DUMMYFUNCTION("""COMPUTED_VALUE"""),"tuantm.tnh@vnpt.vn")</f>
        <v>tuantm.tnh@vnpt.vn</v>
      </c>
      <c r="F1195" s="540" t="str">
        <f ca="1">IFERROR(__xludf.DUMMYFUNCTION("""COMPUTED_VALUE"""),"Lần 5")</f>
        <v>Lần 5</v>
      </c>
      <c r="G1195" s="278"/>
      <c r="H1195" s="35"/>
      <c r="I1195" s="35"/>
      <c r="J1195" s="541"/>
      <c r="K1195" s="541"/>
      <c r="M1195" s="539">
        <f ca="1">IFERROR(__xludf.DUMMYFUNCTION("""COMPUTED_VALUE"""),0)</f>
        <v>0</v>
      </c>
      <c r="N1195" s="539">
        <f ca="1">IFERROR(__xludf.DUMMYFUNCTION("""COMPUTED_VALUE"""),0)</f>
        <v>0</v>
      </c>
      <c r="O1195" s="539">
        <f ca="1">IFERROR(__xludf.DUMMYFUNCTION("""COMPUTED_VALUE"""),0)</f>
        <v>0</v>
      </c>
    </row>
    <row r="1196" spans="1:15" ht="12.75">
      <c r="A1196" s="539">
        <f ca="1"/>
        <v>1190</v>
      </c>
      <c r="B1196" s="35" t="str">
        <f ca="1">IFERROR(__xludf.DUMMYFUNCTION("""COMPUTED_VALUE"""),"Tổ Hạ tầng Tân Châu")</f>
        <v>Tổ Hạ tầng Tân Châu</v>
      </c>
      <c r="C1196" s="35" t="str">
        <f ca="1">IFERROR(__xludf.DUMMYFUNCTION("""COMPUTED_VALUE"""),"Trần Minh Tuấn")</f>
        <v>Trần Minh Tuấn</v>
      </c>
      <c r="D1196" s="35">
        <f ca="1">IFERROR(__xludf.DUMMYFUNCTION("""COMPUTED_VALUE"""),913858404)</f>
        <v>913858404</v>
      </c>
      <c r="E1196" s="35" t="str">
        <f ca="1">IFERROR(__xludf.DUMMYFUNCTION("""COMPUTED_VALUE"""),"tuantm.tnh@vnpt.vn")</f>
        <v>tuantm.tnh@vnpt.vn</v>
      </c>
      <c r="F1196" s="540" t="str">
        <f ca="1">IFERROR(__xludf.DUMMYFUNCTION("""COMPUTED_VALUE"""),"Lần 6")</f>
        <v>Lần 6</v>
      </c>
      <c r="G1196" s="278"/>
      <c r="H1196" s="35"/>
      <c r="I1196" s="35"/>
      <c r="J1196" s="541"/>
      <c r="K1196" s="541"/>
      <c r="M1196" s="539">
        <f ca="1">IFERROR(__xludf.DUMMYFUNCTION("""COMPUTED_VALUE"""),0)</f>
        <v>0</v>
      </c>
      <c r="N1196" s="539">
        <f ca="1">IFERROR(__xludf.DUMMYFUNCTION("""COMPUTED_VALUE"""),0)</f>
        <v>0</v>
      </c>
      <c r="O1196" s="539">
        <f ca="1">IFERROR(__xludf.DUMMYFUNCTION("""COMPUTED_VALUE"""),0)</f>
        <v>0</v>
      </c>
    </row>
    <row r="1197" spans="1:15" ht="12.75">
      <c r="A1197" s="539">
        <f ca="1"/>
        <v>1191</v>
      </c>
      <c r="B1197" s="35" t="str">
        <f ca="1">IFERROR(__xludf.DUMMYFUNCTION("""COMPUTED_VALUE"""),"Tổ Hạ tầng Tân Châu")</f>
        <v>Tổ Hạ tầng Tân Châu</v>
      </c>
      <c r="C1197" s="35" t="str">
        <f ca="1">IFERROR(__xludf.DUMMYFUNCTION("""COMPUTED_VALUE"""),"Trần Minh Tuấn")</f>
        <v>Trần Minh Tuấn</v>
      </c>
      <c r="D1197" s="35">
        <f ca="1">IFERROR(__xludf.DUMMYFUNCTION("""COMPUTED_VALUE"""),913858404)</f>
        <v>913858404</v>
      </c>
      <c r="E1197" s="35" t="str">
        <f ca="1">IFERROR(__xludf.DUMMYFUNCTION("""COMPUTED_VALUE"""),"tuantm.tnh@vnpt.vn")</f>
        <v>tuantm.tnh@vnpt.vn</v>
      </c>
      <c r="F1197" s="540" t="str">
        <f ca="1">IFERROR(__xludf.DUMMYFUNCTION("""COMPUTED_VALUE"""),"Lần 7")</f>
        <v>Lần 7</v>
      </c>
      <c r="G1197" s="278"/>
      <c r="H1197" s="35"/>
      <c r="I1197" s="35"/>
      <c r="J1197" s="541"/>
      <c r="K1197" s="541"/>
      <c r="M1197" s="539">
        <f ca="1">IFERROR(__xludf.DUMMYFUNCTION("""COMPUTED_VALUE"""),0)</f>
        <v>0</v>
      </c>
      <c r="N1197" s="539">
        <f ca="1">IFERROR(__xludf.DUMMYFUNCTION("""COMPUTED_VALUE"""),0)</f>
        <v>0</v>
      </c>
      <c r="O1197" s="539">
        <f ca="1">IFERROR(__xludf.DUMMYFUNCTION("""COMPUTED_VALUE"""),0)</f>
        <v>0</v>
      </c>
    </row>
    <row r="1198" spans="1:15" ht="12.75">
      <c r="A1198" s="539">
        <f ca="1"/>
        <v>1192</v>
      </c>
      <c r="B1198" s="35" t="str">
        <f ca="1">IFERROR(__xludf.DUMMYFUNCTION("""COMPUTED_VALUE"""),"Tổ Hạ tầng Tân Châu")</f>
        <v>Tổ Hạ tầng Tân Châu</v>
      </c>
      <c r="C1198" s="35" t="str">
        <f ca="1">IFERROR(__xludf.DUMMYFUNCTION("""COMPUTED_VALUE"""),"Trần Minh Tuấn")</f>
        <v>Trần Minh Tuấn</v>
      </c>
      <c r="D1198" s="35">
        <f ca="1">IFERROR(__xludf.DUMMYFUNCTION("""COMPUTED_VALUE"""),913858404)</f>
        <v>913858404</v>
      </c>
      <c r="E1198" s="35" t="str">
        <f ca="1">IFERROR(__xludf.DUMMYFUNCTION("""COMPUTED_VALUE"""),"tuantm.tnh@vnpt.vn")</f>
        <v>tuantm.tnh@vnpt.vn</v>
      </c>
      <c r="F1198" s="540" t="str">
        <f ca="1">IFERROR(__xludf.DUMMYFUNCTION("""COMPUTED_VALUE"""),"Lần 8")</f>
        <v>Lần 8</v>
      </c>
      <c r="G1198" s="278"/>
      <c r="H1198" s="35"/>
      <c r="I1198" s="35"/>
      <c r="J1198" s="541"/>
      <c r="K1198" s="541"/>
      <c r="M1198" s="539">
        <f ca="1">IFERROR(__xludf.DUMMYFUNCTION("""COMPUTED_VALUE"""),0)</f>
        <v>0</v>
      </c>
      <c r="N1198" s="539">
        <f ca="1">IFERROR(__xludf.DUMMYFUNCTION("""COMPUTED_VALUE"""),0)</f>
        <v>0</v>
      </c>
      <c r="O1198" s="539">
        <f ca="1">IFERROR(__xludf.DUMMYFUNCTION("""COMPUTED_VALUE"""),0)</f>
        <v>0</v>
      </c>
    </row>
    <row r="1199" spans="1:15" ht="12.75">
      <c r="A1199" s="539">
        <f ca="1"/>
        <v>1193</v>
      </c>
      <c r="B1199" s="35" t="str">
        <f ca="1">IFERROR(__xludf.DUMMYFUNCTION("""COMPUTED_VALUE"""),"Tổ Hạ tầng Tân Châu")</f>
        <v>Tổ Hạ tầng Tân Châu</v>
      </c>
      <c r="C1199" s="35" t="str">
        <f ca="1">IFERROR(__xludf.DUMMYFUNCTION("""COMPUTED_VALUE"""),"Trần Minh Tuấn")</f>
        <v>Trần Minh Tuấn</v>
      </c>
      <c r="D1199" s="35">
        <f ca="1">IFERROR(__xludf.DUMMYFUNCTION("""COMPUTED_VALUE"""),913858404)</f>
        <v>913858404</v>
      </c>
      <c r="E1199" s="35" t="str">
        <f ca="1">IFERROR(__xludf.DUMMYFUNCTION("""COMPUTED_VALUE"""),"tuantm.tnh@vnpt.vn")</f>
        <v>tuantm.tnh@vnpt.vn</v>
      </c>
      <c r="F1199" s="540" t="str">
        <f ca="1">IFERROR(__xludf.DUMMYFUNCTION("""COMPUTED_VALUE"""),"Lần 9")</f>
        <v>Lần 9</v>
      </c>
      <c r="G1199" s="278"/>
      <c r="H1199" s="35"/>
      <c r="I1199" s="35"/>
      <c r="J1199" s="541"/>
      <c r="K1199" s="541"/>
      <c r="M1199" s="539">
        <f ca="1">IFERROR(__xludf.DUMMYFUNCTION("""COMPUTED_VALUE"""),0)</f>
        <v>0</v>
      </c>
      <c r="N1199" s="539">
        <f ca="1">IFERROR(__xludf.DUMMYFUNCTION("""COMPUTED_VALUE"""),0)</f>
        <v>0</v>
      </c>
      <c r="O1199" s="539">
        <f ca="1">IFERROR(__xludf.DUMMYFUNCTION("""COMPUTED_VALUE"""),0)</f>
        <v>0</v>
      </c>
    </row>
    <row r="1200" spans="1:15" ht="12.75">
      <c r="A1200" s="539">
        <f ca="1"/>
        <v>1194</v>
      </c>
      <c r="B1200" s="35" t="str">
        <f ca="1">IFERROR(__xludf.DUMMYFUNCTION("""COMPUTED_VALUE"""),"Tổ Hạ tầng Tân Châu")</f>
        <v>Tổ Hạ tầng Tân Châu</v>
      </c>
      <c r="C1200" s="35" t="str">
        <f ca="1">IFERROR(__xludf.DUMMYFUNCTION("""COMPUTED_VALUE"""),"Trần Minh Tuấn")</f>
        <v>Trần Minh Tuấn</v>
      </c>
      <c r="D1200" s="35">
        <f ca="1">IFERROR(__xludf.DUMMYFUNCTION("""COMPUTED_VALUE"""),913858404)</f>
        <v>913858404</v>
      </c>
      <c r="E1200" s="35" t="str">
        <f ca="1">IFERROR(__xludf.DUMMYFUNCTION("""COMPUTED_VALUE"""),"tuantm.tnh@vnpt.vn")</f>
        <v>tuantm.tnh@vnpt.vn</v>
      </c>
      <c r="F1200" s="540" t="str">
        <f ca="1">IFERROR(__xludf.DUMMYFUNCTION("""COMPUTED_VALUE"""),"Lần 10")</f>
        <v>Lần 10</v>
      </c>
      <c r="G1200" s="278"/>
      <c r="H1200" s="35"/>
      <c r="I1200" s="35"/>
      <c r="J1200" s="541"/>
      <c r="K1200" s="541"/>
      <c r="M1200" s="539">
        <f ca="1">IFERROR(__xludf.DUMMYFUNCTION("""COMPUTED_VALUE"""),0)</f>
        <v>0</v>
      </c>
      <c r="N1200" s="539">
        <f ca="1">IFERROR(__xludf.DUMMYFUNCTION("""COMPUTED_VALUE"""),0)</f>
        <v>0</v>
      </c>
      <c r="O1200" s="539">
        <f ca="1">IFERROR(__xludf.DUMMYFUNCTION("""COMPUTED_VALUE"""),0)</f>
        <v>0</v>
      </c>
    </row>
    <row r="1201" spans="1:15" ht="12.75">
      <c r="A1201" s="539">
        <f ca="1"/>
        <v>1195</v>
      </c>
      <c r="B1201" s="35" t="str">
        <f ca="1">IFERROR(__xludf.DUMMYFUNCTION("""COMPUTED_VALUE"""),"Tổ Hạ tầng Tân Châu")</f>
        <v>Tổ Hạ tầng Tân Châu</v>
      </c>
      <c r="C1201" s="35" t="str">
        <f ca="1">IFERROR(__xludf.DUMMYFUNCTION("""COMPUTED_VALUE"""),"Trần Minh Tuấn")</f>
        <v>Trần Minh Tuấn</v>
      </c>
      <c r="D1201" s="35">
        <f ca="1">IFERROR(__xludf.DUMMYFUNCTION("""COMPUTED_VALUE"""),913858404)</f>
        <v>913858404</v>
      </c>
      <c r="E1201" s="35" t="str">
        <f ca="1">IFERROR(__xludf.DUMMYFUNCTION("""COMPUTED_VALUE"""),"tuantm.tnh@vnpt.vn")</f>
        <v>tuantm.tnh@vnpt.vn</v>
      </c>
      <c r="F1201" s="540" t="str">
        <f ca="1">IFERROR(__xludf.DUMMYFUNCTION("""COMPUTED_VALUE"""),"Lần 11")</f>
        <v>Lần 11</v>
      </c>
      <c r="G1201" s="278"/>
      <c r="H1201" s="35"/>
      <c r="I1201" s="35"/>
      <c r="J1201" s="541"/>
      <c r="K1201" s="541"/>
      <c r="M1201" s="539">
        <f ca="1">IFERROR(__xludf.DUMMYFUNCTION("""COMPUTED_VALUE"""),0)</f>
        <v>0</v>
      </c>
      <c r="N1201" s="539">
        <f ca="1">IFERROR(__xludf.DUMMYFUNCTION("""COMPUTED_VALUE"""),0)</f>
        <v>0</v>
      </c>
      <c r="O1201" s="539">
        <f ca="1">IFERROR(__xludf.DUMMYFUNCTION("""COMPUTED_VALUE"""),0)</f>
        <v>0</v>
      </c>
    </row>
    <row r="1202" spans="1:15" ht="12.75">
      <c r="A1202" s="539">
        <f ca="1"/>
        <v>1196</v>
      </c>
      <c r="B1202" s="35" t="str">
        <f ca="1">IFERROR(__xludf.DUMMYFUNCTION("""COMPUTED_VALUE"""),"Tổ Hạ tầng Tân Châu")</f>
        <v>Tổ Hạ tầng Tân Châu</v>
      </c>
      <c r="C1202" s="35" t="str">
        <f ca="1">IFERROR(__xludf.DUMMYFUNCTION("""COMPUTED_VALUE"""),"Trần Minh Tuấn")</f>
        <v>Trần Minh Tuấn</v>
      </c>
      <c r="D1202" s="35">
        <f ca="1">IFERROR(__xludf.DUMMYFUNCTION("""COMPUTED_VALUE"""),913858404)</f>
        <v>913858404</v>
      </c>
      <c r="E1202" s="35" t="str">
        <f ca="1">IFERROR(__xludf.DUMMYFUNCTION("""COMPUTED_VALUE"""),"tuantm.tnh@vnpt.vn")</f>
        <v>tuantm.tnh@vnpt.vn</v>
      </c>
      <c r="F1202" s="540" t="str">
        <f ca="1">IFERROR(__xludf.DUMMYFUNCTION("""COMPUTED_VALUE"""),"Lần 12")</f>
        <v>Lần 12</v>
      </c>
      <c r="G1202" s="278"/>
      <c r="H1202" s="35"/>
      <c r="I1202" s="35"/>
      <c r="J1202" s="541"/>
      <c r="K1202" s="541"/>
      <c r="M1202" s="539">
        <f ca="1">IFERROR(__xludf.DUMMYFUNCTION("""COMPUTED_VALUE"""),0)</f>
        <v>0</v>
      </c>
      <c r="N1202" s="539">
        <f ca="1">IFERROR(__xludf.DUMMYFUNCTION("""COMPUTED_VALUE"""),0)</f>
        <v>0</v>
      </c>
      <c r="O1202" s="539">
        <f ca="1">IFERROR(__xludf.DUMMYFUNCTION("""COMPUTED_VALUE"""),0)</f>
        <v>0</v>
      </c>
    </row>
    <row r="1203" spans="1:15" ht="12.75">
      <c r="A1203" s="539">
        <f ca="1"/>
        <v>1197</v>
      </c>
      <c r="B1203" s="35" t="str">
        <f ca="1">IFERROR(__xludf.DUMMYFUNCTION("""COMPUTED_VALUE"""),"Tổ Hạ tầng Tân Châu")</f>
        <v>Tổ Hạ tầng Tân Châu</v>
      </c>
      <c r="C1203" s="35" t="str">
        <f ca="1">IFERROR(__xludf.DUMMYFUNCTION("""COMPUTED_VALUE"""),"Trần Minh Tuấn")</f>
        <v>Trần Minh Tuấn</v>
      </c>
      <c r="D1203" s="35">
        <f ca="1">IFERROR(__xludf.DUMMYFUNCTION("""COMPUTED_VALUE"""),913858404)</f>
        <v>913858404</v>
      </c>
      <c r="E1203" s="35" t="str">
        <f ca="1">IFERROR(__xludf.DUMMYFUNCTION("""COMPUTED_VALUE"""),"tuantm.tnh@vnpt.vn")</f>
        <v>tuantm.tnh@vnpt.vn</v>
      </c>
      <c r="F1203" s="540" t="str">
        <f ca="1">IFERROR(__xludf.DUMMYFUNCTION("""COMPUTED_VALUE"""),"Lần 13")</f>
        <v>Lần 13</v>
      </c>
      <c r="G1203" s="278"/>
      <c r="H1203" s="35"/>
      <c r="I1203" s="35"/>
      <c r="J1203" s="541"/>
      <c r="K1203" s="541"/>
      <c r="M1203" s="539">
        <f ca="1">IFERROR(__xludf.DUMMYFUNCTION("""COMPUTED_VALUE"""),0)</f>
        <v>0</v>
      </c>
      <c r="N1203" s="539">
        <f ca="1">IFERROR(__xludf.DUMMYFUNCTION("""COMPUTED_VALUE"""),0)</f>
        <v>0</v>
      </c>
      <c r="O1203" s="539">
        <f ca="1">IFERROR(__xludf.DUMMYFUNCTION("""COMPUTED_VALUE"""),0)</f>
        <v>0</v>
      </c>
    </row>
    <row r="1204" spans="1:15" ht="12.75">
      <c r="A1204" s="539">
        <f ca="1"/>
        <v>1198</v>
      </c>
      <c r="B1204" s="35" t="str">
        <f ca="1">IFERROR(__xludf.DUMMYFUNCTION("""COMPUTED_VALUE"""),"Tổ Hạ tầng Tân Châu")</f>
        <v>Tổ Hạ tầng Tân Châu</v>
      </c>
      <c r="C1204" s="35" t="str">
        <f ca="1">IFERROR(__xludf.DUMMYFUNCTION("""COMPUTED_VALUE"""),"Trần Minh Tuấn")</f>
        <v>Trần Minh Tuấn</v>
      </c>
      <c r="D1204" s="35">
        <f ca="1">IFERROR(__xludf.DUMMYFUNCTION("""COMPUTED_VALUE"""),913858404)</f>
        <v>913858404</v>
      </c>
      <c r="E1204" s="35" t="str">
        <f ca="1">IFERROR(__xludf.DUMMYFUNCTION("""COMPUTED_VALUE"""),"tuantm.tnh@vnpt.vn")</f>
        <v>tuantm.tnh@vnpt.vn</v>
      </c>
      <c r="F1204" s="540" t="str">
        <f ca="1">IFERROR(__xludf.DUMMYFUNCTION("""COMPUTED_VALUE"""),"Lần 14")</f>
        <v>Lần 14</v>
      </c>
      <c r="G1204" s="278"/>
      <c r="H1204" s="35"/>
      <c r="I1204" s="35"/>
      <c r="J1204" s="541"/>
      <c r="K1204" s="541"/>
      <c r="M1204" s="539">
        <f ca="1">IFERROR(__xludf.DUMMYFUNCTION("""COMPUTED_VALUE"""),0)</f>
        <v>0</v>
      </c>
      <c r="N1204" s="539">
        <f ca="1">IFERROR(__xludf.DUMMYFUNCTION("""COMPUTED_VALUE"""),0)</f>
        <v>0</v>
      </c>
      <c r="O1204" s="539">
        <f ca="1">IFERROR(__xludf.DUMMYFUNCTION("""COMPUTED_VALUE"""),0)</f>
        <v>0</v>
      </c>
    </row>
    <row r="1205" spans="1:15" ht="12.75">
      <c r="A1205" s="539">
        <f ca="1"/>
        <v>1199</v>
      </c>
      <c r="B1205" s="35" t="str">
        <f ca="1">IFERROR(__xludf.DUMMYFUNCTION("""COMPUTED_VALUE"""),"Tổ Hạ tầng Tân Châu")</f>
        <v>Tổ Hạ tầng Tân Châu</v>
      </c>
      <c r="C1205" s="35" t="str">
        <f ca="1">IFERROR(__xludf.DUMMYFUNCTION("""COMPUTED_VALUE"""),"Trần Minh Tuấn")</f>
        <v>Trần Minh Tuấn</v>
      </c>
      <c r="D1205" s="35">
        <f ca="1">IFERROR(__xludf.DUMMYFUNCTION("""COMPUTED_VALUE"""),913858404)</f>
        <v>913858404</v>
      </c>
      <c r="E1205" s="35" t="str">
        <f ca="1">IFERROR(__xludf.DUMMYFUNCTION("""COMPUTED_VALUE"""),"tuantm.tnh@vnpt.vn")</f>
        <v>tuantm.tnh@vnpt.vn</v>
      </c>
      <c r="F1205" s="540" t="str">
        <f ca="1">IFERROR(__xludf.DUMMYFUNCTION("""COMPUTED_VALUE"""),"Lần 15")</f>
        <v>Lần 15</v>
      </c>
      <c r="G1205" s="278"/>
      <c r="H1205" s="35"/>
      <c r="I1205" s="35"/>
      <c r="J1205" s="541"/>
      <c r="K1205" s="541"/>
      <c r="M1205" s="539">
        <f ca="1">IFERROR(__xludf.DUMMYFUNCTION("""COMPUTED_VALUE"""),0)</f>
        <v>0</v>
      </c>
      <c r="N1205" s="539">
        <f ca="1">IFERROR(__xludf.DUMMYFUNCTION("""COMPUTED_VALUE"""),0)</f>
        <v>0</v>
      </c>
      <c r="O1205" s="539">
        <f ca="1">IFERROR(__xludf.DUMMYFUNCTION("""COMPUTED_VALUE"""),0)</f>
        <v>0</v>
      </c>
    </row>
    <row r="1206" spans="1:15" ht="12.75">
      <c r="A1206" s="539">
        <f ca="1"/>
        <v>1200</v>
      </c>
      <c r="B1206" s="35" t="str">
        <f ca="1">IFERROR(__xludf.DUMMYFUNCTION("""COMPUTED_VALUE"""),"Tổ Hạ tầng Tân Châu")</f>
        <v>Tổ Hạ tầng Tân Châu</v>
      </c>
      <c r="C1206" s="35" t="str">
        <f ca="1">IFERROR(__xludf.DUMMYFUNCTION("""COMPUTED_VALUE"""),"Trần Minh Tuấn")</f>
        <v>Trần Minh Tuấn</v>
      </c>
      <c r="D1206" s="35">
        <f ca="1">IFERROR(__xludf.DUMMYFUNCTION("""COMPUTED_VALUE"""),913858404)</f>
        <v>913858404</v>
      </c>
      <c r="E1206" s="35" t="str">
        <f ca="1">IFERROR(__xludf.DUMMYFUNCTION("""COMPUTED_VALUE"""),"tuantm.tnh@vnpt.vn")</f>
        <v>tuantm.tnh@vnpt.vn</v>
      </c>
      <c r="F1206" s="540" t="str">
        <f ca="1">IFERROR(__xludf.DUMMYFUNCTION("""COMPUTED_VALUE"""),"Lần 16")</f>
        <v>Lần 16</v>
      </c>
      <c r="G1206" s="278"/>
      <c r="H1206" s="35"/>
      <c r="I1206" s="35"/>
      <c r="J1206" s="541"/>
      <c r="K1206" s="541"/>
      <c r="M1206" s="539">
        <f ca="1">IFERROR(__xludf.DUMMYFUNCTION("""COMPUTED_VALUE"""),0)</f>
        <v>0</v>
      </c>
      <c r="N1206" s="539">
        <f ca="1">IFERROR(__xludf.DUMMYFUNCTION("""COMPUTED_VALUE"""),0)</f>
        <v>0</v>
      </c>
      <c r="O1206" s="539">
        <f ca="1">IFERROR(__xludf.DUMMYFUNCTION("""COMPUTED_VALUE"""),0)</f>
        <v>0</v>
      </c>
    </row>
    <row r="1207" spans="1:15" ht="12.75">
      <c r="A1207" s="539">
        <f ca="1"/>
        <v>1201</v>
      </c>
      <c r="B1207" s="35" t="str">
        <f ca="1">IFERROR(__xludf.DUMMYFUNCTION("""COMPUTED_VALUE"""),"Tổ Hạ tầng Tân Châu")</f>
        <v>Tổ Hạ tầng Tân Châu</v>
      </c>
      <c r="C1207" s="35" t="str">
        <f ca="1">IFERROR(__xludf.DUMMYFUNCTION("""COMPUTED_VALUE"""),"Nguyễn Ngọc Thơ")</f>
        <v>Nguyễn Ngọc Thơ</v>
      </c>
      <c r="D1207" s="35">
        <f ca="1">IFERROR(__xludf.DUMMYFUNCTION("""COMPUTED_VALUE"""),919619755)</f>
        <v>919619755</v>
      </c>
      <c r="E1207" s="35" t="str">
        <f ca="1">IFERROR(__xludf.DUMMYFUNCTION("""COMPUTED_VALUE"""),"thonn.tnh@vnpt.vn")</f>
        <v>thonn.tnh@vnpt.vn</v>
      </c>
      <c r="F1207" s="540" t="str">
        <f ca="1">IFERROR(__xludf.DUMMYFUNCTION("""COMPUTED_VALUE"""),"Lần 1")</f>
        <v>Lần 1</v>
      </c>
      <c r="G1207" s="278">
        <f ca="1">IFERROR(__xludf.DUMMYFUNCTION("""COMPUTED_VALUE"""),46212)</f>
        <v>46212</v>
      </c>
      <c r="H1207" s="35">
        <f ca="1">IFERROR(__xludf.DUMMYFUNCTION("""COMPUTED_VALUE"""),81.3)</f>
        <v>81.3</v>
      </c>
      <c r="I1207" s="35">
        <f ca="1">IFERROR(__xludf.DUMMYFUNCTION("""COMPUTED_VALUE"""),33.9)</f>
        <v>33.9</v>
      </c>
      <c r="J1207" s="541">
        <f ca="1">IFERROR(__xludf.DUMMYFUNCTION("""COMPUTED_VALUE"""),85.3)</f>
        <v>85.3</v>
      </c>
      <c r="K1207" s="541">
        <f ca="1">IFERROR(__xludf.DUMMYFUNCTION("""COMPUTED_VALUE"""),39.4)</f>
        <v>39.4</v>
      </c>
      <c r="M1207" s="539">
        <f ca="1">IFERROR(__xludf.DUMMYFUNCTION("""COMPUTED_VALUE"""),1)</f>
        <v>1</v>
      </c>
      <c r="N1207" s="539">
        <f ca="1">IFERROR(__xludf.DUMMYFUNCTION("""COMPUTED_VALUE"""),1)</f>
        <v>1</v>
      </c>
      <c r="O1207" s="539">
        <f ca="1">IFERROR(__xludf.DUMMYFUNCTION("""COMPUTED_VALUE"""),0)</f>
        <v>0</v>
      </c>
    </row>
    <row r="1208" spans="1:15" ht="12.75">
      <c r="A1208" s="539">
        <f ca="1"/>
        <v>1202</v>
      </c>
      <c r="B1208" s="35" t="str">
        <f ca="1">IFERROR(__xludf.DUMMYFUNCTION("""COMPUTED_VALUE"""),"Tổ Hạ tầng Tân Châu")</f>
        <v>Tổ Hạ tầng Tân Châu</v>
      </c>
      <c r="C1208" s="35" t="str">
        <f ca="1">IFERROR(__xludf.DUMMYFUNCTION("""COMPUTED_VALUE"""),"Nguyễn Ngọc Thơ")</f>
        <v>Nguyễn Ngọc Thơ</v>
      </c>
      <c r="D1208" s="35">
        <f ca="1">IFERROR(__xludf.DUMMYFUNCTION("""COMPUTED_VALUE"""),919619755)</f>
        <v>919619755</v>
      </c>
      <c r="E1208" s="35" t="str">
        <f ca="1">IFERROR(__xludf.DUMMYFUNCTION("""COMPUTED_VALUE"""),"thonn.tnh@vnpt.vn")</f>
        <v>thonn.tnh@vnpt.vn</v>
      </c>
      <c r="F1208" s="540" t="str">
        <f ca="1">IFERROR(__xludf.DUMMYFUNCTION("""COMPUTED_VALUE"""),"Lần 2")</f>
        <v>Lần 2</v>
      </c>
      <c r="G1208" s="278">
        <f ca="1">IFERROR(__xludf.DUMMYFUNCTION("""COMPUTED_VALUE"""),46212)</f>
        <v>46212</v>
      </c>
      <c r="H1208" s="35">
        <f ca="1">IFERROR(__xludf.DUMMYFUNCTION("""COMPUTED_VALUE"""),71.2)</f>
        <v>71.2</v>
      </c>
      <c r="I1208" s="35">
        <f ca="1">IFERROR(__xludf.DUMMYFUNCTION("""COMPUTED_VALUE"""),38.5)</f>
        <v>38.5</v>
      </c>
      <c r="J1208" s="541">
        <f ca="1">IFERROR(__xludf.DUMMYFUNCTION("""COMPUTED_VALUE"""),78.5)</f>
        <v>78.5</v>
      </c>
      <c r="K1208" s="541">
        <f ca="1">IFERROR(__xludf.DUMMYFUNCTION("""COMPUTED_VALUE"""),42.8)</f>
        <v>42.8</v>
      </c>
      <c r="M1208" s="539">
        <f ca="1">IFERROR(__xludf.DUMMYFUNCTION("""COMPUTED_VALUE"""),1)</f>
        <v>1</v>
      </c>
      <c r="N1208" s="539">
        <f ca="1">IFERROR(__xludf.DUMMYFUNCTION("""COMPUTED_VALUE"""),1)</f>
        <v>1</v>
      </c>
      <c r="O1208" s="539">
        <f ca="1">IFERROR(__xludf.DUMMYFUNCTION("""COMPUTED_VALUE"""),0)</f>
        <v>0</v>
      </c>
    </row>
    <row r="1209" spans="1:15" ht="12.75">
      <c r="A1209" s="539">
        <f ca="1"/>
        <v>1203</v>
      </c>
      <c r="B1209" s="35" t="str">
        <f ca="1">IFERROR(__xludf.DUMMYFUNCTION("""COMPUTED_VALUE"""),"Tổ Hạ tầng Tân Châu")</f>
        <v>Tổ Hạ tầng Tân Châu</v>
      </c>
      <c r="C1209" s="35" t="str">
        <f ca="1">IFERROR(__xludf.DUMMYFUNCTION("""COMPUTED_VALUE"""),"Nguyễn Ngọc Thơ")</f>
        <v>Nguyễn Ngọc Thơ</v>
      </c>
      <c r="D1209" s="35">
        <f ca="1">IFERROR(__xludf.DUMMYFUNCTION("""COMPUTED_VALUE"""),919619755)</f>
        <v>919619755</v>
      </c>
      <c r="E1209" s="35" t="str">
        <f ca="1">IFERROR(__xludf.DUMMYFUNCTION("""COMPUTED_VALUE"""),"thonn.tnh@vnpt.vn")</f>
        <v>thonn.tnh@vnpt.vn</v>
      </c>
      <c r="F1209" s="540" t="str">
        <f ca="1">IFERROR(__xludf.DUMMYFUNCTION("""COMPUTED_VALUE"""),"Lần 3")</f>
        <v>Lần 3</v>
      </c>
      <c r="G1209" s="278">
        <f ca="1">IFERROR(__xludf.DUMMYFUNCTION("""COMPUTED_VALUE"""),46212)</f>
        <v>46212</v>
      </c>
      <c r="H1209" s="35">
        <f ca="1">IFERROR(__xludf.DUMMYFUNCTION("""COMPUTED_VALUE"""),89.1)</f>
        <v>89.1</v>
      </c>
      <c r="I1209" s="35">
        <f ca="1">IFERROR(__xludf.DUMMYFUNCTION("""COMPUTED_VALUE"""),42.1)</f>
        <v>42.1</v>
      </c>
      <c r="J1209" s="541">
        <f ca="1">IFERROR(__xludf.DUMMYFUNCTION("""COMPUTED_VALUE"""),96.9)</f>
        <v>96.9</v>
      </c>
      <c r="K1209" s="541">
        <f ca="1">IFERROR(__xludf.DUMMYFUNCTION("""COMPUTED_VALUE"""),44.1)</f>
        <v>44.1</v>
      </c>
      <c r="M1209" s="539">
        <f ca="1">IFERROR(__xludf.DUMMYFUNCTION("""COMPUTED_VALUE"""),1)</f>
        <v>1</v>
      </c>
      <c r="N1209" s="539">
        <f ca="1">IFERROR(__xludf.DUMMYFUNCTION("""COMPUTED_VALUE"""),1)</f>
        <v>1</v>
      </c>
      <c r="O1209" s="539">
        <f ca="1">IFERROR(__xludf.DUMMYFUNCTION("""COMPUTED_VALUE"""),0)</f>
        <v>0</v>
      </c>
    </row>
    <row r="1210" spans="1:15" ht="12.75">
      <c r="A1210" s="539">
        <f ca="1"/>
        <v>1204</v>
      </c>
      <c r="B1210" s="35" t="str">
        <f ca="1">IFERROR(__xludf.DUMMYFUNCTION("""COMPUTED_VALUE"""),"Tổ Hạ tầng Tân Châu")</f>
        <v>Tổ Hạ tầng Tân Châu</v>
      </c>
      <c r="C1210" s="35" t="str">
        <f ca="1">IFERROR(__xludf.DUMMYFUNCTION("""COMPUTED_VALUE"""),"Nguyễn Ngọc Thơ")</f>
        <v>Nguyễn Ngọc Thơ</v>
      </c>
      <c r="D1210" s="35">
        <f ca="1">IFERROR(__xludf.DUMMYFUNCTION("""COMPUTED_VALUE"""),919619755)</f>
        <v>919619755</v>
      </c>
      <c r="E1210" s="35" t="str">
        <f ca="1">IFERROR(__xludf.DUMMYFUNCTION("""COMPUTED_VALUE"""),"thonn.tnh@vnpt.vn")</f>
        <v>thonn.tnh@vnpt.vn</v>
      </c>
      <c r="F1210" s="540" t="str">
        <f ca="1">IFERROR(__xludf.DUMMYFUNCTION("""COMPUTED_VALUE"""),"Lần 4")</f>
        <v>Lần 4</v>
      </c>
      <c r="G1210" s="278">
        <f ca="1">IFERROR(__xludf.DUMMYFUNCTION("""COMPUTED_VALUE"""),46212)</f>
        <v>46212</v>
      </c>
      <c r="H1210" s="35">
        <f ca="1">IFERROR(__xludf.DUMMYFUNCTION("""COMPUTED_VALUE"""),97.3)</f>
        <v>97.3</v>
      </c>
      <c r="I1210" s="35">
        <f ca="1">IFERROR(__xludf.DUMMYFUNCTION("""COMPUTED_VALUE"""),45.5)</f>
        <v>45.5</v>
      </c>
      <c r="J1210" s="541">
        <f ca="1">IFERROR(__xludf.DUMMYFUNCTION("""COMPUTED_VALUE"""),72.8)</f>
        <v>72.8</v>
      </c>
      <c r="K1210" s="541">
        <f ca="1">IFERROR(__xludf.DUMMYFUNCTION("""COMPUTED_VALUE"""),43.2)</f>
        <v>43.2</v>
      </c>
      <c r="M1210" s="539">
        <f ca="1">IFERROR(__xludf.DUMMYFUNCTION("""COMPUTED_VALUE"""),1)</f>
        <v>1</v>
      </c>
      <c r="N1210" s="539">
        <f ca="1">IFERROR(__xludf.DUMMYFUNCTION("""COMPUTED_VALUE"""),1)</f>
        <v>1</v>
      </c>
      <c r="O1210" s="539">
        <f ca="1">IFERROR(__xludf.DUMMYFUNCTION("""COMPUTED_VALUE"""),0)</f>
        <v>0</v>
      </c>
    </row>
    <row r="1211" spans="1:15" ht="12.75">
      <c r="A1211" s="539">
        <f ca="1"/>
        <v>1205</v>
      </c>
      <c r="B1211" s="35" t="str">
        <f ca="1">IFERROR(__xludf.DUMMYFUNCTION("""COMPUTED_VALUE"""),"Tổ Hạ tầng Tân Châu")</f>
        <v>Tổ Hạ tầng Tân Châu</v>
      </c>
      <c r="C1211" s="35" t="str">
        <f ca="1">IFERROR(__xludf.DUMMYFUNCTION("""COMPUTED_VALUE"""),"Nguyễn Ngọc Thơ")</f>
        <v>Nguyễn Ngọc Thơ</v>
      </c>
      <c r="D1211" s="35">
        <f ca="1">IFERROR(__xludf.DUMMYFUNCTION("""COMPUTED_VALUE"""),919619755)</f>
        <v>919619755</v>
      </c>
      <c r="E1211" s="35" t="str">
        <f ca="1">IFERROR(__xludf.DUMMYFUNCTION("""COMPUTED_VALUE"""),"thonn.tnh@vnpt.vn")</f>
        <v>thonn.tnh@vnpt.vn</v>
      </c>
      <c r="F1211" s="540" t="str">
        <f ca="1">IFERROR(__xludf.DUMMYFUNCTION("""COMPUTED_VALUE"""),"Lần 5")</f>
        <v>Lần 5</v>
      </c>
      <c r="G1211" s="278">
        <f ca="1">IFERROR(__xludf.DUMMYFUNCTION("""COMPUTED_VALUE"""),46212)</f>
        <v>46212</v>
      </c>
      <c r="H1211" s="35">
        <f ca="1">IFERROR(__xludf.DUMMYFUNCTION("""COMPUTED_VALUE"""),87)</f>
        <v>87</v>
      </c>
      <c r="I1211" s="35">
        <f ca="1">IFERROR(__xludf.DUMMYFUNCTION("""COMPUTED_VALUE"""),42.4)</f>
        <v>42.4</v>
      </c>
      <c r="J1211" s="541">
        <f ca="1">IFERROR(__xludf.DUMMYFUNCTION("""COMPUTED_VALUE"""),91.4)</f>
        <v>91.4</v>
      </c>
      <c r="K1211" s="541">
        <f ca="1">IFERROR(__xludf.DUMMYFUNCTION("""COMPUTED_VALUE"""),40.6)</f>
        <v>40.6</v>
      </c>
      <c r="M1211" s="539">
        <f ca="1">IFERROR(__xludf.DUMMYFUNCTION("""COMPUTED_VALUE"""),1)</f>
        <v>1</v>
      </c>
      <c r="N1211" s="539">
        <f ca="1">IFERROR(__xludf.DUMMYFUNCTION("""COMPUTED_VALUE"""),1)</f>
        <v>1</v>
      </c>
      <c r="O1211" s="539">
        <f ca="1">IFERROR(__xludf.DUMMYFUNCTION("""COMPUTED_VALUE"""),0)</f>
        <v>0</v>
      </c>
    </row>
    <row r="1212" spans="1:15" ht="12.75">
      <c r="A1212" s="539">
        <f ca="1"/>
        <v>1206</v>
      </c>
      <c r="B1212" s="35" t="str">
        <f ca="1">IFERROR(__xludf.DUMMYFUNCTION("""COMPUTED_VALUE"""),"Tổ Hạ tầng Tân Châu")</f>
        <v>Tổ Hạ tầng Tân Châu</v>
      </c>
      <c r="C1212" s="35" t="str">
        <f ca="1">IFERROR(__xludf.DUMMYFUNCTION("""COMPUTED_VALUE"""),"Nguyễn Ngọc Thơ")</f>
        <v>Nguyễn Ngọc Thơ</v>
      </c>
      <c r="D1212" s="35">
        <f ca="1">IFERROR(__xludf.DUMMYFUNCTION("""COMPUTED_VALUE"""),919619755)</f>
        <v>919619755</v>
      </c>
      <c r="E1212" s="35" t="str">
        <f ca="1">IFERROR(__xludf.DUMMYFUNCTION("""COMPUTED_VALUE"""),"thonn.tnh@vnpt.vn")</f>
        <v>thonn.tnh@vnpt.vn</v>
      </c>
      <c r="F1212" s="540" t="str">
        <f ca="1">IFERROR(__xludf.DUMMYFUNCTION("""COMPUTED_VALUE"""),"Lần 6")</f>
        <v>Lần 6</v>
      </c>
      <c r="G1212" s="278">
        <f ca="1">IFERROR(__xludf.DUMMYFUNCTION("""COMPUTED_VALUE"""),46212)</f>
        <v>46212</v>
      </c>
      <c r="H1212" s="35">
        <f ca="1">IFERROR(__xludf.DUMMYFUNCTION("""COMPUTED_VALUE"""),80.8)</f>
        <v>80.8</v>
      </c>
      <c r="I1212" s="35">
        <f ca="1">IFERROR(__xludf.DUMMYFUNCTION("""COMPUTED_VALUE"""),44.6)</f>
        <v>44.6</v>
      </c>
      <c r="J1212" s="541">
        <f ca="1">IFERROR(__xludf.DUMMYFUNCTION("""COMPUTED_VALUE"""),92.2)</f>
        <v>92.2</v>
      </c>
      <c r="K1212" s="541">
        <f ca="1">IFERROR(__xludf.DUMMYFUNCTION("""COMPUTED_VALUE"""),41.7)</f>
        <v>41.7</v>
      </c>
      <c r="M1212" s="539">
        <f ca="1">IFERROR(__xludf.DUMMYFUNCTION("""COMPUTED_VALUE"""),1)</f>
        <v>1</v>
      </c>
      <c r="N1212" s="539">
        <f ca="1">IFERROR(__xludf.DUMMYFUNCTION("""COMPUTED_VALUE"""),1)</f>
        <v>1</v>
      </c>
      <c r="O1212" s="539">
        <f ca="1">IFERROR(__xludf.DUMMYFUNCTION("""COMPUTED_VALUE"""),0)</f>
        <v>0</v>
      </c>
    </row>
    <row r="1213" spans="1:15" ht="12.75">
      <c r="A1213" s="539">
        <f ca="1"/>
        <v>1207</v>
      </c>
      <c r="B1213" s="35" t="str">
        <f ca="1">IFERROR(__xludf.DUMMYFUNCTION("""COMPUTED_VALUE"""),"Tổ Hạ tầng Tân Châu")</f>
        <v>Tổ Hạ tầng Tân Châu</v>
      </c>
      <c r="C1213" s="35" t="str">
        <f ca="1">IFERROR(__xludf.DUMMYFUNCTION("""COMPUTED_VALUE"""),"Nguyễn Ngọc Thơ")</f>
        <v>Nguyễn Ngọc Thơ</v>
      </c>
      <c r="D1213" s="35">
        <f ca="1">IFERROR(__xludf.DUMMYFUNCTION("""COMPUTED_VALUE"""),919619755)</f>
        <v>919619755</v>
      </c>
      <c r="E1213" s="35" t="str">
        <f ca="1">IFERROR(__xludf.DUMMYFUNCTION("""COMPUTED_VALUE"""),"thonn.tnh@vnpt.vn")</f>
        <v>thonn.tnh@vnpt.vn</v>
      </c>
      <c r="F1213" s="540" t="str">
        <f ca="1">IFERROR(__xludf.DUMMYFUNCTION("""COMPUTED_VALUE"""),"Lần 7")</f>
        <v>Lần 7</v>
      </c>
      <c r="G1213" s="278">
        <f ca="1">IFERROR(__xludf.DUMMYFUNCTION("""COMPUTED_VALUE"""),46213)</f>
        <v>46213</v>
      </c>
      <c r="H1213" s="35">
        <f ca="1">IFERROR(__xludf.DUMMYFUNCTION("""COMPUTED_VALUE"""),351)</f>
        <v>351</v>
      </c>
      <c r="I1213" s="35">
        <f ca="1">IFERROR(__xludf.DUMMYFUNCTION("""COMPUTED_VALUE"""),72.9)</f>
        <v>72.900000000000006</v>
      </c>
      <c r="J1213" s="541">
        <f ca="1">IFERROR(__xludf.DUMMYFUNCTION("""COMPUTED_VALUE"""),659)</f>
        <v>659</v>
      </c>
      <c r="K1213" s="541">
        <f ca="1">IFERROR(__xludf.DUMMYFUNCTION("""COMPUTED_VALUE"""),64.8)</f>
        <v>64.8</v>
      </c>
      <c r="M1213" s="539">
        <f ca="1">IFERROR(__xludf.DUMMYFUNCTION("""COMPUTED_VALUE"""),1)</f>
        <v>1</v>
      </c>
      <c r="N1213" s="539">
        <f ca="1">IFERROR(__xludf.DUMMYFUNCTION("""COMPUTED_VALUE"""),1)</f>
        <v>1</v>
      </c>
      <c r="O1213" s="539">
        <f ca="1">IFERROR(__xludf.DUMMYFUNCTION("""COMPUTED_VALUE"""),1)</f>
        <v>1</v>
      </c>
    </row>
    <row r="1214" spans="1:15" ht="12.75">
      <c r="A1214" s="539">
        <f ca="1"/>
        <v>1208</v>
      </c>
      <c r="B1214" s="35" t="str">
        <f ca="1">IFERROR(__xludf.DUMMYFUNCTION("""COMPUTED_VALUE"""),"Tổ Hạ tầng Tân Châu")</f>
        <v>Tổ Hạ tầng Tân Châu</v>
      </c>
      <c r="C1214" s="35" t="str">
        <f ca="1">IFERROR(__xludf.DUMMYFUNCTION("""COMPUTED_VALUE"""),"Nguyễn Ngọc Thơ")</f>
        <v>Nguyễn Ngọc Thơ</v>
      </c>
      <c r="D1214" s="35">
        <f ca="1">IFERROR(__xludf.DUMMYFUNCTION("""COMPUTED_VALUE"""),919619755)</f>
        <v>919619755</v>
      </c>
      <c r="E1214" s="35" t="str">
        <f ca="1">IFERROR(__xludf.DUMMYFUNCTION("""COMPUTED_VALUE"""),"thonn.tnh@vnpt.vn")</f>
        <v>thonn.tnh@vnpt.vn</v>
      </c>
      <c r="F1214" s="540" t="str">
        <f ca="1">IFERROR(__xludf.DUMMYFUNCTION("""COMPUTED_VALUE"""),"Lần 8")</f>
        <v>Lần 8</v>
      </c>
      <c r="G1214" s="278">
        <f ca="1">IFERROR(__xludf.DUMMYFUNCTION("""COMPUTED_VALUE"""),46213)</f>
        <v>46213</v>
      </c>
      <c r="H1214" s="35">
        <f ca="1">IFERROR(__xludf.DUMMYFUNCTION("""COMPUTED_VALUE"""),260)</f>
        <v>260</v>
      </c>
      <c r="I1214" s="35">
        <f ca="1">IFERROR(__xludf.DUMMYFUNCTION("""COMPUTED_VALUE"""),67.9)</f>
        <v>67.900000000000006</v>
      </c>
      <c r="J1214" s="541">
        <f ca="1">IFERROR(__xludf.DUMMYFUNCTION("""COMPUTED_VALUE"""),669)</f>
        <v>669</v>
      </c>
      <c r="K1214" s="541">
        <f ca="1">IFERROR(__xludf.DUMMYFUNCTION("""COMPUTED_VALUE"""),67.3)</f>
        <v>67.3</v>
      </c>
      <c r="M1214" s="539">
        <f ca="1">IFERROR(__xludf.DUMMYFUNCTION("""COMPUTED_VALUE"""),1)</f>
        <v>1</v>
      </c>
      <c r="N1214" s="539">
        <f ca="1">IFERROR(__xludf.DUMMYFUNCTION("""COMPUTED_VALUE"""),1)</f>
        <v>1</v>
      </c>
      <c r="O1214" s="539">
        <f ca="1">IFERROR(__xludf.DUMMYFUNCTION("""COMPUTED_VALUE"""),1)</f>
        <v>1</v>
      </c>
    </row>
    <row r="1215" spans="1:15" ht="12.75">
      <c r="A1215" s="539">
        <f ca="1"/>
        <v>1209</v>
      </c>
      <c r="B1215" s="35" t="str">
        <f ca="1">IFERROR(__xludf.DUMMYFUNCTION("""COMPUTED_VALUE"""),"Tổ Hạ tầng Tân Châu")</f>
        <v>Tổ Hạ tầng Tân Châu</v>
      </c>
      <c r="C1215" s="35" t="str">
        <f ca="1">IFERROR(__xludf.DUMMYFUNCTION("""COMPUTED_VALUE"""),"Nguyễn Ngọc Thơ")</f>
        <v>Nguyễn Ngọc Thơ</v>
      </c>
      <c r="D1215" s="35">
        <f ca="1">IFERROR(__xludf.DUMMYFUNCTION("""COMPUTED_VALUE"""),919619755)</f>
        <v>919619755</v>
      </c>
      <c r="E1215" s="35" t="str">
        <f ca="1">IFERROR(__xludf.DUMMYFUNCTION("""COMPUTED_VALUE"""),"thonn.tnh@vnpt.vn")</f>
        <v>thonn.tnh@vnpt.vn</v>
      </c>
      <c r="F1215" s="540" t="str">
        <f ca="1">IFERROR(__xludf.DUMMYFUNCTION("""COMPUTED_VALUE"""),"Lần 9")</f>
        <v>Lần 9</v>
      </c>
      <c r="G1215" s="278">
        <f ca="1">IFERROR(__xludf.DUMMYFUNCTION("""COMPUTED_VALUE"""),46213)</f>
        <v>46213</v>
      </c>
      <c r="H1215" s="35">
        <f ca="1">IFERROR(__xludf.DUMMYFUNCTION("""COMPUTED_VALUE"""),268)</f>
        <v>268</v>
      </c>
      <c r="I1215" s="35">
        <f ca="1">IFERROR(__xludf.DUMMYFUNCTION("""COMPUTED_VALUE"""),64.8)</f>
        <v>64.8</v>
      </c>
      <c r="J1215" s="541">
        <f ca="1">IFERROR(__xludf.DUMMYFUNCTION("""COMPUTED_VALUE"""),623)</f>
        <v>623</v>
      </c>
      <c r="K1215" s="541">
        <f ca="1">IFERROR(__xludf.DUMMYFUNCTION("""COMPUTED_VALUE"""),64.7)</f>
        <v>64.7</v>
      </c>
      <c r="M1215" s="539">
        <f ca="1">IFERROR(__xludf.DUMMYFUNCTION("""COMPUTED_VALUE"""),1)</f>
        <v>1</v>
      </c>
      <c r="N1215" s="539">
        <f ca="1">IFERROR(__xludf.DUMMYFUNCTION("""COMPUTED_VALUE"""),1)</f>
        <v>1</v>
      </c>
      <c r="O1215" s="539">
        <f ca="1">IFERROR(__xludf.DUMMYFUNCTION("""COMPUTED_VALUE"""),1)</f>
        <v>1</v>
      </c>
    </row>
    <row r="1216" spans="1:15" ht="12.75">
      <c r="A1216" s="539">
        <f ca="1"/>
        <v>1210</v>
      </c>
      <c r="B1216" s="35" t="str">
        <f ca="1">IFERROR(__xludf.DUMMYFUNCTION("""COMPUTED_VALUE"""),"Tổ Hạ tầng Tân Châu")</f>
        <v>Tổ Hạ tầng Tân Châu</v>
      </c>
      <c r="C1216" s="35" t="str">
        <f ca="1">IFERROR(__xludf.DUMMYFUNCTION("""COMPUTED_VALUE"""),"Nguyễn Ngọc Thơ")</f>
        <v>Nguyễn Ngọc Thơ</v>
      </c>
      <c r="D1216" s="35">
        <f ca="1">IFERROR(__xludf.DUMMYFUNCTION("""COMPUTED_VALUE"""),919619755)</f>
        <v>919619755</v>
      </c>
      <c r="E1216" s="35" t="str">
        <f ca="1">IFERROR(__xludf.DUMMYFUNCTION("""COMPUTED_VALUE"""),"thonn.tnh@vnpt.vn")</f>
        <v>thonn.tnh@vnpt.vn</v>
      </c>
      <c r="F1216" s="540" t="str">
        <f ca="1">IFERROR(__xludf.DUMMYFUNCTION("""COMPUTED_VALUE"""),"Lần 10")</f>
        <v>Lần 10</v>
      </c>
      <c r="G1216" s="278">
        <f ca="1">IFERROR(__xludf.DUMMYFUNCTION("""COMPUTED_VALUE"""),46213)</f>
        <v>46213</v>
      </c>
      <c r="H1216" s="35">
        <f ca="1">IFERROR(__xludf.DUMMYFUNCTION("""COMPUTED_VALUE"""),329)</f>
        <v>329</v>
      </c>
      <c r="I1216" s="35">
        <f ca="1">IFERROR(__xludf.DUMMYFUNCTION("""COMPUTED_VALUE"""),73)</f>
        <v>73</v>
      </c>
      <c r="J1216" s="541">
        <f ca="1">IFERROR(__xludf.DUMMYFUNCTION("""COMPUTED_VALUE"""),594)</f>
        <v>594</v>
      </c>
      <c r="K1216" s="541">
        <f ca="1">IFERROR(__xludf.DUMMYFUNCTION("""COMPUTED_VALUE"""),64.6)</f>
        <v>64.599999999999994</v>
      </c>
      <c r="M1216" s="539">
        <f ca="1">IFERROR(__xludf.DUMMYFUNCTION("""COMPUTED_VALUE"""),1)</f>
        <v>1</v>
      </c>
      <c r="N1216" s="539">
        <f ca="1">IFERROR(__xludf.DUMMYFUNCTION("""COMPUTED_VALUE"""),1)</f>
        <v>1</v>
      </c>
      <c r="O1216" s="539">
        <f ca="1">IFERROR(__xludf.DUMMYFUNCTION("""COMPUTED_VALUE"""),1)</f>
        <v>1</v>
      </c>
    </row>
    <row r="1217" spans="1:15" ht="12.75">
      <c r="A1217" s="539">
        <f ca="1"/>
        <v>1211</v>
      </c>
      <c r="B1217" s="35" t="str">
        <f ca="1">IFERROR(__xludf.DUMMYFUNCTION("""COMPUTED_VALUE"""),"Tổ Hạ tầng Tân Châu")</f>
        <v>Tổ Hạ tầng Tân Châu</v>
      </c>
      <c r="C1217" s="35" t="str">
        <f ca="1">IFERROR(__xludf.DUMMYFUNCTION("""COMPUTED_VALUE"""),"Nguyễn Ngọc Thơ")</f>
        <v>Nguyễn Ngọc Thơ</v>
      </c>
      <c r="D1217" s="35">
        <f ca="1">IFERROR(__xludf.DUMMYFUNCTION("""COMPUTED_VALUE"""),919619755)</f>
        <v>919619755</v>
      </c>
      <c r="E1217" s="35" t="str">
        <f ca="1">IFERROR(__xludf.DUMMYFUNCTION("""COMPUTED_VALUE"""),"thonn.tnh@vnpt.vn")</f>
        <v>thonn.tnh@vnpt.vn</v>
      </c>
      <c r="F1217" s="540" t="str">
        <f ca="1">IFERROR(__xludf.DUMMYFUNCTION("""COMPUTED_VALUE"""),"Lần 11")</f>
        <v>Lần 11</v>
      </c>
      <c r="G1217" s="278">
        <f ca="1">IFERROR(__xludf.DUMMYFUNCTION("""COMPUTED_VALUE"""),46213)</f>
        <v>46213</v>
      </c>
      <c r="H1217" s="35">
        <f ca="1">IFERROR(__xludf.DUMMYFUNCTION("""COMPUTED_VALUE"""),302)</f>
        <v>302</v>
      </c>
      <c r="I1217" s="35">
        <f ca="1">IFERROR(__xludf.DUMMYFUNCTION("""COMPUTED_VALUE"""),63.3)</f>
        <v>63.3</v>
      </c>
      <c r="J1217" s="541">
        <f ca="1">IFERROR(__xludf.DUMMYFUNCTION("""COMPUTED_VALUE"""),550)</f>
        <v>550</v>
      </c>
      <c r="K1217" s="541">
        <f ca="1">IFERROR(__xludf.DUMMYFUNCTION("""COMPUTED_VALUE"""),63.3)</f>
        <v>63.3</v>
      </c>
      <c r="M1217" s="539">
        <f ca="1">IFERROR(__xludf.DUMMYFUNCTION("""COMPUTED_VALUE"""),1)</f>
        <v>1</v>
      </c>
      <c r="N1217" s="539">
        <f ca="1">IFERROR(__xludf.DUMMYFUNCTION("""COMPUTED_VALUE"""),1)</f>
        <v>1</v>
      </c>
      <c r="O1217" s="539">
        <f ca="1">IFERROR(__xludf.DUMMYFUNCTION("""COMPUTED_VALUE"""),1)</f>
        <v>1</v>
      </c>
    </row>
    <row r="1218" spans="1:15" ht="12.75">
      <c r="A1218" s="539">
        <f ca="1"/>
        <v>1212</v>
      </c>
      <c r="B1218" s="35" t="str">
        <f ca="1">IFERROR(__xludf.DUMMYFUNCTION("""COMPUTED_VALUE"""),"Tổ Hạ tầng Tân Châu")</f>
        <v>Tổ Hạ tầng Tân Châu</v>
      </c>
      <c r="C1218" s="35" t="str">
        <f ca="1">IFERROR(__xludf.DUMMYFUNCTION("""COMPUTED_VALUE"""),"Nguyễn Ngọc Thơ")</f>
        <v>Nguyễn Ngọc Thơ</v>
      </c>
      <c r="D1218" s="35">
        <f ca="1">IFERROR(__xludf.DUMMYFUNCTION("""COMPUTED_VALUE"""),919619755)</f>
        <v>919619755</v>
      </c>
      <c r="E1218" s="35" t="str">
        <f ca="1">IFERROR(__xludf.DUMMYFUNCTION("""COMPUTED_VALUE"""),"thonn.tnh@vnpt.vn")</f>
        <v>thonn.tnh@vnpt.vn</v>
      </c>
      <c r="F1218" s="540" t="str">
        <f ca="1">IFERROR(__xludf.DUMMYFUNCTION("""COMPUTED_VALUE"""),"Lần 12")</f>
        <v>Lần 12</v>
      </c>
      <c r="G1218" s="278">
        <f ca="1">IFERROR(__xludf.DUMMYFUNCTION("""COMPUTED_VALUE"""),46213)</f>
        <v>46213</v>
      </c>
      <c r="H1218" s="35">
        <f ca="1">IFERROR(__xludf.DUMMYFUNCTION("""COMPUTED_VALUE"""),240)</f>
        <v>240</v>
      </c>
      <c r="I1218" s="35">
        <f ca="1">IFERROR(__xludf.DUMMYFUNCTION("""COMPUTED_VALUE"""),56.2)</f>
        <v>56.2</v>
      </c>
      <c r="J1218" s="541">
        <f ca="1">IFERROR(__xludf.DUMMYFUNCTION("""COMPUTED_VALUE"""),464)</f>
        <v>464</v>
      </c>
      <c r="K1218" s="541">
        <f ca="1">IFERROR(__xludf.DUMMYFUNCTION("""COMPUTED_VALUE"""),60.4)</f>
        <v>60.4</v>
      </c>
      <c r="M1218" s="539">
        <f ca="1">IFERROR(__xludf.DUMMYFUNCTION("""COMPUTED_VALUE"""),1)</f>
        <v>1</v>
      </c>
      <c r="N1218" s="539">
        <f ca="1">IFERROR(__xludf.DUMMYFUNCTION("""COMPUTED_VALUE"""),1)</f>
        <v>1</v>
      </c>
      <c r="O1218" s="539">
        <f ca="1">IFERROR(__xludf.DUMMYFUNCTION("""COMPUTED_VALUE"""),1)</f>
        <v>1</v>
      </c>
    </row>
    <row r="1219" spans="1:15" ht="12.75">
      <c r="A1219" s="539">
        <f ca="1"/>
        <v>1213</v>
      </c>
      <c r="B1219" s="35" t="str">
        <f ca="1">IFERROR(__xludf.DUMMYFUNCTION("""COMPUTED_VALUE"""),"Tổ Hạ tầng Tân Châu")</f>
        <v>Tổ Hạ tầng Tân Châu</v>
      </c>
      <c r="C1219" s="35" t="str">
        <f ca="1">IFERROR(__xludf.DUMMYFUNCTION("""COMPUTED_VALUE"""),"Nguyễn Ngọc Thơ")</f>
        <v>Nguyễn Ngọc Thơ</v>
      </c>
      <c r="D1219" s="35">
        <f ca="1">IFERROR(__xludf.DUMMYFUNCTION("""COMPUTED_VALUE"""),919619755)</f>
        <v>919619755</v>
      </c>
      <c r="E1219" s="35" t="str">
        <f ca="1">IFERROR(__xludf.DUMMYFUNCTION("""COMPUTED_VALUE"""),"thonn.tnh@vnpt.vn")</f>
        <v>thonn.tnh@vnpt.vn</v>
      </c>
      <c r="F1219" s="540" t="str">
        <f ca="1">IFERROR(__xludf.DUMMYFUNCTION("""COMPUTED_VALUE"""),"Lần 13")</f>
        <v>Lần 13</v>
      </c>
      <c r="G1219" s="278">
        <f ca="1">IFERROR(__xludf.DUMMYFUNCTION("""COMPUTED_VALUE"""),46213)</f>
        <v>46213</v>
      </c>
      <c r="H1219" s="35">
        <f ca="1">IFERROR(__xludf.DUMMYFUNCTION("""COMPUTED_VALUE"""),269)</f>
        <v>269</v>
      </c>
      <c r="I1219" s="35">
        <f ca="1">IFERROR(__xludf.DUMMYFUNCTION("""COMPUTED_VALUE"""),57)</f>
        <v>57</v>
      </c>
      <c r="J1219" s="541">
        <f ca="1">IFERROR(__xludf.DUMMYFUNCTION("""COMPUTED_VALUE"""),633)</f>
        <v>633</v>
      </c>
      <c r="K1219" s="541">
        <f ca="1">IFERROR(__xludf.DUMMYFUNCTION("""COMPUTED_VALUE"""),93.5)</f>
        <v>93.5</v>
      </c>
      <c r="M1219" s="539">
        <f ca="1">IFERROR(__xludf.DUMMYFUNCTION("""COMPUTED_VALUE"""),1)</f>
        <v>1</v>
      </c>
      <c r="N1219" s="539">
        <f ca="1">IFERROR(__xludf.DUMMYFUNCTION("""COMPUTED_VALUE"""),1)</f>
        <v>1</v>
      </c>
      <c r="O1219" s="539">
        <f ca="1">IFERROR(__xludf.DUMMYFUNCTION("""COMPUTED_VALUE"""),1)</f>
        <v>1</v>
      </c>
    </row>
    <row r="1220" spans="1:15" ht="12.75">
      <c r="A1220" s="539">
        <f ca="1"/>
        <v>1214</v>
      </c>
      <c r="B1220" s="35" t="str">
        <f ca="1">IFERROR(__xludf.DUMMYFUNCTION("""COMPUTED_VALUE"""),"Tổ Hạ tầng Tân Châu")</f>
        <v>Tổ Hạ tầng Tân Châu</v>
      </c>
      <c r="C1220" s="35" t="str">
        <f ca="1">IFERROR(__xludf.DUMMYFUNCTION("""COMPUTED_VALUE"""),"Nguyễn Ngọc Thơ")</f>
        <v>Nguyễn Ngọc Thơ</v>
      </c>
      <c r="D1220" s="35">
        <f ca="1">IFERROR(__xludf.DUMMYFUNCTION("""COMPUTED_VALUE"""),919619755)</f>
        <v>919619755</v>
      </c>
      <c r="E1220" s="35" t="str">
        <f ca="1">IFERROR(__xludf.DUMMYFUNCTION("""COMPUTED_VALUE"""),"thonn.tnh@vnpt.vn")</f>
        <v>thonn.tnh@vnpt.vn</v>
      </c>
      <c r="F1220" s="540" t="str">
        <f ca="1">IFERROR(__xludf.DUMMYFUNCTION("""COMPUTED_VALUE"""),"Lần 14")</f>
        <v>Lần 14</v>
      </c>
      <c r="G1220" s="278">
        <f ca="1">IFERROR(__xludf.DUMMYFUNCTION("""COMPUTED_VALUE"""),46213)</f>
        <v>46213</v>
      </c>
      <c r="H1220" s="35">
        <f ca="1">IFERROR(__xludf.DUMMYFUNCTION("""COMPUTED_VALUE"""),331)</f>
        <v>331</v>
      </c>
      <c r="I1220" s="35">
        <f ca="1">IFERROR(__xludf.DUMMYFUNCTION("""COMPUTED_VALUE"""),70.8)</f>
        <v>70.8</v>
      </c>
      <c r="J1220" s="541">
        <f ca="1">IFERROR(__xludf.DUMMYFUNCTION("""COMPUTED_VALUE"""),435)</f>
        <v>435</v>
      </c>
      <c r="K1220" s="541">
        <f ca="1">IFERROR(__xludf.DUMMYFUNCTION("""COMPUTED_VALUE"""),63.7)</f>
        <v>63.7</v>
      </c>
      <c r="M1220" s="539">
        <f ca="1">IFERROR(__xludf.DUMMYFUNCTION("""COMPUTED_VALUE"""),1)</f>
        <v>1</v>
      </c>
      <c r="N1220" s="539">
        <f ca="1">IFERROR(__xludf.DUMMYFUNCTION("""COMPUTED_VALUE"""),1)</f>
        <v>1</v>
      </c>
      <c r="O1220" s="539">
        <f ca="1">IFERROR(__xludf.DUMMYFUNCTION("""COMPUTED_VALUE"""),1)</f>
        <v>1</v>
      </c>
    </row>
    <row r="1221" spans="1:15" ht="12.75">
      <c r="A1221" s="539">
        <f ca="1"/>
        <v>1215</v>
      </c>
      <c r="B1221" s="35" t="str">
        <f ca="1">IFERROR(__xludf.DUMMYFUNCTION("""COMPUTED_VALUE"""),"Tổ Hạ tầng Tân Châu")</f>
        <v>Tổ Hạ tầng Tân Châu</v>
      </c>
      <c r="C1221" s="35" t="str">
        <f ca="1">IFERROR(__xludf.DUMMYFUNCTION("""COMPUTED_VALUE"""),"Nguyễn Ngọc Thơ")</f>
        <v>Nguyễn Ngọc Thơ</v>
      </c>
      <c r="D1221" s="35">
        <f ca="1">IFERROR(__xludf.DUMMYFUNCTION("""COMPUTED_VALUE"""),919619755)</f>
        <v>919619755</v>
      </c>
      <c r="E1221" s="35" t="str">
        <f ca="1">IFERROR(__xludf.DUMMYFUNCTION("""COMPUTED_VALUE"""),"thonn.tnh@vnpt.vn")</f>
        <v>thonn.tnh@vnpt.vn</v>
      </c>
      <c r="F1221" s="540" t="str">
        <f ca="1">IFERROR(__xludf.DUMMYFUNCTION("""COMPUTED_VALUE"""),"Lần 15")</f>
        <v>Lần 15</v>
      </c>
      <c r="G1221" s="278">
        <f ca="1">IFERROR(__xludf.DUMMYFUNCTION("""COMPUTED_VALUE"""),46213)</f>
        <v>46213</v>
      </c>
      <c r="H1221" s="35">
        <f ca="1">IFERROR(__xludf.DUMMYFUNCTION("""COMPUTED_VALUE"""),356)</f>
        <v>356</v>
      </c>
      <c r="I1221" s="35">
        <f ca="1">IFERROR(__xludf.DUMMYFUNCTION("""COMPUTED_VALUE"""),77.3)</f>
        <v>77.3</v>
      </c>
      <c r="J1221" s="541">
        <f ca="1">IFERROR(__xludf.DUMMYFUNCTION("""COMPUTED_VALUE"""),750)</f>
        <v>750</v>
      </c>
      <c r="K1221" s="541">
        <f ca="1">IFERROR(__xludf.DUMMYFUNCTION("""COMPUTED_VALUE"""),87)</f>
        <v>87</v>
      </c>
      <c r="M1221" s="539">
        <f ca="1">IFERROR(__xludf.DUMMYFUNCTION("""COMPUTED_VALUE"""),1)</f>
        <v>1</v>
      </c>
      <c r="N1221" s="539">
        <f ca="1">IFERROR(__xludf.DUMMYFUNCTION("""COMPUTED_VALUE"""),1)</f>
        <v>1</v>
      </c>
      <c r="O1221" s="539">
        <f ca="1">IFERROR(__xludf.DUMMYFUNCTION("""COMPUTED_VALUE"""),1)</f>
        <v>1</v>
      </c>
    </row>
    <row r="1222" spans="1:15" ht="12.75">
      <c r="A1222" s="539">
        <f ca="1"/>
        <v>1216</v>
      </c>
      <c r="B1222" s="35" t="str">
        <f ca="1">IFERROR(__xludf.DUMMYFUNCTION("""COMPUTED_VALUE"""),"Tổ Hạ tầng Tân Châu")</f>
        <v>Tổ Hạ tầng Tân Châu</v>
      </c>
      <c r="C1222" s="35" t="str">
        <f ca="1">IFERROR(__xludf.DUMMYFUNCTION("""COMPUTED_VALUE"""),"Nguyễn Ngọc Thơ")</f>
        <v>Nguyễn Ngọc Thơ</v>
      </c>
      <c r="D1222" s="35">
        <f ca="1">IFERROR(__xludf.DUMMYFUNCTION("""COMPUTED_VALUE"""),919619755)</f>
        <v>919619755</v>
      </c>
      <c r="E1222" s="35" t="str">
        <f ca="1">IFERROR(__xludf.DUMMYFUNCTION("""COMPUTED_VALUE"""),"thonn.tnh@vnpt.vn")</f>
        <v>thonn.tnh@vnpt.vn</v>
      </c>
      <c r="F1222" s="540" t="str">
        <f ca="1">IFERROR(__xludf.DUMMYFUNCTION("""COMPUTED_VALUE"""),"Lần 16")</f>
        <v>Lần 16</v>
      </c>
      <c r="G1222" s="278">
        <f ca="1">IFERROR(__xludf.DUMMYFUNCTION("""COMPUTED_VALUE"""),46213)</f>
        <v>46213</v>
      </c>
      <c r="H1222" s="35">
        <f ca="1">IFERROR(__xludf.DUMMYFUNCTION("""COMPUTED_VALUE"""),74.6)</f>
        <v>74.599999999999994</v>
      </c>
      <c r="I1222" s="35">
        <f ca="1">IFERROR(__xludf.DUMMYFUNCTION("""COMPUTED_VALUE"""),17.5)</f>
        <v>17.5</v>
      </c>
      <c r="J1222" s="541">
        <f ca="1">IFERROR(__xludf.DUMMYFUNCTION("""COMPUTED_VALUE"""),506)</f>
        <v>506</v>
      </c>
      <c r="K1222" s="541">
        <f ca="1">IFERROR(__xludf.DUMMYFUNCTION("""COMPUTED_VALUE"""),32.7)</f>
        <v>32.700000000000003</v>
      </c>
      <c r="M1222" s="539">
        <f ca="1">IFERROR(__xludf.DUMMYFUNCTION("""COMPUTED_VALUE"""),1)</f>
        <v>1</v>
      </c>
      <c r="N1222" s="539">
        <f ca="1">IFERROR(__xludf.DUMMYFUNCTION("""COMPUTED_VALUE"""),1)</f>
        <v>1</v>
      </c>
      <c r="O1222" s="539">
        <f ca="1">IFERROR(__xludf.DUMMYFUNCTION("""COMPUTED_VALUE"""),1)</f>
        <v>1</v>
      </c>
    </row>
    <row r="1223" spans="1:15" ht="12.75">
      <c r="A1223" s="539">
        <f ca="1"/>
        <v>1217</v>
      </c>
      <c r="B1223" s="35" t="str">
        <f ca="1">IFERROR(__xludf.DUMMYFUNCTION("""COMPUTED_VALUE"""),"Tổ Hạ tầng Tân Châu")</f>
        <v>Tổ Hạ tầng Tân Châu</v>
      </c>
      <c r="C1223" s="35" t="str">
        <f ca="1">IFERROR(__xludf.DUMMYFUNCTION("""COMPUTED_VALUE"""),"Nguyễn Đông Triều")</f>
        <v>Nguyễn Đông Triều</v>
      </c>
      <c r="D1223" s="35">
        <f ca="1">IFERROR(__xludf.DUMMYFUNCTION("""COMPUTED_VALUE"""),914433557)</f>
        <v>914433557</v>
      </c>
      <c r="E1223" s="35" t="str">
        <f ca="1">IFERROR(__xludf.DUMMYFUNCTION("""COMPUTED_VALUE"""),"trieund.tnh@vnpt.vn")</f>
        <v>trieund.tnh@vnpt.vn</v>
      </c>
      <c r="F1223" s="540" t="str">
        <f ca="1">IFERROR(__xludf.DUMMYFUNCTION("""COMPUTED_VALUE"""),"Lần 1")</f>
        <v>Lần 1</v>
      </c>
      <c r="G1223" s="278">
        <f ca="1">IFERROR(__xludf.DUMMYFUNCTION("""COMPUTED_VALUE"""),46213)</f>
        <v>46213</v>
      </c>
      <c r="H1223" s="35">
        <f ca="1">IFERROR(__xludf.DUMMYFUNCTION("""COMPUTED_VALUE"""),84)</f>
        <v>84</v>
      </c>
      <c r="I1223" s="35">
        <f ca="1">IFERROR(__xludf.DUMMYFUNCTION("""COMPUTED_VALUE"""),58)</f>
        <v>58</v>
      </c>
      <c r="J1223" s="35">
        <f ca="1">IFERROR(__xludf.DUMMYFUNCTION("""COMPUTED_VALUE"""),103)</f>
        <v>103</v>
      </c>
      <c r="K1223" s="35">
        <f ca="1">IFERROR(__xludf.DUMMYFUNCTION("""COMPUTED_VALUE"""),29.8)</f>
        <v>29.8</v>
      </c>
      <c r="M1223" s="539">
        <f ca="1">IFERROR(__xludf.DUMMYFUNCTION("""COMPUTED_VALUE"""),1)</f>
        <v>1</v>
      </c>
      <c r="N1223" s="539">
        <f ca="1">IFERROR(__xludf.DUMMYFUNCTION("""COMPUTED_VALUE"""),1)</f>
        <v>1</v>
      </c>
      <c r="O1223" s="539">
        <f ca="1">IFERROR(__xludf.DUMMYFUNCTION("""COMPUTED_VALUE"""),0)</f>
        <v>0</v>
      </c>
    </row>
    <row r="1224" spans="1:15" ht="12.75">
      <c r="A1224" s="539">
        <f ca="1"/>
        <v>1218</v>
      </c>
      <c r="B1224" s="35" t="str">
        <f ca="1">IFERROR(__xludf.DUMMYFUNCTION("""COMPUTED_VALUE"""),"Tổ Hạ tầng Tân Châu")</f>
        <v>Tổ Hạ tầng Tân Châu</v>
      </c>
      <c r="C1224" s="35" t="str">
        <f ca="1">IFERROR(__xludf.DUMMYFUNCTION("""COMPUTED_VALUE"""),"Nguyễn Đông Triều")</f>
        <v>Nguyễn Đông Triều</v>
      </c>
      <c r="D1224" s="35">
        <f ca="1">IFERROR(__xludf.DUMMYFUNCTION("""COMPUTED_VALUE"""),914433557)</f>
        <v>914433557</v>
      </c>
      <c r="E1224" s="35" t="str">
        <f ca="1">IFERROR(__xludf.DUMMYFUNCTION("""COMPUTED_VALUE"""),"trieund.tnh@vnpt.vn")</f>
        <v>trieund.tnh@vnpt.vn</v>
      </c>
      <c r="F1224" s="540" t="str">
        <f ca="1">IFERROR(__xludf.DUMMYFUNCTION("""COMPUTED_VALUE"""),"Lần 2")</f>
        <v>Lần 2</v>
      </c>
      <c r="G1224" s="278">
        <f ca="1">IFERROR(__xludf.DUMMYFUNCTION("""COMPUTED_VALUE"""),46213)</f>
        <v>46213</v>
      </c>
      <c r="H1224" s="35">
        <f ca="1">IFERROR(__xludf.DUMMYFUNCTION("""COMPUTED_VALUE"""),112)</f>
        <v>112</v>
      </c>
      <c r="I1224" s="35">
        <f ca="1">IFERROR(__xludf.DUMMYFUNCTION("""COMPUTED_VALUE"""),52.3)</f>
        <v>52.3</v>
      </c>
      <c r="J1224" s="35">
        <f ca="1">IFERROR(__xludf.DUMMYFUNCTION("""COMPUTED_VALUE"""),92.5)</f>
        <v>92.5</v>
      </c>
      <c r="K1224" s="35">
        <f ca="1">IFERROR(__xludf.DUMMYFUNCTION("""COMPUTED_VALUE"""),14.7)</f>
        <v>14.7</v>
      </c>
      <c r="M1224" s="539">
        <f ca="1">IFERROR(__xludf.DUMMYFUNCTION("""COMPUTED_VALUE"""),1)</f>
        <v>1</v>
      </c>
      <c r="N1224" s="539">
        <f ca="1">IFERROR(__xludf.DUMMYFUNCTION("""COMPUTED_VALUE"""),1)</f>
        <v>1</v>
      </c>
      <c r="O1224" s="539">
        <f ca="1">IFERROR(__xludf.DUMMYFUNCTION("""COMPUTED_VALUE"""),0)</f>
        <v>0</v>
      </c>
    </row>
    <row r="1225" spans="1:15" ht="12.75">
      <c r="A1225" s="539">
        <f ca="1"/>
        <v>1219</v>
      </c>
      <c r="B1225" s="35" t="str">
        <f ca="1">IFERROR(__xludf.DUMMYFUNCTION("""COMPUTED_VALUE"""),"Tổ Hạ tầng Tân Châu")</f>
        <v>Tổ Hạ tầng Tân Châu</v>
      </c>
      <c r="C1225" s="35" t="str">
        <f ca="1">IFERROR(__xludf.DUMMYFUNCTION("""COMPUTED_VALUE"""),"Nguyễn Đông Triều")</f>
        <v>Nguyễn Đông Triều</v>
      </c>
      <c r="D1225" s="35">
        <f ca="1">IFERROR(__xludf.DUMMYFUNCTION("""COMPUTED_VALUE"""),914433557)</f>
        <v>914433557</v>
      </c>
      <c r="E1225" s="35" t="str">
        <f ca="1">IFERROR(__xludf.DUMMYFUNCTION("""COMPUTED_VALUE"""),"trieund.tnh@vnpt.vn")</f>
        <v>trieund.tnh@vnpt.vn</v>
      </c>
      <c r="F1225" s="540" t="str">
        <f ca="1">IFERROR(__xludf.DUMMYFUNCTION("""COMPUTED_VALUE"""),"Lần 3")</f>
        <v>Lần 3</v>
      </c>
      <c r="G1225" s="278">
        <f ca="1">IFERROR(__xludf.DUMMYFUNCTION("""COMPUTED_VALUE"""),46213)</f>
        <v>46213</v>
      </c>
      <c r="H1225" s="35">
        <f ca="1">IFERROR(__xludf.DUMMYFUNCTION("""COMPUTED_VALUE"""),106)</f>
        <v>106</v>
      </c>
      <c r="I1225" s="35">
        <f ca="1">IFERROR(__xludf.DUMMYFUNCTION("""COMPUTED_VALUE"""),81)</f>
        <v>81</v>
      </c>
      <c r="J1225" s="35">
        <f ca="1">IFERROR(__xludf.DUMMYFUNCTION("""COMPUTED_VALUE"""),92.6)</f>
        <v>92.6</v>
      </c>
      <c r="K1225" s="35">
        <f ca="1">IFERROR(__xludf.DUMMYFUNCTION("""COMPUTED_VALUE"""),30.6)</f>
        <v>30.6</v>
      </c>
      <c r="M1225" s="539">
        <f ca="1">IFERROR(__xludf.DUMMYFUNCTION("""COMPUTED_VALUE"""),1)</f>
        <v>1</v>
      </c>
      <c r="N1225" s="539">
        <f ca="1">IFERROR(__xludf.DUMMYFUNCTION("""COMPUTED_VALUE"""),1)</f>
        <v>1</v>
      </c>
      <c r="O1225" s="539">
        <f ca="1">IFERROR(__xludf.DUMMYFUNCTION("""COMPUTED_VALUE"""),0)</f>
        <v>0</v>
      </c>
    </row>
    <row r="1226" spans="1:15" ht="12.75">
      <c r="A1226" s="539">
        <f ca="1"/>
        <v>1220</v>
      </c>
      <c r="B1226" s="35" t="str">
        <f ca="1">IFERROR(__xludf.DUMMYFUNCTION("""COMPUTED_VALUE"""),"Tổ Hạ tầng Tân Châu")</f>
        <v>Tổ Hạ tầng Tân Châu</v>
      </c>
      <c r="C1226" s="35" t="str">
        <f ca="1">IFERROR(__xludf.DUMMYFUNCTION("""COMPUTED_VALUE"""),"Nguyễn Đông Triều")</f>
        <v>Nguyễn Đông Triều</v>
      </c>
      <c r="D1226" s="35">
        <f ca="1">IFERROR(__xludf.DUMMYFUNCTION("""COMPUTED_VALUE"""),914433557)</f>
        <v>914433557</v>
      </c>
      <c r="E1226" s="35" t="str">
        <f ca="1">IFERROR(__xludf.DUMMYFUNCTION("""COMPUTED_VALUE"""),"trieund.tnh@vnpt.vn")</f>
        <v>trieund.tnh@vnpt.vn</v>
      </c>
      <c r="F1226" s="540" t="str">
        <f ca="1">IFERROR(__xludf.DUMMYFUNCTION("""COMPUTED_VALUE"""),"Lần 4")</f>
        <v>Lần 4</v>
      </c>
      <c r="G1226" s="278">
        <f ca="1">IFERROR(__xludf.DUMMYFUNCTION("""COMPUTED_VALUE"""),46213)</f>
        <v>46213</v>
      </c>
      <c r="H1226" s="35">
        <f ca="1">IFERROR(__xludf.DUMMYFUNCTION("""COMPUTED_VALUE"""),72.3)</f>
        <v>72.3</v>
      </c>
      <c r="I1226" s="35">
        <f ca="1">IFERROR(__xludf.DUMMYFUNCTION("""COMPUTED_VALUE"""),61)</f>
        <v>61</v>
      </c>
      <c r="J1226" s="35">
        <f ca="1">IFERROR(__xludf.DUMMYFUNCTION("""COMPUTED_VALUE"""),104)</f>
        <v>104</v>
      </c>
      <c r="K1226" s="35">
        <f ca="1">IFERROR(__xludf.DUMMYFUNCTION("""COMPUTED_VALUE"""),44.2)</f>
        <v>44.2</v>
      </c>
      <c r="M1226" s="539">
        <f ca="1">IFERROR(__xludf.DUMMYFUNCTION("""COMPUTED_VALUE"""),1)</f>
        <v>1</v>
      </c>
      <c r="N1226" s="539">
        <f ca="1">IFERROR(__xludf.DUMMYFUNCTION("""COMPUTED_VALUE"""),1)</f>
        <v>1</v>
      </c>
      <c r="O1226" s="539">
        <f ca="1">IFERROR(__xludf.DUMMYFUNCTION("""COMPUTED_VALUE"""),0)</f>
        <v>0</v>
      </c>
    </row>
    <row r="1227" spans="1:15" ht="12.75">
      <c r="A1227" s="539">
        <f ca="1"/>
        <v>1221</v>
      </c>
      <c r="B1227" s="35" t="str">
        <f ca="1">IFERROR(__xludf.DUMMYFUNCTION("""COMPUTED_VALUE"""),"Tổ Hạ tầng Tân Châu")</f>
        <v>Tổ Hạ tầng Tân Châu</v>
      </c>
      <c r="C1227" s="35" t="str">
        <f ca="1">IFERROR(__xludf.DUMMYFUNCTION("""COMPUTED_VALUE"""),"Nguyễn Đông Triều")</f>
        <v>Nguyễn Đông Triều</v>
      </c>
      <c r="D1227" s="35">
        <f ca="1">IFERROR(__xludf.DUMMYFUNCTION("""COMPUTED_VALUE"""),914433557)</f>
        <v>914433557</v>
      </c>
      <c r="E1227" s="35" t="str">
        <f ca="1">IFERROR(__xludf.DUMMYFUNCTION("""COMPUTED_VALUE"""),"trieund.tnh@vnpt.vn")</f>
        <v>trieund.tnh@vnpt.vn</v>
      </c>
      <c r="F1227" s="540" t="str">
        <f ca="1">IFERROR(__xludf.DUMMYFUNCTION("""COMPUTED_VALUE"""),"Lần 5")</f>
        <v>Lần 5</v>
      </c>
      <c r="G1227" s="278">
        <f ca="1">IFERROR(__xludf.DUMMYFUNCTION("""COMPUTED_VALUE"""),46213)</f>
        <v>46213</v>
      </c>
      <c r="H1227" s="35">
        <f ca="1">IFERROR(__xludf.DUMMYFUNCTION("""COMPUTED_VALUE"""),108)</f>
        <v>108</v>
      </c>
      <c r="I1227" s="35">
        <f ca="1">IFERROR(__xludf.DUMMYFUNCTION("""COMPUTED_VALUE"""),73.2)</f>
        <v>73.2</v>
      </c>
      <c r="J1227" s="35">
        <f ca="1">IFERROR(__xludf.DUMMYFUNCTION("""COMPUTED_VALUE"""),82.8)</f>
        <v>82.8</v>
      </c>
      <c r="K1227" s="35">
        <f ca="1">IFERROR(__xludf.DUMMYFUNCTION("""COMPUTED_VALUE"""),39)</f>
        <v>39</v>
      </c>
      <c r="M1227" s="539">
        <f ca="1">IFERROR(__xludf.DUMMYFUNCTION("""COMPUTED_VALUE"""),1)</f>
        <v>1</v>
      </c>
      <c r="N1227" s="539">
        <f ca="1">IFERROR(__xludf.DUMMYFUNCTION("""COMPUTED_VALUE"""),1)</f>
        <v>1</v>
      </c>
      <c r="O1227" s="539">
        <f ca="1">IFERROR(__xludf.DUMMYFUNCTION("""COMPUTED_VALUE"""),0)</f>
        <v>0</v>
      </c>
    </row>
    <row r="1228" spans="1:15" ht="12.75">
      <c r="A1228" s="539">
        <f ca="1"/>
        <v>1222</v>
      </c>
      <c r="B1228" s="35" t="str">
        <f ca="1">IFERROR(__xludf.DUMMYFUNCTION("""COMPUTED_VALUE"""),"Tổ Hạ tầng Tân Châu")</f>
        <v>Tổ Hạ tầng Tân Châu</v>
      </c>
      <c r="C1228" s="35" t="str">
        <f ca="1">IFERROR(__xludf.DUMMYFUNCTION("""COMPUTED_VALUE"""),"Nguyễn Đông Triều")</f>
        <v>Nguyễn Đông Triều</v>
      </c>
      <c r="D1228" s="35">
        <f ca="1">IFERROR(__xludf.DUMMYFUNCTION("""COMPUTED_VALUE"""),914433557)</f>
        <v>914433557</v>
      </c>
      <c r="E1228" s="35" t="str">
        <f ca="1">IFERROR(__xludf.DUMMYFUNCTION("""COMPUTED_VALUE"""),"trieund.tnh@vnpt.vn")</f>
        <v>trieund.tnh@vnpt.vn</v>
      </c>
      <c r="F1228" s="540" t="str">
        <f ca="1">IFERROR(__xludf.DUMMYFUNCTION("""COMPUTED_VALUE"""),"Lần 6")</f>
        <v>Lần 6</v>
      </c>
      <c r="G1228" s="278">
        <f ca="1">IFERROR(__xludf.DUMMYFUNCTION("""COMPUTED_VALUE"""),46213)</f>
        <v>46213</v>
      </c>
      <c r="H1228" s="35">
        <f ca="1">IFERROR(__xludf.DUMMYFUNCTION("""COMPUTED_VALUE"""),111.4)</f>
        <v>111.4</v>
      </c>
      <c r="I1228" s="35">
        <f ca="1">IFERROR(__xludf.DUMMYFUNCTION("""COMPUTED_VALUE"""),39.2)</f>
        <v>39.200000000000003</v>
      </c>
      <c r="J1228" s="35">
        <f ca="1">IFERROR(__xludf.DUMMYFUNCTION("""COMPUTED_VALUE"""),105)</f>
        <v>105</v>
      </c>
      <c r="K1228" s="35">
        <f ca="1">IFERROR(__xludf.DUMMYFUNCTION("""COMPUTED_VALUE"""),41.8)</f>
        <v>41.8</v>
      </c>
      <c r="M1228" s="539">
        <f ca="1">IFERROR(__xludf.DUMMYFUNCTION("""COMPUTED_VALUE"""),1)</f>
        <v>1</v>
      </c>
      <c r="N1228" s="539">
        <f ca="1">IFERROR(__xludf.DUMMYFUNCTION("""COMPUTED_VALUE"""),1)</f>
        <v>1</v>
      </c>
      <c r="O1228" s="539">
        <f ca="1">IFERROR(__xludf.DUMMYFUNCTION("""COMPUTED_VALUE"""),0)</f>
        <v>0</v>
      </c>
    </row>
    <row r="1229" spans="1:15" ht="12.75">
      <c r="A1229" s="539">
        <f ca="1"/>
        <v>1223</v>
      </c>
      <c r="B1229" s="35" t="str">
        <f ca="1">IFERROR(__xludf.DUMMYFUNCTION("""COMPUTED_VALUE"""),"Tổ Hạ tầng Tân Châu")</f>
        <v>Tổ Hạ tầng Tân Châu</v>
      </c>
      <c r="C1229" s="35" t="str">
        <f ca="1">IFERROR(__xludf.DUMMYFUNCTION("""COMPUTED_VALUE"""),"Nguyễn Đông Triều")</f>
        <v>Nguyễn Đông Triều</v>
      </c>
      <c r="D1229" s="35">
        <f ca="1">IFERROR(__xludf.DUMMYFUNCTION("""COMPUTED_VALUE"""),914433557)</f>
        <v>914433557</v>
      </c>
      <c r="E1229" s="35" t="str">
        <f ca="1">IFERROR(__xludf.DUMMYFUNCTION("""COMPUTED_VALUE"""),"trieund.tnh@vnpt.vn")</f>
        <v>trieund.tnh@vnpt.vn</v>
      </c>
      <c r="F1229" s="540" t="str">
        <f ca="1">IFERROR(__xludf.DUMMYFUNCTION("""COMPUTED_VALUE"""),"Lần 7")</f>
        <v>Lần 7</v>
      </c>
      <c r="G1229" s="278">
        <f ca="1">IFERROR(__xludf.DUMMYFUNCTION("""COMPUTED_VALUE"""),46213)</f>
        <v>46213</v>
      </c>
      <c r="H1229" s="35">
        <f ca="1">IFERROR(__xludf.DUMMYFUNCTION("""COMPUTED_VALUE"""),87)</f>
        <v>87</v>
      </c>
      <c r="I1229" s="35"/>
      <c r="J1229" s="35">
        <f ca="1">IFERROR(__xludf.DUMMYFUNCTION("""COMPUTED_VALUE"""),94.2)</f>
        <v>94.2</v>
      </c>
      <c r="K1229" s="35">
        <f ca="1">IFERROR(__xludf.DUMMYFUNCTION("""COMPUTED_VALUE"""),22.9)</f>
        <v>22.9</v>
      </c>
      <c r="M1229" s="539">
        <f ca="1">IFERROR(__xludf.DUMMYFUNCTION("""COMPUTED_VALUE"""),0)</f>
        <v>0</v>
      </c>
      <c r="N1229" s="539">
        <f ca="1">IFERROR(__xludf.DUMMYFUNCTION("""COMPUTED_VALUE"""),1)</f>
        <v>1</v>
      </c>
      <c r="O1229" s="539">
        <f ca="1">IFERROR(__xludf.DUMMYFUNCTION("""COMPUTED_VALUE"""),0)</f>
        <v>0</v>
      </c>
    </row>
    <row r="1230" spans="1:15" ht="12.75">
      <c r="A1230" s="539">
        <f ca="1"/>
        <v>1224</v>
      </c>
      <c r="B1230" s="35" t="str">
        <f ca="1">IFERROR(__xludf.DUMMYFUNCTION("""COMPUTED_VALUE"""),"Tổ Hạ tầng Tân Châu")</f>
        <v>Tổ Hạ tầng Tân Châu</v>
      </c>
      <c r="C1230" s="35" t="str">
        <f ca="1">IFERROR(__xludf.DUMMYFUNCTION("""COMPUTED_VALUE"""),"Nguyễn Đông Triều")</f>
        <v>Nguyễn Đông Triều</v>
      </c>
      <c r="D1230" s="35">
        <f ca="1">IFERROR(__xludf.DUMMYFUNCTION("""COMPUTED_VALUE"""),914433557)</f>
        <v>914433557</v>
      </c>
      <c r="E1230" s="35" t="str">
        <f ca="1">IFERROR(__xludf.DUMMYFUNCTION("""COMPUTED_VALUE"""),"trieund.tnh@vnpt.vn")</f>
        <v>trieund.tnh@vnpt.vn</v>
      </c>
      <c r="F1230" s="540" t="str">
        <f ca="1">IFERROR(__xludf.DUMMYFUNCTION("""COMPUTED_VALUE"""),"Lần 8")</f>
        <v>Lần 8</v>
      </c>
      <c r="G1230" s="278"/>
      <c r="H1230" s="35"/>
      <c r="I1230" s="35"/>
      <c r="J1230" s="541"/>
      <c r="K1230" s="541"/>
      <c r="M1230" s="539">
        <f ca="1">IFERROR(__xludf.DUMMYFUNCTION("""COMPUTED_VALUE"""),0)</f>
        <v>0</v>
      </c>
      <c r="N1230" s="539">
        <f ca="1">IFERROR(__xludf.DUMMYFUNCTION("""COMPUTED_VALUE"""),0)</f>
        <v>0</v>
      </c>
      <c r="O1230" s="539">
        <f ca="1">IFERROR(__xludf.DUMMYFUNCTION("""COMPUTED_VALUE"""),0)</f>
        <v>0</v>
      </c>
    </row>
    <row r="1231" spans="1:15" ht="12.75">
      <c r="A1231" s="539">
        <f ca="1"/>
        <v>1225</v>
      </c>
      <c r="B1231" s="35" t="str">
        <f ca="1">IFERROR(__xludf.DUMMYFUNCTION("""COMPUTED_VALUE"""),"Tổ Hạ tầng Tân Châu")</f>
        <v>Tổ Hạ tầng Tân Châu</v>
      </c>
      <c r="C1231" s="35" t="str">
        <f ca="1">IFERROR(__xludf.DUMMYFUNCTION("""COMPUTED_VALUE"""),"Nguyễn Đông Triều")</f>
        <v>Nguyễn Đông Triều</v>
      </c>
      <c r="D1231" s="35">
        <f ca="1">IFERROR(__xludf.DUMMYFUNCTION("""COMPUTED_VALUE"""),914433557)</f>
        <v>914433557</v>
      </c>
      <c r="E1231" s="35" t="str">
        <f ca="1">IFERROR(__xludf.DUMMYFUNCTION("""COMPUTED_VALUE"""),"trieund.tnh@vnpt.vn")</f>
        <v>trieund.tnh@vnpt.vn</v>
      </c>
      <c r="F1231" s="540" t="str">
        <f ca="1">IFERROR(__xludf.DUMMYFUNCTION("""COMPUTED_VALUE"""),"Lần 9")</f>
        <v>Lần 9</v>
      </c>
      <c r="G1231" s="278"/>
      <c r="H1231" s="35"/>
      <c r="I1231" s="35"/>
      <c r="J1231" s="541"/>
      <c r="K1231" s="541"/>
      <c r="M1231" s="539">
        <f ca="1">IFERROR(__xludf.DUMMYFUNCTION("""COMPUTED_VALUE"""),0)</f>
        <v>0</v>
      </c>
      <c r="N1231" s="539">
        <f ca="1">IFERROR(__xludf.DUMMYFUNCTION("""COMPUTED_VALUE"""),0)</f>
        <v>0</v>
      </c>
      <c r="O1231" s="539">
        <f ca="1">IFERROR(__xludf.DUMMYFUNCTION("""COMPUTED_VALUE"""),0)</f>
        <v>0</v>
      </c>
    </row>
    <row r="1232" spans="1:15" ht="12.75">
      <c r="A1232" s="539">
        <f ca="1"/>
        <v>1226</v>
      </c>
      <c r="B1232" s="35" t="str">
        <f ca="1">IFERROR(__xludf.DUMMYFUNCTION("""COMPUTED_VALUE"""),"Tổ Hạ tầng Tân Châu")</f>
        <v>Tổ Hạ tầng Tân Châu</v>
      </c>
      <c r="C1232" s="35" t="str">
        <f ca="1">IFERROR(__xludf.DUMMYFUNCTION("""COMPUTED_VALUE"""),"Nguyễn Đông Triều")</f>
        <v>Nguyễn Đông Triều</v>
      </c>
      <c r="D1232" s="35">
        <f ca="1">IFERROR(__xludf.DUMMYFUNCTION("""COMPUTED_VALUE"""),914433557)</f>
        <v>914433557</v>
      </c>
      <c r="E1232" s="35" t="str">
        <f ca="1">IFERROR(__xludf.DUMMYFUNCTION("""COMPUTED_VALUE"""),"trieund.tnh@vnpt.vn")</f>
        <v>trieund.tnh@vnpt.vn</v>
      </c>
      <c r="F1232" s="540" t="str">
        <f ca="1">IFERROR(__xludf.DUMMYFUNCTION("""COMPUTED_VALUE"""),"Lần 10")</f>
        <v>Lần 10</v>
      </c>
      <c r="G1232" s="278"/>
      <c r="H1232" s="35"/>
      <c r="I1232" s="35"/>
      <c r="J1232" s="541"/>
      <c r="K1232" s="541"/>
      <c r="M1232" s="539">
        <f ca="1">IFERROR(__xludf.DUMMYFUNCTION("""COMPUTED_VALUE"""),0)</f>
        <v>0</v>
      </c>
      <c r="N1232" s="539">
        <f ca="1">IFERROR(__xludf.DUMMYFUNCTION("""COMPUTED_VALUE"""),0)</f>
        <v>0</v>
      </c>
      <c r="O1232" s="539">
        <f ca="1">IFERROR(__xludf.DUMMYFUNCTION("""COMPUTED_VALUE"""),0)</f>
        <v>0</v>
      </c>
    </row>
    <row r="1233" spans="1:15" ht="12.75">
      <c r="A1233" s="539">
        <f ca="1"/>
        <v>1227</v>
      </c>
      <c r="B1233" s="35" t="str">
        <f ca="1">IFERROR(__xludf.DUMMYFUNCTION("""COMPUTED_VALUE"""),"Tổ Hạ tầng Tân Châu")</f>
        <v>Tổ Hạ tầng Tân Châu</v>
      </c>
      <c r="C1233" s="35" t="str">
        <f ca="1">IFERROR(__xludf.DUMMYFUNCTION("""COMPUTED_VALUE"""),"Nguyễn Đông Triều")</f>
        <v>Nguyễn Đông Triều</v>
      </c>
      <c r="D1233" s="35">
        <f ca="1">IFERROR(__xludf.DUMMYFUNCTION("""COMPUTED_VALUE"""),914433557)</f>
        <v>914433557</v>
      </c>
      <c r="E1233" s="35" t="str">
        <f ca="1">IFERROR(__xludf.DUMMYFUNCTION("""COMPUTED_VALUE"""),"trieund.tnh@vnpt.vn")</f>
        <v>trieund.tnh@vnpt.vn</v>
      </c>
      <c r="F1233" s="540" t="str">
        <f ca="1">IFERROR(__xludf.DUMMYFUNCTION("""COMPUTED_VALUE"""),"Lần 11")</f>
        <v>Lần 11</v>
      </c>
      <c r="G1233" s="278"/>
      <c r="H1233" s="35"/>
      <c r="I1233" s="35"/>
      <c r="J1233" s="541"/>
      <c r="K1233" s="541"/>
      <c r="M1233" s="539">
        <f ca="1">IFERROR(__xludf.DUMMYFUNCTION("""COMPUTED_VALUE"""),0)</f>
        <v>0</v>
      </c>
      <c r="N1233" s="539">
        <f ca="1">IFERROR(__xludf.DUMMYFUNCTION("""COMPUTED_VALUE"""),0)</f>
        <v>0</v>
      </c>
      <c r="O1233" s="539">
        <f ca="1">IFERROR(__xludf.DUMMYFUNCTION("""COMPUTED_VALUE"""),0)</f>
        <v>0</v>
      </c>
    </row>
    <row r="1234" spans="1:15" ht="12.75">
      <c r="A1234" s="539">
        <f ca="1"/>
        <v>1228</v>
      </c>
      <c r="B1234" s="35" t="str">
        <f ca="1">IFERROR(__xludf.DUMMYFUNCTION("""COMPUTED_VALUE"""),"Tổ Hạ tầng Tân Châu")</f>
        <v>Tổ Hạ tầng Tân Châu</v>
      </c>
      <c r="C1234" s="35" t="str">
        <f ca="1">IFERROR(__xludf.DUMMYFUNCTION("""COMPUTED_VALUE"""),"Nguyễn Đông Triều")</f>
        <v>Nguyễn Đông Triều</v>
      </c>
      <c r="D1234" s="35">
        <f ca="1">IFERROR(__xludf.DUMMYFUNCTION("""COMPUTED_VALUE"""),914433557)</f>
        <v>914433557</v>
      </c>
      <c r="E1234" s="35" t="str">
        <f ca="1">IFERROR(__xludf.DUMMYFUNCTION("""COMPUTED_VALUE"""),"trieund.tnh@vnpt.vn")</f>
        <v>trieund.tnh@vnpt.vn</v>
      </c>
      <c r="F1234" s="540" t="str">
        <f ca="1">IFERROR(__xludf.DUMMYFUNCTION("""COMPUTED_VALUE"""),"Lần 12")</f>
        <v>Lần 12</v>
      </c>
      <c r="G1234" s="278"/>
      <c r="H1234" s="35"/>
      <c r="I1234" s="35"/>
      <c r="J1234" s="541"/>
      <c r="K1234" s="541"/>
      <c r="M1234" s="539">
        <f ca="1">IFERROR(__xludf.DUMMYFUNCTION("""COMPUTED_VALUE"""),0)</f>
        <v>0</v>
      </c>
      <c r="N1234" s="539">
        <f ca="1">IFERROR(__xludf.DUMMYFUNCTION("""COMPUTED_VALUE"""),0)</f>
        <v>0</v>
      </c>
      <c r="O1234" s="539">
        <f ca="1">IFERROR(__xludf.DUMMYFUNCTION("""COMPUTED_VALUE"""),0)</f>
        <v>0</v>
      </c>
    </row>
    <row r="1235" spans="1:15" ht="12.75">
      <c r="A1235" s="539">
        <f ca="1"/>
        <v>1229</v>
      </c>
      <c r="B1235" s="35" t="str">
        <f ca="1">IFERROR(__xludf.DUMMYFUNCTION("""COMPUTED_VALUE"""),"Tổ Hạ tầng Tân Châu")</f>
        <v>Tổ Hạ tầng Tân Châu</v>
      </c>
      <c r="C1235" s="35" t="str">
        <f ca="1">IFERROR(__xludf.DUMMYFUNCTION("""COMPUTED_VALUE"""),"Nguyễn Đông Triều")</f>
        <v>Nguyễn Đông Triều</v>
      </c>
      <c r="D1235" s="35">
        <f ca="1">IFERROR(__xludf.DUMMYFUNCTION("""COMPUTED_VALUE"""),914433557)</f>
        <v>914433557</v>
      </c>
      <c r="E1235" s="35" t="str">
        <f ca="1">IFERROR(__xludf.DUMMYFUNCTION("""COMPUTED_VALUE"""),"trieund.tnh@vnpt.vn")</f>
        <v>trieund.tnh@vnpt.vn</v>
      </c>
      <c r="F1235" s="540" t="str">
        <f ca="1">IFERROR(__xludf.DUMMYFUNCTION("""COMPUTED_VALUE"""),"Lần 13")</f>
        <v>Lần 13</v>
      </c>
      <c r="G1235" s="278"/>
      <c r="H1235" s="35"/>
      <c r="I1235" s="35"/>
      <c r="J1235" s="541"/>
      <c r="K1235" s="541"/>
      <c r="M1235" s="539">
        <f ca="1">IFERROR(__xludf.DUMMYFUNCTION("""COMPUTED_VALUE"""),0)</f>
        <v>0</v>
      </c>
      <c r="N1235" s="539">
        <f ca="1">IFERROR(__xludf.DUMMYFUNCTION("""COMPUTED_VALUE"""),0)</f>
        <v>0</v>
      </c>
      <c r="O1235" s="539">
        <f ca="1">IFERROR(__xludf.DUMMYFUNCTION("""COMPUTED_VALUE"""),0)</f>
        <v>0</v>
      </c>
    </row>
    <row r="1236" spans="1:15" ht="12.75">
      <c r="A1236" s="539">
        <f ca="1"/>
        <v>1230</v>
      </c>
      <c r="B1236" s="35" t="str">
        <f ca="1">IFERROR(__xludf.DUMMYFUNCTION("""COMPUTED_VALUE"""),"Tổ Hạ tầng Tân Châu")</f>
        <v>Tổ Hạ tầng Tân Châu</v>
      </c>
      <c r="C1236" s="35" t="str">
        <f ca="1">IFERROR(__xludf.DUMMYFUNCTION("""COMPUTED_VALUE"""),"Nguyễn Đông Triều")</f>
        <v>Nguyễn Đông Triều</v>
      </c>
      <c r="D1236" s="35">
        <f ca="1">IFERROR(__xludf.DUMMYFUNCTION("""COMPUTED_VALUE"""),914433557)</f>
        <v>914433557</v>
      </c>
      <c r="E1236" s="35" t="str">
        <f ca="1">IFERROR(__xludf.DUMMYFUNCTION("""COMPUTED_VALUE"""),"trieund.tnh@vnpt.vn")</f>
        <v>trieund.tnh@vnpt.vn</v>
      </c>
      <c r="F1236" s="540" t="str">
        <f ca="1">IFERROR(__xludf.DUMMYFUNCTION("""COMPUTED_VALUE"""),"Lần 14")</f>
        <v>Lần 14</v>
      </c>
      <c r="G1236" s="278"/>
      <c r="H1236" s="35"/>
      <c r="I1236" s="35"/>
      <c r="J1236" s="541"/>
      <c r="K1236" s="541"/>
      <c r="M1236" s="539">
        <f ca="1">IFERROR(__xludf.DUMMYFUNCTION("""COMPUTED_VALUE"""),0)</f>
        <v>0</v>
      </c>
      <c r="N1236" s="539">
        <f ca="1">IFERROR(__xludf.DUMMYFUNCTION("""COMPUTED_VALUE"""),0)</f>
        <v>0</v>
      </c>
      <c r="O1236" s="539">
        <f ca="1">IFERROR(__xludf.DUMMYFUNCTION("""COMPUTED_VALUE"""),0)</f>
        <v>0</v>
      </c>
    </row>
    <row r="1237" spans="1:15" ht="12.75">
      <c r="A1237" s="539">
        <f ca="1"/>
        <v>1231</v>
      </c>
      <c r="B1237" s="35" t="str">
        <f ca="1">IFERROR(__xludf.DUMMYFUNCTION("""COMPUTED_VALUE"""),"Tổ Hạ tầng Tân Châu")</f>
        <v>Tổ Hạ tầng Tân Châu</v>
      </c>
      <c r="C1237" s="35" t="str">
        <f ca="1">IFERROR(__xludf.DUMMYFUNCTION("""COMPUTED_VALUE"""),"Nguyễn Đông Triều")</f>
        <v>Nguyễn Đông Triều</v>
      </c>
      <c r="D1237" s="35">
        <f ca="1">IFERROR(__xludf.DUMMYFUNCTION("""COMPUTED_VALUE"""),914433557)</f>
        <v>914433557</v>
      </c>
      <c r="E1237" s="35" t="str">
        <f ca="1">IFERROR(__xludf.DUMMYFUNCTION("""COMPUTED_VALUE"""),"trieund.tnh@vnpt.vn")</f>
        <v>trieund.tnh@vnpt.vn</v>
      </c>
      <c r="F1237" s="540" t="str">
        <f ca="1">IFERROR(__xludf.DUMMYFUNCTION("""COMPUTED_VALUE"""),"Lần 15")</f>
        <v>Lần 15</v>
      </c>
      <c r="G1237" s="278"/>
      <c r="H1237" s="35"/>
      <c r="I1237" s="35"/>
      <c r="J1237" s="541"/>
      <c r="K1237" s="541"/>
      <c r="M1237" s="539">
        <f ca="1">IFERROR(__xludf.DUMMYFUNCTION("""COMPUTED_VALUE"""),0)</f>
        <v>0</v>
      </c>
      <c r="N1237" s="539">
        <f ca="1">IFERROR(__xludf.DUMMYFUNCTION("""COMPUTED_VALUE"""),0)</f>
        <v>0</v>
      </c>
      <c r="O1237" s="539">
        <f ca="1">IFERROR(__xludf.DUMMYFUNCTION("""COMPUTED_VALUE"""),0)</f>
        <v>0</v>
      </c>
    </row>
    <row r="1238" spans="1:15" ht="12.75">
      <c r="A1238" s="539">
        <f ca="1"/>
        <v>1232</v>
      </c>
      <c r="B1238" s="35" t="str">
        <f ca="1">IFERROR(__xludf.DUMMYFUNCTION("""COMPUTED_VALUE"""),"Tổ Hạ tầng Tân Châu")</f>
        <v>Tổ Hạ tầng Tân Châu</v>
      </c>
      <c r="C1238" s="35" t="str">
        <f ca="1">IFERROR(__xludf.DUMMYFUNCTION("""COMPUTED_VALUE"""),"Nguyễn Đông Triều")</f>
        <v>Nguyễn Đông Triều</v>
      </c>
      <c r="D1238" s="35">
        <f ca="1">IFERROR(__xludf.DUMMYFUNCTION("""COMPUTED_VALUE"""),914433557)</f>
        <v>914433557</v>
      </c>
      <c r="E1238" s="35" t="str">
        <f ca="1">IFERROR(__xludf.DUMMYFUNCTION("""COMPUTED_VALUE"""),"trieund.tnh@vnpt.vn")</f>
        <v>trieund.tnh@vnpt.vn</v>
      </c>
      <c r="F1238" s="540" t="str">
        <f ca="1">IFERROR(__xludf.DUMMYFUNCTION("""COMPUTED_VALUE"""),"Lần 16")</f>
        <v>Lần 16</v>
      </c>
      <c r="G1238" s="278"/>
      <c r="H1238" s="35"/>
      <c r="I1238" s="35"/>
      <c r="J1238" s="541"/>
      <c r="K1238" s="541"/>
      <c r="M1238" s="539">
        <f ca="1">IFERROR(__xludf.DUMMYFUNCTION("""COMPUTED_VALUE"""),0)</f>
        <v>0</v>
      </c>
      <c r="N1238" s="539">
        <f ca="1">IFERROR(__xludf.DUMMYFUNCTION("""COMPUTED_VALUE"""),0)</f>
        <v>0</v>
      </c>
      <c r="O1238" s="539">
        <f ca="1">IFERROR(__xludf.DUMMYFUNCTION("""COMPUTED_VALUE"""),0)</f>
        <v>0</v>
      </c>
    </row>
    <row r="1239" spans="1:15" ht="12.75">
      <c r="A1239" s="539">
        <f ca="1"/>
        <v>1233</v>
      </c>
      <c r="B1239" s="35" t="str">
        <f ca="1">IFERROR(__xludf.DUMMYFUNCTION("""COMPUTED_VALUE"""),"Tổ Hạ tầng Tân Châu")</f>
        <v>Tổ Hạ tầng Tân Châu</v>
      </c>
      <c r="C1239" s="35" t="str">
        <f ca="1">IFERROR(__xludf.DUMMYFUNCTION("""COMPUTED_VALUE"""),"Nguyễn Giê Nha")</f>
        <v>Nguyễn Giê Nha</v>
      </c>
      <c r="D1239" s="35">
        <f ca="1">IFERROR(__xludf.DUMMYFUNCTION("""COMPUTED_VALUE"""),918825152)</f>
        <v>918825152</v>
      </c>
      <c r="E1239" s="35" t="str">
        <f ca="1">IFERROR(__xludf.DUMMYFUNCTION("""COMPUTED_VALUE"""),"nhang.tnh@vnpt.vn")</f>
        <v>nhang.tnh@vnpt.vn</v>
      </c>
      <c r="F1239" s="540" t="str">
        <f ca="1">IFERROR(__xludf.DUMMYFUNCTION("""COMPUTED_VALUE"""),"Lần 1")</f>
        <v>Lần 1</v>
      </c>
      <c r="G1239" s="278"/>
      <c r="H1239" s="35"/>
      <c r="I1239" s="35"/>
      <c r="J1239" s="541"/>
      <c r="K1239" s="541"/>
      <c r="M1239" s="539">
        <f ca="1">IFERROR(__xludf.DUMMYFUNCTION("""COMPUTED_VALUE"""),0)</f>
        <v>0</v>
      </c>
      <c r="N1239" s="539">
        <f ca="1">IFERROR(__xludf.DUMMYFUNCTION("""COMPUTED_VALUE"""),0)</f>
        <v>0</v>
      </c>
      <c r="O1239" s="539">
        <f ca="1">IFERROR(__xludf.DUMMYFUNCTION("""COMPUTED_VALUE"""),0)</f>
        <v>0</v>
      </c>
    </row>
    <row r="1240" spans="1:15" ht="12.75">
      <c r="A1240" s="539">
        <f ca="1"/>
        <v>1234</v>
      </c>
      <c r="B1240" s="35" t="str">
        <f ca="1">IFERROR(__xludf.DUMMYFUNCTION("""COMPUTED_VALUE"""),"Tổ Hạ tầng Tân Châu")</f>
        <v>Tổ Hạ tầng Tân Châu</v>
      </c>
      <c r="C1240" s="35" t="str">
        <f ca="1">IFERROR(__xludf.DUMMYFUNCTION("""COMPUTED_VALUE"""),"Nguyễn Giê Nha")</f>
        <v>Nguyễn Giê Nha</v>
      </c>
      <c r="D1240" s="35">
        <f ca="1">IFERROR(__xludf.DUMMYFUNCTION("""COMPUTED_VALUE"""),918825152)</f>
        <v>918825152</v>
      </c>
      <c r="E1240" s="35" t="str">
        <f ca="1">IFERROR(__xludf.DUMMYFUNCTION("""COMPUTED_VALUE"""),"nhang.tnh@vnpt.vn")</f>
        <v>nhang.tnh@vnpt.vn</v>
      </c>
      <c r="F1240" s="540" t="str">
        <f ca="1">IFERROR(__xludf.DUMMYFUNCTION("""COMPUTED_VALUE"""),"Lần 2")</f>
        <v>Lần 2</v>
      </c>
      <c r="G1240" s="278"/>
      <c r="H1240" s="35"/>
      <c r="I1240" s="35"/>
      <c r="J1240" s="35"/>
      <c r="K1240" s="35"/>
      <c r="M1240" s="539">
        <f ca="1">IFERROR(__xludf.DUMMYFUNCTION("""COMPUTED_VALUE"""),0)</f>
        <v>0</v>
      </c>
      <c r="N1240" s="539">
        <f ca="1">IFERROR(__xludf.DUMMYFUNCTION("""COMPUTED_VALUE"""),0)</f>
        <v>0</v>
      </c>
      <c r="O1240" s="539">
        <f ca="1">IFERROR(__xludf.DUMMYFUNCTION("""COMPUTED_VALUE"""),0)</f>
        <v>0</v>
      </c>
    </row>
    <row r="1241" spans="1:15" ht="12.75">
      <c r="A1241" s="539">
        <f ca="1"/>
        <v>1235</v>
      </c>
      <c r="B1241" s="35" t="str">
        <f ca="1">IFERROR(__xludf.DUMMYFUNCTION("""COMPUTED_VALUE"""),"Tổ Hạ tầng Tân Châu")</f>
        <v>Tổ Hạ tầng Tân Châu</v>
      </c>
      <c r="C1241" s="35" t="str">
        <f ca="1">IFERROR(__xludf.DUMMYFUNCTION("""COMPUTED_VALUE"""),"Nguyễn Giê Nha")</f>
        <v>Nguyễn Giê Nha</v>
      </c>
      <c r="D1241" s="35">
        <f ca="1">IFERROR(__xludf.DUMMYFUNCTION("""COMPUTED_VALUE"""),918825152)</f>
        <v>918825152</v>
      </c>
      <c r="E1241" s="35" t="str">
        <f ca="1">IFERROR(__xludf.DUMMYFUNCTION("""COMPUTED_VALUE"""),"nhang.tnh@vnpt.vn")</f>
        <v>nhang.tnh@vnpt.vn</v>
      </c>
      <c r="F1241" s="540" t="str">
        <f ca="1">IFERROR(__xludf.DUMMYFUNCTION("""COMPUTED_VALUE"""),"Lần 3")</f>
        <v>Lần 3</v>
      </c>
      <c r="G1241" s="278"/>
      <c r="H1241" s="35"/>
      <c r="I1241" s="35"/>
      <c r="J1241" s="35"/>
      <c r="K1241" s="35"/>
      <c r="M1241" s="539">
        <f ca="1">IFERROR(__xludf.DUMMYFUNCTION("""COMPUTED_VALUE"""),0)</f>
        <v>0</v>
      </c>
      <c r="N1241" s="539">
        <f ca="1">IFERROR(__xludf.DUMMYFUNCTION("""COMPUTED_VALUE"""),0)</f>
        <v>0</v>
      </c>
      <c r="O1241" s="539">
        <f ca="1">IFERROR(__xludf.DUMMYFUNCTION("""COMPUTED_VALUE"""),0)</f>
        <v>0</v>
      </c>
    </row>
    <row r="1242" spans="1:15" ht="12.75">
      <c r="A1242" s="539">
        <f ca="1"/>
        <v>1236</v>
      </c>
      <c r="B1242" s="35" t="str">
        <f ca="1">IFERROR(__xludf.DUMMYFUNCTION("""COMPUTED_VALUE"""),"Tổ Hạ tầng Tân Châu")</f>
        <v>Tổ Hạ tầng Tân Châu</v>
      </c>
      <c r="C1242" s="35" t="str">
        <f ca="1">IFERROR(__xludf.DUMMYFUNCTION("""COMPUTED_VALUE"""),"Nguyễn Giê Nha")</f>
        <v>Nguyễn Giê Nha</v>
      </c>
      <c r="D1242" s="35">
        <f ca="1">IFERROR(__xludf.DUMMYFUNCTION("""COMPUTED_VALUE"""),918825152)</f>
        <v>918825152</v>
      </c>
      <c r="E1242" s="35" t="str">
        <f ca="1">IFERROR(__xludf.DUMMYFUNCTION("""COMPUTED_VALUE"""),"nhang.tnh@vnpt.vn")</f>
        <v>nhang.tnh@vnpt.vn</v>
      </c>
      <c r="F1242" s="540" t="str">
        <f ca="1">IFERROR(__xludf.DUMMYFUNCTION("""COMPUTED_VALUE"""),"Lần 4")</f>
        <v>Lần 4</v>
      </c>
      <c r="G1242" s="278"/>
      <c r="H1242" s="35"/>
      <c r="I1242" s="35"/>
      <c r="J1242" s="35"/>
      <c r="K1242" s="35"/>
      <c r="M1242" s="539">
        <f ca="1">IFERROR(__xludf.DUMMYFUNCTION("""COMPUTED_VALUE"""),0)</f>
        <v>0</v>
      </c>
      <c r="N1242" s="539">
        <f ca="1">IFERROR(__xludf.DUMMYFUNCTION("""COMPUTED_VALUE"""),0)</f>
        <v>0</v>
      </c>
      <c r="O1242" s="539">
        <f ca="1">IFERROR(__xludf.DUMMYFUNCTION("""COMPUTED_VALUE"""),0)</f>
        <v>0</v>
      </c>
    </row>
    <row r="1243" spans="1:15" ht="12.75">
      <c r="A1243" s="539">
        <f ca="1"/>
        <v>1237</v>
      </c>
      <c r="B1243" s="35" t="str">
        <f ca="1">IFERROR(__xludf.DUMMYFUNCTION("""COMPUTED_VALUE"""),"Tổ Hạ tầng Tân Châu")</f>
        <v>Tổ Hạ tầng Tân Châu</v>
      </c>
      <c r="C1243" s="35" t="str">
        <f ca="1">IFERROR(__xludf.DUMMYFUNCTION("""COMPUTED_VALUE"""),"Nguyễn Giê Nha")</f>
        <v>Nguyễn Giê Nha</v>
      </c>
      <c r="D1243" s="35">
        <f ca="1">IFERROR(__xludf.DUMMYFUNCTION("""COMPUTED_VALUE"""),918825152)</f>
        <v>918825152</v>
      </c>
      <c r="E1243" s="35" t="str">
        <f ca="1">IFERROR(__xludf.DUMMYFUNCTION("""COMPUTED_VALUE"""),"nhang.tnh@vnpt.vn")</f>
        <v>nhang.tnh@vnpt.vn</v>
      </c>
      <c r="F1243" s="540" t="str">
        <f ca="1">IFERROR(__xludf.DUMMYFUNCTION("""COMPUTED_VALUE"""),"Lần 5")</f>
        <v>Lần 5</v>
      </c>
      <c r="G1243" s="278"/>
      <c r="H1243" s="35"/>
      <c r="I1243" s="35"/>
      <c r="J1243" s="35"/>
      <c r="K1243" s="35"/>
      <c r="M1243" s="539">
        <f ca="1">IFERROR(__xludf.DUMMYFUNCTION("""COMPUTED_VALUE"""),0)</f>
        <v>0</v>
      </c>
      <c r="N1243" s="539">
        <f ca="1">IFERROR(__xludf.DUMMYFUNCTION("""COMPUTED_VALUE"""),0)</f>
        <v>0</v>
      </c>
      <c r="O1243" s="539">
        <f ca="1">IFERROR(__xludf.DUMMYFUNCTION("""COMPUTED_VALUE"""),0)</f>
        <v>0</v>
      </c>
    </row>
    <row r="1244" spans="1:15" ht="12.75">
      <c r="A1244" s="539">
        <f ca="1"/>
        <v>1238</v>
      </c>
      <c r="B1244" s="35" t="str">
        <f ca="1">IFERROR(__xludf.DUMMYFUNCTION("""COMPUTED_VALUE"""),"Tổ Hạ tầng Tân Châu")</f>
        <v>Tổ Hạ tầng Tân Châu</v>
      </c>
      <c r="C1244" s="35" t="str">
        <f ca="1">IFERROR(__xludf.DUMMYFUNCTION("""COMPUTED_VALUE"""),"Nguyễn Giê Nha")</f>
        <v>Nguyễn Giê Nha</v>
      </c>
      <c r="D1244" s="35">
        <f ca="1">IFERROR(__xludf.DUMMYFUNCTION("""COMPUTED_VALUE"""),918825152)</f>
        <v>918825152</v>
      </c>
      <c r="E1244" s="35" t="str">
        <f ca="1">IFERROR(__xludf.DUMMYFUNCTION("""COMPUTED_VALUE"""),"nhang.tnh@vnpt.vn")</f>
        <v>nhang.tnh@vnpt.vn</v>
      </c>
      <c r="F1244" s="540" t="str">
        <f ca="1">IFERROR(__xludf.DUMMYFUNCTION("""COMPUTED_VALUE"""),"Lần 6")</f>
        <v>Lần 6</v>
      </c>
      <c r="G1244" s="278"/>
      <c r="H1244" s="35"/>
      <c r="I1244" s="35"/>
      <c r="J1244" s="35"/>
      <c r="K1244" s="35"/>
      <c r="M1244" s="539">
        <f ca="1">IFERROR(__xludf.DUMMYFUNCTION("""COMPUTED_VALUE"""),0)</f>
        <v>0</v>
      </c>
      <c r="N1244" s="539">
        <f ca="1">IFERROR(__xludf.DUMMYFUNCTION("""COMPUTED_VALUE"""),0)</f>
        <v>0</v>
      </c>
      <c r="O1244" s="539">
        <f ca="1">IFERROR(__xludf.DUMMYFUNCTION("""COMPUTED_VALUE"""),0)</f>
        <v>0</v>
      </c>
    </row>
    <row r="1245" spans="1:15" ht="12.75">
      <c r="A1245" s="539">
        <f ca="1"/>
        <v>1239</v>
      </c>
      <c r="B1245" s="35" t="str">
        <f ca="1">IFERROR(__xludf.DUMMYFUNCTION("""COMPUTED_VALUE"""),"Tổ Hạ tầng Tân Châu")</f>
        <v>Tổ Hạ tầng Tân Châu</v>
      </c>
      <c r="C1245" s="35" t="str">
        <f ca="1">IFERROR(__xludf.DUMMYFUNCTION("""COMPUTED_VALUE"""),"Nguyễn Giê Nha")</f>
        <v>Nguyễn Giê Nha</v>
      </c>
      <c r="D1245" s="35">
        <f ca="1">IFERROR(__xludf.DUMMYFUNCTION("""COMPUTED_VALUE"""),918825152)</f>
        <v>918825152</v>
      </c>
      <c r="E1245" s="35" t="str">
        <f ca="1">IFERROR(__xludf.DUMMYFUNCTION("""COMPUTED_VALUE"""),"nhang.tnh@vnpt.vn")</f>
        <v>nhang.tnh@vnpt.vn</v>
      </c>
      <c r="F1245" s="540" t="str">
        <f ca="1">IFERROR(__xludf.DUMMYFUNCTION("""COMPUTED_VALUE"""),"Lần 7")</f>
        <v>Lần 7</v>
      </c>
      <c r="G1245" s="278"/>
      <c r="H1245" s="35"/>
      <c r="I1245" s="35"/>
      <c r="J1245" s="35"/>
      <c r="K1245" s="35"/>
      <c r="M1245" s="539">
        <f ca="1">IFERROR(__xludf.DUMMYFUNCTION("""COMPUTED_VALUE"""),0)</f>
        <v>0</v>
      </c>
      <c r="N1245" s="539">
        <f ca="1">IFERROR(__xludf.DUMMYFUNCTION("""COMPUTED_VALUE"""),0)</f>
        <v>0</v>
      </c>
      <c r="O1245" s="539">
        <f ca="1">IFERROR(__xludf.DUMMYFUNCTION("""COMPUTED_VALUE"""),0)</f>
        <v>0</v>
      </c>
    </row>
    <row r="1246" spans="1:15" ht="12.75">
      <c r="A1246" s="539">
        <f ca="1"/>
        <v>1240</v>
      </c>
      <c r="B1246" s="35" t="str">
        <f ca="1">IFERROR(__xludf.DUMMYFUNCTION("""COMPUTED_VALUE"""),"Tổ Hạ tầng Tân Châu")</f>
        <v>Tổ Hạ tầng Tân Châu</v>
      </c>
      <c r="C1246" s="35" t="str">
        <f ca="1">IFERROR(__xludf.DUMMYFUNCTION("""COMPUTED_VALUE"""),"Nguyễn Giê Nha")</f>
        <v>Nguyễn Giê Nha</v>
      </c>
      <c r="D1246" s="35">
        <f ca="1">IFERROR(__xludf.DUMMYFUNCTION("""COMPUTED_VALUE"""),918825152)</f>
        <v>918825152</v>
      </c>
      <c r="E1246" s="35" t="str">
        <f ca="1">IFERROR(__xludf.DUMMYFUNCTION("""COMPUTED_VALUE"""),"nhang.tnh@vnpt.vn")</f>
        <v>nhang.tnh@vnpt.vn</v>
      </c>
      <c r="F1246" s="540" t="str">
        <f ca="1">IFERROR(__xludf.DUMMYFUNCTION("""COMPUTED_VALUE"""),"Lần 8")</f>
        <v>Lần 8</v>
      </c>
      <c r="G1246" s="278"/>
      <c r="H1246" s="35"/>
      <c r="I1246" s="35"/>
      <c r="J1246" s="35"/>
      <c r="K1246" s="35"/>
      <c r="M1246" s="539">
        <f ca="1">IFERROR(__xludf.DUMMYFUNCTION("""COMPUTED_VALUE"""),0)</f>
        <v>0</v>
      </c>
      <c r="N1246" s="539">
        <f ca="1">IFERROR(__xludf.DUMMYFUNCTION("""COMPUTED_VALUE"""),0)</f>
        <v>0</v>
      </c>
      <c r="O1246" s="539">
        <f ca="1">IFERROR(__xludf.DUMMYFUNCTION("""COMPUTED_VALUE"""),0)</f>
        <v>0</v>
      </c>
    </row>
    <row r="1247" spans="1:15" ht="12.75">
      <c r="A1247" s="539">
        <f ca="1"/>
        <v>1241</v>
      </c>
      <c r="B1247" s="35" t="str">
        <f ca="1">IFERROR(__xludf.DUMMYFUNCTION("""COMPUTED_VALUE"""),"Tổ Hạ tầng Tân Châu")</f>
        <v>Tổ Hạ tầng Tân Châu</v>
      </c>
      <c r="C1247" s="35" t="str">
        <f ca="1">IFERROR(__xludf.DUMMYFUNCTION("""COMPUTED_VALUE"""),"Nguyễn Giê Nha")</f>
        <v>Nguyễn Giê Nha</v>
      </c>
      <c r="D1247" s="35">
        <f ca="1">IFERROR(__xludf.DUMMYFUNCTION("""COMPUTED_VALUE"""),918825152)</f>
        <v>918825152</v>
      </c>
      <c r="E1247" s="35" t="str">
        <f ca="1">IFERROR(__xludf.DUMMYFUNCTION("""COMPUTED_VALUE"""),"nhang.tnh@vnpt.vn")</f>
        <v>nhang.tnh@vnpt.vn</v>
      </c>
      <c r="F1247" s="540" t="str">
        <f ca="1">IFERROR(__xludf.DUMMYFUNCTION("""COMPUTED_VALUE"""),"Lần 9")</f>
        <v>Lần 9</v>
      </c>
      <c r="G1247" s="278"/>
      <c r="H1247" s="35"/>
      <c r="I1247" s="35"/>
      <c r="J1247" s="35"/>
      <c r="K1247" s="35"/>
      <c r="M1247" s="539">
        <f ca="1">IFERROR(__xludf.DUMMYFUNCTION("""COMPUTED_VALUE"""),0)</f>
        <v>0</v>
      </c>
      <c r="N1247" s="539">
        <f ca="1">IFERROR(__xludf.DUMMYFUNCTION("""COMPUTED_VALUE"""),0)</f>
        <v>0</v>
      </c>
      <c r="O1247" s="539">
        <f ca="1">IFERROR(__xludf.DUMMYFUNCTION("""COMPUTED_VALUE"""),0)</f>
        <v>0</v>
      </c>
    </row>
    <row r="1248" spans="1:15" ht="12.75">
      <c r="A1248" s="539">
        <f ca="1"/>
        <v>1242</v>
      </c>
      <c r="B1248" s="35" t="str">
        <f ca="1">IFERROR(__xludf.DUMMYFUNCTION("""COMPUTED_VALUE"""),"Tổ Hạ tầng Tân Châu")</f>
        <v>Tổ Hạ tầng Tân Châu</v>
      </c>
      <c r="C1248" s="35" t="str">
        <f ca="1">IFERROR(__xludf.DUMMYFUNCTION("""COMPUTED_VALUE"""),"Nguyễn Giê Nha")</f>
        <v>Nguyễn Giê Nha</v>
      </c>
      <c r="D1248" s="35">
        <f ca="1">IFERROR(__xludf.DUMMYFUNCTION("""COMPUTED_VALUE"""),918825152)</f>
        <v>918825152</v>
      </c>
      <c r="E1248" s="35" t="str">
        <f ca="1">IFERROR(__xludf.DUMMYFUNCTION("""COMPUTED_VALUE"""),"nhang.tnh@vnpt.vn")</f>
        <v>nhang.tnh@vnpt.vn</v>
      </c>
      <c r="F1248" s="540" t="str">
        <f ca="1">IFERROR(__xludf.DUMMYFUNCTION("""COMPUTED_VALUE"""),"Lần 10")</f>
        <v>Lần 10</v>
      </c>
      <c r="G1248" s="278"/>
      <c r="H1248" s="35"/>
      <c r="I1248" s="35"/>
      <c r="J1248" s="35"/>
      <c r="K1248" s="35"/>
      <c r="M1248" s="539">
        <f ca="1">IFERROR(__xludf.DUMMYFUNCTION("""COMPUTED_VALUE"""),0)</f>
        <v>0</v>
      </c>
      <c r="N1248" s="539">
        <f ca="1">IFERROR(__xludf.DUMMYFUNCTION("""COMPUTED_VALUE"""),0)</f>
        <v>0</v>
      </c>
      <c r="O1248" s="539">
        <f ca="1">IFERROR(__xludf.DUMMYFUNCTION("""COMPUTED_VALUE"""),0)</f>
        <v>0</v>
      </c>
    </row>
    <row r="1249" spans="1:15" ht="12.75">
      <c r="A1249" s="539">
        <f ca="1"/>
        <v>1243</v>
      </c>
      <c r="B1249" s="35" t="str">
        <f ca="1">IFERROR(__xludf.DUMMYFUNCTION("""COMPUTED_VALUE"""),"Tổ Hạ tầng Tân Châu")</f>
        <v>Tổ Hạ tầng Tân Châu</v>
      </c>
      <c r="C1249" s="35" t="str">
        <f ca="1">IFERROR(__xludf.DUMMYFUNCTION("""COMPUTED_VALUE"""),"Nguyễn Giê Nha")</f>
        <v>Nguyễn Giê Nha</v>
      </c>
      <c r="D1249" s="35">
        <f ca="1">IFERROR(__xludf.DUMMYFUNCTION("""COMPUTED_VALUE"""),918825152)</f>
        <v>918825152</v>
      </c>
      <c r="E1249" s="35" t="str">
        <f ca="1">IFERROR(__xludf.DUMMYFUNCTION("""COMPUTED_VALUE"""),"nhang.tnh@vnpt.vn")</f>
        <v>nhang.tnh@vnpt.vn</v>
      </c>
      <c r="F1249" s="540" t="str">
        <f ca="1">IFERROR(__xludf.DUMMYFUNCTION("""COMPUTED_VALUE"""),"Lần 11")</f>
        <v>Lần 11</v>
      </c>
      <c r="G1249" s="278"/>
      <c r="H1249" s="35"/>
      <c r="I1249" s="35"/>
      <c r="J1249" s="35"/>
      <c r="K1249" s="542"/>
      <c r="M1249" s="539">
        <f ca="1">IFERROR(__xludf.DUMMYFUNCTION("""COMPUTED_VALUE"""),0)</f>
        <v>0</v>
      </c>
      <c r="N1249" s="539">
        <f ca="1">IFERROR(__xludf.DUMMYFUNCTION("""COMPUTED_VALUE"""),0)</f>
        <v>0</v>
      </c>
      <c r="O1249" s="539">
        <f ca="1">IFERROR(__xludf.DUMMYFUNCTION("""COMPUTED_VALUE"""),0)</f>
        <v>0</v>
      </c>
    </row>
    <row r="1250" spans="1:15" ht="12.75">
      <c r="A1250" s="539">
        <f ca="1"/>
        <v>1244</v>
      </c>
      <c r="B1250" s="35" t="str">
        <f ca="1">IFERROR(__xludf.DUMMYFUNCTION("""COMPUTED_VALUE"""),"Tổ Hạ tầng Tân Châu")</f>
        <v>Tổ Hạ tầng Tân Châu</v>
      </c>
      <c r="C1250" s="35" t="str">
        <f ca="1">IFERROR(__xludf.DUMMYFUNCTION("""COMPUTED_VALUE"""),"Nguyễn Giê Nha")</f>
        <v>Nguyễn Giê Nha</v>
      </c>
      <c r="D1250" s="35">
        <f ca="1">IFERROR(__xludf.DUMMYFUNCTION("""COMPUTED_VALUE"""),918825152)</f>
        <v>918825152</v>
      </c>
      <c r="E1250" s="35" t="str">
        <f ca="1">IFERROR(__xludf.DUMMYFUNCTION("""COMPUTED_VALUE"""),"nhang.tnh@vnpt.vn")</f>
        <v>nhang.tnh@vnpt.vn</v>
      </c>
      <c r="F1250" s="540" t="str">
        <f ca="1">IFERROR(__xludf.DUMMYFUNCTION("""COMPUTED_VALUE"""),"Lần 12")</f>
        <v>Lần 12</v>
      </c>
      <c r="G1250" s="278"/>
      <c r="H1250" s="35"/>
      <c r="I1250" s="35"/>
      <c r="J1250" s="35"/>
      <c r="K1250" s="542"/>
      <c r="M1250" s="539">
        <f ca="1">IFERROR(__xludf.DUMMYFUNCTION("""COMPUTED_VALUE"""),0)</f>
        <v>0</v>
      </c>
      <c r="N1250" s="539">
        <f ca="1">IFERROR(__xludf.DUMMYFUNCTION("""COMPUTED_VALUE"""),0)</f>
        <v>0</v>
      </c>
      <c r="O1250" s="539">
        <f ca="1">IFERROR(__xludf.DUMMYFUNCTION("""COMPUTED_VALUE"""),0)</f>
        <v>0</v>
      </c>
    </row>
    <row r="1251" spans="1:15" ht="12.75">
      <c r="A1251" s="539">
        <f ca="1"/>
        <v>1245</v>
      </c>
      <c r="B1251" s="35" t="str">
        <f ca="1">IFERROR(__xludf.DUMMYFUNCTION("""COMPUTED_VALUE"""),"Tổ Hạ tầng Tân Châu")</f>
        <v>Tổ Hạ tầng Tân Châu</v>
      </c>
      <c r="C1251" s="35" t="str">
        <f ca="1">IFERROR(__xludf.DUMMYFUNCTION("""COMPUTED_VALUE"""),"Nguyễn Giê Nha")</f>
        <v>Nguyễn Giê Nha</v>
      </c>
      <c r="D1251" s="35">
        <f ca="1">IFERROR(__xludf.DUMMYFUNCTION("""COMPUTED_VALUE"""),918825152)</f>
        <v>918825152</v>
      </c>
      <c r="E1251" s="35" t="str">
        <f ca="1">IFERROR(__xludf.DUMMYFUNCTION("""COMPUTED_VALUE"""),"nhang.tnh@vnpt.vn")</f>
        <v>nhang.tnh@vnpt.vn</v>
      </c>
      <c r="F1251" s="540" t="str">
        <f ca="1">IFERROR(__xludf.DUMMYFUNCTION("""COMPUTED_VALUE"""),"Lần 13")</f>
        <v>Lần 13</v>
      </c>
      <c r="G1251" s="278"/>
      <c r="H1251" s="35"/>
      <c r="I1251" s="35"/>
      <c r="J1251" s="35"/>
      <c r="K1251" s="542"/>
      <c r="M1251" s="539">
        <f ca="1">IFERROR(__xludf.DUMMYFUNCTION("""COMPUTED_VALUE"""),0)</f>
        <v>0</v>
      </c>
      <c r="N1251" s="539">
        <f ca="1">IFERROR(__xludf.DUMMYFUNCTION("""COMPUTED_VALUE"""),0)</f>
        <v>0</v>
      </c>
      <c r="O1251" s="539">
        <f ca="1">IFERROR(__xludf.DUMMYFUNCTION("""COMPUTED_VALUE"""),0)</f>
        <v>0</v>
      </c>
    </row>
    <row r="1252" spans="1:15" ht="12.75">
      <c r="A1252" s="539">
        <f ca="1"/>
        <v>1246</v>
      </c>
      <c r="B1252" s="35" t="str">
        <f ca="1">IFERROR(__xludf.DUMMYFUNCTION("""COMPUTED_VALUE"""),"Tổ Hạ tầng Tân Châu")</f>
        <v>Tổ Hạ tầng Tân Châu</v>
      </c>
      <c r="C1252" s="35" t="str">
        <f ca="1">IFERROR(__xludf.DUMMYFUNCTION("""COMPUTED_VALUE"""),"Nguyễn Giê Nha")</f>
        <v>Nguyễn Giê Nha</v>
      </c>
      <c r="D1252" s="35">
        <f ca="1">IFERROR(__xludf.DUMMYFUNCTION("""COMPUTED_VALUE"""),918825152)</f>
        <v>918825152</v>
      </c>
      <c r="E1252" s="35" t="str">
        <f ca="1">IFERROR(__xludf.DUMMYFUNCTION("""COMPUTED_VALUE"""),"nhang.tnh@vnpt.vn")</f>
        <v>nhang.tnh@vnpt.vn</v>
      </c>
      <c r="F1252" s="540" t="str">
        <f ca="1">IFERROR(__xludf.DUMMYFUNCTION("""COMPUTED_VALUE"""),"Lần 14")</f>
        <v>Lần 14</v>
      </c>
      <c r="G1252" s="278"/>
      <c r="H1252" s="35"/>
      <c r="I1252" s="35"/>
      <c r="J1252" s="35"/>
      <c r="K1252" s="542"/>
      <c r="M1252" s="539">
        <f ca="1">IFERROR(__xludf.DUMMYFUNCTION("""COMPUTED_VALUE"""),0)</f>
        <v>0</v>
      </c>
      <c r="N1252" s="539">
        <f ca="1">IFERROR(__xludf.DUMMYFUNCTION("""COMPUTED_VALUE"""),0)</f>
        <v>0</v>
      </c>
      <c r="O1252" s="539">
        <f ca="1">IFERROR(__xludf.DUMMYFUNCTION("""COMPUTED_VALUE"""),0)</f>
        <v>0</v>
      </c>
    </row>
    <row r="1253" spans="1:15" ht="12.75">
      <c r="A1253" s="539">
        <f ca="1"/>
        <v>1247</v>
      </c>
      <c r="B1253" s="35" t="str">
        <f ca="1">IFERROR(__xludf.DUMMYFUNCTION("""COMPUTED_VALUE"""),"Tổ Hạ tầng Tân Châu")</f>
        <v>Tổ Hạ tầng Tân Châu</v>
      </c>
      <c r="C1253" s="35" t="str">
        <f ca="1">IFERROR(__xludf.DUMMYFUNCTION("""COMPUTED_VALUE"""),"Nguyễn Giê Nha")</f>
        <v>Nguyễn Giê Nha</v>
      </c>
      <c r="D1253" s="35">
        <f ca="1">IFERROR(__xludf.DUMMYFUNCTION("""COMPUTED_VALUE"""),918825152)</f>
        <v>918825152</v>
      </c>
      <c r="E1253" s="35" t="str">
        <f ca="1">IFERROR(__xludf.DUMMYFUNCTION("""COMPUTED_VALUE"""),"nhang.tnh@vnpt.vn")</f>
        <v>nhang.tnh@vnpt.vn</v>
      </c>
      <c r="F1253" s="540" t="str">
        <f ca="1">IFERROR(__xludf.DUMMYFUNCTION("""COMPUTED_VALUE"""),"Lần 15")</f>
        <v>Lần 15</v>
      </c>
      <c r="G1253" s="278"/>
      <c r="H1253" s="35"/>
      <c r="I1253" s="35"/>
      <c r="J1253" s="35"/>
      <c r="K1253" s="542"/>
      <c r="M1253" s="539">
        <f ca="1">IFERROR(__xludf.DUMMYFUNCTION("""COMPUTED_VALUE"""),0)</f>
        <v>0</v>
      </c>
      <c r="N1253" s="539">
        <f ca="1">IFERROR(__xludf.DUMMYFUNCTION("""COMPUTED_VALUE"""),0)</f>
        <v>0</v>
      </c>
      <c r="O1253" s="539">
        <f ca="1">IFERROR(__xludf.DUMMYFUNCTION("""COMPUTED_VALUE"""),0)</f>
        <v>0</v>
      </c>
    </row>
    <row r="1254" spans="1:15" ht="12.75">
      <c r="A1254" s="539">
        <f ca="1"/>
        <v>1248</v>
      </c>
      <c r="B1254" s="35" t="str">
        <f ca="1">IFERROR(__xludf.DUMMYFUNCTION("""COMPUTED_VALUE"""),"Tổ Hạ tầng Tân Châu")</f>
        <v>Tổ Hạ tầng Tân Châu</v>
      </c>
      <c r="C1254" s="35" t="str">
        <f ca="1">IFERROR(__xludf.DUMMYFUNCTION("""COMPUTED_VALUE"""),"Nguyễn Giê Nha")</f>
        <v>Nguyễn Giê Nha</v>
      </c>
      <c r="D1254" s="35">
        <f ca="1">IFERROR(__xludf.DUMMYFUNCTION("""COMPUTED_VALUE"""),918825152)</f>
        <v>918825152</v>
      </c>
      <c r="E1254" s="35" t="str">
        <f ca="1">IFERROR(__xludf.DUMMYFUNCTION("""COMPUTED_VALUE"""),"nhang.tnh@vnpt.vn")</f>
        <v>nhang.tnh@vnpt.vn</v>
      </c>
      <c r="F1254" s="540" t="str">
        <f ca="1">IFERROR(__xludf.DUMMYFUNCTION("""COMPUTED_VALUE"""),"Lần 16")</f>
        <v>Lần 16</v>
      </c>
      <c r="G1254" s="278"/>
      <c r="H1254" s="35"/>
      <c r="I1254" s="35"/>
      <c r="J1254" s="35"/>
      <c r="K1254" s="542"/>
      <c r="M1254" s="539">
        <f ca="1">IFERROR(__xludf.DUMMYFUNCTION("""COMPUTED_VALUE"""),0)</f>
        <v>0</v>
      </c>
      <c r="N1254" s="539">
        <f ca="1">IFERROR(__xludf.DUMMYFUNCTION("""COMPUTED_VALUE"""),0)</f>
        <v>0</v>
      </c>
      <c r="O1254" s="539">
        <f ca="1">IFERROR(__xludf.DUMMYFUNCTION("""COMPUTED_VALUE"""),0)</f>
        <v>0</v>
      </c>
    </row>
    <row r="1255" spans="1:15" ht="12.75">
      <c r="A1255" s="539">
        <f ca="1"/>
        <v>1249</v>
      </c>
      <c r="B1255" s="35" t="str">
        <f ca="1">IFERROR(__xludf.DUMMYFUNCTION("""COMPUTED_VALUE"""),"Tổ Hạ tầng Tân Châu")</f>
        <v>Tổ Hạ tầng Tân Châu</v>
      </c>
      <c r="C1255" s="35" t="str">
        <f ca="1">IFERROR(__xludf.DUMMYFUNCTION("""COMPUTED_VALUE"""),"Nguyễn Văn Long")</f>
        <v>Nguyễn Văn Long</v>
      </c>
      <c r="D1255" s="35">
        <f ca="1">IFERROR(__xludf.DUMMYFUNCTION("""COMPUTED_VALUE"""),919669378)</f>
        <v>919669378</v>
      </c>
      <c r="E1255" s="35" t="str">
        <f ca="1">IFERROR(__xludf.DUMMYFUNCTION("""COMPUTED_VALUE"""),"longnv.tnh@vnpt.vn")</f>
        <v>longnv.tnh@vnpt.vn</v>
      </c>
      <c r="F1255" s="540" t="str">
        <f ca="1">IFERROR(__xludf.DUMMYFUNCTION("""COMPUTED_VALUE"""),"Lần 1")</f>
        <v>Lần 1</v>
      </c>
      <c r="G1255" s="278">
        <f ca="1">IFERROR(__xludf.DUMMYFUNCTION("""COMPUTED_VALUE"""),46214)</f>
        <v>46214</v>
      </c>
      <c r="H1255" s="35" t="str">
        <f ca="1">IFERROR(__xludf.DUMMYFUNCTION("""COMPUTED_VALUE"""),"80.5")</f>
        <v>80.5</v>
      </c>
      <c r="I1255" s="35" t="str">
        <f ca="1">IFERROR(__xludf.DUMMYFUNCTION("""COMPUTED_VALUE"""),"61.5")</f>
        <v>61.5</v>
      </c>
      <c r="J1255" s="541">
        <f ca="1">IFERROR(__xludf.DUMMYFUNCTION("""COMPUTED_VALUE"""),78.9)</f>
        <v>78.900000000000006</v>
      </c>
      <c r="K1255" s="541" t="str">
        <f ca="1">IFERROR(__xludf.DUMMYFUNCTION("""COMPUTED_VALUE"""),"61.5")</f>
        <v>61.5</v>
      </c>
      <c r="M1255" s="539">
        <f ca="1">IFERROR(__xludf.DUMMYFUNCTION("""COMPUTED_VALUE"""),1)</f>
        <v>1</v>
      </c>
      <c r="N1255" s="539">
        <f ca="1">IFERROR(__xludf.DUMMYFUNCTION("""COMPUTED_VALUE"""),1)</f>
        <v>1</v>
      </c>
      <c r="O1255" s="539">
        <f ca="1">IFERROR(__xludf.DUMMYFUNCTION("""COMPUTED_VALUE"""),0)</f>
        <v>0</v>
      </c>
    </row>
    <row r="1256" spans="1:15" ht="12.75">
      <c r="A1256" s="539">
        <f ca="1"/>
        <v>1250</v>
      </c>
      <c r="B1256" s="35" t="str">
        <f ca="1">IFERROR(__xludf.DUMMYFUNCTION("""COMPUTED_VALUE"""),"Tổ Hạ tầng Tân Châu")</f>
        <v>Tổ Hạ tầng Tân Châu</v>
      </c>
      <c r="C1256" s="35" t="str">
        <f ca="1">IFERROR(__xludf.DUMMYFUNCTION("""COMPUTED_VALUE"""),"Nguyễn Văn Long")</f>
        <v>Nguyễn Văn Long</v>
      </c>
      <c r="D1256" s="35">
        <f ca="1">IFERROR(__xludf.DUMMYFUNCTION("""COMPUTED_VALUE"""),919669378)</f>
        <v>919669378</v>
      </c>
      <c r="E1256" s="35" t="str">
        <f ca="1">IFERROR(__xludf.DUMMYFUNCTION("""COMPUTED_VALUE"""),"longnv.tnh@vnpt.vn")</f>
        <v>longnv.tnh@vnpt.vn</v>
      </c>
      <c r="F1256" s="540" t="str">
        <f ca="1">IFERROR(__xludf.DUMMYFUNCTION("""COMPUTED_VALUE"""),"Lần 2")</f>
        <v>Lần 2</v>
      </c>
      <c r="G1256" s="278">
        <f ca="1">IFERROR(__xludf.DUMMYFUNCTION("""COMPUTED_VALUE"""),46214)</f>
        <v>46214</v>
      </c>
      <c r="H1256" s="35" t="str">
        <f ca="1">IFERROR(__xludf.DUMMYFUNCTION("""COMPUTED_VALUE"""),"79.8")</f>
        <v>79.8</v>
      </c>
      <c r="I1256" s="35" t="str">
        <f ca="1">IFERROR(__xludf.DUMMYFUNCTION("""COMPUTED_VALUE"""),"62.2")</f>
        <v>62.2</v>
      </c>
      <c r="J1256" s="541">
        <f ca="1">IFERROR(__xludf.DUMMYFUNCTION("""COMPUTED_VALUE"""),96.4)</f>
        <v>96.4</v>
      </c>
      <c r="K1256" s="541" t="str">
        <f ca="1">IFERROR(__xludf.DUMMYFUNCTION("""COMPUTED_VALUE"""),"62.6")</f>
        <v>62.6</v>
      </c>
      <c r="M1256" s="539">
        <f ca="1">IFERROR(__xludf.DUMMYFUNCTION("""COMPUTED_VALUE"""),1)</f>
        <v>1</v>
      </c>
      <c r="N1256" s="539">
        <f ca="1">IFERROR(__xludf.DUMMYFUNCTION("""COMPUTED_VALUE"""),1)</f>
        <v>1</v>
      </c>
      <c r="O1256" s="539">
        <f ca="1">IFERROR(__xludf.DUMMYFUNCTION("""COMPUTED_VALUE"""),0)</f>
        <v>0</v>
      </c>
    </row>
    <row r="1257" spans="1:15" ht="12.75">
      <c r="A1257" s="539">
        <f ca="1"/>
        <v>1251</v>
      </c>
      <c r="B1257" s="35" t="str">
        <f ca="1">IFERROR(__xludf.DUMMYFUNCTION("""COMPUTED_VALUE"""),"Tổ Hạ tầng Tân Châu")</f>
        <v>Tổ Hạ tầng Tân Châu</v>
      </c>
      <c r="C1257" s="35" t="str">
        <f ca="1">IFERROR(__xludf.DUMMYFUNCTION("""COMPUTED_VALUE"""),"Nguyễn Văn Long")</f>
        <v>Nguyễn Văn Long</v>
      </c>
      <c r="D1257" s="35">
        <f ca="1">IFERROR(__xludf.DUMMYFUNCTION("""COMPUTED_VALUE"""),919669378)</f>
        <v>919669378</v>
      </c>
      <c r="E1257" s="35" t="str">
        <f ca="1">IFERROR(__xludf.DUMMYFUNCTION("""COMPUTED_VALUE"""),"longnv.tnh@vnpt.vn")</f>
        <v>longnv.tnh@vnpt.vn</v>
      </c>
      <c r="F1257" s="540" t="str">
        <f ca="1">IFERROR(__xludf.DUMMYFUNCTION("""COMPUTED_VALUE"""),"Lần 3")</f>
        <v>Lần 3</v>
      </c>
      <c r="G1257" s="278">
        <f ca="1">IFERROR(__xludf.DUMMYFUNCTION("""COMPUTED_VALUE"""),46214)</f>
        <v>46214</v>
      </c>
      <c r="H1257" s="35" t="str">
        <f ca="1">IFERROR(__xludf.DUMMYFUNCTION("""COMPUTED_VALUE"""),"90.5")</f>
        <v>90.5</v>
      </c>
      <c r="I1257" s="35" t="str">
        <f ca="1">IFERROR(__xludf.DUMMYFUNCTION("""COMPUTED_VALUE"""),"58.3")</f>
        <v>58.3</v>
      </c>
      <c r="J1257" s="541">
        <f ca="1">IFERROR(__xludf.DUMMYFUNCTION("""COMPUTED_VALUE"""),85.8)</f>
        <v>85.8</v>
      </c>
      <c r="K1257" s="541" t="str">
        <f ca="1">IFERROR(__xludf.DUMMYFUNCTION("""COMPUTED_VALUE"""),"62.2")</f>
        <v>62.2</v>
      </c>
      <c r="M1257" s="539">
        <f ca="1">IFERROR(__xludf.DUMMYFUNCTION("""COMPUTED_VALUE"""),1)</f>
        <v>1</v>
      </c>
      <c r="N1257" s="539">
        <f ca="1">IFERROR(__xludf.DUMMYFUNCTION("""COMPUTED_VALUE"""),1)</f>
        <v>1</v>
      </c>
      <c r="O1257" s="539">
        <f ca="1">IFERROR(__xludf.DUMMYFUNCTION("""COMPUTED_VALUE"""),0)</f>
        <v>0</v>
      </c>
    </row>
    <row r="1258" spans="1:15" ht="12.75">
      <c r="A1258" s="539">
        <f ca="1"/>
        <v>1252</v>
      </c>
      <c r="B1258" s="35" t="str">
        <f ca="1">IFERROR(__xludf.DUMMYFUNCTION("""COMPUTED_VALUE"""),"Tổ Hạ tầng Tân Châu")</f>
        <v>Tổ Hạ tầng Tân Châu</v>
      </c>
      <c r="C1258" s="35" t="str">
        <f ca="1">IFERROR(__xludf.DUMMYFUNCTION("""COMPUTED_VALUE"""),"Nguyễn Văn Long")</f>
        <v>Nguyễn Văn Long</v>
      </c>
      <c r="D1258" s="35">
        <f ca="1">IFERROR(__xludf.DUMMYFUNCTION("""COMPUTED_VALUE"""),919669378)</f>
        <v>919669378</v>
      </c>
      <c r="E1258" s="35" t="str">
        <f ca="1">IFERROR(__xludf.DUMMYFUNCTION("""COMPUTED_VALUE"""),"longnv.tnh@vnpt.vn")</f>
        <v>longnv.tnh@vnpt.vn</v>
      </c>
      <c r="F1258" s="540" t="str">
        <f ca="1">IFERROR(__xludf.DUMMYFUNCTION("""COMPUTED_VALUE"""),"Lần 4")</f>
        <v>Lần 4</v>
      </c>
      <c r="G1258" s="278">
        <f ca="1">IFERROR(__xludf.DUMMYFUNCTION("""COMPUTED_VALUE"""),46214)</f>
        <v>46214</v>
      </c>
      <c r="H1258" s="35" t="str">
        <f ca="1">IFERROR(__xludf.DUMMYFUNCTION("""COMPUTED_VALUE"""),"105.2")</f>
        <v>105.2</v>
      </c>
      <c r="I1258" s="35" t="str">
        <f ca="1">IFERROR(__xludf.DUMMYFUNCTION("""COMPUTED_VALUE"""),"55.8")</f>
        <v>55.8</v>
      </c>
      <c r="J1258" s="541">
        <f ca="1">IFERROR(__xludf.DUMMYFUNCTION("""COMPUTED_VALUE"""),70.7)</f>
        <v>70.7</v>
      </c>
      <c r="K1258" s="541" t="str">
        <f ca="1">IFERROR(__xludf.DUMMYFUNCTION("""COMPUTED_VALUE"""),"61.5")</f>
        <v>61.5</v>
      </c>
      <c r="M1258" s="539">
        <f ca="1">IFERROR(__xludf.DUMMYFUNCTION("""COMPUTED_VALUE"""),1)</f>
        <v>1</v>
      </c>
      <c r="N1258" s="539">
        <f ca="1">IFERROR(__xludf.DUMMYFUNCTION("""COMPUTED_VALUE"""),1)</f>
        <v>1</v>
      </c>
      <c r="O1258" s="539">
        <f ca="1">IFERROR(__xludf.DUMMYFUNCTION("""COMPUTED_VALUE"""),0)</f>
        <v>0</v>
      </c>
    </row>
    <row r="1259" spans="1:15" ht="12.75">
      <c r="A1259" s="539">
        <f ca="1"/>
        <v>1253</v>
      </c>
      <c r="B1259" s="35" t="str">
        <f ca="1">IFERROR(__xludf.DUMMYFUNCTION("""COMPUTED_VALUE"""),"Tổ Hạ tầng Tân Châu")</f>
        <v>Tổ Hạ tầng Tân Châu</v>
      </c>
      <c r="C1259" s="35" t="str">
        <f ca="1">IFERROR(__xludf.DUMMYFUNCTION("""COMPUTED_VALUE"""),"Nguyễn Văn Long")</f>
        <v>Nguyễn Văn Long</v>
      </c>
      <c r="D1259" s="35">
        <f ca="1">IFERROR(__xludf.DUMMYFUNCTION("""COMPUTED_VALUE"""),919669378)</f>
        <v>919669378</v>
      </c>
      <c r="E1259" s="35" t="str">
        <f ca="1">IFERROR(__xludf.DUMMYFUNCTION("""COMPUTED_VALUE"""),"longnv.tnh@vnpt.vn")</f>
        <v>longnv.tnh@vnpt.vn</v>
      </c>
      <c r="F1259" s="540" t="str">
        <f ca="1">IFERROR(__xludf.DUMMYFUNCTION("""COMPUTED_VALUE"""),"Lần 5")</f>
        <v>Lần 5</v>
      </c>
      <c r="G1259" s="278">
        <f ca="1">IFERROR(__xludf.DUMMYFUNCTION("""COMPUTED_VALUE"""),46214)</f>
        <v>46214</v>
      </c>
      <c r="H1259" s="35" t="str">
        <f ca="1">IFERROR(__xludf.DUMMYFUNCTION("""COMPUTED_VALUE"""),"73.5")</f>
        <v>73.5</v>
      </c>
      <c r="I1259" s="35" t="str">
        <f ca="1">IFERROR(__xludf.DUMMYFUNCTION("""COMPUTED_VALUE"""),"64.5")</f>
        <v>64.5</v>
      </c>
      <c r="J1259" s="541">
        <f ca="1">IFERROR(__xludf.DUMMYFUNCTION("""COMPUTED_VALUE"""),106)</f>
        <v>106</v>
      </c>
      <c r="K1259" s="541" t="str">
        <f ca="1">IFERROR(__xludf.DUMMYFUNCTION("""COMPUTED_VALUE"""),"62.2")</f>
        <v>62.2</v>
      </c>
      <c r="M1259" s="539">
        <f ca="1">IFERROR(__xludf.DUMMYFUNCTION("""COMPUTED_VALUE"""),1)</f>
        <v>1</v>
      </c>
      <c r="N1259" s="539">
        <f ca="1">IFERROR(__xludf.DUMMYFUNCTION("""COMPUTED_VALUE"""),1)</f>
        <v>1</v>
      </c>
      <c r="O1259" s="539">
        <f ca="1">IFERROR(__xludf.DUMMYFUNCTION("""COMPUTED_VALUE"""),0)</f>
        <v>0</v>
      </c>
    </row>
    <row r="1260" spans="1:15" ht="12.75">
      <c r="A1260" s="539">
        <f ca="1"/>
        <v>1254</v>
      </c>
      <c r="B1260" s="35" t="str">
        <f ca="1">IFERROR(__xludf.DUMMYFUNCTION("""COMPUTED_VALUE"""),"Tổ Hạ tầng Tân Châu")</f>
        <v>Tổ Hạ tầng Tân Châu</v>
      </c>
      <c r="C1260" s="35" t="str">
        <f ca="1">IFERROR(__xludf.DUMMYFUNCTION("""COMPUTED_VALUE"""),"Nguyễn Văn Long")</f>
        <v>Nguyễn Văn Long</v>
      </c>
      <c r="D1260" s="35">
        <f ca="1">IFERROR(__xludf.DUMMYFUNCTION("""COMPUTED_VALUE"""),919669378)</f>
        <v>919669378</v>
      </c>
      <c r="E1260" s="35" t="str">
        <f ca="1">IFERROR(__xludf.DUMMYFUNCTION("""COMPUTED_VALUE"""),"longnv.tnh@vnpt.vn")</f>
        <v>longnv.tnh@vnpt.vn</v>
      </c>
      <c r="F1260" s="540" t="str">
        <f ca="1">IFERROR(__xludf.DUMMYFUNCTION("""COMPUTED_VALUE"""),"Lần 6")</f>
        <v>Lần 6</v>
      </c>
      <c r="G1260" s="278">
        <f ca="1">IFERROR(__xludf.DUMMYFUNCTION("""COMPUTED_VALUE"""),46214)</f>
        <v>46214</v>
      </c>
      <c r="H1260" s="35" t="str">
        <f ca="1">IFERROR(__xludf.DUMMYFUNCTION("""COMPUTED_VALUE"""),"88.5")</f>
        <v>88.5</v>
      </c>
      <c r="I1260" s="35" t="str">
        <f ca="1">IFERROR(__xludf.DUMMYFUNCTION("""COMPUTED_VALUE"""),"62.8")</f>
        <v>62.8</v>
      </c>
      <c r="J1260" s="541">
        <f ca="1">IFERROR(__xludf.DUMMYFUNCTION("""COMPUTED_VALUE"""),97)</f>
        <v>97</v>
      </c>
      <c r="K1260" s="541" t="str">
        <f ca="1">IFERROR(__xludf.DUMMYFUNCTION("""COMPUTED_VALUE"""),"60.3")</f>
        <v>60.3</v>
      </c>
      <c r="M1260" s="539">
        <f ca="1">IFERROR(__xludf.DUMMYFUNCTION("""COMPUTED_VALUE"""),1)</f>
        <v>1</v>
      </c>
      <c r="N1260" s="539">
        <f ca="1">IFERROR(__xludf.DUMMYFUNCTION("""COMPUTED_VALUE"""),1)</f>
        <v>1</v>
      </c>
      <c r="O1260" s="539">
        <f ca="1">IFERROR(__xludf.DUMMYFUNCTION("""COMPUTED_VALUE"""),0)</f>
        <v>0</v>
      </c>
    </row>
    <row r="1261" spans="1:15" ht="12.75">
      <c r="A1261" s="539">
        <f ca="1"/>
        <v>1255</v>
      </c>
      <c r="B1261" s="35" t="str">
        <f ca="1">IFERROR(__xludf.DUMMYFUNCTION("""COMPUTED_VALUE"""),"Tổ Hạ tầng Tân Châu")</f>
        <v>Tổ Hạ tầng Tân Châu</v>
      </c>
      <c r="C1261" s="35" t="str">
        <f ca="1">IFERROR(__xludf.DUMMYFUNCTION("""COMPUTED_VALUE"""),"Nguyễn Văn Long")</f>
        <v>Nguyễn Văn Long</v>
      </c>
      <c r="D1261" s="35">
        <f ca="1">IFERROR(__xludf.DUMMYFUNCTION("""COMPUTED_VALUE"""),919669378)</f>
        <v>919669378</v>
      </c>
      <c r="E1261" s="35" t="str">
        <f ca="1">IFERROR(__xludf.DUMMYFUNCTION("""COMPUTED_VALUE"""),"longnv.tnh@vnpt.vn")</f>
        <v>longnv.tnh@vnpt.vn</v>
      </c>
      <c r="F1261" s="540" t="str">
        <f ca="1">IFERROR(__xludf.DUMMYFUNCTION("""COMPUTED_VALUE"""),"Lần 7")</f>
        <v>Lần 7</v>
      </c>
      <c r="G1261" s="278">
        <f ca="1">IFERROR(__xludf.DUMMYFUNCTION("""COMPUTED_VALUE"""),46214)</f>
        <v>46214</v>
      </c>
      <c r="H1261" s="35" t="str">
        <f ca="1">IFERROR(__xludf.DUMMYFUNCTION("""COMPUTED_VALUE"""),"93.9")</f>
        <v>93.9</v>
      </c>
      <c r="I1261" s="35" t="str">
        <f ca="1">IFERROR(__xludf.DUMMYFUNCTION("""COMPUTED_VALUE"""),"48.5")</f>
        <v>48.5</v>
      </c>
      <c r="J1261" s="541">
        <f ca="1">IFERROR(__xludf.DUMMYFUNCTION("""COMPUTED_VALUE"""),119)</f>
        <v>119</v>
      </c>
      <c r="K1261" s="35" t="str">
        <f ca="1">IFERROR(__xludf.DUMMYFUNCTION("""COMPUTED_VALUE"""),"60.2")</f>
        <v>60.2</v>
      </c>
      <c r="M1261" s="539">
        <f ca="1">IFERROR(__xludf.DUMMYFUNCTION("""COMPUTED_VALUE"""),1)</f>
        <v>1</v>
      </c>
      <c r="N1261" s="539">
        <f ca="1">IFERROR(__xludf.DUMMYFUNCTION("""COMPUTED_VALUE"""),1)</f>
        <v>1</v>
      </c>
      <c r="O1261" s="539">
        <f ca="1">IFERROR(__xludf.DUMMYFUNCTION("""COMPUTED_VALUE"""),0)</f>
        <v>0</v>
      </c>
    </row>
    <row r="1262" spans="1:15" ht="12.75">
      <c r="A1262" s="539">
        <f ca="1"/>
        <v>1256</v>
      </c>
      <c r="B1262" s="35" t="str">
        <f ca="1">IFERROR(__xludf.DUMMYFUNCTION("""COMPUTED_VALUE"""),"Tổ Hạ tầng Tân Châu")</f>
        <v>Tổ Hạ tầng Tân Châu</v>
      </c>
      <c r="C1262" s="35" t="str">
        <f ca="1">IFERROR(__xludf.DUMMYFUNCTION("""COMPUTED_VALUE"""),"Nguyễn Văn Long")</f>
        <v>Nguyễn Văn Long</v>
      </c>
      <c r="D1262" s="35">
        <f ca="1">IFERROR(__xludf.DUMMYFUNCTION("""COMPUTED_VALUE"""),919669378)</f>
        <v>919669378</v>
      </c>
      <c r="E1262" s="35" t="str">
        <f ca="1">IFERROR(__xludf.DUMMYFUNCTION("""COMPUTED_VALUE"""),"longnv.tnh@vnpt.vn")</f>
        <v>longnv.tnh@vnpt.vn</v>
      </c>
      <c r="F1262" s="540" t="str">
        <f ca="1">IFERROR(__xludf.DUMMYFUNCTION("""COMPUTED_VALUE"""),"Lần 8")</f>
        <v>Lần 8</v>
      </c>
      <c r="G1262" s="278">
        <f ca="1">IFERROR(__xludf.DUMMYFUNCTION("""COMPUTED_VALUE"""),46214)</f>
        <v>46214</v>
      </c>
      <c r="H1262" s="35" t="str">
        <f ca="1">IFERROR(__xludf.DUMMYFUNCTION("""COMPUTED_VALUE"""),"104.7")</f>
        <v>104.7</v>
      </c>
      <c r="I1262" s="35" t="str">
        <f ca="1">IFERROR(__xludf.DUMMYFUNCTION("""COMPUTED_VALUE"""),"46.8")</f>
        <v>46.8</v>
      </c>
      <c r="J1262" s="541">
        <f ca="1">IFERROR(__xludf.DUMMYFUNCTION("""COMPUTED_VALUE"""),96)</f>
        <v>96</v>
      </c>
      <c r="K1262" s="35" t="str">
        <f ca="1">IFERROR(__xludf.DUMMYFUNCTION("""COMPUTED_VALUE"""),"62.3")</f>
        <v>62.3</v>
      </c>
      <c r="M1262" s="539">
        <f ca="1">IFERROR(__xludf.DUMMYFUNCTION("""COMPUTED_VALUE"""),1)</f>
        <v>1</v>
      </c>
      <c r="N1262" s="539">
        <f ca="1">IFERROR(__xludf.DUMMYFUNCTION("""COMPUTED_VALUE"""),1)</f>
        <v>1</v>
      </c>
      <c r="O1262" s="539">
        <f ca="1">IFERROR(__xludf.DUMMYFUNCTION("""COMPUTED_VALUE"""),0)</f>
        <v>0</v>
      </c>
    </row>
    <row r="1263" spans="1:15" ht="12.75">
      <c r="A1263" s="539">
        <f ca="1"/>
        <v>1257</v>
      </c>
      <c r="B1263" s="35" t="str">
        <f ca="1">IFERROR(__xludf.DUMMYFUNCTION("""COMPUTED_VALUE"""),"Tổ Hạ tầng Tân Châu")</f>
        <v>Tổ Hạ tầng Tân Châu</v>
      </c>
      <c r="C1263" s="35" t="str">
        <f ca="1">IFERROR(__xludf.DUMMYFUNCTION("""COMPUTED_VALUE"""),"Nguyễn Văn Long")</f>
        <v>Nguyễn Văn Long</v>
      </c>
      <c r="D1263" s="35">
        <f ca="1">IFERROR(__xludf.DUMMYFUNCTION("""COMPUTED_VALUE"""),919669378)</f>
        <v>919669378</v>
      </c>
      <c r="E1263" s="35" t="str">
        <f ca="1">IFERROR(__xludf.DUMMYFUNCTION("""COMPUTED_VALUE"""),"longnv.tnh@vnpt.vn")</f>
        <v>longnv.tnh@vnpt.vn</v>
      </c>
      <c r="F1263" s="540" t="str">
        <f ca="1">IFERROR(__xludf.DUMMYFUNCTION("""COMPUTED_VALUE"""),"Lần 9")</f>
        <v>Lần 9</v>
      </c>
      <c r="G1263" s="278">
        <f ca="1">IFERROR(__xludf.DUMMYFUNCTION("""COMPUTED_VALUE"""),46214)</f>
        <v>46214</v>
      </c>
      <c r="H1263" s="35">
        <f ca="1">IFERROR(__xludf.DUMMYFUNCTION("""COMPUTED_VALUE"""),105)</f>
        <v>105</v>
      </c>
      <c r="I1263" s="35" t="str">
        <f ca="1">IFERROR(__xludf.DUMMYFUNCTION("""COMPUTED_VALUE"""),"53.8")</f>
        <v>53.8</v>
      </c>
      <c r="J1263" s="541">
        <f ca="1">IFERROR(__xludf.DUMMYFUNCTION("""COMPUTED_VALUE"""),92.8)</f>
        <v>92.8</v>
      </c>
      <c r="K1263" s="35" t="str">
        <f ca="1">IFERROR(__xludf.DUMMYFUNCTION("""COMPUTED_VALUE"""),"61.4")</f>
        <v>61.4</v>
      </c>
      <c r="M1263" s="539">
        <f ca="1">IFERROR(__xludf.DUMMYFUNCTION("""COMPUTED_VALUE"""),1)</f>
        <v>1</v>
      </c>
      <c r="N1263" s="539">
        <f ca="1">IFERROR(__xludf.DUMMYFUNCTION("""COMPUTED_VALUE"""),1)</f>
        <v>1</v>
      </c>
      <c r="O1263" s="539">
        <f ca="1">IFERROR(__xludf.DUMMYFUNCTION("""COMPUTED_VALUE"""),0)</f>
        <v>0</v>
      </c>
    </row>
    <row r="1264" spans="1:15" ht="12.75">
      <c r="A1264" s="539">
        <f ca="1"/>
        <v>1258</v>
      </c>
      <c r="B1264" s="35" t="str">
        <f ca="1">IFERROR(__xludf.DUMMYFUNCTION("""COMPUTED_VALUE"""),"Tổ Hạ tầng Tân Châu")</f>
        <v>Tổ Hạ tầng Tân Châu</v>
      </c>
      <c r="C1264" s="35" t="str">
        <f ca="1">IFERROR(__xludf.DUMMYFUNCTION("""COMPUTED_VALUE"""),"Nguyễn Văn Long")</f>
        <v>Nguyễn Văn Long</v>
      </c>
      <c r="D1264" s="35">
        <f ca="1">IFERROR(__xludf.DUMMYFUNCTION("""COMPUTED_VALUE"""),919669378)</f>
        <v>919669378</v>
      </c>
      <c r="E1264" s="35" t="str">
        <f ca="1">IFERROR(__xludf.DUMMYFUNCTION("""COMPUTED_VALUE"""),"longnv.tnh@vnpt.vn")</f>
        <v>longnv.tnh@vnpt.vn</v>
      </c>
      <c r="F1264" s="540" t="str">
        <f ca="1">IFERROR(__xludf.DUMMYFUNCTION("""COMPUTED_VALUE"""),"Lần 10")</f>
        <v>Lần 10</v>
      </c>
      <c r="G1264" s="278">
        <f ca="1">IFERROR(__xludf.DUMMYFUNCTION("""COMPUTED_VALUE"""),46214)</f>
        <v>46214</v>
      </c>
      <c r="H1264" s="35" t="str">
        <f ca="1">IFERROR(__xludf.DUMMYFUNCTION("""COMPUTED_VALUE"""),"85.8")</f>
        <v>85.8</v>
      </c>
      <c r="I1264" s="35">
        <f ca="1">IFERROR(__xludf.DUMMYFUNCTION("""COMPUTED_VALUE"""),55)</f>
        <v>55</v>
      </c>
      <c r="J1264" s="541">
        <f ca="1">IFERROR(__xludf.DUMMYFUNCTION("""COMPUTED_VALUE"""),105)</f>
        <v>105</v>
      </c>
      <c r="K1264" s="541" t="str">
        <f ca="1">IFERROR(__xludf.DUMMYFUNCTION("""COMPUTED_VALUE"""),"58.1")</f>
        <v>58.1</v>
      </c>
      <c r="M1264" s="539">
        <f ca="1">IFERROR(__xludf.DUMMYFUNCTION("""COMPUTED_VALUE"""),1)</f>
        <v>1</v>
      </c>
      <c r="N1264" s="539">
        <f ca="1">IFERROR(__xludf.DUMMYFUNCTION("""COMPUTED_VALUE"""),1)</f>
        <v>1</v>
      </c>
      <c r="O1264" s="539">
        <f ca="1">IFERROR(__xludf.DUMMYFUNCTION("""COMPUTED_VALUE"""),0)</f>
        <v>0</v>
      </c>
    </row>
    <row r="1265" spans="1:15" ht="12.75">
      <c r="A1265" s="539">
        <f ca="1"/>
        <v>1259</v>
      </c>
      <c r="B1265" s="35" t="str">
        <f ca="1">IFERROR(__xludf.DUMMYFUNCTION("""COMPUTED_VALUE"""),"Tổ Hạ tầng Tân Châu")</f>
        <v>Tổ Hạ tầng Tân Châu</v>
      </c>
      <c r="C1265" s="35" t="str">
        <f ca="1">IFERROR(__xludf.DUMMYFUNCTION("""COMPUTED_VALUE"""),"Nguyễn Văn Long")</f>
        <v>Nguyễn Văn Long</v>
      </c>
      <c r="D1265" s="35">
        <f ca="1">IFERROR(__xludf.DUMMYFUNCTION("""COMPUTED_VALUE"""),919669378)</f>
        <v>919669378</v>
      </c>
      <c r="E1265" s="35" t="str">
        <f ca="1">IFERROR(__xludf.DUMMYFUNCTION("""COMPUTED_VALUE"""),"longnv.tnh@vnpt.vn")</f>
        <v>longnv.tnh@vnpt.vn</v>
      </c>
      <c r="F1265" s="540" t="str">
        <f ca="1">IFERROR(__xludf.DUMMYFUNCTION("""COMPUTED_VALUE"""),"Lần 11")</f>
        <v>Lần 11</v>
      </c>
      <c r="G1265" s="278">
        <f ca="1">IFERROR(__xludf.DUMMYFUNCTION("""COMPUTED_VALUE"""),46214)</f>
        <v>46214</v>
      </c>
      <c r="H1265" s="35" t="str">
        <f ca="1">IFERROR(__xludf.DUMMYFUNCTION("""COMPUTED_VALUE"""),"98.5")</f>
        <v>98.5</v>
      </c>
      <c r="I1265" s="35" t="str">
        <f ca="1">IFERROR(__xludf.DUMMYFUNCTION("""COMPUTED_VALUE"""),"56.9")</f>
        <v>56.9</v>
      </c>
      <c r="J1265" s="541">
        <f ca="1">IFERROR(__xludf.DUMMYFUNCTION("""COMPUTED_VALUE"""),76.4)</f>
        <v>76.400000000000006</v>
      </c>
      <c r="K1265" s="541" t="str">
        <f ca="1">IFERROR(__xludf.DUMMYFUNCTION("""COMPUTED_VALUE"""),"60.7")</f>
        <v>60.7</v>
      </c>
      <c r="M1265" s="539">
        <f ca="1">IFERROR(__xludf.DUMMYFUNCTION("""COMPUTED_VALUE"""),1)</f>
        <v>1</v>
      </c>
      <c r="N1265" s="539">
        <f ca="1">IFERROR(__xludf.DUMMYFUNCTION("""COMPUTED_VALUE"""),1)</f>
        <v>1</v>
      </c>
      <c r="O1265" s="539">
        <f ca="1">IFERROR(__xludf.DUMMYFUNCTION("""COMPUTED_VALUE"""),0)</f>
        <v>0</v>
      </c>
    </row>
    <row r="1266" spans="1:15" ht="12.75">
      <c r="A1266" s="539">
        <f ca="1"/>
        <v>1260</v>
      </c>
      <c r="B1266" s="35" t="str">
        <f ca="1">IFERROR(__xludf.DUMMYFUNCTION("""COMPUTED_VALUE"""),"Tổ Hạ tầng Tân Châu")</f>
        <v>Tổ Hạ tầng Tân Châu</v>
      </c>
      <c r="C1266" s="35" t="str">
        <f ca="1">IFERROR(__xludf.DUMMYFUNCTION("""COMPUTED_VALUE"""),"Nguyễn Văn Long")</f>
        <v>Nguyễn Văn Long</v>
      </c>
      <c r="D1266" s="35">
        <f ca="1">IFERROR(__xludf.DUMMYFUNCTION("""COMPUTED_VALUE"""),919669378)</f>
        <v>919669378</v>
      </c>
      <c r="E1266" s="35" t="str">
        <f ca="1">IFERROR(__xludf.DUMMYFUNCTION("""COMPUTED_VALUE"""),"longnv.tnh@vnpt.vn")</f>
        <v>longnv.tnh@vnpt.vn</v>
      </c>
      <c r="F1266" s="540" t="str">
        <f ca="1">IFERROR(__xludf.DUMMYFUNCTION("""COMPUTED_VALUE"""),"Lần 12")</f>
        <v>Lần 12</v>
      </c>
      <c r="G1266" s="278">
        <f ca="1">IFERROR(__xludf.DUMMYFUNCTION("""COMPUTED_VALUE"""),46214)</f>
        <v>46214</v>
      </c>
      <c r="H1266" s="35" t="str">
        <f ca="1">IFERROR(__xludf.DUMMYFUNCTION("""COMPUTED_VALUE"""),"76.8")</f>
        <v>76.8</v>
      </c>
      <c r="I1266" s="35" t="str">
        <f ca="1">IFERROR(__xludf.DUMMYFUNCTION("""COMPUTED_VALUE"""),"62.4")</f>
        <v>62.4</v>
      </c>
      <c r="J1266" s="541">
        <f ca="1">IFERROR(__xludf.DUMMYFUNCTION("""COMPUTED_VALUE"""),73.9)</f>
        <v>73.900000000000006</v>
      </c>
      <c r="K1266" s="541" t="str">
        <f ca="1">IFERROR(__xludf.DUMMYFUNCTION("""COMPUTED_VALUE"""),"61.8")</f>
        <v>61.8</v>
      </c>
      <c r="M1266" s="539">
        <f ca="1">IFERROR(__xludf.DUMMYFUNCTION("""COMPUTED_VALUE"""),1)</f>
        <v>1</v>
      </c>
      <c r="N1266" s="539">
        <f ca="1">IFERROR(__xludf.DUMMYFUNCTION("""COMPUTED_VALUE"""),1)</f>
        <v>1</v>
      </c>
      <c r="O1266" s="539">
        <f ca="1">IFERROR(__xludf.DUMMYFUNCTION("""COMPUTED_VALUE"""),0)</f>
        <v>0</v>
      </c>
    </row>
    <row r="1267" spans="1:15" ht="12.75">
      <c r="A1267" s="539">
        <f ca="1"/>
        <v>1261</v>
      </c>
      <c r="B1267" s="35" t="str">
        <f ca="1">IFERROR(__xludf.DUMMYFUNCTION("""COMPUTED_VALUE"""),"Tổ Hạ tầng Tân Châu")</f>
        <v>Tổ Hạ tầng Tân Châu</v>
      </c>
      <c r="C1267" s="35" t="str">
        <f ca="1">IFERROR(__xludf.DUMMYFUNCTION("""COMPUTED_VALUE"""),"Nguyễn Văn Long")</f>
        <v>Nguyễn Văn Long</v>
      </c>
      <c r="D1267" s="35">
        <f ca="1">IFERROR(__xludf.DUMMYFUNCTION("""COMPUTED_VALUE"""),919669378)</f>
        <v>919669378</v>
      </c>
      <c r="E1267" s="35" t="str">
        <f ca="1">IFERROR(__xludf.DUMMYFUNCTION("""COMPUTED_VALUE"""),"longnv.tnh@vnpt.vn")</f>
        <v>longnv.tnh@vnpt.vn</v>
      </c>
      <c r="F1267" s="540" t="str">
        <f ca="1">IFERROR(__xludf.DUMMYFUNCTION("""COMPUTED_VALUE"""),"Lần 13")</f>
        <v>Lần 13</v>
      </c>
      <c r="G1267" s="278">
        <f ca="1">IFERROR(__xludf.DUMMYFUNCTION("""COMPUTED_VALUE"""),46214)</f>
        <v>46214</v>
      </c>
      <c r="H1267" s="35" t="str">
        <f ca="1">IFERROR(__xludf.DUMMYFUNCTION("""COMPUTED_VALUE"""),"100.8")</f>
        <v>100.8</v>
      </c>
      <c r="I1267" s="35" t="str">
        <f ca="1">IFERROR(__xludf.DUMMYFUNCTION("""COMPUTED_VALUE"""),"61.2")</f>
        <v>61.2</v>
      </c>
      <c r="J1267" s="541">
        <f ca="1">IFERROR(__xludf.DUMMYFUNCTION("""COMPUTED_VALUE"""),89.2)</f>
        <v>89.2</v>
      </c>
      <c r="K1267" s="35" t="str">
        <f ca="1">IFERROR(__xludf.DUMMYFUNCTION("""COMPUTED_VALUE"""),"61.3")</f>
        <v>61.3</v>
      </c>
      <c r="M1267" s="539">
        <f ca="1">IFERROR(__xludf.DUMMYFUNCTION("""COMPUTED_VALUE"""),1)</f>
        <v>1</v>
      </c>
      <c r="N1267" s="539">
        <f ca="1">IFERROR(__xludf.DUMMYFUNCTION("""COMPUTED_VALUE"""),1)</f>
        <v>1</v>
      </c>
      <c r="O1267" s="539">
        <f ca="1">IFERROR(__xludf.DUMMYFUNCTION("""COMPUTED_VALUE"""),0)</f>
        <v>0</v>
      </c>
    </row>
    <row r="1268" spans="1:15" ht="12.75">
      <c r="A1268" s="539">
        <f ca="1"/>
        <v>1262</v>
      </c>
      <c r="B1268" s="35" t="str">
        <f ca="1">IFERROR(__xludf.DUMMYFUNCTION("""COMPUTED_VALUE"""),"Tổ Hạ tầng Tân Châu")</f>
        <v>Tổ Hạ tầng Tân Châu</v>
      </c>
      <c r="C1268" s="35" t="str">
        <f ca="1">IFERROR(__xludf.DUMMYFUNCTION("""COMPUTED_VALUE"""),"Nguyễn Văn Long")</f>
        <v>Nguyễn Văn Long</v>
      </c>
      <c r="D1268" s="35">
        <f ca="1">IFERROR(__xludf.DUMMYFUNCTION("""COMPUTED_VALUE"""),919669378)</f>
        <v>919669378</v>
      </c>
      <c r="E1268" s="35" t="str">
        <f ca="1">IFERROR(__xludf.DUMMYFUNCTION("""COMPUTED_VALUE"""),"longnv.tnh@vnpt.vn")</f>
        <v>longnv.tnh@vnpt.vn</v>
      </c>
      <c r="F1268" s="540" t="str">
        <f ca="1">IFERROR(__xludf.DUMMYFUNCTION("""COMPUTED_VALUE"""),"Lần 14")</f>
        <v>Lần 14</v>
      </c>
      <c r="G1268" s="278">
        <f ca="1">IFERROR(__xludf.DUMMYFUNCTION("""COMPUTED_VALUE"""),46214)</f>
        <v>46214</v>
      </c>
      <c r="H1268" s="35" t="str">
        <f ca="1">IFERROR(__xludf.DUMMYFUNCTION("""COMPUTED_VALUE"""),"86.6")</f>
        <v>86.6</v>
      </c>
      <c r="I1268" s="35" t="str">
        <f ca="1">IFERROR(__xludf.DUMMYFUNCTION("""COMPUTED_VALUE"""),"63.8")</f>
        <v>63.8</v>
      </c>
      <c r="J1268" s="541">
        <f ca="1">IFERROR(__xludf.DUMMYFUNCTION("""COMPUTED_VALUE"""),101)</f>
        <v>101</v>
      </c>
      <c r="K1268" s="35" t="str">
        <f ca="1">IFERROR(__xludf.DUMMYFUNCTION("""COMPUTED_VALUE"""),"62.4")</f>
        <v>62.4</v>
      </c>
      <c r="M1268" s="539">
        <f ca="1">IFERROR(__xludf.DUMMYFUNCTION("""COMPUTED_VALUE"""),1)</f>
        <v>1</v>
      </c>
      <c r="N1268" s="539">
        <f ca="1">IFERROR(__xludf.DUMMYFUNCTION("""COMPUTED_VALUE"""),1)</f>
        <v>1</v>
      </c>
      <c r="O1268" s="539">
        <f ca="1">IFERROR(__xludf.DUMMYFUNCTION("""COMPUTED_VALUE"""),0)</f>
        <v>0</v>
      </c>
    </row>
    <row r="1269" spans="1:15" ht="12.75">
      <c r="A1269" s="539">
        <f ca="1"/>
        <v>1263</v>
      </c>
      <c r="B1269" s="35" t="str">
        <f ca="1">IFERROR(__xludf.DUMMYFUNCTION("""COMPUTED_VALUE"""),"Tổ Hạ tầng Tân Châu")</f>
        <v>Tổ Hạ tầng Tân Châu</v>
      </c>
      <c r="C1269" s="35" t="str">
        <f ca="1">IFERROR(__xludf.DUMMYFUNCTION("""COMPUTED_VALUE"""),"Nguyễn Văn Long")</f>
        <v>Nguyễn Văn Long</v>
      </c>
      <c r="D1269" s="35">
        <f ca="1">IFERROR(__xludf.DUMMYFUNCTION("""COMPUTED_VALUE"""),919669378)</f>
        <v>919669378</v>
      </c>
      <c r="E1269" s="35" t="str">
        <f ca="1">IFERROR(__xludf.DUMMYFUNCTION("""COMPUTED_VALUE"""),"longnv.tnh@vnpt.vn")</f>
        <v>longnv.tnh@vnpt.vn</v>
      </c>
      <c r="F1269" s="540" t="str">
        <f ca="1">IFERROR(__xludf.DUMMYFUNCTION("""COMPUTED_VALUE"""),"Lần 15")</f>
        <v>Lần 15</v>
      </c>
      <c r="G1269" s="278">
        <f ca="1">IFERROR(__xludf.DUMMYFUNCTION("""COMPUTED_VALUE"""),46214)</f>
        <v>46214</v>
      </c>
      <c r="H1269" s="35" t="str">
        <f ca="1">IFERROR(__xludf.DUMMYFUNCTION("""COMPUTED_VALUE"""),"75.8")</f>
        <v>75.8</v>
      </c>
      <c r="I1269" s="35" t="str">
        <f ca="1">IFERROR(__xludf.DUMMYFUNCTION("""COMPUTED_VALUE"""),"60.8")</f>
        <v>60.8</v>
      </c>
      <c r="J1269" s="541">
        <f ca="1">IFERROR(__xludf.DUMMYFUNCTION("""COMPUTED_VALUE"""),86.8)</f>
        <v>86.8</v>
      </c>
      <c r="K1269" s="541" t="str">
        <f ca="1">IFERROR(__xludf.DUMMYFUNCTION("""COMPUTED_VALUE"""),"62.7")</f>
        <v>62.7</v>
      </c>
      <c r="M1269" s="539">
        <f ca="1">IFERROR(__xludf.DUMMYFUNCTION("""COMPUTED_VALUE"""),1)</f>
        <v>1</v>
      </c>
      <c r="N1269" s="539">
        <f ca="1">IFERROR(__xludf.DUMMYFUNCTION("""COMPUTED_VALUE"""),1)</f>
        <v>1</v>
      </c>
      <c r="O1269" s="539">
        <f ca="1">IFERROR(__xludf.DUMMYFUNCTION("""COMPUTED_VALUE"""),0)</f>
        <v>0</v>
      </c>
    </row>
    <row r="1270" spans="1:15" ht="12.75">
      <c r="A1270" s="539">
        <f ca="1"/>
        <v>1264</v>
      </c>
      <c r="B1270" s="35" t="str">
        <f ca="1">IFERROR(__xludf.DUMMYFUNCTION("""COMPUTED_VALUE"""),"Tổ Hạ tầng Tân Châu")</f>
        <v>Tổ Hạ tầng Tân Châu</v>
      </c>
      <c r="C1270" s="35" t="str">
        <f ca="1">IFERROR(__xludf.DUMMYFUNCTION("""COMPUTED_VALUE"""),"Nguyễn Văn Long")</f>
        <v>Nguyễn Văn Long</v>
      </c>
      <c r="D1270" s="35">
        <f ca="1">IFERROR(__xludf.DUMMYFUNCTION("""COMPUTED_VALUE"""),919669378)</f>
        <v>919669378</v>
      </c>
      <c r="E1270" s="35" t="str">
        <f ca="1">IFERROR(__xludf.DUMMYFUNCTION("""COMPUTED_VALUE"""),"longnv.tnh@vnpt.vn")</f>
        <v>longnv.tnh@vnpt.vn</v>
      </c>
      <c r="F1270" s="540" t="str">
        <f ca="1">IFERROR(__xludf.DUMMYFUNCTION("""COMPUTED_VALUE"""),"Lần 16")</f>
        <v>Lần 16</v>
      </c>
      <c r="G1270" s="278">
        <f ca="1">IFERROR(__xludf.DUMMYFUNCTION("""COMPUTED_VALUE"""),46214)</f>
        <v>46214</v>
      </c>
      <c r="H1270" s="35" t="str">
        <f ca="1">IFERROR(__xludf.DUMMYFUNCTION("""COMPUTED_VALUE"""),"79.6")</f>
        <v>79.6</v>
      </c>
      <c r="I1270" s="35" t="str">
        <f ca="1">IFERROR(__xludf.DUMMYFUNCTION("""COMPUTED_VALUE"""),"58.9")</f>
        <v>58.9</v>
      </c>
      <c r="J1270" s="541">
        <f ca="1">IFERROR(__xludf.DUMMYFUNCTION("""COMPUTED_VALUE"""),76)</f>
        <v>76</v>
      </c>
      <c r="K1270" s="541" t="str">
        <f ca="1">IFERROR(__xludf.DUMMYFUNCTION("""COMPUTED_VALUE"""),"60.8")</f>
        <v>60.8</v>
      </c>
      <c r="M1270" s="539">
        <f ca="1">IFERROR(__xludf.DUMMYFUNCTION("""COMPUTED_VALUE"""),1)</f>
        <v>1</v>
      </c>
      <c r="N1270" s="539">
        <f ca="1">IFERROR(__xludf.DUMMYFUNCTION("""COMPUTED_VALUE"""),1)</f>
        <v>1</v>
      </c>
      <c r="O1270" s="539">
        <f ca="1">IFERROR(__xludf.DUMMYFUNCTION("""COMPUTED_VALUE"""),0)</f>
        <v>0</v>
      </c>
    </row>
    <row r="1271" spans="1:15" ht="12.75">
      <c r="A1271" s="539">
        <f ca="1"/>
        <v>1265</v>
      </c>
      <c r="B1271" s="35" t="str">
        <f ca="1">IFERROR(__xludf.DUMMYFUNCTION("""COMPUTED_VALUE"""),"Tổ Hạ tầng Tân Châu")</f>
        <v>Tổ Hạ tầng Tân Châu</v>
      </c>
      <c r="C1271" s="35" t="str">
        <f ca="1">IFERROR(__xludf.DUMMYFUNCTION("""COMPUTED_VALUE"""),"Phạm Minh Thật")</f>
        <v>Phạm Minh Thật</v>
      </c>
      <c r="D1271" s="543" t="str">
        <f ca="1">IFERROR(__xludf.DUMMYFUNCTION("""COMPUTED_VALUE"""),"0911203792")</f>
        <v>0911203792</v>
      </c>
      <c r="E1271" s="35"/>
      <c r="F1271" s="540" t="str">
        <f ca="1">IFERROR(__xludf.DUMMYFUNCTION("""COMPUTED_VALUE"""),"Lần 1")</f>
        <v>Lần 1</v>
      </c>
      <c r="G1271" s="278">
        <f ca="1">IFERROR(__xludf.DUMMYFUNCTION("""COMPUTED_VALUE"""),46216)</f>
        <v>46216</v>
      </c>
      <c r="H1271" s="35">
        <f ca="1">IFERROR(__xludf.DUMMYFUNCTION("""COMPUTED_VALUE"""),115)</f>
        <v>115</v>
      </c>
      <c r="I1271" s="35" t="str">
        <f ca="1">IFERROR(__xludf.DUMMYFUNCTION("""COMPUTED_VALUE"""),"39.6")</f>
        <v>39.6</v>
      </c>
      <c r="J1271" s="541">
        <f ca="1">IFERROR(__xludf.DUMMYFUNCTION("""COMPUTED_VALUE"""),101)</f>
        <v>101</v>
      </c>
      <c r="K1271" s="541" t="str">
        <f ca="1">IFERROR(__xludf.DUMMYFUNCTION("""COMPUTED_VALUE"""),"45.2")</f>
        <v>45.2</v>
      </c>
      <c r="M1271" s="539">
        <f ca="1">IFERROR(__xludf.DUMMYFUNCTION("""COMPUTED_VALUE"""),1)</f>
        <v>1</v>
      </c>
      <c r="N1271" s="539">
        <f ca="1">IFERROR(__xludf.DUMMYFUNCTION("""COMPUTED_VALUE"""),1)</f>
        <v>1</v>
      </c>
      <c r="O1271" s="539">
        <f ca="1">IFERROR(__xludf.DUMMYFUNCTION("""COMPUTED_VALUE"""),0)</f>
        <v>0</v>
      </c>
    </row>
    <row r="1272" spans="1:15" ht="12.75">
      <c r="A1272" s="539">
        <f ca="1"/>
        <v>1266</v>
      </c>
      <c r="B1272" s="35" t="str">
        <f ca="1">IFERROR(__xludf.DUMMYFUNCTION("""COMPUTED_VALUE"""),"Tổ Hạ tầng Tân Châu")</f>
        <v>Tổ Hạ tầng Tân Châu</v>
      </c>
      <c r="C1272" s="35" t="str">
        <f ca="1">IFERROR(__xludf.DUMMYFUNCTION("""COMPUTED_VALUE"""),"Phạm Minh Thật")</f>
        <v>Phạm Minh Thật</v>
      </c>
      <c r="D1272" s="543" t="str">
        <f ca="1">IFERROR(__xludf.DUMMYFUNCTION("""COMPUTED_VALUE"""),"0911203792")</f>
        <v>0911203792</v>
      </c>
      <c r="E1272" s="35"/>
      <c r="F1272" s="540" t="str">
        <f ca="1">IFERROR(__xludf.DUMMYFUNCTION("""COMPUTED_VALUE"""),"Lần 2")</f>
        <v>Lần 2</v>
      </c>
      <c r="G1272" s="278">
        <f ca="1">IFERROR(__xludf.DUMMYFUNCTION("""COMPUTED_VALUE"""),46216)</f>
        <v>46216</v>
      </c>
      <c r="H1272" s="35">
        <f ca="1">IFERROR(__xludf.DUMMYFUNCTION("""COMPUTED_VALUE"""),125)</f>
        <v>125</v>
      </c>
      <c r="I1272" s="35">
        <f ca="1">IFERROR(__xludf.DUMMYFUNCTION("""COMPUTED_VALUE"""),57)</f>
        <v>57</v>
      </c>
      <c r="J1272" s="541">
        <f ca="1">IFERROR(__xludf.DUMMYFUNCTION("""COMPUTED_VALUE"""),114)</f>
        <v>114</v>
      </c>
      <c r="K1272" s="541">
        <f ca="1">IFERROR(__xludf.DUMMYFUNCTION("""COMPUTED_VALUE"""),49)</f>
        <v>49</v>
      </c>
      <c r="M1272" s="539">
        <f ca="1">IFERROR(__xludf.DUMMYFUNCTION("""COMPUTED_VALUE"""),1)</f>
        <v>1</v>
      </c>
      <c r="N1272" s="539">
        <f ca="1">IFERROR(__xludf.DUMMYFUNCTION("""COMPUTED_VALUE"""),1)</f>
        <v>1</v>
      </c>
      <c r="O1272" s="539">
        <f ca="1">IFERROR(__xludf.DUMMYFUNCTION("""COMPUTED_VALUE"""),0)</f>
        <v>0</v>
      </c>
    </row>
    <row r="1273" spans="1:15" ht="12.75">
      <c r="A1273" s="539">
        <f ca="1"/>
        <v>1267</v>
      </c>
      <c r="B1273" s="35" t="str">
        <f ca="1">IFERROR(__xludf.DUMMYFUNCTION("""COMPUTED_VALUE"""),"Tổ Hạ tầng Tân Châu")</f>
        <v>Tổ Hạ tầng Tân Châu</v>
      </c>
      <c r="C1273" s="35" t="str">
        <f ca="1">IFERROR(__xludf.DUMMYFUNCTION("""COMPUTED_VALUE"""),"Phạm Minh Thật")</f>
        <v>Phạm Minh Thật</v>
      </c>
      <c r="D1273" s="543" t="str">
        <f ca="1">IFERROR(__xludf.DUMMYFUNCTION("""COMPUTED_VALUE"""),"0911203792")</f>
        <v>0911203792</v>
      </c>
      <c r="E1273" s="35"/>
      <c r="F1273" s="540" t="str">
        <f ca="1">IFERROR(__xludf.DUMMYFUNCTION("""COMPUTED_VALUE"""),"Lần 3")</f>
        <v>Lần 3</v>
      </c>
      <c r="G1273" s="278">
        <f ca="1">IFERROR(__xludf.DUMMYFUNCTION("""COMPUTED_VALUE"""),46216)</f>
        <v>46216</v>
      </c>
      <c r="H1273" s="35" t="str">
        <f ca="1">IFERROR(__xludf.DUMMYFUNCTION("""COMPUTED_VALUE"""),"104.7")</f>
        <v>104.7</v>
      </c>
      <c r="I1273" s="35">
        <f ca="1">IFERROR(__xludf.DUMMYFUNCTION("""COMPUTED_VALUE"""),47)</f>
        <v>47</v>
      </c>
      <c r="J1273" s="541">
        <f ca="1">IFERROR(__xludf.DUMMYFUNCTION("""COMPUTED_VALUE"""),95)</f>
        <v>95</v>
      </c>
      <c r="K1273" s="541">
        <f ca="1">IFERROR(__xludf.DUMMYFUNCTION("""COMPUTED_VALUE"""),54)</f>
        <v>54</v>
      </c>
      <c r="M1273" s="539">
        <f ca="1">IFERROR(__xludf.DUMMYFUNCTION("""COMPUTED_VALUE"""),1)</f>
        <v>1</v>
      </c>
      <c r="N1273" s="539">
        <f ca="1">IFERROR(__xludf.DUMMYFUNCTION("""COMPUTED_VALUE"""),1)</f>
        <v>1</v>
      </c>
      <c r="O1273" s="539">
        <f ca="1">IFERROR(__xludf.DUMMYFUNCTION("""COMPUTED_VALUE"""),0)</f>
        <v>0</v>
      </c>
    </row>
    <row r="1274" spans="1:15" ht="12.75">
      <c r="A1274" s="539">
        <f ca="1"/>
        <v>1268</v>
      </c>
      <c r="B1274" s="35" t="str">
        <f ca="1">IFERROR(__xludf.DUMMYFUNCTION("""COMPUTED_VALUE"""),"Tổ Hạ tầng Tân Châu")</f>
        <v>Tổ Hạ tầng Tân Châu</v>
      </c>
      <c r="C1274" s="35" t="str">
        <f ca="1">IFERROR(__xludf.DUMMYFUNCTION("""COMPUTED_VALUE"""),"Phạm Minh Thật")</f>
        <v>Phạm Minh Thật</v>
      </c>
      <c r="D1274" s="543" t="str">
        <f ca="1">IFERROR(__xludf.DUMMYFUNCTION("""COMPUTED_VALUE"""),"0911203792")</f>
        <v>0911203792</v>
      </c>
      <c r="E1274" s="35"/>
      <c r="F1274" s="540" t="str">
        <f ca="1">IFERROR(__xludf.DUMMYFUNCTION("""COMPUTED_VALUE"""),"Lần 4")</f>
        <v>Lần 4</v>
      </c>
      <c r="G1274" s="278">
        <f ca="1">IFERROR(__xludf.DUMMYFUNCTION("""COMPUTED_VALUE"""),46216)</f>
        <v>46216</v>
      </c>
      <c r="H1274" s="35">
        <f ca="1">IFERROR(__xludf.DUMMYFUNCTION("""COMPUTED_VALUE"""),101)</f>
        <v>101</v>
      </c>
      <c r="I1274" s="35">
        <f ca="1">IFERROR(__xludf.DUMMYFUNCTION("""COMPUTED_VALUE"""),43)</f>
        <v>43</v>
      </c>
      <c r="J1274" s="541">
        <f ca="1">IFERROR(__xludf.DUMMYFUNCTION("""COMPUTED_VALUE"""),98.4)</f>
        <v>98.4</v>
      </c>
      <c r="K1274" s="541">
        <f ca="1">IFERROR(__xludf.DUMMYFUNCTION("""COMPUTED_VALUE"""),39)</f>
        <v>39</v>
      </c>
      <c r="M1274" s="539">
        <f ca="1">IFERROR(__xludf.DUMMYFUNCTION("""COMPUTED_VALUE"""),1)</f>
        <v>1</v>
      </c>
      <c r="N1274" s="539">
        <f ca="1">IFERROR(__xludf.DUMMYFUNCTION("""COMPUTED_VALUE"""),1)</f>
        <v>1</v>
      </c>
      <c r="O1274" s="539">
        <f ca="1">IFERROR(__xludf.DUMMYFUNCTION("""COMPUTED_VALUE"""),0)</f>
        <v>0</v>
      </c>
    </row>
    <row r="1275" spans="1:15" ht="12.75">
      <c r="A1275" s="539">
        <f ca="1"/>
        <v>1269</v>
      </c>
      <c r="B1275" s="35" t="str">
        <f ca="1">IFERROR(__xludf.DUMMYFUNCTION("""COMPUTED_VALUE"""),"Tổ Hạ tầng Tân Châu")</f>
        <v>Tổ Hạ tầng Tân Châu</v>
      </c>
      <c r="C1275" s="35" t="str">
        <f ca="1">IFERROR(__xludf.DUMMYFUNCTION("""COMPUTED_VALUE"""),"Phạm Minh Thật")</f>
        <v>Phạm Minh Thật</v>
      </c>
      <c r="D1275" s="543" t="str">
        <f ca="1">IFERROR(__xludf.DUMMYFUNCTION("""COMPUTED_VALUE"""),"0911203792")</f>
        <v>0911203792</v>
      </c>
      <c r="E1275" s="35"/>
      <c r="F1275" s="540" t="str">
        <f ca="1">IFERROR(__xludf.DUMMYFUNCTION("""COMPUTED_VALUE"""),"Lần 5")</f>
        <v>Lần 5</v>
      </c>
      <c r="G1275" s="278">
        <f ca="1">IFERROR(__xludf.DUMMYFUNCTION("""COMPUTED_VALUE"""),46216)</f>
        <v>46216</v>
      </c>
      <c r="H1275" s="540" t="str">
        <f ca="1">IFERROR(__xludf.DUMMYFUNCTION("""COMPUTED_VALUE"""),"85.6")</f>
        <v>85.6</v>
      </c>
      <c r="I1275" s="35">
        <f ca="1">IFERROR(__xludf.DUMMYFUNCTION("""COMPUTED_VALUE"""),50)</f>
        <v>50</v>
      </c>
      <c r="J1275" s="541">
        <f ca="1">IFERROR(__xludf.DUMMYFUNCTION("""COMPUTED_VALUE"""),83)</f>
        <v>83</v>
      </c>
      <c r="K1275" s="541" t="str">
        <f ca="1">IFERROR(__xludf.DUMMYFUNCTION("""COMPUTED_VALUE"""),"43.2")</f>
        <v>43.2</v>
      </c>
      <c r="M1275" s="539">
        <f ca="1">IFERROR(__xludf.DUMMYFUNCTION("""COMPUTED_VALUE"""),1)</f>
        <v>1</v>
      </c>
      <c r="N1275" s="539">
        <f ca="1">IFERROR(__xludf.DUMMYFUNCTION("""COMPUTED_VALUE"""),1)</f>
        <v>1</v>
      </c>
      <c r="O1275" s="539">
        <f ca="1">IFERROR(__xludf.DUMMYFUNCTION("""COMPUTED_VALUE"""),0)</f>
        <v>0</v>
      </c>
    </row>
    <row r="1276" spans="1:15" ht="12.75">
      <c r="A1276" s="539">
        <f ca="1"/>
        <v>1270</v>
      </c>
      <c r="B1276" s="35" t="str">
        <f ca="1">IFERROR(__xludf.DUMMYFUNCTION("""COMPUTED_VALUE"""),"Tổ Hạ tầng Tân Châu")</f>
        <v>Tổ Hạ tầng Tân Châu</v>
      </c>
      <c r="C1276" s="35" t="str">
        <f ca="1">IFERROR(__xludf.DUMMYFUNCTION("""COMPUTED_VALUE"""),"Phạm Minh Thật")</f>
        <v>Phạm Minh Thật</v>
      </c>
      <c r="D1276" s="543" t="str">
        <f ca="1">IFERROR(__xludf.DUMMYFUNCTION("""COMPUTED_VALUE"""),"0911203792")</f>
        <v>0911203792</v>
      </c>
      <c r="E1276" s="35"/>
      <c r="F1276" s="540" t="str">
        <f ca="1">IFERROR(__xludf.DUMMYFUNCTION("""COMPUTED_VALUE"""),"Lần 6")</f>
        <v>Lần 6</v>
      </c>
      <c r="G1276" s="278">
        <f ca="1">IFERROR(__xludf.DUMMYFUNCTION("""COMPUTED_VALUE"""),46216)</f>
        <v>46216</v>
      </c>
      <c r="H1276" s="35" t="str">
        <f ca="1">IFERROR(__xludf.DUMMYFUNCTION("""COMPUTED_VALUE"""),"99.3")</f>
        <v>99.3</v>
      </c>
      <c r="I1276" s="35" t="str">
        <f ca="1">IFERROR(__xludf.DUMMYFUNCTION("""COMPUTED_VALUE"""),"40.6")</f>
        <v>40.6</v>
      </c>
      <c r="J1276" s="541">
        <f ca="1">IFERROR(__xludf.DUMMYFUNCTION("""COMPUTED_VALUE"""),86.5)</f>
        <v>86.5</v>
      </c>
      <c r="K1276" s="541">
        <f ca="1">IFERROR(__xludf.DUMMYFUNCTION("""COMPUTED_VALUE"""),41)</f>
        <v>41</v>
      </c>
      <c r="M1276" s="539">
        <f ca="1">IFERROR(__xludf.DUMMYFUNCTION("""COMPUTED_VALUE"""),1)</f>
        <v>1</v>
      </c>
      <c r="N1276" s="539">
        <f ca="1">IFERROR(__xludf.DUMMYFUNCTION("""COMPUTED_VALUE"""),1)</f>
        <v>1</v>
      </c>
      <c r="O1276" s="539">
        <f ca="1">IFERROR(__xludf.DUMMYFUNCTION("""COMPUTED_VALUE"""),0)</f>
        <v>0</v>
      </c>
    </row>
    <row r="1277" spans="1:15" ht="12.75">
      <c r="A1277" s="539">
        <f ca="1"/>
        <v>1271</v>
      </c>
      <c r="B1277" s="35" t="str">
        <f ca="1">IFERROR(__xludf.DUMMYFUNCTION("""COMPUTED_VALUE"""),"Tổ Hạ tầng Tân Châu")</f>
        <v>Tổ Hạ tầng Tân Châu</v>
      </c>
      <c r="C1277" s="35" t="str">
        <f ca="1">IFERROR(__xludf.DUMMYFUNCTION("""COMPUTED_VALUE"""),"Phạm Minh Thật")</f>
        <v>Phạm Minh Thật</v>
      </c>
      <c r="D1277" s="543" t="str">
        <f ca="1">IFERROR(__xludf.DUMMYFUNCTION("""COMPUTED_VALUE"""),"0911203792")</f>
        <v>0911203792</v>
      </c>
      <c r="E1277" s="35"/>
      <c r="F1277" s="540" t="str">
        <f ca="1">IFERROR(__xludf.DUMMYFUNCTION("""COMPUTED_VALUE"""),"Lần 7")</f>
        <v>Lần 7</v>
      </c>
      <c r="G1277" s="278">
        <f ca="1">IFERROR(__xludf.DUMMYFUNCTION("""COMPUTED_VALUE"""),46216)</f>
        <v>46216</v>
      </c>
      <c r="H1277" s="35">
        <f ca="1">IFERROR(__xludf.DUMMYFUNCTION("""COMPUTED_VALUE"""),105)</f>
        <v>105</v>
      </c>
      <c r="I1277" s="35" t="str">
        <f ca="1">IFERROR(__xludf.DUMMYFUNCTION("""COMPUTED_VALUE"""),"41.3")</f>
        <v>41.3</v>
      </c>
      <c r="J1277" s="541">
        <f ca="1">IFERROR(__xludf.DUMMYFUNCTION("""COMPUTED_VALUE"""),117)</f>
        <v>117</v>
      </c>
      <c r="K1277" s="541">
        <f ca="1">IFERROR(__xludf.DUMMYFUNCTION("""COMPUTED_VALUE"""),39)</f>
        <v>39</v>
      </c>
      <c r="M1277" s="539">
        <f ca="1">IFERROR(__xludf.DUMMYFUNCTION("""COMPUTED_VALUE"""),1)</f>
        <v>1</v>
      </c>
      <c r="N1277" s="539">
        <f ca="1">IFERROR(__xludf.DUMMYFUNCTION("""COMPUTED_VALUE"""),1)</f>
        <v>1</v>
      </c>
      <c r="O1277" s="539">
        <f ca="1">IFERROR(__xludf.DUMMYFUNCTION("""COMPUTED_VALUE"""),0)</f>
        <v>0</v>
      </c>
    </row>
    <row r="1278" spans="1:15" ht="12.75">
      <c r="A1278" s="539">
        <f ca="1"/>
        <v>1272</v>
      </c>
      <c r="B1278" s="35" t="str">
        <f ca="1">IFERROR(__xludf.DUMMYFUNCTION("""COMPUTED_VALUE"""),"Tổ Hạ tầng Tân Châu")</f>
        <v>Tổ Hạ tầng Tân Châu</v>
      </c>
      <c r="C1278" s="35" t="str">
        <f ca="1">IFERROR(__xludf.DUMMYFUNCTION("""COMPUTED_VALUE"""),"Phạm Minh Thật")</f>
        <v>Phạm Minh Thật</v>
      </c>
      <c r="D1278" s="543" t="str">
        <f ca="1">IFERROR(__xludf.DUMMYFUNCTION("""COMPUTED_VALUE"""),"0911203792")</f>
        <v>0911203792</v>
      </c>
      <c r="E1278" s="35"/>
      <c r="F1278" s="540" t="str">
        <f ca="1">IFERROR(__xludf.DUMMYFUNCTION("""COMPUTED_VALUE"""),"Lần 8")</f>
        <v>Lần 8</v>
      </c>
      <c r="G1278" s="278">
        <f ca="1">IFERROR(__xludf.DUMMYFUNCTION("""COMPUTED_VALUE"""),46216)</f>
        <v>46216</v>
      </c>
      <c r="H1278" s="35" t="str">
        <f ca="1">IFERROR(__xludf.DUMMYFUNCTION("""COMPUTED_VALUE"""),"113.1")</f>
        <v>113.1</v>
      </c>
      <c r="I1278" s="35" t="str">
        <f ca="1">IFERROR(__xludf.DUMMYFUNCTION("""COMPUTED_VALUE"""),"42.6")</f>
        <v>42.6</v>
      </c>
      <c r="J1278" s="541">
        <f ca="1">IFERROR(__xludf.DUMMYFUNCTION("""COMPUTED_VALUE"""),115)</f>
        <v>115</v>
      </c>
      <c r="K1278" s="541">
        <f ca="1">IFERROR(__xludf.DUMMYFUNCTION("""COMPUTED_VALUE"""),40)</f>
        <v>40</v>
      </c>
      <c r="M1278" s="539">
        <f ca="1">IFERROR(__xludf.DUMMYFUNCTION("""COMPUTED_VALUE"""),1)</f>
        <v>1</v>
      </c>
      <c r="N1278" s="539">
        <f ca="1">IFERROR(__xludf.DUMMYFUNCTION("""COMPUTED_VALUE"""),1)</f>
        <v>1</v>
      </c>
      <c r="O1278" s="539">
        <f ca="1">IFERROR(__xludf.DUMMYFUNCTION("""COMPUTED_VALUE"""),0)</f>
        <v>0</v>
      </c>
    </row>
    <row r="1279" spans="1:15" ht="12.75">
      <c r="A1279" s="539">
        <f ca="1"/>
        <v>1273</v>
      </c>
      <c r="B1279" s="35" t="str">
        <f ca="1">IFERROR(__xludf.DUMMYFUNCTION("""COMPUTED_VALUE"""),"Tổ Hạ tầng Tân Châu")</f>
        <v>Tổ Hạ tầng Tân Châu</v>
      </c>
      <c r="C1279" s="35" t="str">
        <f ca="1">IFERROR(__xludf.DUMMYFUNCTION("""COMPUTED_VALUE"""),"Phạm Minh Thật")</f>
        <v>Phạm Minh Thật</v>
      </c>
      <c r="D1279" s="543" t="str">
        <f ca="1">IFERROR(__xludf.DUMMYFUNCTION("""COMPUTED_VALUE"""),"0911203792")</f>
        <v>0911203792</v>
      </c>
      <c r="E1279" s="35"/>
      <c r="F1279" s="540" t="str">
        <f ca="1">IFERROR(__xludf.DUMMYFUNCTION("""COMPUTED_VALUE"""),"Lần 9")</f>
        <v>Lần 9</v>
      </c>
      <c r="G1279" s="278">
        <f ca="1">IFERROR(__xludf.DUMMYFUNCTION("""COMPUTED_VALUE"""),46216)</f>
        <v>46216</v>
      </c>
      <c r="H1279" s="35">
        <f ca="1">IFERROR(__xludf.DUMMYFUNCTION("""COMPUTED_VALUE"""),120)</f>
        <v>120</v>
      </c>
      <c r="I1279" s="35" t="str">
        <f ca="1">IFERROR(__xludf.DUMMYFUNCTION("""COMPUTED_VALUE"""),"42.1")</f>
        <v>42.1</v>
      </c>
      <c r="J1279" s="541">
        <f ca="1">IFERROR(__xludf.DUMMYFUNCTION("""COMPUTED_VALUE"""),109)</f>
        <v>109</v>
      </c>
      <c r="K1279" s="541" t="str">
        <f ca="1">IFERROR(__xludf.DUMMYFUNCTION("""COMPUTED_VALUE"""),"40.3")</f>
        <v>40.3</v>
      </c>
      <c r="M1279" s="539">
        <f ca="1">IFERROR(__xludf.DUMMYFUNCTION("""COMPUTED_VALUE"""),1)</f>
        <v>1</v>
      </c>
      <c r="N1279" s="539">
        <f ca="1">IFERROR(__xludf.DUMMYFUNCTION("""COMPUTED_VALUE"""),1)</f>
        <v>1</v>
      </c>
      <c r="O1279" s="539">
        <f ca="1">IFERROR(__xludf.DUMMYFUNCTION("""COMPUTED_VALUE"""),0)</f>
        <v>0</v>
      </c>
    </row>
    <row r="1280" spans="1:15" ht="12.75">
      <c r="A1280" s="539">
        <f ca="1"/>
        <v>1274</v>
      </c>
      <c r="B1280" s="35" t="str">
        <f ca="1">IFERROR(__xludf.DUMMYFUNCTION("""COMPUTED_VALUE"""),"Tổ Hạ tầng Tân Châu")</f>
        <v>Tổ Hạ tầng Tân Châu</v>
      </c>
      <c r="C1280" s="35" t="str">
        <f ca="1">IFERROR(__xludf.DUMMYFUNCTION("""COMPUTED_VALUE"""),"Phạm Minh Thật")</f>
        <v>Phạm Minh Thật</v>
      </c>
      <c r="D1280" s="543" t="str">
        <f ca="1">IFERROR(__xludf.DUMMYFUNCTION("""COMPUTED_VALUE"""),"0911203792")</f>
        <v>0911203792</v>
      </c>
      <c r="E1280" s="35"/>
      <c r="F1280" s="540" t="str">
        <f ca="1">IFERROR(__xludf.DUMMYFUNCTION("""COMPUTED_VALUE"""),"Lần 10")</f>
        <v>Lần 10</v>
      </c>
      <c r="G1280" s="278">
        <f ca="1">IFERROR(__xludf.DUMMYFUNCTION("""COMPUTED_VALUE"""),46216)</f>
        <v>46216</v>
      </c>
      <c r="H1280" s="35">
        <f ca="1">IFERROR(__xludf.DUMMYFUNCTION("""COMPUTED_VALUE"""),98)</f>
        <v>98</v>
      </c>
      <c r="I1280" s="35">
        <f ca="1">IFERROR(__xludf.DUMMYFUNCTION("""COMPUTED_VALUE"""),41)</f>
        <v>41</v>
      </c>
      <c r="J1280" s="541">
        <f ca="1">IFERROR(__xludf.DUMMYFUNCTION("""COMPUTED_VALUE"""),115)</f>
        <v>115</v>
      </c>
      <c r="K1280" s="541" t="str">
        <f ca="1">IFERROR(__xludf.DUMMYFUNCTION("""COMPUTED_VALUE"""),"38.6")</f>
        <v>38.6</v>
      </c>
      <c r="M1280" s="539">
        <f ca="1">IFERROR(__xludf.DUMMYFUNCTION("""COMPUTED_VALUE"""),1)</f>
        <v>1</v>
      </c>
      <c r="N1280" s="539">
        <f ca="1">IFERROR(__xludf.DUMMYFUNCTION("""COMPUTED_VALUE"""),1)</f>
        <v>1</v>
      </c>
      <c r="O1280" s="539">
        <f ca="1">IFERROR(__xludf.DUMMYFUNCTION("""COMPUTED_VALUE"""),0)</f>
        <v>0</v>
      </c>
    </row>
    <row r="1281" spans="1:15" ht="12.75">
      <c r="A1281" s="539">
        <f ca="1"/>
        <v>1275</v>
      </c>
      <c r="B1281" s="35" t="str">
        <f ca="1">IFERROR(__xludf.DUMMYFUNCTION("""COMPUTED_VALUE"""),"Tổ Hạ tầng Tân Châu")</f>
        <v>Tổ Hạ tầng Tân Châu</v>
      </c>
      <c r="C1281" s="35" t="str">
        <f ca="1">IFERROR(__xludf.DUMMYFUNCTION("""COMPUTED_VALUE"""),"Phạm Minh Thật")</f>
        <v>Phạm Minh Thật</v>
      </c>
      <c r="D1281" s="543" t="str">
        <f ca="1">IFERROR(__xludf.DUMMYFUNCTION("""COMPUTED_VALUE"""),"0911203792")</f>
        <v>0911203792</v>
      </c>
      <c r="E1281" s="35"/>
      <c r="F1281" s="540" t="str">
        <f ca="1">IFERROR(__xludf.DUMMYFUNCTION("""COMPUTED_VALUE"""),"Lần 11")</f>
        <v>Lần 11</v>
      </c>
      <c r="G1281" s="278">
        <f ca="1">IFERROR(__xludf.DUMMYFUNCTION("""COMPUTED_VALUE"""),46216)</f>
        <v>46216</v>
      </c>
      <c r="H1281" s="35">
        <f ca="1">IFERROR(__xludf.DUMMYFUNCTION("""COMPUTED_VALUE"""),101)</f>
        <v>101</v>
      </c>
      <c r="I1281" s="35">
        <f ca="1">IFERROR(__xludf.DUMMYFUNCTION("""COMPUTED_VALUE"""),56.3)</f>
        <v>56.3</v>
      </c>
      <c r="J1281" s="35">
        <f ca="1">IFERROR(__xludf.DUMMYFUNCTION("""COMPUTED_VALUE"""),122)</f>
        <v>122</v>
      </c>
      <c r="K1281" s="35">
        <f ca="1">IFERROR(__xludf.DUMMYFUNCTION("""COMPUTED_VALUE"""),54.6)</f>
        <v>54.6</v>
      </c>
      <c r="M1281" s="539">
        <f ca="1">IFERROR(__xludf.DUMMYFUNCTION("""COMPUTED_VALUE"""),1)</f>
        <v>1</v>
      </c>
      <c r="N1281" s="539">
        <f ca="1">IFERROR(__xludf.DUMMYFUNCTION("""COMPUTED_VALUE"""),1)</f>
        <v>1</v>
      </c>
      <c r="O1281" s="539">
        <f ca="1">IFERROR(__xludf.DUMMYFUNCTION("""COMPUTED_VALUE"""),0)</f>
        <v>0</v>
      </c>
    </row>
    <row r="1282" spans="1:15" ht="12.75">
      <c r="A1282" s="539">
        <f ca="1"/>
        <v>1276</v>
      </c>
      <c r="B1282" s="35" t="str">
        <f ca="1">IFERROR(__xludf.DUMMYFUNCTION("""COMPUTED_VALUE"""),"Tổ Hạ tầng Tân Châu")</f>
        <v>Tổ Hạ tầng Tân Châu</v>
      </c>
      <c r="C1282" s="35" t="str">
        <f ca="1">IFERROR(__xludf.DUMMYFUNCTION("""COMPUTED_VALUE"""),"Phạm Minh Thật")</f>
        <v>Phạm Minh Thật</v>
      </c>
      <c r="D1282" s="543" t="str">
        <f ca="1">IFERROR(__xludf.DUMMYFUNCTION("""COMPUTED_VALUE"""),"0911203792")</f>
        <v>0911203792</v>
      </c>
      <c r="E1282" s="35"/>
      <c r="F1282" s="540" t="str">
        <f ca="1">IFERROR(__xludf.DUMMYFUNCTION("""COMPUTED_VALUE"""),"Lần 12")</f>
        <v>Lần 12</v>
      </c>
      <c r="G1282" s="278">
        <f ca="1">IFERROR(__xludf.DUMMYFUNCTION("""COMPUTED_VALUE"""),46216)</f>
        <v>46216</v>
      </c>
      <c r="H1282" s="35">
        <f ca="1">IFERROR(__xludf.DUMMYFUNCTION("""COMPUTED_VALUE"""),101)</f>
        <v>101</v>
      </c>
      <c r="I1282" s="35">
        <f ca="1">IFERROR(__xludf.DUMMYFUNCTION("""COMPUTED_VALUE"""),53.6)</f>
        <v>53.6</v>
      </c>
      <c r="J1282" s="35">
        <f ca="1">IFERROR(__xludf.DUMMYFUNCTION("""COMPUTED_VALUE"""),70.8)</f>
        <v>70.8</v>
      </c>
      <c r="K1282" s="35">
        <f ca="1">IFERROR(__xludf.DUMMYFUNCTION("""COMPUTED_VALUE"""),37.9)</f>
        <v>37.9</v>
      </c>
      <c r="M1282" s="539">
        <f ca="1">IFERROR(__xludf.DUMMYFUNCTION("""COMPUTED_VALUE"""),1)</f>
        <v>1</v>
      </c>
      <c r="N1282" s="539">
        <f ca="1">IFERROR(__xludf.DUMMYFUNCTION("""COMPUTED_VALUE"""),1)</f>
        <v>1</v>
      </c>
      <c r="O1282" s="539">
        <f ca="1">IFERROR(__xludf.DUMMYFUNCTION("""COMPUTED_VALUE"""),0)</f>
        <v>0</v>
      </c>
    </row>
    <row r="1283" spans="1:15" ht="12.75">
      <c r="A1283" s="539">
        <f ca="1"/>
        <v>1277</v>
      </c>
      <c r="B1283" s="35" t="str">
        <f ca="1">IFERROR(__xludf.DUMMYFUNCTION("""COMPUTED_VALUE"""),"Tổ Hạ tầng Tân Châu")</f>
        <v>Tổ Hạ tầng Tân Châu</v>
      </c>
      <c r="C1283" s="35" t="str">
        <f ca="1">IFERROR(__xludf.DUMMYFUNCTION("""COMPUTED_VALUE"""),"Phạm Minh Thật")</f>
        <v>Phạm Minh Thật</v>
      </c>
      <c r="D1283" s="543" t="str">
        <f ca="1">IFERROR(__xludf.DUMMYFUNCTION("""COMPUTED_VALUE"""),"0911203792")</f>
        <v>0911203792</v>
      </c>
      <c r="E1283" s="35"/>
      <c r="F1283" s="540" t="str">
        <f ca="1">IFERROR(__xludf.DUMMYFUNCTION("""COMPUTED_VALUE"""),"Lần 13")</f>
        <v>Lần 13</v>
      </c>
      <c r="G1283" s="278">
        <f ca="1">IFERROR(__xludf.DUMMYFUNCTION("""COMPUTED_VALUE"""),46216)</f>
        <v>46216</v>
      </c>
      <c r="H1283" s="35">
        <f ca="1">IFERROR(__xludf.DUMMYFUNCTION("""COMPUTED_VALUE"""),107)</f>
        <v>107</v>
      </c>
      <c r="I1283" s="35">
        <f ca="1">IFERROR(__xludf.DUMMYFUNCTION("""COMPUTED_VALUE"""),51.6)</f>
        <v>51.6</v>
      </c>
      <c r="J1283" s="35">
        <f ca="1">IFERROR(__xludf.DUMMYFUNCTION("""COMPUTED_VALUE"""),102)</f>
        <v>102</v>
      </c>
      <c r="K1283" s="35">
        <f ca="1">IFERROR(__xludf.DUMMYFUNCTION("""COMPUTED_VALUE"""),57.7)</f>
        <v>57.7</v>
      </c>
      <c r="M1283" s="539">
        <f ca="1">IFERROR(__xludf.DUMMYFUNCTION("""COMPUTED_VALUE"""),1)</f>
        <v>1</v>
      </c>
      <c r="N1283" s="539">
        <f ca="1">IFERROR(__xludf.DUMMYFUNCTION("""COMPUTED_VALUE"""),1)</f>
        <v>1</v>
      </c>
      <c r="O1283" s="539">
        <f ca="1">IFERROR(__xludf.DUMMYFUNCTION("""COMPUTED_VALUE"""),0)</f>
        <v>0</v>
      </c>
    </row>
    <row r="1284" spans="1:15" ht="12.75">
      <c r="A1284" s="539">
        <f ca="1"/>
        <v>1278</v>
      </c>
      <c r="B1284" s="35" t="str">
        <f ca="1">IFERROR(__xludf.DUMMYFUNCTION("""COMPUTED_VALUE"""),"Tổ Hạ tầng Tân Châu")</f>
        <v>Tổ Hạ tầng Tân Châu</v>
      </c>
      <c r="C1284" s="35" t="str">
        <f ca="1">IFERROR(__xludf.DUMMYFUNCTION("""COMPUTED_VALUE"""),"Phạm Minh Thật")</f>
        <v>Phạm Minh Thật</v>
      </c>
      <c r="D1284" s="543" t="str">
        <f ca="1">IFERROR(__xludf.DUMMYFUNCTION("""COMPUTED_VALUE"""),"0911203792")</f>
        <v>0911203792</v>
      </c>
      <c r="E1284" s="35"/>
      <c r="F1284" s="540" t="str">
        <f ca="1">IFERROR(__xludf.DUMMYFUNCTION("""COMPUTED_VALUE"""),"Lần 14")</f>
        <v>Lần 14</v>
      </c>
      <c r="G1284" s="278">
        <f ca="1">IFERROR(__xludf.DUMMYFUNCTION("""COMPUTED_VALUE"""),46216)</f>
        <v>46216</v>
      </c>
      <c r="H1284" s="35">
        <f ca="1">IFERROR(__xludf.DUMMYFUNCTION("""COMPUTED_VALUE"""),121)</f>
        <v>121</v>
      </c>
      <c r="I1284" s="35" t="str">
        <f ca="1">IFERROR(__xludf.DUMMYFUNCTION("""COMPUTED_VALUE"""),"39.1")</f>
        <v>39.1</v>
      </c>
      <c r="J1284" s="541">
        <f ca="1">IFERROR(__xludf.DUMMYFUNCTION("""COMPUTED_VALUE"""),130)</f>
        <v>130</v>
      </c>
      <c r="K1284" s="541" t="str">
        <f ca="1">IFERROR(__xludf.DUMMYFUNCTION("""COMPUTED_VALUE"""),"45.6")</f>
        <v>45.6</v>
      </c>
      <c r="M1284" s="539">
        <f ca="1">IFERROR(__xludf.DUMMYFUNCTION("""COMPUTED_VALUE"""),1)</f>
        <v>1</v>
      </c>
      <c r="N1284" s="539">
        <f ca="1">IFERROR(__xludf.DUMMYFUNCTION("""COMPUTED_VALUE"""),1)</f>
        <v>1</v>
      </c>
      <c r="O1284" s="539">
        <f ca="1">IFERROR(__xludf.DUMMYFUNCTION("""COMPUTED_VALUE"""),0)</f>
        <v>0</v>
      </c>
    </row>
    <row r="1285" spans="1:15" ht="12.75">
      <c r="A1285" s="539">
        <f ca="1"/>
        <v>1279</v>
      </c>
      <c r="B1285" s="35" t="str">
        <f ca="1">IFERROR(__xludf.DUMMYFUNCTION("""COMPUTED_VALUE"""),"Tổ Hạ tầng Tân Châu")</f>
        <v>Tổ Hạ tầng Tân Châu</v>
      </c>
      <c r="C1285" s="35" t="str">
        <f ca="1">IFERROR(__xludf.DUMMYFUNCTION("""COMPUTED_VALUE"""),"Phạm Minh Thật")</f>
        <v>Phạm Minh Thật</v>
      </c>
      <c r="D1285" s="543" t="str">
        <f ca="1">IFERROR(__xludf.DUMMYFUNCTION("""COMPUTED_VALUE"""),"0911203792")</f>
        <v>0911203792</v>
      </c>
      <c r="E1285" s="35"/>
      <c r="F1285" s="540" t="str">
        <f ca="1">IFERROR(__xludf.DUMMYFUNCTION("""COMPUTED_VALUE"""),"Lần 15")</f>
        <v>Lần 15</v>
      </c>
      <c r="G1285" s="278">
        <f ca="1">IFERROR(__xludf.DUMMYFUNCTION("""COMPUTED_VALUE"""),46216)</f>
        <v>46216</v>
      </c>
      <c r="H1285" s="35" t="str">
        <f ca="1">IFERROR(__xludf.DUMMYFUNCTION("""COMPUTED_VALUE"""),"98.5")</f>
        <v>98.5</v>
      </c>
      <c r="I1285" s="35" t="str">
        <f ca="1">IFERROR(__xludf.DUMMYFUNCTION("""COMPUTED_VALUE"""),"45.6")</f>
        <v>45.6</v>
      </c>
      <c r="J1285" s="541">
        <f ca="1">IFERROR(__xludf.DUMMYFUNCTION("""COMPUTED_VALUE"""),89.6)</f>
        <v>89.6</v>
      </c>
      <c r="K1285" s="541" t="str">
        <f ca="1">IFERROR(__xludf.DUMMYFUNCTION("""COMPUTED_VALUE"""),"35.1")</f>
        <v>35.1</v>
      </c>
      <c r="M1285" s="539">
        <f ca="1">IFERROR(__xludf.DUMMYFUNCTION("""COMPUTED_VALUE"""),1)</f>
        <v>1</v>
      </c>
      <c r="N1285" s="539">
        <f ca="1">IFERROR(__xludf.DUMMYFUNCTION("""COMPUTED_VALUE"""),1)</f>
        <v>1</v>
      </c>
      <c r="O1285" s="539">
        <f ca="1">IFERROR(__xludf.DUMMYFUNCTION("""COMPUTED_VALUE"""),0)</f>
        <v>0</v>
      </c>
    </row>
    <row r="1286" spans="1:15" ht="12.75">
      <c r="A1286" s="539">
        <f ca="1"/>
        <v>1280</v>
      </c>
      <c r="B1286" s="35" t="str">
        <f ca="1">IFERROR(__xludf.DUMMYFUNCTION("""COMPUTED_VALUE"""),"Tổ Hạ tầng Tân Châu")</f>
        <v>Tổ Hạ tầng Tân Châu</v>
      </c>
      <c r="C1286" s="35" t="str">
        <f ca="1">IFERROR(__xludf.DUMMYFUNCTION("""COMPUTED_VALUE"""),"Phạm Minh Thật")</f>
        <v>Phạm Minh Thật</v>
      </c>
      <c r="D1286" s="543" t="str">
        <f ca="1">IFERROR(__xludf.DUMMYFUNCTION("""COMPUTED_VALUE"""),"0911203792")</f>
        <v>0911203792</v>
      </c>
      <c r="E1286" s="35"/>
      <c r="F1286" s="540" t="str">
        <f ca="1">IFERROR(__xludf.DUMMYFUNCTION("""COMPUTED_VALUE"""),"Lần 16")</f>
        <v>Lần 16</v>
      </c>
      <c r="G1286" s="278">
        <f ca="1">IFERROR(__xludf.DUMMYFUNCTION("""COMPUTED_VALUE"""),46216)</f>
        <v>46216</v>
      </c>
      <c r="H1286" s="35">
        <f ca="1">IFERROR(__xludf.DUMMYFUNCTION("""COMPUTED_VALUE"""),117)</f>
        <v>117</v>
      </c>
      <c r="I1286" s="35">
        <f ca="1">IFERROR(__xludf.DUMMYFUNCTION("""COMPUTED_VALUE"""),56)</f>
        <v>56</v>
      </c>
      <c r="J1286" s="541">
        <f ca="1">IFERROR(__xludf.DUMMYFUNCTION("""COMPUTED_VALUE"""),96.7)</f>
        <v>96.7</v>
      </c>
      <c r="K1286" s="541">
        <f ca="1">IFERROR(__xludf.DUMMYFUNCTION("""COMPUTED_VALUE"""),43)</f>
        <v>43</v>
      </c>
      <c r="M1286" s="539">
        <f ca="1">IFERROR(__xludf.DUMMYFUNCTION("""COMPUTED_VALUE"""),1)</f>
        <v>1</v>
      </c>
      <c r="N1286" s="539">
        <f ca="1">IFERROR(__xludf.DUMMYFUNCTION("""COMPUTED_VALUE"""),1)</f>
        <v>1</v>
      </c>
      <c r="O1286" s="539">
        <f ca="1">IFERROR(__xludf.DUMMYFUNCTION("""COMPUTED_VALUE"""),0)</f>
        <v>0</v>
      </c>
    </row>
    <row r="1287" spans="1:15" ht="12.75">
      <c r="A1287" s="539">
        <f ca="1"/>
        <v>1281</v>
      </c>
      <c r="B1287" s="35" t="str">
        <f ca="1">IFERROR(__xludf.DUMMYFUNCTION("""COMPUTED_VALUE"""),"Tổ Hạ tầng Tân Châu")</f>
        <v>Tổ Hạ tầng Tân Châu</v>
      </c>
      <c r="C1287" s="35" t="str">
        <f ca="1">IFERROR(__xludf.DUMMYFUNCTION("""COMPUTED_VALUE"""),"Nguyễn Thành Vương")</f>
        <v>Nguyễn Thành Vương</v>
      </c>
      <c r="D1287" s="35">
        <f ca="1">IFERROR(__xludf.DUMMYFUNCTION("""COMPUTED_VALUE"""),914776772)</f>
        <v>914776772</v>
      </c>
      <c r="E1287" s="35" t="str">
        <f ca="1">IFERROR(__xludf.DUMMYFUNCTION("""COMPUTED_VALUE"""),"vuongnt.tnh@vnpt.vn")</f>
        <v>vuongnt.tnh@vnpt.vn</v>
      </c>
      <c r="F1287" s="540" t="str">
        <f ca="1">IFERROR(__xludf.DUMMYFUNCTION("""COMPUTED_VALUE"""),"Lần 1")</f>
        <v>Lần 1</v>
      </c>
      <c r="G1287" s="278"/>
      <c r="H1287" s="35"/>
      <c r="I1287" s="35"/>
      <c r="J1287" s="541"/>
      <c r="K1287" s="541"/>
      <c r="M1287" s="539">
        <f ca="1">IFERROR(__xludf.DUMMYFUNCTION("""COMPUTED_VALUE"""),0)</f>
        <v>0</v>
      </c>
      <c r="N1287" s="539">
        <f ca="1">IFERROR(__xludf.DUMMYFUNCTION("""COMPUTED_VALUE"""),0)</f>
        <v>0</v>
      </c>
      <c r="O1287" s="539">
        <f ca="1">IFERROR(__xludf.DUMMYFUNCTION("""COMPUTED_VALUE"""),0)</f>
        <v>0</v>
      </c>
    </row>
    <row r="1288" spans="1:15" ht="12.75">
      <c r="A1288" s="539">
        <f ca="1"/>
        <v>1282</v>
      </c>
      <c r="B1288" s="35" t="str">
        <f ca="1">IFERROR(__xludf.DUMMYFUNCTION("""COMPUTED_VALUE"""),"Tổ Hạ tầng Tân Châu")</f>
        <v>Tổ Hạ tầng Tân Châu</v>
      </c>
      <c r="C1288" s="35" t="str">
        <f ca="1">IFERROR(__xludf.DUMMYFUNCTION("""COMPUTED_VALUE"""),"Nguyễn Thành Vương")</f>
        <v>Nguyễn Thành Vương</v>
      </c>
      <c r="D1288" s="35">
        <f ca="1">IFERROR(__xludf.DUMMYFUNCTION("""COMPUTED_VALUE"""),914776772)</f>
        <v>914776772</v>
      </c>
      <c r="E1288" s="35" t="str">
        <f ca="1">IFERROR(__xludf.DUMMYFUNCTION("""COMPUTED_VALUE"""),"vuongnt.tnh@vnpt.vn")</f>
        <v>vuongnt.tnh@vnpt.vn</v>
      </c>
      <c r="F1288" s="540" t="str">
        <f ca="1">IFERROR(__xludf.DUMMYFUNCTION("""COMPUTED_VALUE"""),"Lần 2")</f>
        <v>Lần 2</v>
      </c>
      <c r="G1288" s="278"/>
      <c r="H1288" s="35"/>
      <c r="I1288" s="35"/>
      <c r="J1288" s="541"/>
      <c r="K1288" s="541"/>
      <c r="M1288" s="539">
        <f ca="1">IFERROR(__xludf.DUMMYFUNCTION("""COMPUTED_VALUE"""),0)</f>
        <v>0</v>
      </c>
      <c r="N1288" s="539">
        <f ca="1">IFERROR(__xludf.DUMMYFUNCTION("""COMPUTED_VALUE"""),0)</f>
        <v>0</v>
      </c>
      <c r="O1288" s="539">
        <f ca="1">IFERROR(__xludf.DUMMYFUNCTION("""COMPUTED_VALUE"""),0)</f>
        <v>0</v>
      </c>
    </row>
    <row r="1289" spans="1:15" ht="12.75">
      <c r="A1289" s="539">
        <f ca="1"/>
        <v>1283</v>
      </c>
      <c r="B1289" s="35" t="str">
        <f ca="1">IFERROR(__xludf.DUMMYFUNCTION("""COMPUTED_VALUE"""),"Tổ Hạ tầng Tân Châu")</f>
        <v>Tổ Hạ tầng Tân Châu</v>
      </c>
      <c r="C1289" s="35" t="str">
        <f ca="1">IFERROR(__xludf.DUMMYFUNCTION("""COMPUTED_VALUE"""),"Nguyễn Thành Vương")</f>
        <v>Nguyễn Thành Vương</v>
      </c>
      <c r="D1289" s="35">
        <f ca="1">IFERROR(__xludf.DUMMYFUNCTION("""COMPUTED_VALUE"""),914776772)</f>
        <v>914776772</v>
      </c>
      <c r="E1289" s="35" t="str">
        <f ca="1">IFERROR(__xludf.DUMMYFUNCTION("""COMPUTED_VALUE"""),"vuongnt.tnh@vnpt.vn")</f>
        <v>vuongnt.tnh@vnpt.vn</v>
      </c>
      <c r="F1289" s="540" t="str">
        <f ca="1">IFERROR(__xludf.DUMMYFUNCTION("""COMPUTED_VALUE"""),"Lần 3")</f>
        <v>Lần 3</v>
      </c>
      <c r="G1289" s="278"/>
      <c r="H1289" s="35"/>
      <c r="I1289" s="35"/>
      <c r="J1289" s="541"/>
      <c r="K1289" s="541"/>
      <c r="M1289" s="539">
        <f ca="1">IFERROR(__xludf.DUMMYFUNCTION("""COMPUTED_VALUE"""),0)</f>
        <v>0</v>
      </c>
      <c r="N1289" s="539">
        <f ca="1">IFERROR(__xludf.DUMMYFUNCTION("""COMPUTED_VALUE"""),0)</f>
        <v>0</v>
      </c>
      <c r="O1289" s="539">
        <f ca="1">IFERROR(__xludf.DUMMYFUNCTION("""COMPUTED_VALUE"""),0)</f>
        <v>0</v>
      </c>
    </row>
    <row r="1290" spans="1:15" ht="12.75">
      <c r="A1290" s="539">
        <f ca="1"/>
        <v>1284</v>
      </c>
      <c r="B1290" s="35" t="str">
        <f ca="1">IFERROR(__xludf.DUMMYFUNCTION("""COMPUTED_VALUE"""),"Tổ Hạ tầng Tân Châu")</f>
        <v>Tổ Hạ tầng Tân Châu</v>
      </c>
      <c r="C1290" s="35" t="str">
        <f ca="1">IFERROR(__xludf.DUMMYFUNCTION("""COMPUTED_VALUE"""),"Nguyễn Thành Vương")</f>
        <v>Nguyễn Thành Vương</v>
      </c>
      <c r="D1290" s="35">
        <f ca="1">IFERROR(__xludf.DUMMYFUNCTION("""COMPUTED_VALUE"""),914776772)</f>
        <v>914776772</v>
      </c>
      <c r="E1290" s="35" t="str">
        <f ca="1">IFERROR(__xludf.DUMMYFUNCTION("""COMPUTED_VALUE"""),"vuongnt.tnh@vnpt.vn")</f>
        <v>vuongnt.tnh@vnpt.vn</v>
      </c>
      <c r="F1290" s="540" t="str">
        <f ca="1">IFERROR(__xludf.DUMMYFUNCTION("""COMPUTED_VALUE"""),"Lần 4")</f>
        <v>Lần 4</v>
      </c>
      <c r="G1290" s="278"/>
      <c r="H1290" s="35"/>
      <c r="I1290" s="35"/>
      <c r="J1290" s="541"/>
      <c r="K1290" s="541"/>
      <c r="M1290" s="539">
        <f ca="1">IFERROR(__xludf.DUMMYFUNCTION("""COMPUTED_VALUE"""),0)</f>
        <v>0</v>
      </c>
      <c r="N1290" s="539">
        <f ca="1">IFERROR(__xludf.DUMMYFUNCTION("""COMPUTED_VALUE"""),0)</f>
        <v>0</v>
      </c>
      <c r="O1290" s="539">
        <f ca="1">IFERROR(__xludf.DUMMYFUNCTION("""COMPUTED_VALUE"""),0)</f>
        <v>0</v>
      </c>
    </row>
    <row r="1291" spans="1:15" ht="12.75">
      <c r="A1291" s="539">
        <f ca="1"/>
        <v>1285</v>
      </c>
      <c r="B1291" s="35" t="str">
        <f ca="1">IFERROR(__xludf.DUMMYFUNCTION("""COMPUTED_VALUE"""),"Tổ Hạ tầng Tân Châu")</f>
        <v>Tổ Hạ tầng Tân Châu</v>
      </c>
      <c r="C1291" s="35" t="str">
        <f ca="1">IFERROR(__xludf.DUMMYFUNCTION("""COMPUTED_VALUE"""),"Nguyễn Thành Vương")</f>
        <v>Nguyễn Thành Vương</v>
      </c>
      <c r="D1291" s="35">
        <f ca="1">IFERROR(__xludf.DUMMYFUNCTION("""COMPUTED_VALUE"""),914776772)</f>
        <v>914776772</v>
      </c>
      <c r="E1291" s="35" t="str">
        <f ca="1">IFERROR(__xludf.DUMMYFUNCTION("""COMPUTED_VALUE"""),"vuongnt.tnh@vnpt.vn")</f>
        <v>vuongnt.tnh@vnpt.vn</v>
      </c>
      <c r="F1291" s="540" t="str">
        <f ca="1">IFERROR(__xludf.DUMMYFUNCTION("""COMPUTED_VALUE"""),"Lần 5")</f>
        <v>Lần 5</v>
      </c>
      <c r="G1291" s="278"/>
      <c r="H1291" s="35"/>
      <c r="I1291" s="35"/>
      <c r="J1291" s="541"/>
      <c r="K1291" s="541"/>
      <c r="M1291" s="539">
        <f ca="1">IFERROR(__xludf.DUMMYFUNCTION("""COMPUTED_VALUE"""),0)</f>
        <v>0</v>
      </c>
      <c r="N1291" s="539">
        <f ca="1">IFERROR(__xludf.DUMMYFUNCTION("""COMPUTED_VALUE"""),0)</f>
        <v>0</v>
      </c>
      <c r="O1291" s="539">
        <f ca="1">IFERROR(__xludf.DUMMYFUNCTION("""COMPUTED_VALUE"""),0)</f>
        <v>0</v>
      </c>
    </row>
    <row r="1292" spans="1:15" ht="12.75">
      <c r="A1292" s="539">
        <f ca="1"/>
        <v>1286</v>
      </c>
      <c r="B1292" s="35" t="str">
        <f ca="1">IFERROR(__xludf.DUMMYFUNCTION("""COMPUTED_VALUE"""),"Tổ Hạ tầng Tân Châu")</f>
        <v>Tổ Hạ tầng Tân Châu</v>
      </c>
      <c r="C1292" s="35" t="str">
        <f ca="1">IFERROR(__xludf.DUMMYFUNCTION("""COMPUTED_VALUE"""),"Nguyễn Thành Vương")</f>
        <v>Nguyễn Thành Vương</v>
      </c>
      <c r="D1292" s="35">
        <f ca="1">IFERROR(__xludf.DUMMYFUNCTION("""COMPUTED_VALUE"""),914776772)</f>
        <v>914776772</v>
      </c>
      <c r="E1292" s="35" t="str">
        <f ca="1">IFERROR(__xludf.DUMMYFUNCTION("""COMPUTED_VALUE"""),"vuongnt.tnh@vnpt.vn")</f>
        <v>vuongnt.tnh@vnpt.vn</v>
      </c>
      <c r="F1292" s="540" t="str">
        <f ca="1">IFERROR(__xludf.DUMMYFUNCTION("""COMPUTED_VALUE"""),"Lần 6")</f>
        <v>Lần 6</v>
      </c>
      <c r="G1292" s="278"/>
      <c r="H1292" s="35"/>
      <c r="I1292" s="35"/>
      <c r="J1292" s="541"/>
      <c r="K1292" s="541"/>
      <c r="M1292" s="539">
        <f ca="1">IFERROR(__xludf.DUMMYFUNCTION("""COMPUTED_VALUE"""),0)</f>
        <v>0</v>
      </c>
      <c r="N1292" s="539">
        <f ca="1">IFERROR(__xludf.DUMMYFUNCTION("""COMPUTED_VALUE"""),0)</f>
        <v>0</v>
      </c>
      <c r="O1292" s="539">
        <f ca="1">IFERROR(__xludf.DUMMYFUNCTION("""COMPUTED_VALUE"""),0)</f>
        <v>0</v>
      </c>
    </row>
    <row r="1293" spans="1:15" ht="12.75">
      <c r="A1293" s="539">
        <f ca="1"/>
        <v>1287</v>
      </c>
      <c r="B1293" s="35" t="str">
        <f ca="1">IFERROR(__xludf.DUMMYFUNCTION("""COMPUTED_VALUE"""),"Tổ Hạ tầng Tân Châu")</f>
        <v>Tổ Hạ tầng Tân Châu</v>
      </c>
      <c r="C1293" s="35" t="str">
        <f ca="1">IFERROR(__xludf.DUMMYFUNCTION("""COMPUTED_VALUE"""),"Nguyễn Thành Vương")</f>
        <v>Nguyễn Thành Vương</v>
      </c>
      <c r="D1293" s="35">
        <f ca="1">IFERROR(__xludf.DUMMYFUNCTION("""COMPUTED_VALUE"""),914776772)</f>
        <v>914776772</v>
      </c>
      <c r="E1293" s="35" t="str">
        <f ca="1">IFERROR(__xludf.DUMMYFUNCTION("""COMPUTED_VALUE"""),"vuongnt.tnh@vnpt.vn")</f>
        <v>vuongnt.tnh@vnpt.vn</v>
      </c>
      <c r="F1293" s="540" t="str">
        <f ca="1">IFERROR(__xludf.DUMMYFUNCTION("""COMPUTED_VALUE"""),"Lần 7")</f>
        <v>Lần 7</v>
      </c>
      <c r="G1293" s="278"/>
      <c r="H1293" s="35"/>
      <c r="I1293" s="35"/>
      <c r="J1293" s="541"/>
      <c r="K1293" s="541"/>
      <c r="M1293" s="539">
        <f ca="1">IFERROR(__xludf.DUMMYFUNCTION("""COMPUTED_VALUE"""),0)</f>
        <v>0</v>
      </c>
      <c r="N1293" s="539">
        <f ca="1">IFERROR(__xludf.DUMMYFUNCTION("""COMPUTED_VALUE"""),0)</f>
        <v>0</v>
      </c>
      <c r="O1293" s="539">
        <f ca="1">IFERROR(__xludf.DUMMYFUNCTION("""COMPUTED_VALUE"""),0)</f>
        <v>0</v>
      </c>
    </row>
    <row r="1294" spans="1:15" ht="12.75">
      <c r="A1294" s="539">
        <f ca="1"/>
        <v>1288</v>
      </c>
      <c r="B1294" s="35" t="str">
        <f ca="1">IFERROR(__xludf.DUMMYFUNCTION("""COMPUTED_VALUE"""),"Tổ Hạ tầng Tân Châu")</f>
        <v>Tổ Hạ tầng Tân Châu</v>
      </c>
      <c r="C1294" s="35" t="str">
        <f ca="1">IFERROR(__xludf.DUMMYFUNCTION("""COMPUTED_VALUE"""),"Nguyễn Thành Vương")</f>
        <v>Nguyễn Thành Vương</v>
      </c>
      <c r="D1294" s="35">
        <f ca="1">IFERROR(__xludf.DUMMYFUNCTION("""COMPUTED_VALUE"""),914776772)</f>
        <v>914776772</v>
      </c>
      <c r="E1294" s="35" t="str">
        <f ca="1">IFERROR(__xludf.DUMMYFUNCTION("""COMPUTED_VALUE"""),"vuongnt.tnh@vnpt.vn")</f>
        <v>vuongnt.tnh@vnpt.vn</v>
      </c>
      <c r="F1294" s="540" t="str">
        <f ca="1">IFERROR(__xludf.DUMMYFUNCTION("""COMPUTED_VALUE"""),"Lần 8")</f>
        <v>Lần 8</v>
      </c>
      <c r="G1294" s="278"/>
      <c r="H1294" s="35"/>
      <c r="I1294" s="35"/>
      <c r="J1294" s="541"/>
      <c r="K1294" s="541"/>
      <c r="M1294" s="539">
        <f ca="1">IFERROR(__xludf.DUMMYFUNCTION("""COMPUTED_VALUE"""),0)</f>
        <v>0</v>
      </c>
      <c r="N1294" s="539">
        <f ca="1">IFERROR(__xludf.DUMMYFUNCTION("""COMPUTED_VALUE"""),0)</f>
        <v>0</v>
      </c>
      <c r="O1294" s="539">
        <f ca="1">IFERROR(__xludf.DUMMYFUNCTION("""COMPUTED_VALUE"""),0)</f>
        <v>0</v>
      </c>
    </row>
    <row r="1295" spans="1:15" ht="12.75">
      <c r="A1295" s="539">
        <f ca="1"/>
        <v>1289</v>
      </c>
      <c r="B1295" s="35" t="str">
        <f ca="1">IFERROR(__xludf.DUMMYFUNCTION("""COMPUTED_VALUE"""),"Tổ Hạ tầng Tân Châu")</f>
        <v>Tổ Hạ tầng Tân Châu</v>
      </c>
      <c r="C1295" s="35" t="str">
        <f ca="1">IFERROR(__xludf.DUMMYFUNCTION("""COMPUTED_VALUE"""),"Nguyễn Thành Vương")</f>
        <v>Nguyễn Thành Vương</v>
      </c>
      <c r="D1295" s="35">
        <f ca="1">IFERROR(__xludf.DUMMYFUNCTION("""COMPUTED_VALUE"""),914776772)</f>
        <v>914776772</v>
      </c>
      <c r="E1295" s="35" t="str">
        <f ca="1">IFERROR(__xludf.DUMMYFUNCTION("""COMPUTED_VALUE"""),"vuongnt.tnh@vnpt.vn")</f>
        <v>vuongnt.tnh@vnpt.vn</v>
      </c>
      <c r="F1295" s="540" t="str">
        <f ca="1">IFERROR(__xludf.DUMMYFUNCTION("""COMPUTED_VALUE"""),"Lần 9")</f>
        <v>Lần 9</v>
      </c>
      <c r="G1295" s="278"/>
      <c r="H1295" s="35"/>
      <c r="I1295" s="35"/>
      <c r="J1295" s="541"/>
      <c r="K1295" s="541"/>
      <c r="M1295" s="539">
        <f ca="1">IFERROR(__xludf.DUMMYFUNCTION("""COMPUTED_VALUE"""),0)</f>
        <v>0</v>
      </c>
      <c r="N1295" s="539">
        <f ca="1">IFERROR(__xludf.DUMMYFUNCTION("""COMPUTED_VALUE"""),0)</f>
        <v>0</v>
      </c>
      <c r="O1295" s="539">
        <f ca="1">IFERROR(__xludf.DUMMYFUNCTION("""COMPUTED_VALUE"""),0)</f>
        <v>0</v>
      </c>
    </row>
    <row r="1296" spans="1:15" ht="12.75">
      <c r="A1296" s="539">
        <f ca="1"/>
        <v>1290</v>
      </c>
      <c r="B1296" s="35" t="str">
        <f ca="1">IFERROR(__xludf.DUMMYFUNCTION("""COMPUTED_VALUE"""),"Tổ Hạ tầng Tân Châu")</f>
        <v>Tổ Hạ tầng Tân Châu</v>
      </c>
      <c r="C1296" s="35" t="str">
        <f ca="1">IFERROR(__xludf.DUMMYFUNCTION("""COMPUTED_VALUE"""),"Nguyễn Thành Vương")</f>
        <v>Nguyễn Thành Vương</v>
      </c>
      <c r="D1296" s="35">
        <f ca="1">IFERROR(__xludf.DUMMYFUNCTION("""COMPUTED_VALUE"""),914776772)</f>
        <v>914776772</v>
      </c>
      <c r="E1296" s="35" t="str">
        <f ca="1">IFERROR(__xludf.DUMMYFUNCTION("""COMPUTED_VALUE"""),"vuongnt.tnh@vnpt.vn")</f>
        <v>vuongnt.tnh@vnpt.vn</v>
      </c>
      <c r="F1296" s="540" t="str">
        <f ca="1">IFERROR(__xludf.DUMMYFUNCTION("""COMPUTED_VALUE"""),"Lần 10")</f>
        <v>Lần 10</v>
      </c>
      <c r="G1296" s="278"/>
      <c r="H1296" s="35"/>
      <c r="I1296" s="35"/>
      <c r="J1296" s="541"/>
      <c r="K1296" s="541"/>
      <c r="M1296" s="539">
        <f ca="1">IFERROR(__xludf.DUMMYFUNCTION("""COMPUTED_VALUE"""),0)</f>
        <v>0</v>
      </c>
      <c r="N1296" s="539">
        <f ca="1">IFERROR(__xludf.DUMMYFUNCTION("""COMPUTED_VALUE"""),0)</f>
        <v>0</v>
      </c>
      <c r="O1296" s="539">
        <f ca="1">IFERROR(__xludf.DUMMYFUNCTION("""COMPUTED_VALUE"""),0)</f>
        <v>0</v>
      </c>
    </row>
    <row r="1297" spans="1:15" ht="12.75">
      <c r="A1297" s="539">
        <f ca="1"/>
        <v>1291</v>
      </c>
      <c r="B1297" s="35" t="str">
        <f ca="1">IFERROR(__xludf.DUMMYFUNCTION("""COMPUTED_VALUE"""),"Tổ Hạ tầng Tân Châu")</f>
        <v>Tổ Hạ tầng Tân Châu</v>
      </c>
      <c r="C1297" s="35" t="str">
        <f ca="1">IFERROR(__xludf.DUMMYFUNCTION("""COMPUTED_VALUE"""),"Nguyễn Thành Vương")</f>
        <v>Nguyễn Thành Vương</v>
      </c>
      <c r="D1297" s="35">
        <f ca="1">IFERROR(__xludf.DUMMYFUNCTION("""COMPUTED_VALUE"""),914776772)</f>
        <v>914776772</v>
      </c>
      <c r="E1297" s="35" t="str">
        <f ca="1">IFERROR(__xludf.DUMMYFUNCTION("""COMPUTED_VALUE"""),"vuongnt.tnh@vnpt.vn")</f>
        <v>vuongnt.tnh@vnpt.vn</v>
      </c>
      <c r="F1297" s="540" t="str">
        <f ca="1">IFERROR(__xludf.DUMMYFUNCTION("""COMPUTED_VALUE"""),"Lần 11")</f>
        <v>Lần 11</v>
      </c>
      <c r="G1297" s="278"/>
      <c r="H1297" s="35"/>
      <c r="I1297" s="35"/>
      <c r="J1297" s="541"/>
      <c r="K1297" s="541"/>
      <c r="M1297" s="539">
        <f ca="1">IFERROR(__xludf.DUMMYFUNCTION("""COMPUTED_VALUE"""),0)</f>
        <v>0</v>
      </c>
      <c r="N1297" s="539">
        <f ca="1">IFERROR(__xludf.DUMMYFUNCTION("""COMPUTED_VALUE"""),0)</f>
        <v>0</v>
      </c>
      <c r="O1297" s="539">
        <f ca="1">IFERROR(__xludf.DUMMYFUNCTION("""COMPUTED_VALUE"""),0)</f>
        <v>0</v>
      </c>
    </row>
    <row r="1298" spans="1:15" ht="12.75">
      <c r="A1298" s="539">
        <f ca="1"/>
        <v>1292</v>
      </c>
      <c r="B1298" s="35" t="str">
        <f ca="1">IFERROR(__xludf.DUMMYFUNCTION("""COMPUTED_VALUE"""),"Tổ Hạ tầng Tân Châu")</f>
        <v>Tổ Hạ tầng Tân Châu</v>
      </c>
      <c r="C1298" s="35" t="str">
        <f ca="1">IFERROR(__xludf.DUMMYFUNCTION("""COMPUTED_VALUE"""),"Nguyễn Thành Vương")</f>
        <v>Nguyễn Thành Vương</v>
      </c>
      <c r="D1298" s="35">
        <f ca="1">IFERROR(__xludf.DUMMYFUNCTION("""COMPUTED_VALUE"""),914776772)</f>
        <v>914776772</v>
      </c>
      <c r="E1298" s="35" t="str">
        <f ca="1">IFERROR(__xludf.DUMMYFUNCTION("""COMPUTED_VALUE"""),"vuongnt.tnh@vnpt.vn")</f>
        <v>vuongnt.tnh@vnpt.vn</v>
      </c>
      <c r="F1298" s="540" t="str">
        <f ca="1">IFERROR(__xludf.DUMMYFUNCTION("""COMPUTED_VALUE"""),"Lần 12")</f>
        <v>Lần 12</v>
      </c>
      <c r="G1298" s="278"/>
      <c r="H1298" s="35"/>
      <c r="I1298" s="35"/>
      <c r="J1298" s="541"/>
      <c r="K1298" s="541"/>
      <c r="M1298" s="539">
        <f ca="1">IFERROR(__xludf.DUMMYFUNCTION("""COMPUTED_VALUE"""),0)</f>
        <v>0</v>
      </c>
      <c r="N1298" s="539">
        <f ca="1">IFERROR(__xludf.DUMMYFUNCTION("""COMPUTED_VALUE"""),0)</f>
        <v>0</v>
      </c>
      <c r="O1298" s="539">
        <f ca="1">IFERROR(__xludf.DUMMYFUNCTION("""COMPUTED_VALUE"""),0)</f>
        <v>0</v>
      </c>
    </row>
    <row r="1299" spans="1:15" ht="12.75">
      <c r="A1299" s="539">
        <f ca="1"/>
        <v>1293</v>
      </c>
      <c r="B1299" s="35" t="str">
        <f ca="1">IFERROR(__xludf.DUMMYFUNCTION("""COMPUTED_VALUE"""),"Tổ Hạ tầng Tân Châu")</f>
        <v>Tổ Hạ tầng Tân Châu</v>
      </c>
      <c r="C1299" s="35" t="str">
        <f ca="1">IFERROR(__xludf.DUMMYFUNCTION("""COMPUTED_VALUE"""),"Nguyễn Thành Vương")</f>
        <v>Nguyễn Thành Vương</v>
      </c>
      <c r="D1299" s="35">
        <f ca="1">IFERROR(__xludf.DUMMYFUNCTION("""COMPUTED_VALUE"""),914776772)</f>
        <v>914776772</v>
      </c>
      <c r="E1299" s="35" t="str">
        <f ca="1">IFERROR(__xludf.DUMMYFUNCTION("""COMPUTED_VALUE"""),"vuongnt.tnh@vnpt.vn")</f>
        <v>vuongnt.tnh@vnpt.vn</v>
      </c>
      <c r="F1299" s="540" t="str">
        <f ca="1">IFERROR(__xludf.DUMMYFUNCTION("""COMPUTED_VALUE"""),"Lần 13")</f>
        <v>Lần 13</v>
      </c>
      <c r="G1299" s="278"/>
      <c r="H1299" s="35"/>
      <c r="I1299" s="35"/>
      <c r="J1299" s="541"/>
      <c r="K1299" s="541"/>
      <c r="M1299" s="539">
        <f ca="1">IFERROR(__xludf.DUMMYFUNCTION("""COMPUTED_VALUE"""),0)</f>
        <v>0</v>
      </c>
      <c r="N1299" s="539">
        <f ca="1">IFERROR(__xludf.DUMMYFUNCTION("""COMPUTED_VALUE"""),0)</f>
        <v>0</v>
      </c>
      <c r="O1299" s="539">
        <f ca="1">IFERROR(__xludf.DUMMYFUNCTION("""COMPUTED_VALUE"""),0)</f>
        <v>0</v>
      </c>
    </row>
    <row r="1300" spans="1:15" ht="12.75">
      <c r="A1300" s="539">
        <f ca="1"/>
        <v>1294</v>
      </c>
      <c r="B1300" s="35" t="str">
        <f ca="1">IFERROR(__xludf.DUMMYFUNCTION("""COMPUTED_VALUE"""),"Tổ Hạ tầng Tân Châu")</f>
        <v>Tổ Hạ tầng Tân Châu</v>
      </c>
      <c r="C1300" s="35" t="str">
        <f ca="1">IFERROR(__xludf.DUMMYFUNCTION("""COMPUTED_VALUE"""),"Nguyễn Thành Vương")</f>
        <v>Nguyễn Thành Vương</v>
      </c>
      <c r="D1300" s="35">
        <f ca="1">IFERROR(__xludf.DUMMYFUNCTION("""COMPUTED_VALUE"""),914776772)</f>
        <v>914776772</v>
      </c>
      <c r="E1300" s="35" t="str">
        <f ca="1">IFERROR(__xludf.DUMMYFUNCTION("""COMPUTED_VALUE"""),"vuongnt.tnh@vnpt.vn")</f>
        <v>vuongnt.tnh@vnpt.vn</v>
      </c>
      <c r="F1300" s="540" t="str">
        <f ca="1">IFERROR(__xludf.DUMMYFUNCTION("""COMPUTED_VALUE"""),"Lần 14")</f>
        <v>Lần 14</v>
      </c>
      <c r="G1300" s="278"/>
      <c r="H1300" s="35"/>
      <c r="I1300" s="35"/>
      <c r="J1300" s="541"/>
      <c r="K1300" s="541"/>
      <c r="M1300" s="539">
        <f ca="1">IFERROR(__xludf.DUMMYFUNCTION("""COMPUTED_VALUE"""),0)</f>
        <v>0</v>
      </c>
      <c r="N1300" s="539">
        <f ca="1">IFERROR(__xludf.DUMMYFUNCTION("""COMPUTED_VALUE"""),0)</f>
        <v>0</v>
      </c>
      <c r="O1300" s="539">
        <f ca="1">IFERROR(__xludf.DUMMYFUNCTION("""COMPUTED_VALUE"""),0)</f>
        <v>0</v>
      </c>
    </row>
    <row r="1301" spans="1:15" ht="12.75">
      <c r="A1301" s="539">
        <f ca="1"/>
        <v>1295</v>
      </c>
      <c r="B1301" s="35" t="str">
        <f ca="1">IFERROR(__xludf.DUMMYFUNCTION("""COMPUTED_VALUE"""),"Tổ Hạ tầng Tân Châu")</f>
        <v>Tổ Hạ tầng Tân Châu</v>
      </c>
      <c r="C1301" s="35" t="str">
        <f ca="1">IFERROR(__xludf.DUMMYFUNCTION("""COMPUTED_VALUE"""),"Nguyễn Thành Vương")</f>
        <v>Nguyễn Thành Vương</v>
      </c>
      <c r="D1301" s="35">
        <f ca="1">IFERROR(__xludf.DUMMYFUNCTION("""COMPUTED_VALUE"""),914776772)</f>
        <v>914776772</v>
      </c>
      <c r="E1301" s="35" t="str">
        <f ca="1">IFERROR(__xludf.DUMMYFUNCTION("""COMPUTED_VALUE"""),"vuongnt.tnh@vnpt.vn")</f>
        <v>vuongnt.tnh@vnpt.vn</v>
      </c>
      <c r="F1301" s="540" t="str">
        <f ca="1">IFERROR(__xludf.DUMMYFUNCTION("""COMPUTED_VALUE"""),"Lần 15")</f>
        <v>Lần 15</v>
      </c>
      <c r="G1301" s="278"/>
      <c r="H1301" s="35"/>
      <c r="I1301" s="35"/>
      <c r="J1301" s="541"/>
      <c r="K1301" s="541"/>
      <c r="M1301" s="539">
        <f ca="1">IFERROR(__xludf.DUMMYFUNCTION("""COMPUTED_VALUE"""),0)</f>
        <v>0</v>
      </c>
      <c r="N1301" s="539">
        <f ca="1">IFERROR(__xludf.DUMMYFUNCTION("""COMPUTED_VALUE"""),0)</f>
        <v>0</v>
      </c>
      <c r="O1301" s="539">
        <f ca="1">IFERROR(__xludf.DUMMYFUNCTION("""COMPUTED_VALUE"""),0)</f>
        <v>0</v>
      </c>
    </row>
    <row r="1302" spans="1:15" ht="12.75">
      <c r="A1302" s="539">
        <f ca="1"/>
        <v>1296</v>
      </c>
      <c r="B1302" s="35" t="str">
        <f ca="1">IFERROR(__xludf.DUMMYFUNCTION("""COMPUTED_VALUE"""),"Tổ Hạ tầng Tân Châu")</f>
        <v>Tổ Hạ tầng Tân Châu</v>
      </c>
      <c r="C1302" s="35" t="str">
        <f ca="1">IFERROR(__xludf.DUMMYFUNCTION("""COMPUTED_VALUE"""),"Nguyễn Thành Vương")</f>
        <v>Nguyễn Thành Vương</v>
      </c>
      <c r="D1302" s="35">
        <f ca="1">IFERROR(__xludf.DUMMYFUNCTION("""COMPUTED_VALUE"""),914776772)</f>
        <v>914776772</v>
      </c>
      <c r="E1302" s="35" t="str">
        <f ca="1">IFERROR(__xludf.DUMMYFUNCTION("""COMPUTED_VALUE"""),"vuongnt.tnh@vnpt.vn")</f>
        <v>vuongnt.tnh@vnpt.vn</v>
      </c>
      <c r="F1302" s="540" t="str">
        <f ca="1">IFERROR(__xludf.DUMMYFUNCTION("""COMPUTED_VALUE"""),"Lần 16")</f>
        <v>Lần 16</v>
      </c>
      <c r="G1302" s="278"/>
      <c r="H1302" s="35"/>
      <c r="I1302" s="35"/>
      <c r="J1302" s="541"/>
      <c r="K1302" s="541"/>
      <c r="M1302" s="539">
        <f ca="1">IFERROR(__xludf.DUMMYFUNCTION("""COMPUTED_VALUE"""),0)</f>
        <v>0</v>
      </c>
      <c r="N1302" s="539">
        <f ca="1">IFERROR(__xludf.DUMMYFUNCTION("""COMPUTED_VALUE"""),0)</f>
        <v>0</v>
      </c>
      <c r="O1302" s="539">
        <f ca="1">IFERROR(__xludf.DUMMYFUNCTION("""COMPUTED_VALUE"""),0)</f>
        <v>0</v>
      </c>
    </row>
    <row r="1303" spans="1:15" ht="12.75">
      <c r="A1303" s="539">
        <f ca="1"/>
        <v>1297</v>
      </c>
      <c r="B1303" s="35" t="str">
        <f ca="1">IFERROR(__xludf.DUMMYFUNCTION("""COMPUTED_VALUE"""),"Tổ Hạ tầng Tân Châu")</f>
        <v>Tổ Hạ tầng Tân Châu</v>
      </c>
      <c r="C1303" s="35" t="str">
        <f ca="1">IFERROR(__xludf.DUMMYFUNCTION("""COMPUTED_VALUE"""),"Trần Hoài Vũ")</f>
        <v>Trần Hoài Vũ</v>
      </c>
      <c r="D1303" s="35">
        <f ca="1">IFERROR(__xludf.DUMMYFUNCTION("""COMPUTED_VALUE"""),917675757)</f>
        <v>917675757</v>
      </c>
      <c r="E1303" s="35" t="str">
        <f ca="1">IFERROR(__xludf.DUMMYFUNCTION("""COMPUTED_VALUE"""),"vuth.tnh@vnpt.vn")</f>
        <v>vuth.tnh@vnpt.vn</v>
      </c>
      <c r="F1303" s="540" t="str">
        <f ca="1">IFERROR(__xludf.DUMMYFUNCTION("""COMPUTED_VALUE"""),"Lần 1")</f>
        <v>Lần 1</v>
      </c>
      <c r="G1303" s="278"/>
      <c r="H1303" s="35"/>
      <c r="I1303" s="35"/>
      <c r="J1303" s="541"/>
      <c r="K1303" s="541"/>
      <c r="M1303" s="539">
        <f ca="1">IFERROR(__xludf.DUMMYFUNCTION("""COMPUTED_VALUE"""),0)</f>
        <v>0</v>
      </c>
      <c r="N1303" s="539">
        <f ca="1">IFERROR(__xludf.DUMMYFUNCTION("""COMPUTED_VALUE"""),0)</f>
        <v>0</v>
      </c>
      <c r="O1303" s="539">
        <f ca="1">IFERROR(__xludf.DUMMYFUNCTION("""COMPUTED_VALUE"""),0)</f>
        <v>0</v>
      </c>
    </row>
    <row r="1304" spans="1:15" ht="12.75">
      <c r="A1304" s="539">
        <f ca="1"/>
        <v>1298</v>
      </c>
      <c r="B1304" s="35" t="str">
        <f ca="1">IFERROR(__xludf.DUMMYFUNCTION("""COMPUTED_VALUE"""),"Tổ Hạ tầng Tân Châu")</f>
        <v>Tổ Hạ tầng Tân Châu</v>
      </c>
      <c r="C1304" s="35" t="str">
        <f ca="1">IFERROR(__xludf.DUMMYFUNCTION("""COMPUTED_VALUE"""),"Trần Hoài Vũ")</f>
        <v>Trần Hoài Vũ</v>
      </c>
      <c r="D1304" s="35">
        <f ca="1">IFERROR(__xludf.DUMMYFUNCTION("""COMPUTED_VALUE"""),917675757)</f>
        <v>917675757</v>
      </c>
      <c r="E1304" s="35" t="str">
        <f ca="1">IFERROR(__xludf.DUMMYFUNCTION("""COMPUTED_VALUE"""),"vuth.tnh@vnpt.vn")</f>
        <v>vuth.tnh@vnpt.vn</v>
      </c>
      <c r="F1304" s="540" t="str">
        <f ca="1">IFERROR(__xludf.DUMMYFUNCTION("""COMPUTED_VALUE"""),"Lần 2")</f>
        <v>Lần 2</v>
      </c>
      <c r="G1304" s="278"/>
      <c r="H1304" s="35"/>
      <c r="I1304" s="35"/>
      <c r="J1304" s="541"/>
      <c r="K1304" s="541"/>
      <c r="M1304" s="539">
        <f ca="1">IFERROR(__xludf.DUMMYFUNCTION("""COMPUTED_VALUE"""),0)</f>
        <v>0</v>
      </c>
      <c r="N1304" s="539">
        <f ca="1">IFERROR(__xludf.DUMMYFUNCTION("""COMPUTED_VALUE"""),0)</f>
        <v>0</v>
      </c>
      <c r="O1304" s="539">
        <f ca="1">IFERROR(__xludf.DUMMYFUNCTION("""COMPUTED_VALUE"""),0)</f>
        <v>0</v>
      </c>
    </row>
    <row r="1305" spans="1:15" ht="12.75">
      <c r="A1305" s="539">
        <f ca="1"/>
        <v>1299</v>
      </c>
      <c r="B1305" s="35" t="str">
        <f ca="1">IFERROR(__xludf.DUMMYFUNCTION("""COMPUTED_VALUE"""),"Tổ Hạ tầng Tân Châu")</f>
        <v>Tổ Hạ tầng Tân Châu</v>
      </c>
      <c r="C1305" s="35" t="str">
        <f ca="1">IFERROR(__xludf.DUMMYFUNCTION("""COMPUTED_VALUE"""),"Trần Hoài Vũ")</f>
        <v>Trần Hoài Vũ</v>
      </c>
      <c r="D1305" s="35">
        <f ca="1">IFERROR(__xludf.DUMMYFUNCTION("""COMPUTED_VALUE"""),917675757)</f>
        <v>917675757</v>
      </c>
      <c r="E1305" s="35" t="str">
        <f ca="1">IFERROR(__xludf.DUMMYFUNCTION("""COMPUTED_VALUE"""),"vuth.tnh@vnpt.vn")</f>
        <v>vuth.tnh@vnpt.vn</v>
      </c>
      <c r="F1305" s="540" t="str">
        <f ca="1">IFERROR(__xludf.DUMMYFUNCTION("""COMPUTED_VALUE"""),"Lần 3")</f>
        <v>Lần 3</v>
      </c>
      <c r="G1305" s="278"/>
      <c r="H1305" s="35"/>
      <c r="I1305" s="35"/>
      <c r="J1305" s="541"/>
      <c r="K1305" s="541"/>
      <c r="M1305" s="539">
        <f ca="1">IFERROR(__xludf.DUMMYFUNCTION("""COMPUTED_VALUE"""),0)</f>
        <v>0</v>
      </c>
      <c r="N1305" s="539">
        <f ca="1">IFERROR(__xludf.DUMMYFUNCTION("""COMPUTED_VALUE"""),0)</f>
        <v>0</v>
      </c>
      <c r="O1305" s="539">
        <f ca="1">IFERROR(__xludf.DUMMYFUNCTION("""COMPUTED_VALUE"""),0)</f>
        <v>0</v>
      </c>
    </row>
    <row r="1306" spans="1:15" ht="12.75">
      <c r="A1306" s="539">
        <f ca="1"/>
        <v>1300</v>
      </c>
      <c r="B1306" s="35" t="str">
        <f ca="1">IFERROR(__xludf.DUMMYFUNCTION("""COMPUTED_VALUE"""),"Tổ Hạ tầng Tân Châu")</f>
        <v>Tổ Hạ tầng Tân Châu</v>
      </c>
      <c r="C1306" s="35" t="str">
        <f ca="1">IFERROR(__xludf.DUMMYFUNCTION("""COMPUTED_VALUE"""),"Trần Hoài Vũ")</f>
        <v>Trần Hoài Vũ</v>
      </c>
      <c r="D1306" s="35">
        <f ca="1">IFERROR(__xludf.DUMMYFUNCTION("""COMPUTED_VALUE"""),917675757)</f>
        <v>917675757</v>
      </c>
      <c r="E1306" s="35" t="str">
        <f ca="1">IFERROR(__xludf.DUMMYFUNCTION("""COMPUTED_VALUE"""),"vuth.tnh@vnpt.vn")</f>
        <v>vuth.tnh@vnpt.vn</v>
      </c>
      <c r="F1306" s="540" t="str">
        <f ca="1">IFERROR(__xludf.DUMMYFUNCTION("""COMPUTED_VALUE"""),"Lần 4")</f>
        <v>Lần 4</v>
      </c>
      <c r="G1306" s="278"/>
      <c r="H1306" s="35"/>
      <c r="I1306" s="35"/>
      <c r="J1306" s="541"/>
      <c r="K1306" s="541"/>
      <c r="M1306" s="539">
        <f ca="1">IFERROR(__xludf.DUMMYFUNCTION("""COMPUTED_VALUE"""),0)</f>
        <v>0</v>
      </c>
      <c r="N1306" s="539">
        <f ca="1">IFERROR(__xludf.DUMMYFUNCTION("""COMPUTED_VALUE"""),0)</f>
        <v>0</v>
      </c>
      <c r="O1306" s="539">
        <f ca="1">IFERROR(__xludf.DUMMYFUNCTION("""COMPUTED_VALUE"""),0)</f>
        <v>0</v>
      </c>
    </row>
    <row r="1307" spans="1:15" ht="12.75">
      <c r="A1307" s="539">
        <f ca="1"/>
        <v>1301</v>
      </c>
      <c r="B1307" s="35" t="str">
        <f ca="1">IFERROR(__xludf.DUMMYFUNCTION("""COMPUTED_VALUE"""),"Tổ Hạ tầng Tân Châu")</f>
        <v>Tổ Hạ tầng Tân Châu</v>
      </c>
      <c r="C1307" s="35" t="str">
        <f ca="1">IFERROR(__xludf.DUMMYFUNCTION("""COMPUTED_VALUE"""),"Trần Hoài Vũ")</f>
        <v>Trần Hoài Vũ</v>
      </c>
      <c r="D1307" s="35">
        <f ca="1">IFERROR(__xludf.DUMMYFUNCTION("""COMPUTED_VALUE"""),917675757)</f>
        <v>917675757</v>
      </c>
      <c r="E1307" s="35" t="str">
        <f ca="1">IFERROR(__xludf.DUMMYFUNCTION("""COMPUTED_VALUE"""),"vuth.tnh@vnpt.vn")</f>
        <v>vuth.tnh@vnpt.vn</v>
      </c>
      <c r="F1307" s="540" t="str">
        <f ca="1">IFERROR(__xludf.DUMMYFUNCTION("""COMPUTED_VALUE"""),"Lần 5")</f>
        <v>Lần 5</v>
      </c>
      <c r="G1307" s="278"/>
      <c r="H1307" s="35"/>
      <c r="I1307" s="35"/>
      <c r="J1307" s="541"/>
      <c r="K1307" s="541"/>
      <c r="M1307" s="539">
        <f ca="1">IFERROR(__xludf.DUMMYFUNCTION("""COMPUTED_VALUE"""),0)</f>
        <v>0</v>
      </c>
      <c r="N1307" s="539">
        <f ca="1">IFERROR(__xludf.DUMMYFUNCTION("""COMPUTED_VALUE"""),0)</f>
        <v>0</v>
      </c>
      <c r="O1307" s="539">
        <f ca="1">IFERROR(__xludf.DUMMYFUNCTION("""COMPUTED_VALUE"""),0)</f>
        <v>0</v>
      </c>
    </row>
    <row r="1308" spans="1:15" ht="12.75">
      <c r="A1308" s="539">
        <f ca="1"/>
        <v>1302</v>
      </c>
      <c r="B1308" s="35" t="str">
        <f ca="1">IFERROR(__xludf.DUMMYFUNCTION("""COMPUTED_VALUE"""),"Tổ Hạ tầng Tân Châu")</f>
        <v>Tổ Hạ tầng Tân Châu</v>
      </c>
      <c r="C1308" s="35" t="str">
        <f ca="1">IFERROR(__xludf.DUMMYFUNCTION("""COMPUTED_VALUE"""),"Trần Hoài Vũ")</f>
        <v>Trần Hoài Vũ</v>
      </c>
      <c r="D1308" s="35">
        <f ca="1">IFERROR(__xludf.DUMMYFUNCTION("""COMPUTED_VALUE"""),917675757)</f>
        <v>917675757</v>
      </c>
      <c r="E1308" s="35" t="str">
        <f ca="1">IFERROR(__xludf.DUMMYFUNCTION("""COMPUTED_VALUE"""),"vuth.tnh@vnpt.vn")</f>
        <v>vuth.tnh@vnpt.vn</v>
      </c>
      <c r="F1308" s="540" t="str">
        <f ca="1">IFERROR(__xludf.DUMMYFUNCTION("""COMPUTED_VALUE"""),"Lần 6")</f>
        <v>Lần 6</v>
      </c>
      <c r="G1308" s="278"/>
      <c r="H1308" s="35"/>
      <c r="I1308" s="35"/>
      <c r="J1308" s="541"/>
      <c r="K1308" s="541"/>
      <c r="M1308" s="539">
        <f ca="1">IFERROR(__xludf.DUMMYFUNCTION("""COMPUTED_VALUE"""),0)</f>
        <v>0</v>
      </c>
      <c r="N1308" s="539">
        <f ca="1">IFERROR(__xludf.DUMMYFUNCTION("""COMPUTED_VALUE"""),0)</f>
        <v>0</v>
      </c>
      <c r="O1308" s="539">
        <f ca="1">IFERROR(__xludf.DUMMYFUNCTION("""COMPUTED_VALUE"""),0)</f>
        <v>0</v>
      </c>
    </row>
    <row r="1309" spans="1:15" ht="12.75">
      <c r="A1309" s="539">
        <f ca="1"/>
        <v>1303</v>
      </c>
      <c r="B1309" s="35" t="str">
        <f ca="1">IFERROR(__xludf.DUMMYFUNCTION("""COMPUTED_VALUE"""),"Tổ Hạ tầng Tân Châu")</f>
        <v>Tổ Hạ tầng Tân Châu</v>
      </c>
      <c r="C1309" s="35" t="str">
        <f ca="1">IFERROR(__xludf.DUMMYFUNCTION("""COMPUTED_VALUE"""),"Trần Hoài Vũ")</f>
        <v>Trần Hoài Vũ</v>
      </c>
      <c r="D1309" s="35">
        <f ca="1">IFERROR(__xludf.DUMMYFUNCTION("""COMPUTED_VALUE"""),917675757)</f>
        <v>917675757</v>
      </c>
      <c r="E1309" s="35" t="str">
        <f ca="1">IFERROR(__xludf.DUMMYFUNCTION("""COMPUTED_VALUE"""),"vuth.tnh@vnpt.vn")</f>
        <v>vuth.tnh@vnpt.vn</v>
      </c>
      <c r="F1309" s="540" t="str">
        <f ca="1">IFERROR(__xludf.DUMMYFUNCTION("""COMPUTED_VALUE"""),"Lần 7")</f>
        <v>Lần 7</v>
      </c>
      <c r="G1309" s="278"/>
      <c r="H1309" s="35"/>
      <c r="I1309" s="35"/>
      <c r="J1309" s="541"/>
      <c r="K1309" s="541"/>
      <c r="M1309" s="539">
        <f ca="1">IFERROR(__xludf.DUMMYFUNCTION("""COMPUTED_VALUE"""),0)</f>
        <v>0</v>
      </c>
      <c r="N1309" s="539">
        <f ca="1">IFERROR(__xludf.DUMMYFUNCTION("""COMPUTED_VALUE"""),0)</f>
        <v>0</v>
      </c>
      <c r="O1309" s="539">
        <f ca="1">IFERROR(__xludf.DUMMYFUNCTION("""COMPUTED_VALUE"""),0)</f>
        <v>0</v>
      </c>
    </row>
    <row r="1310" spans="1:15" ht="12.75">
      <c r="A1310" s="539">
        <f ca="1"/>
        <v>1304</v>
      </c>
      <c r="B1310" s="35" t="str">
        <f ca="1">IFERROR(__xludf.DUMMYFUNCTION("""COMPUTED_VALUE"""),"Tổ Hạ tầng Tân Châu")</f>
        <v>Tổ Hạ tầng Tân Châu</v>
      </c>
      <c r="C1310" s="35" t="str">
        <f ca="1">IFERROR(__xludf.DUMMYFUNCTION("""COMPUTED_VALUE"""),"Trần Hoài Vũ")</f>
        <v>Trần Hoài Vũ</v>
      </c>
      <c r="D1310" s="35">
        <f ca="1">IFERROR(__xludf.DUMMYFUNCTION("""COMPUTED_VALUE"""),917675757)</f>
        <v>917675757</v>
      </c>
      <c r="E1310" s="35" t="str">
        <f ca="1">IFERROR(__xludf.DUMMYFUNCTION("""COMPUTED_VALUE"""),"vuth.tnh@vnpt.vn")</f>
        <v>vuth.tnh@vnpt.vn</v>
      </c>
      <c r="F1310" s="540" t="str">
        <f ca="1">IFERROR(__xludf.DUMMYFUNCTION("""COMPUTED_VALUE"""),"Lần 8")</f>
        <v>Lần 8</v>
      </c>
      <c r="G1310" s="278"/>
      <c r="H1310" s="35"/>
      <c r="I1310" s="35"/>
      <c r="J1310" s="541"/>
      <c r="K1310" s="541"/>
      <c r="M1310" s="539">
        <f ca="1">IFERROR(__xludf.DUMMYFUNCTION("""COMPUTED_VALUE"""),0)</f>
        <v>0</v>
      </c>
      <c r="N1310" s="539">
        <f ca="1">IFERROR(__xludf.DUMMYFUNCTION("""COMPUTED_VALUE"""),0)</f>
        <v>0</v>
      </c>
      <c r="O1310" s="539">
        <f ca="1">IFERROR(__xludf.DUMMYFUNCTION("""COMPUTED_VALUE"""),0)</f>
        <v>0</v>
      </c>
    </row>
    <row r="1311" spans="1:15" ht="12.75">
      <c r="A1311" s="539">
        <f ca="1"/>
        <v>1305</v>
      </c>
      <c r="B1311" s="35" t="str">
        <f ca="1">IFERROR(__xludf.DUMMYFUNCTION("""COMPUTED_VALUE"""),"Tổ Hạ tầng Tân Châu")</f>
        <v>Tổ Hạ tầng Tân Châu</v>
      </c>
      <c r="C1311" s="35" t="str">
        <f ca="1">IFERROR(__xludf.DUMMYFUNCTION("""COMPUTED_VALUE"""),"Trần Hoài Vũ")</f>
        <v>Trần Hoài Vũ</v>
      </c>
      <c r="D1311" s="35">
        <f ca="1">IFERROR(__xludf.DUMMYFUNCTION("""COMPUTED_VALUE"""),917675757)</f>
        <v>917675757</v>
      </c>
      <c r="E1311" s="35" t="str">
        <f ca="1">IFERROR(__xludf.DUMMYFUNCTION("""COMPUTED_VALUE"""),"vuth.tnh@vnpt.vn")</f>
        <v>vuth.tnh@vnpt.vn</v>
      </c>
      <c r="F1311" s="540" t="str">
        <f ca="1">IFERROR(__xludf.DUMMYFUNCTION("""COMPUTED_VALUE"""),"Lần 9")</f>
        <v>Lần 9</v>
      </c>
      <c r="G1311" s="278"/>
      <c r="H1311" s="35"/>
      <c r="I1311" s="35"/>
      <c r="J1311" s="541"/>
      <c r="K1311" s="541"/>
      <c r="M1311" s="539">
        <f ca="1">IFERROR(__xludf.DUMMYFUNCTION("""COMPUTED_VALUE"""),0)</f>
        <v>0</v>
      </c>
      <c r="N1311" s="539">
        <f ca="1">IFERROR(__xludf.DUMMYFUNCTION("""COMPUTED_VALUE"""),0)</f>
        <v>0</v>
      </c>
      <c r="O1311" s="539">
        <f ca="1">IFERROR(__xludf.DUMMYFUNCTION("""COMPUTED_VALUE"""),0)</f>
        <v>0</v>
      </c>
    </row>
    <row r="1312" spans="1:15" ht="12.75">
      <c r="A1312" s="539">
        <f ca="1"/>
        <v>1306</v>
      </c>
      <c r="B1312" s="35" t="str">
        <f ca="1">IFERROR(__xludf.DUMMYFUNCTION("""COMPUTED_VALUE"""),"Tổ Hạ tầng Tân Châu")</f>
        <v>Tổ Hạ tầng Tân Châu</v>
      </c>
      <c r="C1312" s="35" t="str">
        <f ca="1">IFERROR(__xludf.DUMMYFUNCTION("""COMPUTED_VALUE"""),"Trần Hoài Vũ")</f>
        <v>Trần Hoài Vũ</v>
      </c>
      <c r="D1312" s="35">
        <f ca="1">IFERROR(__xludf.DUMMYFUNCTION("""COMPUTED_VALUE"""),917675757)</f>
        <v>917675757</v>
      </c>
      <c r="E1312" s="35" t="str">
        <f ca="1">IFERROR(__xludf.DUMMYFUNCTION("""COMPUTED_VALUE"""),"vuth.tnh@vnpt.vn")</f>
        <v>vuth.tnh@vnpt.vn</v>
      </c>
      <c r="F1312" s="540" t="str">
        <f ca="1">IFERROR(__xludf.DUMMYFUNCTION("""COMPUTED_VALUE"""),"Lần 10")</f>
        <v>Lần 10</v>
      </c>
      <c r="G1312" s="278"/>
      <c r="H1312" s="35"/>
      <c r="I1312" s="35"/>
      <c r="J1312" s="541"/>
      <c r="K1312" s="541"/>
      <c r="M1312" s="539">
        <f ca="1">IFERROR(__xludf.DUMMYFUNCTION("""COMPUTED_VALUE"""),0)</f>
        <v>0</v>
      </c>
      <c r="N1312" s="539">
        <f ca="1">IFERROR(__xludf.DUMMYFUNCTION("""COMPUTED_VALUE"""),0)</f>
        <v>0</v>
      </c>
      <c r="O1312" s="539">
        <f ca="1">IFERROR(__xludf.DUMMYFUNCTION("""COMPUTED_VALUE"""),0)</f>
        <v>0</v>
      </c>
    </row>
    <row r="1313" spans="1:15" ht="12.75">
      <c r="A1313" s="539">
        <f ca="1"/>
        <v>1307</v>
      </c>
      <c r="B1313" s="35" t="str">
        <f ca="1">IFERROR(__xludf.DUMMYFUNCTION("""COMPUTED_VALUE"""),"Tổ Hạ tầng Tân Châu")</f>
        <v>Tổ Hạ tầng Tân Châu</v>
      </c>
      <c r="C1313" s="35" t="str">
        <f ca="1">IFERROR(__xludf.DUMMYFUNCTION("""COMPUTED_VALUE"""),"Trần Hoài Vũ")</f>
        <v>Trần Hoài Vũ</v>
      </c>
      <c r="D1313" s="35">
        <f ca="1">IFERROR(__xludf.DUMMYFUNCTION("""COMPUTED_VALUE"""),917675757)</f>
        <v>917675757</v>
      </c>
      <c r="E1313" s="35" t="str">
        <f ca="1">IFERROR(__xludf.DUMMYFUNCTION("""COMPUTED_VALUE"""),"vuth.tnh@vnpt.vn")</f>
        <v>vuth.tnh@vnpt.vn</v>
      </c>
      <c r="F1313" s="540" t="str">
        <f ca="1">IFERROR(__xludf.DUMMYFUNCTION("""COMPUTED_VALUE"""),"Lần 11")</f>
        <v>Lần 11</v>
      </c>
      <c r="G1313" s="278"/>
      <c r="H1313" s="35"/>
      <c r="I1313" s="35"/>
      <c r="J1313" s="541"/>
      <c r="K1313" s="541"/>
      <c r="M1313" s="539">
        <f ca="1">IFERROR(__xludf.DUMMYFUNCTION("""COMPUTED_VALUE"""),0)</f>
        <v>0</v>
      </c>
      <c r="N1313" s="539">
        <f ca="1">IFERROR(__xludf.DUMMYFUNCTION("""COMPUTED_VALUE"""),0)</f>
        <v>0</v>
      </c>
      <c r="O1313" s="539">
        <f ca="1">IFERROR(__xludf.DUMMYFUNCTION("""COMPUTED_VALUE"""),0)</f>
        <v>0</v>
      </c>
    </row>
    <row r="1314" spans="1:15" ht="12.75">
      <c r="A1314" s="539">
        <f ca="1"/>
        <v>1308</v>
      </c>
      <c r="B1314" s="35" t="str">
        <f ca="1">IFERROR(__xludf.DUMMYFUNCTION("""COMPUTED_VALUE"""),"Tổ Hạ tầng Tân Châu")</f>
        <v>Tổ Hạ tầng Tân Châu</v>
      </c>
      <c r="C1314" s="35" t="str">
        <f ca="1">IFERROR(__xludf.DUMMYFUNCTION("""COMPUTED_VALUE"""),"Trần Hoài Vũ")</f>
        <v>Trần Hoài Vũ</v>
      </c>
      <c r="D1314" s="35">
        <f ca="1">IFERROR(__xludf.DUMMYFUNCTION("""COMPUTED_VALUE"""),917675757)</f>
        <v>917675757</v>
      </c>
      <c r="E1314" s="35" t="str">
        <f ca="1">IFERROR(__xludf.DUMMYFUNCTION("""COMPUTED_VALUE"""),"vuth.tnh@vnpt.vn")</f>
        <v>vuth.tnh@vnpt.vn</v>
      </c>
      <c r="F1314" s="540" t="str">
        <f ca="1">IFERROR(__xludf.DUMMYFUNCTION("""COMPUTED_VALUE"""),"Lần 12")</f>
        <v>Lần 12</v>
      </c>
      <c r="G1314" s="278"/>
      <c r="H1314" s="35"/>
      <c r="I1314" s="35"/>
      <c r="J1314" s="541"/>
      <c r="K1314" s="541"/>
      <c r="M1314" s="539">
        <f ca="1">IFERROR(__xludf.DUMMYFUNCTION("""COMPUTED_VALUE"""),0)</f>
        <v>0</v>
      </c>
      <c r="N1314" s="539">
        <f ca="1">IFERROR(__xludf.DUMMYFUNCTION("""COMPUTED_VALUE"""),0)</f>
        <v>0</v>
      </c>
      <c r="O1314" s="539">
        <f ca="1">IFERROR(__xludf.DUMMYFUNCTION("""COMPUTED_VALUE"""),0)</f>
        <v>0</v>
      </c>
    </row>
    <row r="1315" spans="1:15" ht="12.75">
      <c r="A1315" s="539">
        <f ca="1"/>
        <v>1309</v>
      </c>
      <c r="B1315" s="35" t="str">
        <f ca="1">IFERROR(__xludf.DUMMYFUNCTION("""COMPUTED_VALUE"""),"Tổ Hạ tầng Tân Châu")</f>
        <v>Tổ Hạ tầng Tân Châu</v>
      </c>
      <c r="C1315" s="35" t="str">
        <f ca="1">IFERROR(__xludf.DUMMYFUNCTION("""COMPUTED_VALUE"""),"Trần Hoài Vũ")</f>
        <v>Trần Hoài Vũ</v>
      </c>
      <c r="D1315" s="35">
        <f ca="1">IFERROR(__xludf.DUMMYFUNCTION("""COMPUTED_VALUE"""),917675757)</f>
        <v>917675757</v>
      </c>
      <c r="E1315" s="35" t="str">
        <f ca="1">IFERROR(__xludf.DUMMYFUNCTION("""COMPUTED_VALUE"""),"vuth.tnh@vnpt.vn")</f>
        <v>vuth.tnh@vnpt.vn</v>
      </c>
      <c r="F1315" s="540" t="str">
        <f ca="1">IFERROR(__xludf.DUMMYFUNCTION("""COMPUTED_VALUE"""),"Lần 13")</f>
        <v>Lần 13</v>
      </c>
      <c r="G1315" s="278"/>
      <c r="H1315" s="35"/>
      <c r="I1315" s="35"/>
      <c r="J1315" s="541"/>
      <c r="K1315" s="541"/>
      <c r="M1315" s="539">
        <f ca="1">IFERROR(__xludf.DUMMYFUNCTION("""COMPUTED_VALUE"""),0)</f>
        <v>0</v>
      </c>
      <c r="N1315" s="539">
        <f ca="1">IFERROR(__xludf.DUMMYFUNCTION("""COMPUTED_VALUE"""),0)</f>
        <v>0</v>
      </c>
      <c r="O1315" s="539">
        <f ca="1">IFERROR(__xludf.DUMMYFUNCTION("""COMPUTED_VALUE"""),0)</f>
        <v>0</v>
      </c>
    </row>
    <row r="1316" spans="1:15" ht="12.75">
      <c r="A1316" s="539">
        <f ca="1"/>
        <v>1310</v>
      </c>
      <c r="B1316" s="35" t="str">
        <f ca="1">IFERROR(__xludf.DUMMYFUNCTION("""COMPUTED_VALUE"""),"Tổ Hạ tầng Tân Châu")</f>
        <v>Tổ Hạ tầng Tân Châu</v>
      </c>
      <c r="C1316" s="35" t="str">
        <f ca="1">IFERROR(__xludf.DUMMYFUNCTION("""COMPUTED_VALUE"""),"Trần Hoài Vũ")</f>
        <v>Trần Hoài Vũ</v>
      </c>
      <c r="D1316" s="35">
        <f ca="1">IFERROR(__xludf.DUMMYFUNCTION("""COMPUTED_VALUE"""),917675757)</f>
        <v>917675757</v>
      </c>
      <c r="E1316" s="35" t="str">
        <f ca="1">IFERROR(__xludf.DUMMYFUNCTION("""COMPUTED_VALUE"""),"vuth.tnh@vnpt.vn")</f>
        <v>vuth.tnh@vnpt.vn</v>
      </c>
      <c r="F1316" s="540" t="str">
        <f ca="1">IFERROR(__xludf.DUMMYFUNCTION("""COMPUTED_VALUE"""),"Lần 14")</f>
        <v>Lần 14</v>
      </c>
      <c r="G1316" s="278"/>
      <c r="H1316" s="35"/>
      <c r="I1316" s="35"/>
      <c r="J1316" s="541"/>
      <c r="K1316" s="541"/>
      <c r="M1316" s="539">
        <f ca="1">IFERROR(__xludf.DUMMYFUNCTION("""COMPUTED_VALUE"""),0)</f>
        <v>0</v>
      </c>
      <c r="N1316" s="539">
        <f ca="1">IFERROR(__xludf.DUMMYFUNCTION("""COMPUTED_VALUE"""),0)</f>
        <v>0</v>
      </c>
      <c r="O1316" s="539">
        <f ca="1">IFERROR(__xludf.DUMMYFUNCTION("""COMPUTED_VALUE"""),0)</f>
        <v>0</v>
      </c>
    </row>
    <row r="1317" spans="1:15" ht="12.75">
      <c r="A1317" s="539">
        <f ca="1"/>
        <v>1311</v>
      </c>
      <c r="B1317" s="35" t="str">
        <f ca="1">IFERROR(__xludf.DUMMYFUNCTION("""COMPUTED_VALUE"""),"Tổ Hạ tầng Tân Châu")</f>
        <v>Tổ Hạ tầng Tân Châu</v>
      </c>
      <c r="C1317" s="35" t="str">
        <f ca="1">IFERROR(__xludf.DUMMYFUNCTION("""COMPUTED_VALUE"""),"Trần Hoài Vũ")</f>
        <v>Trần Hoài Vũ</v>
      </c>
      <c r="D1317" s="35">
        <f ca="1">IFERROR(__xludf.DUMMYFUNCTION("""COMPUTED_VALUE"""),917675757)</f>
        <v>917675757</v>
      </c>
      <c r="E1317" s="35" t="str">
        <f ca="1">IFERROR(__xludf.DUMMYFUNCTION("""COMPUTED_VALUE"""),"vuth.tnh@vnpt.vn")</f>
        <v>vuth.tnh@vnpt.vn</v>
      </c>
      <c r="F1317" s="540" t="str">
        <f ca="1">IFERROR(__xludf.DUMMYFUNCTION("""COMPUTED_VALUE"""),"Lần 15")</f>
        <v>Lần 15</v>
      </c>
      <c r="G1317" s="278"/>
      <c r="H1317" s="35"/>
      <c r="I1317" s="35"/>
      <c r="J1317" s="541"/>
      <c r="K1317" s="541"/>
      <c r="M1317" s="539">
        <f ca="1">IFERROR(__xludf.DUMMYFUNCTION("""COMPUTED_VALUE"""),0)</f>
        <v>0</v>
      </c>
      <c r="N1317" s="539">
        <f ca="1">IFERROR(__xludf.DUMMYFUNCTION("""COMPUTED_VALUE"""),0)</f>
        <v>0</v>
      </c>
      <c r="O1317" s="539">
        <f ca="1">IFERROR(__xludf.DUMMYFUNCTION("""COMPUTED_VALUE"""),0)</f>
        <v>0</v>
      </c>
    </row>
    <row r="1318" spans="1:15" ht="12.75">
      <c r="A1318" s="539">
        <f ca="1"/>
        <v>1312</v>
      </c>
      <c r="B1318" s="35" t="str">
        <f ca="1">IFERROR(__xludf.DUMMYFUNCTION("""COMPUTED_VALUE"""),"Tổ Hạ tầng Tân Châu")</f>
        <v>Tổ Hạ tầng Tân Châu</v>
      </c>
      <c r="C1318" s="35" t="str">
        <f ca="1">IFERROR(__xludf.DUMMYFUNCTION("""COMPUTED_VALUE"""),"Trần Hoài Vũ")</f>
        <v>Trần Hoài Vũ</v>
      </c>
      <c r="D1318" s="35">
        <f ca="1">IFERROR(__xludf.DUMMYFUNCTION("""COMPUTED_VALUE"""),917675757)</f>
        <v>917675757</v>
      </c>
      <c r="E1318" s="35" t="str">
        <f ca="1">IFERROR(__xludf.DUMMYFUNCTION("""COMPUTED_VALUE"""),"vuth.tnh@vnpt.vn")</f>
        <v>vuth.tnh@vnpt.vn</v>
      </c>
      <c r="F1318" s="540" t="str">
        <f ca="1">IFERROR(__xludf.DUMMYFUNCTION("""COMPUTED_VALUE"""),"Lần 16")</f>
        <v>Lần 16</v>
      </c>
      <c r="G1318" s="278"/>
      <c r="H1318" s="35"/>
      <c r="I1318" s="35"/>
      <c r="J1318" s="541"/>
      <c r="K1318" s="541"/>
      <c r="M1318" s="539">
        <f ca="1">IFERROR(__xludf.DUMMYFUNCTION("""COMPUTED_VALUE"""),0)</f>
        <v>0</v>
      </c>
      <c r="N1318" s="539">
        <f ca="1">IFERROR(__xludf.DUMMYFUNCTION("""COMPUTED_VALUE"""),0)</f>
        <v>0</v>
      </c>
      <c r="O1318" s="539">
        <f ca="1">IFERROR(__xludf.DUMMYFUNCTION("""COMPUTED_VALUE"""),0)</f>
        <v>0</v>
      </c>
    </row>
    <row r="1319" spans="1:15" ht="12.75">
      <c r="A1319" s="539">
        <f ca="1"/>
        <v>1313</v>
      </c>
      <c r="B1319" s="35" t="str">
        <f ca="1">IFERROR(__xludf.DUMMYFUNCTION("""COMPUTED_VALUE"""),"Tổ Hạ tầng Tân Châu")</f>
        <v>Tổ Hạ tầng Tân Châu</v>
      </c>
      <c r="C1319" s="35" t="str">
        <f ca="1">IFERROR(__xludf.DUMMYFUNCTION("""COMPUTED_VALUE"""),"Hoàng Anh")</f>
        <v>Hoàng Anh</v>
      </c>
      <c r="D1319" s="543" t="str">
        <f ca="1">IFERROR(__xludf.DUMMYFUNCTION("""COMPUTED_VALUE"""),"0917728470")</f>
        <v>0917728470</v>
      </c>
      <c r="E1319" s="35" t="str">
        <f ca="1">IFERROR(__xludf.DUMMYFUNCTION("""COMPUTED_VALUE"""),"anhh.tnh@vnpt.vn")</f>
        <v>anhh.tnh@vnpt.vn</v>
      </c>
      <c r="F1319" s="540" t="str">
        <f ca="1">IFERROR(__xludf.DUMMYFUNCTION("""COMPUTED_VALUE"""),"Lần 1")</f>
        <v>Lần 1</v>
      </c>
      <c r="G1319" s="278"/>
      <c r="H1319" s="35"/>
      <c r="I1319" s="35"/>
      <c r="J1319" s="541"/>
      <c r="K1319" s="541"/>
      <c r="M1319" s="539">
        <f ca="1">IFERROR(__xludf.DUMMYFUNCTION("""COMPUTED_VALUE"""),0)</f>
        <v>0</v>
      </c>
      <c r="N1319" s="539">
        <f ca="1">IFERROR(__xludf.DUMMYFUNCTION("""COMPUTED_VALUE"""),0)</f>
        <v>0</v>
      </c>
      <c r="O1319" s="539">
        <f ca="1">IFERROR(__xludf.DUMMYFUNCTION("""COMPUTED_VALUE"""),0)</f>
        <v>0</v>
      </c>
    </row>
    <row r="1320" spans="1:15" ht="12.75">
      <c r="A1320" s="539">
        <f ca="1"/>
        <v>1314</v>
      </c>
      <c r="B1320" s="35" t="str">
        <f ca="1">IFERROR(__xludf.DUMMYFUNCTION("""COMPUTED_VALUE"""),"Tổ Hạ tầng Tân Châu")</f>
        <v>Tổ Hạ tầng Tân Châu</v>
      </c>
      <c r="C1320" s="35" t="str">
        <f ca="1">IFERROR(__xludf.DUMMYFUNCTION("""COMPUTED_VALUE"""),"Hoàng Anh")</f>
        <v>Hoàng Anh</v>
      </c>
      <c r="D1320" s="543" t="str">
        <f ca="1">IFERROR(__xludf.DUMMYFUNCTION("""COMPUTED_VALUE"""),"0917728470")</f>
        <v>0917728470</v>
      </c>
      <c r="E1320" s="35" t="str">
        <f ca="1">IFERROR(__xludf.DUMMYFUNCTION("""COMPUTED_VALUE"""),"anhh.tnh@vnpt.vn")</f>
        <v>anhh.tnh@vnpt.vn</v>
      </c>
      <c r="F1320" s="540" t="str">
        <f ca="1">IFERROR(__xludf.DUMMYFUNCTION("""COMPUTED_VALUE"""),"Lần 2")</f>
        <v>Lần 2</v>
      </c>
      <c r="G1320" s="278"/>
      <c r="H1320" s="35"/>
      <c r="I1320" s="35"/>
      <c r="J1320" s="541"/>
      <c r="K1320" s="541"/>
      <c r="M1320" s="539">
        <f ca="1">IFERROR(__xludf.DUMMYFUNCTION("""COMPUTED_VALUE"""),0)</f>
        <v>0</v>
      </c>
      <c r="N1320" s="539">
        <f ca="1">IFERROR(__xludf.DUMMYFUNCTION("""COMPUTED_VALUE"""),0)</f>
        <v>0</v>
      </c>
      <c r="O1320" s="539">
        <f ca="1">IFERROR(__xludf.DUMMYFUNCTION("""COMPUTED_VALUE"""),0)</f>
        <v>0</v>
      </c>
    </row>
    <row r="1321" spans="1:15" ht="12.75">
      <c r="A1321" s="539">
        <f ca="1"/>
        <v>1315</v>
      </c>
      <c r="B1321" s="35" t="str">
        <f ca="1">IFERROR(__xludf.DUMMYFUNCTION("""COMPUTED_VALUE"""),"Tổ Hạ tầng Tân Châu")</f>
        <v>Tổ Hạ tầng Tân Châu</v>
      </c>
      <c r="C1321" s="35" t="str">
        <f ca="1">IFERROR(__xludf.DUMMYFUNCTION("""COMPUTED_VALUE"""),"Hoàng Anh")</f>
        <v>Hoàng Anh</v>
      </c>
      <c r="D1321" s="543" t="str">
        <f ca="1">IFERROR(__xludf.DUMMYFUNCTION("""COMPUTED_VALUE"""),"0917728470")</f>
        <v>0917728470</v>
      </c>
      <c r="E1321" s="35" t="str">
        <f ca="1">IFERROR(__xludf.DUMMYFUNCTION("""COMPUTED_VALUE"""),"anhh.tnh@vnpt.vn")</f>
        <v>anhh.tnh@vnpt.vn</v>
      </c>
      <c r="F1321" s="540" t="str">
        <f ca="1">IFERROR(__xludf.DUMMYFUNCTION("""COMPUTED_VALUE"""),"Lần 3")</f>
        <v>Lần 3</v>
      </c>
      <c r="G1321" s="278"/>
      <c r="H1321" s="35"/>
      <c r="I1321" s="35"/>
      <c r="J1321" s="541"/>
      <c r="K1321" s="541"/>
      <c r="M1321" s="539">
        <f ca="1">IFERROR(__xludf.DUMMYFUNCTION("""COMPUTED_VALUE"""),0)</f>
        <v>0</v>
      </c>
      <c r="N1321" s="539">
        <f ca="1">IFERROR(__xludf.DUMMYFUNCTION("""COMPUTED_VALUE"""),0)</f>
        <v>0</v>
      </c>
      <c r="O1321" s="539">
        <f ca="1">IFERROR(__xludf.DUMMYFUNCTION("""COMPUTED_VALUE"""),0)</f>
        <v>0</v>
      </c>
    </row>
    <row r="1322" spans="1:15" ht="12.75">
      <c r="A1322" s="539">
        <f ca="1"/>
        <v>1316</v>
      </c>
      <c r="B1322" s="35" t="str">
        <f ca="1">IFERROR(__xludf.DUMMYFUNCTION("""COMPUTED_VALUE"""),"Tổ Hạ tầng Tân Châu")</f>
        <v>Tổ Hạ tầng Tân Châu</v>
      </c>
      <c r="C1322" s="35" t="str">
        <f ca="1">IFERROR(__xludf.DUMMYFUNCTION("""COMPUTED_VALUE"""),"Hoàng Anh")</f>
        <v>Hoàng Anh</v>
      </c>
      <c r="D1322" s="543" t="str">
        <f ca="1">IFERROR(__xludf.DUMMYFUNCTION("""COMPUTED_VALUE"""),"0917728470")</f>
        <v>0917728470</v>
      </c>
      <c r="E1322" s="35" t="str">
        <f ca="1">IFERROR(__xludf.DUMMYFUNCTION("""COMPUTED_VALUE"""),"anhh.tnh@vnpt.vn")</f>
        <v>anhh.tnh@vnpt.vn</v>
      </c>
      <c r="F1322" s="540" t="str">
        <f ca="1">IFERROR(__xludf.DUMMYFUNCTION("""COMPUTED_VALUE"""),"Lần 4")</f>
        <v>Lần 4</v>
      </c>
      <c r="G1322" s="278"/>
      <c r="H1322" s="35"/>
      <c r="I1322" s="35"/>
      <c r="J1322" s="541"/>
      <c r="K1322" s="541"/>
      <c r="M1322" s="539">
        <f ca="1">IFERROR(__xludf.DUMMYFUNCTION("""COMPUTED_VALUE"""),0)</f>
        <v>0</v>
      </c>
      <c r="N1322" s="539">
        <f ca="1">IFERROR(__xludf.DUMMYFUNCTION("""COMPUTED_VALUE"""),0)</f>
        <v>0</v>
      </c>
      <c r="O1322" s="539">
        <f ca="1">IFERROR(__xludf.DUMMYFUNCTION("""COMPUTED_VALUE"""),0)</f>
        <v>0</v>
      </c>
    </row>
    <row r="1323" spans="1:15" ht="12.75">
      <c r="A1323" s="539">
        <f ca="1"/>
        <v>1317</v>
      </c>
      <c r="B1323" s="35" t="str">
        <f ca="1">IFERROR(__xludf.DUMMYFUNCTION("""COMPUTED_VALUE"""),"Tổ Hạ tầng Tân Châu")</f>
        <v>Tổ Hạ tầng Tân Châu</v>
      </c>
      <c r="C1323" s="35" t="str">
        <f ca="1">IFERROR(__xludf.DUMMYFUNCTION("""COMPUTED_VALUE"""),"Hoàng Anh")</f>
        <v>Hoàng Anh</v>
      </c>
      <c r="D1323" s="543" t="str">
        <f ca="1">IFERROR(__xludf.DUMMYFUNCTION("""COMPUTED_VALUE"""),"0917728470")</f>
        <v>0917728470</v>
      </c>
      <c r="E1323" s="35" t="str">
        <f ca="1">IFERROR(__xludf.DUMMYFUNCTION("""COMPUTED_VALUE"""),"anhh.tnh@vnpt.vn")</f>
        <v>anhh.tnh@vnpt.vn</v>
      </c>
      <c r="F1323" s="540" t="str">
        <f ca="1">IFERROR(__xludf.DUMMYFUNCTION("""COMPUTED_VALUE"""),"Lần 5")</f>
        <v>Lần 5</v>
      </c>
      <c r="G1323" s="278"/>
      <c r="H1323" s="35"/>
      <c r="I1323" s="35"/>
      <c r="J1323" s="541"/>
      <c r="K1323" s="541"/>
      <c r="M1323" s="539">
        <f ca="1">IFERROR(__xludf.DUMMYFUNCTION("""COMPUTED_VALUE"""),0)</f>
        <v>0</v>
      </c>
      <c r="N1323" s="539">
        <f ca="1">IFERROR(__xludf.DUMMYFUNCTION("""COMPUTED_VALUE"""),0)</f>
        <v>0</v>
      </c>
      <c r="O1323" s="539">
        <f ca="1">IFERROR(__xludf.DUMMYFUNCTION("""COMPUTED_VALUE"""),0)</f>
        <v>0</v>
      </c>
    </row>
    <row r="1324" spans="1:15" ht="12.75">
      <c r="A1324" s="539">
        <f ca="1"/>
        <v>1318</v>
      </c>
      <c r="B1324" s="35" t="str">
        <f ca="1">IFERROR(__xludf.DUMMYFUNCTION("""COMPUTED_VALUE"""),"Tổ Hạ tầng Tân Châu")</f>
        <v>Tổ Hạ tầng Tân Châu</v>
      </c>
      <c r="C1324" s="35" t="str">
        <f ca="1">IFERROR(__xludf.DUMMYFUNCTION("""COMPUTED_VALUE"""),"Hoàng Anh")</f>
        <v>Hoàng Anh</v>
      </c>
      <c r="D1324" s="543" t="str">
        <f ca="1">IFERROR(__xludf.DUMMYFUNCTION("""COMPUTED_VALUE"""),"0917728470")</f>
        <v>0917728470</v>
      </c>
      <c r="E1324" s="35" t="str">
        <f ca="1">IFERROR(__xludf.DUMMYFUNCTION("""COMPUTED_VALUE"""),"anhh.tnh@vnpt.vn")</f>
        <v>anhh.tnh@vnpt.vn</v>
      </c>
      <c r="F1324" s="540" t="str">
        <f ca="1">IFERROR(__xludf.DUMMYFUNCTION("""COMPUTED_VALUE"""),"Lần 6")</f>
        <v>Lần 6</v>
      </c>
      <c r="G1324" s="278"/>
      <c r="H1324" s="35"/>
      <c r="I1324" s="35"/>
      <c r="J1324" s="541"/>
      <c r="K1324" s="541"/>
      <c r="M1324" s="539">
        <f ca="1">IFERROR(__xludf.DUMMYFUNCTION("""COMPUTED_VALUE"""),0)</f>
        <v>0</v>
      </c>
      <c r="N1324" s="539">
        <f ca="1">IFERROR(__xludf.DUMMYFUNCTION("""COMPUTED_VALUE"""),0)</f>
        <v>0</v>
      </c>
      <c r="O1324" s="539">
        <f ca="1">IFERROR(__xludf.DUMMYFUNCTION("""COMPUTED_VALUE"""),0)</f>
        <v>0</v>
      </c>
    </row>
    <row r="1325" spans="1:15" ht="12.75">
      <c r="A1325" s="539">
        <f ca="1"/>
        <v>1319</v>
      </c>
      <c r="B1325" s="35" t="str">
        <f ca="1">IFERROR(__xludf.DUMMYFUNCTION("""COMPUTED_VALUE"""),"Tổ Hạ tầng Tân Châu")</f>
        <v>Tổ Hạ tầng Tân Châu</v>
      </c>
      <c r="C1325" s="35" t="str">
        <f ca="1">IFERROR(__xludf.DUMMYFUNCTION("""COMPUTED_VALUE"""),"Hoàng Anh")</f>
        <v>Hoàng Anh</v>
      </c>
      <c r="D1325" s="543" t="str">
        <f ca="1">IFERROR(__xludf.DUMMYFUNCTION("""COMPUTED_VALUE"""),"0917728470")</f>
        <v>0917728470</v>
      </c>
      <c r="E1325" s="35" t="str">
        <f ca="1">IFERROR(__xludf.DUMMYFUNCTION("""COMPUTED_VALUE"""),"anhh.tnh@vnpt.vn")</f>
        <v>anhh.tnh@vnpt.vn</v>
      </c>
      <c r="F1325" s="540" t="str">
        <f ca="1">IFERROR(__xludf.DUMMYFUNCTION("""COMPUTED_VALUE"""),"Lần 7")</f>
        <v>Lần 7</v>
      </c>
      <c r="G1325" s="278"/>
      <c r="H1325" s="35"/>
      <c r="I1325" s="35"/>
      <c r="J1325" s="541"/>
      <c r="K1325" s="541"/>
      <c r="M1325" s="539">
        <f ca="1">IFERROR(__xludf.DUMMYFUNCTION("""COMPUTED_VALUE"""),0)</f>
        <v>0</v>
      </c>
      <c r="N1325" s="539">
        <f ca="1">IFERROR(__xludf.DUMMYFUNCTION("""COMPUTED_VALUE"""),0)</f>
        <v>0</v>
      </c>
      <c r="O1325" s="539">
        <f ca="1">IFERROR(__xludf.DUMMYFUNCTION("""COMPUTED_VALUE"""),0)</f>
        <v>0</v>
      </c>
    </row>
    <row r="1326" spans="1:15" ht="12.75">
      <c r="A1326" s="539">
        <f ca="1"/>
        <v>1320</v>
      </c>
      <c r="B1326" s="35" t="str">
        <f ca="1">IFERROR(__xludf.DUMMYFUNCTION("""COMPUTED_VALUE"""),"Tổ Hạ tầng Tân Châu")</f>
        <v>Tổ Hạ tầng Tân Châu</v>
      </c>
      <c r="C1326" s="35" t="str">
        <f ca="1">IFERROR(__xludf.DUMMYFUNCTION("""COMPUTED_VALUE"""),"Hoàng Anh")</f>
        <v>Hoàng Anh</v>
      </c>
      <c r="D1326" s="543" t="str">
        <f ca="1">IFERROR(__xludf.DUMMYFUNCTION("""COMPUTED_VALUE"""),"0917728470")</f>
        <v>0917728470</v>
      </c>
      <c r="E1326" s="35" t="str">
        <f ca="1">IFERROR(__xludf.DUMMYFUNCTION("""COMPUTED_VALUE"""),"anhh.tnh@vnpt.vn")</f>
        <v>anhh.tnh@vnpt.vn</v>
      </c>
      <c r="F1326" s="540" t="str">
        <f ca="1">IFERROR(__xludf.DUMMYFUNCTION("""COMPUTED_VALUE"""),"Lần 8")</f>
        <v>Lần 8</v>
      </c>
      <c r="G1326" s="278"/>
      <c r="H1326" s="35"/>
      <c r="I1326" s="35"/>
      <c r="J1326" s="541"/>
      <c r="K1326" s="541"/>
      <c r="M1326" s="539">
        <f ca="1">IFERROR(__xludf.DUMMYFUNCTION("""COMPUTED_VALUE"""),0)</f>
        <v>0</v>
      </c>
      <c r="N1326" s="539">
        <f ca="1">IFERROR(__xludf.DUMMYFUNCTION("""COMPUTED_VALUE"""),0)</f>
        <v>0</v>
      </c>
      <c r="O1326" s="539">
        <f ca="1">IFERROR(__xludf.DUMMYFUNCTION("""COMPUTED_VALUE"""),0)</f>
        <v>0</v>
      </c>
    </row>
    <row r="1327" spans="1:15" ht="12.75">
      <c r="A1327" s="539">
        <f ca="1"/>
        <v>1321</v>
      </c>
      <c r="B1327" s="35" t="str">
        <f ca="1">IFERROR(__xludf.DUMMYFUNCTION("""COMPUTED_VALUE"""),"Tổ Hạ tầng Tân Châu")</f>
        <v>Tổ Hạ tầng Tân Châu</v>
      </c>
      <c r="C1327" s="35" t="str">
        <f ca="1">IFERROR(__xludf.DUMMYFUNCTION("""COMPUTED_VALUE"""),"Hoàng Anh")</f>
        <v>Hoàng Anh</v>
      </c>
      <c r="D1327" s="543" t="str">
        <f ca="1">IFERROR(__xludf.DUMMYFUNCTION("""COMPUTED_VALUE"""),"0917728470")</f>
        <v>0917728470</v>
      </c>
      <c r="E1327" s="35" t="str">
        <f ca="1">IFERROR(__xludf.DUMMYFUNCTION("""COMPUTED_VALUE"""),"anhh.tnh@vnpt.vn")</f>
        <v>anhh.tnh@vnpt.vn</v>
      </c>
      <c r="F1327" s="540" t="str">
        <f ca="1">IFERROR(__xludf.DUMMYFUNCTION("""COMPUTED_VALUE"""),"Lần 9")</f>
        <v>Lần 9</v>
      </c>
      <c r="G1327" s="278"/>
      <c r="H1327" s="35"/>
      <c r="I1327" s="35"/>
      <c r="J1327" s="541"/>
      <c r="K1327" s="541"/>
      <c r="M1327" s="539">
        <f ca="1">IFERROR(__xludf.DUMMYFUNCTION("""COMPUTED_VALUE"""),0)</f>
        <v>0</v>
      </c>
      <c r="N1327" s="539">
        <f ca="1">IFERROR(__xludf.DUMMYFUNCTION("""COMPUTED_VALUE"""),0)</f>
        <v>0</v>
      </c>
      <c r="O1327" s="539">
        <f ca="1">IFERROR(__xludf.DUMMYFUNCTION("""COMPUTED_VALUE"""),0)</f>
        <v>0</v>
      </c>
    </row>
    <row r="1328" spans="1:15" ht="12.75">
      <c r="A1328" s="539">
        <f ca="1"/>
        <v>1322</v>
      </c>
      <c r="B1328" s="35" t="str">
        <f ca="1">IFERROR(__xludf.DUMMYFUNCTION("""COMPUTED_VALUE"""),"Tổ Hạ tầng Tân Châu")</f>
        <v>Tổ Hạ tầng Tân Châu</v>
      </c>
      <c r="C1328" s="35" t="str">
        <f ca="1">IFERROR(__xludf.DUMMYFUNCTION("""COMPUTED_VALUE"""),"Hoàng Anh")</f>
        <v>Hoàng Anh</v>
      </c>
      <c r="D1328" s="543" t="str">
        <f ca="1">IFERROR(__xludf.DUMMYFUNCTION("""COMPUTED_VALUE"""),"0917728470")</f>
        <v>0917728470</v>
      </c>
      <c r="E1328" s="35" t="str">
        <f ca="1">IFERROR(__xludf.DUMMYFUNCTION("""COMPUTED_VALUE"""),"anhh.tnh@vnpt.vn")</f>
        <v>anhh.tnh@vnpt.vn</v>
      </c>
      <c r="F1328" s="540" t="str">
        <f ca="1">IFERROR(__xludf.DUMMYFUNCTION("""COMPUTED_VALUE"""),"Lần 10")</f>
        <v>Lần 10</v>
      </c>
      <c r="G1328" s="278"/>
      <c r="H1328" s="35"/>
      <c r="I1328" s="35"/>
      <c r="J1328" s="541"/>
      <c r="K1328" s="541"/>
      <c r="M1328" s="539">
        <f ca="1">IFERROR(__xludf.DUMMYFUNCTION("""COMPUTED_VALUE"""),0)</f>
        <v>0</v>
      </c>
      <c r="N1328" s="539">
        <f ca="1">IFERROR(__xludf.DUMMYFUNCTION("""COMPUTED_VALUE"""),0)</f>
        <v>0</v>
      </c>
      <c r="O1328" s="539">
        <f ca="1">IFERROR(__xludf.DUMMYFUNCTION("""COMPUTED_VALUE"""),0)</f>
        <v>0</v>
      </c>
    </row>
    <row r="1329" spans="1:15" ht="12.75">
      <c r="A1329" s="539">
        <f ca="1"/>
        <v>1323</v>
      </c>
      <c r="B1329" s="35" t="str">
        <f ca="1">IFERROR(__xludf.DUMMYFUNCTION("""COMPUTED_VALUE"""),"Tổ Hạ tầng Tân Châu")</f>
        <v>Tổ Hạ tầng Tân Châu</v>
      </c>
      <c r="C1329" s="35" t="str">
        <f ca="1">IFERROR(__xludf.DUMMYFUNCTION("""COMPUTED_VALUE"""),"Hoàng Anh")</f>
        <v>Hoàng Anh</v>
      </c>
      <c r="D1329" s="543" t="str">
        <f ca="1">IFERROR(__xludf.DUMMYFUNCTION("""COMPUTED_VALUE"""),"0917728470")</f>
        <v>0917728470</v>
      </c>
      <c r="E1329" s="35" t="str">
        <f ca="1">IFERROR(__xludf.DUMMYFUNCTION("""COMPUTED_VALUE"""),"anhh.tnh@vnpt.vn")</f>
        <v>anhh.tnh@vnpt.vn</v>
      </c>
      <c r="F1329" s="540" t="str">
        <f ca="1">IFERROR(__xludf.DUMMYFUNCTION("""COMPUTED_VALUE"""),"Lần 11")</f>
        <v>Lần 11</v>
      </c>
      <c r="G1329" s="278"/>
      <c r="H1329" s="35"/>
      <c r="I1329" s="35"/>
      <c r="J1329" s="541"/>
      <c r="K1329" s="541"/>
      <c r="M1329" s="539">
        <f ca="1">IFERROR(__xludf.DUMMYFUNCTION("""COMPUTED_VALUE"""),0)</f>
        <v>0</v>
      </c>
      <c r="N1329" s="539">
        <f ca="1">IFERROR(__xludf.DUMMYFUNCTION("""COMPUTED_VALUE"""),0)</f>
        <v>0</v>
      </c>
      <c r="O1329" s="539">
        <f ca="1">IFERROR(__xludf.DUMMYFUNCTION("""COMPUTED_VALUE"""),0)</f>
        <v>0</v>
      </c>
    </row>
    <row r="1330" spans="1:15" ht="12.75">
      <c r="A1330" s="539">
        <f ca="1"/>
        <v>1324</v>
      </c>
      <c r="B1330" s="35" t="str">
        <f ca="1">IFERROR(__xludf.DUMMYFUNCTION("""COMPUTED_VALUE"""),"Tổ Hạ tầng Tân Châu")</f>
        <v>Tổ Hạ tầng Tân Châu</v>
      </c>
      <c r="C1330" s="35" t="str">
        <f ca="1">IFERROR(__xludf.DUMMYFUNCTION("""COMPUTED_VALUE"""),"Hoàng Anh")</f>
        <v>Hoàng Anh</v>
      </c>
      <c r="D1330" s="543" t="str">
        <f ca="1">IFERROR(__xludf.DUMMYFUNCTION("""COMPUTED_VALUE"""),"0917728470")</f>
        <v>0917728470</v>
      </c>
      <c r="E1330" s="35" t="str">
        <f ca="1">IFERROR(__xludf.DUMMYFUNCTION("""COMPUTED_VALUE"""),"anhh.tnh@vnpt.vn")</f>
        <v>anhh.tnh@vnpt.vn</v>
      </c>
      <c r="F1330" s="540" t="str">
        <f ca="1">IFERROR(__xludf.DUMMYFUNCTION("""COMPUTED_VALUE"""),"Lần 12")</f>
        <v>Lần 12</v>
      </c>
      <c r="G1330" s="278"/>
      <c r="H1330" s="35"/>
      <c r="I1330" s="35"/>
      <c r="J1330" s="541"/>
      <c r="K1330" s="541"/>
      <c r="M1330" s="539">
        <f ca="1">IFERROR(__xludf.DUMMYFUNCTION("""COMPUTED_VALUE"""),0)</f>
        <v>0</v>
      </c>
      <c r="N1330" s="539">
        <f ca="1">IFERROR(__xludf.DUMMYFUNCTION("""COMPUTED_VALUE"""),0)</f>
        <v>0</v>
      </c>
      <c r="O1330" s="539">
        <f ca="1">IFERROR(__xludf.DUMMYFUNCTION("""COMPUTED_VALUE"""),0)</f>
        <v>0</v>
      </c>
    </row>
    <row r="1331" spans="1:15" ht="12.75">
      <c r="A1331" s="539">
        <f ca="1"/>
        <v>1325</v>
      </c>
      <c r="B1331" s="35" t="str">
        <f ca="1">IFERROR(__xludf.DUMMYFUNCTION("""COMPUTED_VALUE"""),"Tổ Hạ tầng Tân Châu")</f>
        <v>Tổ Hạ tầng Tân Châu</v>
      </c>
      <c r="C1331" s="35" t="str">
        <f ca="1">IFERROR(__xludf.DUMMYFUNCTION("""COMPUTED_VALUE"""),"Hoàng Anh")</f>
        <v>Hoàng Anh</v>
      </c>
      <c r="D1331" s="543" t="str">
        <f ca="1">IFERROR(__xludf.DUMMYFUNCTION("""COMPUTED_VALUE"""),"0917728470")</f>
        <v>0917728470</v>
      </c>
      <c r="E1331" s="35" t="str">
        <f ca="1">IFERROR(__xludf.DUMMYFUNCTION("""COMPUTED_VALUE"""),"anhh.tnh@vnpt.vn")</f>
        <v>anhh.tnh@vnpt.vn</v>
      </c>
      <c r="F1331" s="540" t="str">
        <f ca="1">IFERROR(__xludf.DUMMYFUNCTION("""COMPUTED_VALUE"""),"Lần 13")</f>
        <v>Lần 13</v>
      </c>
      <c r="G1331" s="278"/>
      <c r="H1331" s="35"/>
      <c r="I1331" s="35"/>
      <c r="J1331" s="541"/>
      <c r="K1331" s="541"/>
      <c r="M1331" s="539">
        <f ca="1">IFERROR(__xludf.DUMMYFUNCTION("""COMPUTED_VALUE"""),0)</f>
        <v>0</v>
      </c>
      <c r="N1331" s="539">
        <f ca="1">IFERROR(__xludf.DUMMYFUNCTION("""COMPUTED_VALUE"""),0)</f>
        <v>0</v>
      </c>
      <c r="O1331" s="539">
        <f ca="1">IFERROR(__xludf.DUMMYFUNCTION("""COMPUTED_VALUE"""),0)</f>
        <v>0</v>
      </c>
    </row>
    <row r="1332" spans="1:15" ht="12.75">
      <c r="A1332" s="539">
        <f ca="1"/>
        <v>1326</v>
      </c>
      <c r="B1332" s="35" t="str">
        <f ca="1">IFERROR(__xludf.DUMMYFUNCTION("""COMPUTED_VALUE"""),"Tổ Hạ tầng Tân Châu")</f>
        <v>Tổ Hạ tầng Tân Châu</v>
      </c>
      <c r="C1332" s="35" t="str">
        <f ca="1">IFERROR(__xludf.DUMMYFUNCTION("""COMPUTED_VALUE"""),"Hoàng Anh")</f>
        <v>Hoàng Anh</v>
      </c>
      <c r="D1332" s="543" t="str">
        <f ca="1">IFERROR(__xludf.DUMMYFUNCTION("""COMPUTED_VALUE"""),"0917728470")</f>
        <v>0917728470</v>
      </c>
      <c r="E1332" s="35" t="str">
        <f ca="1">IFERROR(__xludf.DUMMYFUNCTION("""COMPUTED_VALUE"""),"anhh.tnh@vnpt.vn")</f>
        <v>anhh.tnh@vnpt.vn</v>
      </c>
      <c r="F1332" s="540" t="str">
        <f ca="1">IFERROR(__xludf.DUMMYFUNCTION("""COMPUTED_VALUE"""),"Lần 14")</f>
        <v>Lần 14</v>
      </c>
      <c r="G1332" s="278"/>
      <c r="H1332" s="35"/>
      <c r="I1332" s="35"/>
      <c r="J1332" s="541"/>
      <c r="K1332" s="541"/>
      <c r="M1332" s="539">
        <f ca="1">IFERROR(__xludf.DUMMYFUNCTION("""COMPUTED_VALUE"""),0)</f>
        <v>0</v>
      </c>
      <c r="N1332" s="539">
        <f ca="1">IFERROR(__xludf.DUMMYFUNCTION("""COMPUTED_VALUE"""),0)</f>
        <v>0</v>
      </c>
      <c r="O1332" s="539">
        <f ca="1">IFERROR(__xludf.DUMMYFUNCTION("""COMPUTED_VALUE"""),0)</f>
        <v>0</v>
      </c>
    </row>
    <row r="1333" spans="1:15" ht="12.75">
      <c r="A1333" s="539">
        <f ca="1"/>
        <v>1327</v>
      </c>
      <c r="B1333" s="35" t="str">
        <f ca="1">IFERROR(__xludf.DUMMYFUNCTION("""COMPUTED_VALUE"""),"Tổ Hạ tầng Tân Châu")</f>
        <v>Tổ Hạ tầng Tân Châu</v>
      </c>
      <c r="C1333" s="35" t="str">
        <f ca="1">IFERROR(__xludf.DUMMYFUNCTION("""COMPUTED_VALUE"""),"Hoàng Anh")</f>
        <v>Hoàng Anh</v>
      </c>
      <c r="D1333" s="543" t="str">
        <f ca="1">IFERROR(__xludf.DUMMYFUNCTION("""COMPUTED_VALUE"""),"0917728470")</f>
        <v>0917728470</v>
      </c>
      <c r="E1333" s="35" t="str">
        <f ca="1">IFERROR(__xludf.DUMMYFUNCTION("""COMPUTED_VALUE"""),"anhh.tnh@vnpt.vn")</f>
        <v>anhh.tnh@vnpt.vn</v>
      </c>
      <c r="F1333" s="540" t="str">
        <f ca="1">IFERROR(__xludf.DUMMYFUNCTION("""COMPUTED_VALUE"""),"Lần 15")</f>
        <v>Lần 15</v>
      </c>
      <c r="G1333" s="278"/>
      <c r="H1333" s="35"/>
      <c r="I1333" s="35"/>
      <c r="J1333" s="541"/>
      <c r="K1333" s="541"/>
      <c r="M1333" s="539">
        <f ca="1">IFERROR(__xludf.DUMMYFUNCTION("""COMPUTED_VALUE"""),0)</f>
        <v>0</v>
      </c>
      <c r="N1333" s="539">
        <f ca="1">IFERROR(__xludf.DUMMYFUNCTION("""COMPUTED_VALUE"""),0)</f>
        <v>0</v>
      </c>
      <c r="O1333" s="539">
        <f ca="1">IFERROR(__xludf.DUMMYFUNCTION("""COMPUTED_VALUE"""),0)</f>
        <v>0</v>
      </c>
    </row>
    <row r="1334" spans="1:15" ht="12.75">
      <c r="A1334" s="539">
        <f ca="1"/>
        <v>1328</v>
      </c>
      <c r="B1334" s="35" t="str">
        <f ca="1">IFERROR(__xludf.DUMMYFUNCTION("""COMPUTED_VALUE"""),"Tổ Hạ tầng Tân Châu")</f>
        <v>Tổ Hạ tầng Tân Châu</v>
      </c>
      <c r="C1334" s="35" t="str">
        <f ca="1">IFERROR(__xludf.DUMMYFUNCTION("""COMPUTED_VALUE"""),"Hoàng Anh")</f>
        <v>Hoàng Anh</v>
      </c>
      <c r="D1334" s="543" t="str">
        <f ca="1">IFERROR(__xludf.DUMMYFUNCTION("""COMPUTED_VALUE"""),"0917728470")</f>
        <v>0917728470</v>
      </c>
      <c r="E1334" s="35" t="str">
        <f ca="1">IFERROR(__xludf.DUMMYFUNCTION("""COMPUTED_VALUE"""),"anhh.tnh@vnpt.vn")</f>
        <v>anhh.tnh@vnpt.vn</v>
      </c>
      <c r="F1334" s="540" t="str">
        <f ca="1">IFERROR(__xludf.DUMMYFUNCTION("""COMPUTED_VALUE"""),"Lần 16")</f>
        <v>Lần 16</v>
      </c>
      <c r="G1334" s="278"/>
      <c r="H1334" s="35"/>
      <c r="I1334" s="35"/>
      <c r="J1334" s="541"/>
      <c r="K1334" s="541"/>
      <c r="M1334" s="539">
        <f ca="1">IFERROR(__xludf.DUMMYFUNCTION("""COMPUTED_VALUE"""),0)</f>
        <v>0</v>
      </c>
      <c r="N1334" s="539">
        <f ca="1">IFERROR(__xludf.DUMMYFUNCTION("""COMPUTED_VALUE"""),0)</f>
        <v>0</v>
      </c>
      <c r="O1334" s="539">
        <f ca="1">IFERROR(__xludf.DUMMYFUNCTION("""COMPUTED_VALUE"""),0)</f>
        <v>0</v>
      </c>
    </row>
    <row r="1335" spans="1:15" ht="12.75">
      <c r="A1335" s="539">
        <f ca="1"/>
        <v>1329</v>
      </c>
      <c r="B1335" s="35" t="str">
        <f ca="1">IFERROR(__xludf.DUMMYFUNCTION("""COMPUTED_VALUE"""),"Tổ Hạ tầng Tân Châu")</f>
        <v>Tổ Hạ tầng Tân Châu</v>
      </c>
      <c r="C1335" s="35" t="str">
        <f ca="1">IFERROR(__xludf.DUMMYFUNCTION("""COMPUTED_VALUE"""),"Huỳnh Quốc Thông")</f>
        <v>Huỳnh Quốc Thông</v>
      </c>
      <c r="D1335" s="35">
        <f ca="1">IFERROR(__xludf.DUMMYFUNCTION("""COMPUTED_VALUE"""),913814958)</f>
        <v>913814958</v>
      </c>
      <c r="E1335" s="35" t="str">
        <f ca="1">IFERROR(__xludf.DUMMYFUNCTION("""COMPUTED_VALUE"""),"thonghq.tnh@vnpt.vn")</f>
        <v>thonghq.tnh@vnpt.vn</v>
      </c>
      <c r="F1335" s="540" t="str">
        <f ca="1">IFERROR(__xludf.DUMMYFUNCTION("""COMPUTED_VALUE"""),"Lần 1")</f>
        <v>Lần 1</v>
      </c>
      <c r="G1335" s="278"/>
      <c r="H1335" s="35"/>
      <c r="I1335" s="35"/>
      <c r="J1335" s="541"/>
      <c r="K1335" s="541"/>
      <c r="M1335" s="539">
        <f ca="1">IFERROR(__xludf.DUMMYFUNCTION("""COMPUTED_VALUE"""),0)</f>
        <v>0</v>
      </c>
      <c r="N1335" s="539">
        <f ca="1">IFERROR(__xludf.DUMMYFUNCTION("""COMPUTED_VALUE"""),0)</f>
        <v>0</v>
      </c>
      <c r="O1335" s="539">
        <f ca="1">IFERROR(__xludf.DUMMYFUNCTION("""COMPUTED_VALUE"""),0)</f>
        <v>0</v>
      </c>
    </row>
    <row r="1336" spans="1:15" ht="12.75">
      <c r="A1336" s="539">
        <f ca="1"/>
        <v>1330</v>
      </c>
      <c r="B1336" s="35" t="str">
        <f ca="1">IFERROR(__xludf.DUMMYFUNCTION("""COMPUTED_VALUE"""),"Tổ Hạ tầng Tân Châu")</f>
        <v>Tổ Hạ tầng Tân Châu</v>
      </c>
      <c r="C1336" s="35" t="str">
        <f ca="1">IFERROR(__xludf.DUMMYFUNCTION("""COMPUTED_VALUE"""),"Huỳnh Quốc Thông")</f>
        <v>Huỳnh Quốc Thông</v>
      </c>
      <c r="D1336" s="35">
        <f ca="1">IFERROR(__xludf.DUMMYFUNCTION("""COMPUTED_VALUE"""),913814958)</f>
        <v>913814958</v>
      </c>
      <c r="E1336" s="35" t="str">
        <f ca="1">IFERROR(__xludf.DUMMYFUNCTION("""COMPUTED_VALUE"""),"thonghq.tnh@vnpt.vn")</f>
        <v>thonghq.tnh@vnpt.vn</v>
      </c>
      <c r="F1336" s="540" t="str">
        <f ca="1">IFERROR(__xludf.DUMMYFUNCTION("""COMPUTED_VALUE"""),"Lần 2")</f>
        <v>Lần 2</v>
      </c>
      <c r="G1336" s="278"/>
      <c r="H1336" s="35"/>
      <c r="I1336" s="35"/>
      <c r="J1336" s="541"/>
      <c r="K1336" s="541"/>
      <c r="M1336" s="539">
        <f ca="1">IFERROR(__xludf.DUMMYFUNCTION("""COMPUTED_VALUE"""),0)</f>
        <v>0</v>
      </c>
      <c r="N1336" s="539">
        <f ca="1">IFERROR(__xludf.DUMMYFUNCTION("""COMPUTED_VALUE"""),0)</f>
        <v>0</v>
      </c>
      <c r="O1336" s="539">
        <f ca="1">IFERROR(__xludf.DUMMYFUNCTION("""COMPUTED_VALUE"""),0)</f>
        <v>0</v>
      </c>
    </row>
    <row r="1337" spans="1:15" ht="12.75">
      <c r="A1337" s="539">
        <f ca="1"/>
        <v>1331</v>
      </c>
      <c r="B1337" s="35" t="str">
        <f ca="1">IFERROR(__xludf.DUMMYFUNCTION("""COMPUTED_VALUE"""),"Tổ Hạ tầng Tân Châu")</f>
        <v>Tổ Hạ tầng Tân Châu</v>
      </c>
      <c r="C1337" s="35" t="str">
        <f ca="1">IFERROR(__xludf.DUMMYFUNCTION("""COMPUTED_VALUE"""),"Huỳnh Quốc Thông")</f>
        <v>Huỳnh Quốc Thông</v>
      </c>
      <c r="D1337" s="35">
        <f ca="1">IFERROR(__xludf.DUMMYFUNCTION("""COMPUTED_VALUE"""),913814958)</f>
        <v>913814958</v>
      </c>
      <c r="E1337" s="35" t="str">
        <f ca="1">IFERROR(__xludf.DUMMYFUNCTION("""COMPUTED_VALUE"""),"thonghq.tnh@vnpt.vn")</f>
        <v>thonghq.tnh@vnpt.vn</v>
      </c>
      <c r="F1337" s="540" t="str">
        <f ca="1">IFERROR(__xludf.DUMMYFUNCTION("""COMPUTED_VALUE"""),"Lần 3")</f>
        <v>Lần 3</v>
      </c>
      <c r="G1337" s="278"/>
      <c r="H1337" s="35"/>
      <c r="I1337" s="35"/>
      <c r="J1337" s="541"/>
      <c r="K1337" s="541"/>
      <c r="M1337" s="539">
        <f ca="1">IFERROR(__xludf.DUMMYFUNCTION("""COMPUTED_VALUE"""),0)</f>
        <v>0</v>
      </c>
      <c r="N1337" s="539">
        <f ca="1">IFERROR(__xludf.DUMMYFUNCTION("""COMPUTED_VALUE"""),0)</f>
        <v>0</v>
      </c>
      <c r="O1337" s="539">
        <f ca="1">IFERROR(__xludf.DUMMYFUNCTION("""COMPUTED_VALUE"""),0)</f>
        <v>0</v>
      </c>
    </row>
    <row r="1338" spans="1:15" ht="12.75">
      <c r="A1338" s="539">
        <f ca="1"/>
        <v>1332</v>
      </c>
      <c r="B1338" s="35" t="str">
        <f ca="1">IFERROR(__xludf.DUMMYFUNCTION("""COMPUTED_VALUE"""),"Tổ Hạ tầng Tân Châu")</f>
        <v>Tổ Hạ tầng Tân Châu</v>
      </c>
      <c r="C1338" s="35" t="str">
        <f ca="1">IFERROR(__xludf.DUMMYFUNCTION("""COMPUTED_VALUE"""),"Huỳnh Quốc Thông")</f>
        <v>Huỳnh Quốc Thông</v>
      </c>
      <c r="D1338" s="35">
        <f ca="1">IFERROR(__xludf.DUMMYFUNCTION("""COMPUTED_VALUE"""),913814958)</f>
        <v>913814958</v>
      </c>
      <c r="E1338" s="35" t="str">
        <f ca="1">IFERROR(__xludf.DUMMYFUNCTION("""COMPUTED_VALUE"""),"thonghq.tnh@vnpt.vn")</f>
        <v>thonghq.tnh@vnpt.vn</v>
      </c>
      <c r="F1338" s="540" t="str">
        <f ca="1">IFERROR(__xludf.DUMMYFUNCTION("""COMPUTED_VALUE"""),"Lần 4")</f>
        <v>Lần 4</v>
      </c>
      <c r="G1338" s="278"/>
      <c r="H1338" s="35"/>
      <c r="I1338" s="542"/>
      <c r="J1338" s="541"/>
      <c r="K1338" s="541"/>
      <c r="M1338" s="539">
        <f ca="1">IFERROR(__xludf.DUMMYFUNCTION("""COMPUTED_VALUE"""),0)</f>
        <v>0</v>
      </c>
      <c r="N1338" s="539">
        <f ca="1">IFERROR(__xludf.DUMMYFUNCTION("""COMPUTED_VALUE"""),0)</f>
        <v>0</v>
      </c>
      <c r="O1338" s="539">
        <f ca="1">IFERROR(__xludf.DUMMYFUNCTION("""COMPUTED_VALUE"""),0)</f>
        <v>0</v>
      </c>
    </row>
    <row r="1339" spans="1:15" ht="12.75">
      <c r="A1339" s="539">
        <f ca="1"/>
        <v>1333</v>
      </c>
      <c r="B1339" s="35" t="str">
        <f ca="1">IFERROR(__xludf.DUMMYFUNCTION("""COMPUTED_VALUE"""),"Tổ Hạ tầng Tân Châu")</f>
        <v>Tổ Hạ tầng Tân Châu</v>
      </c>
      <c r="C1339" s="35" t="str">
        <f ca="1">IFERROR(__xludf.DUMMYFUNCTION("""COMPUTED_VALUE"""),"Huỳnh Quốc Thông")</f>
        <v>Huỳnh Quốc Thông</v>
      </c>
      <c r="D1339" s="35">
        <f ca="1">IFERROR(__xludf.DUMMYFUNCTION("""COMPUTED_VALUE"""),913814958)</f>
        <v>913814958</v>
      </c>
      <c r="E1339" s="35" t="str">
        <f ca="1">IFERROR(__xludf.DUMMYFUNCTION("""COMPUTED_VALUE"""),"thonghq.tnh@vnpt.vn")</f>
        <v>thonghq.tnh@vnpt.vn</v>
      </c>
      <c r="F1339" s="540" t="str">
        <f ca="1">IFERROR(__xludf.DUMMYFUNCTION("""COMPUTED_VALUE"""),"Lần 5")</f>
        <v>Lần 5</v>
      </c>
      <c r="G1339" s="278"/>
      <c r="H1339" s="35"/>
      <c r="I1339" s="35"/>
      <c r="J1339" s="541"/>
      <c r="K1339" s="541"/>
      <c r="M1339" s="539">
        <f ca="1">IFERROR(__xludf.DUMMYFUNCTION("""COMPUTED_VALUE"""),0)</f>
        <v>0</v>
      </c>
      <c r="N1339" s="539">
        <f ca="1">IFERROR(__xludf.DUMMYFUNCTION("""COMPUTED_VALUE"""),0)</f>
        <v>0</v>
      </c>
      <c r="O1339" s="539">
        <f ca="1">IFERROR(__xludf.DUMMYFUNCTION("""COMPUTED_VALUE"""),0)</f>
        <v>0</v>
      </c>
    </row>
    <row r="1340" spans="1:15" ht="12.75">
      <c r="A1340" s="539">
        <f ca="1"/>
        <v>1334</v>
      </c>
      <c r="B1340" s="35" t="str">
        <f ca="1">IFERROR(__xludf.DUMMYFUNCTION("""COMPUTED_VALUE"""),"Tổ Hạ tầng Tân Châu")</f>
        <v>Tổ Hạ tầng Tân Châu</v>
      </c>
      <c r="C1340" s="35" t="str">
        <f ca="1">IFERROR(__xludf.DUMMYFUNCTION("""COMPUTED_VALUE"""),"Huỳnh Quốc Thông")</f>
        <v>Huỳnh Quốc Thông</v>
      </c>
      <c r="D1340" s="35">
        <f ca="1">IFERROR(__xludf.DUMMYFUNCTION("""COMPUTED_VALUE"""),913814958)</f>
        <v>913814958</v>
      </c>
      <c r="E1340" s="35" t="str">
        <f ca="1">IFERROR(__xludf.DUMMYFUNCTION("""COMPUTED_VALUE"""),"thonghq.tnh@vnpt.vn")</f>
        <v>thonghq.tnh@vnpt.vn</v>
      </c>
      <c r="F1340" s="540" t="str">
        <f ca="1">IFERROR(__xludf.DUMMYFUNCTION("""COMPUTED_VALUE"""),"Lần 6")</f>
        <v>Lần 6</v>
      </c>
      <c r="G1340" s="278"/>
      <c r="H1340" s="540"/>
      <c r="I1340" s="35"/>
      <c r="J1340" s="541"/>
      <c r="K1340" s="35"/>
      <c r="M1340" s="539">
        <f ca="1">IFERROR(__xludf.DUMMYFUNCTION("""COMPUTED_VALUE"""),0)</f>
        <v>0</v>
      </c>
      <c r="N1340" s="539">
        <f ca="1">IFERROR(__xludf.DUMMYFUNCTION("""COMPUTED_VALUE"""),0)</f>
        <v>0</v>
      </c>
      <c r="O1340" s="539">
        <f ca="1">IFERROR(__xludf.DUMMYFUNCTION("""COMPUTED_VALUE"""),0)</f>
        <v>0</v>
      </c>
    </row>
    <row r="1341" spans="1:15" ht="12.75">
      <c r="A1341" s="539">
        <f ca="1"/>
        <v>1335</v>
      </c>
      <c r="B1341" s="35" t="str">
        <f ca="1">IFERROR(__xludf.DUMMYFUNCTION("""COMPUTED_VALUE"""),"Tổ Hạ tầng Tân Châu")</f>
        <v>Tổ Hạ tầng Tân Châu</v>
      </c>
      <c r="C1341" s="35" t="str">
        <f ca="1">IFERROR(__xludf.DUMMYFUNCTION("""COMPUTED_VALUE"""),"Huỳnh Quốc Thông")</f>
        <v>Huỳnh Quốc Thông</v>
      </c>
      <c r="D1341" s="35">
        <f ca="1">IFERROR(__xludf.DUMMYFUNCTION("""COMPUTED_VALUE"""),913814958)</f>
        <v>913814958</v>
      </c>
      <c r="E1341" s="35" t="str">
        <f ca="1">IFERROR(__xludf.DUMMYFUNCTION("""COMPUTED_VALUE"""),"thonghq.tnh@vnpt.vn")</f>
        <v>thonghq.tnh@vnpt.vn</v>
      </c>
      <c r="F1341" s="540" t="str">
        <f ca="1">IFERROR(__xludf.DUMMYFUNCTION("""COMPUTED_VALUE"""),"Lần 7")</f>
        <v>Lần 7</v>
      </c>
      <c r="G1341" s="278"/>
      <c r="H1341" s="35"/>
      <c r="I1341" s="35"/>
      <c r="J1341" s="541"/>
      <c r="K1341" s="541"/>
      <c r="M1341" s="539">
        <f ca="1">IFERROR(__xludf.DUMMYFUNCTION("""COMPUTED_VALUE"""),0)</f>
        <v>0</v>
      </c>
      <c r="N1341" s="539">
        <f ca="1">IFERROR(__xludf.DUMMYFUNCTION("""COMPUTED_VALUE"""),0)</f>
        <v>0</v>
      </c>
      <c r="O1341" s="539">
        <f ca="1">IFERROR(__xludf.DUMMYFUNCTION("""COMPUTED_VALUE"""),0)</f>
        <v>0</v>
      </c>
    </row>
    <row r="1342" spans="1:15" ht="12.75">
      <c r="A1342" s="539">
        <f ca="1"/>
        <v>1336</v>
      </c>
      <c r="B1342" s="35" t="str">
        <f ca="1">IFERROR(__xludf.DUMMYFUNCTION("""COMPUTED_VALUE"""),"Tổ Hạ tầng Tân Châu")</f>
        <v>Tổ Hạ tầng Tân Châu</v>
      </c>
      <c r="C1342" s="35" t="str">
        <f ca="1">IFERROR(__xludf.DUMMYFUNCTION("""COMPUTED_VALUE"""),"Huỳnh Quốc Thông")</f>
        <v>Huỳnh Quốc Thông</v>
      </c>
      <c r="D1342" s="35">
        <f ca="1">IFERROR(__xludf.DUMMYFUNCTION("""COMPUTED_VALUE"""),913814958)</f>
        <v>913814958</v>
      </c>
      <c r="E1342" s="35" t="str">
        <f ca="1">IFERROR(__xludf.DUMMYFUNCTION("""COMPUTED_VALUE"""),"thonghq.tnh@vnpt.vn")</f>
        <v>thonghq.tnh@vnpt.vn</v>
      </c>
      <c r="F1342" s="540" t="str">
        <f ca="1">IFERROR(__xludf.DUMMYFUNCTION("""COMPUTED_VALUE"""),"Lần 8")</f>
        <v>Lần 8</v>
      </c>
      <c r="G1342" s="278"/>
      <c r="H1342" s="35"/>
      <c r="I1342" s="35"/>
      <c r="J1342" s="541"/>
      <c r="K1342" s="541"/>
      <c r="M1342" s="539">
        <f ca="1">IFERROR(__xludf.DUMMYFUNCTION("""COMPUTED_VALUE"""),0)</f>
        <v>0</v>
      </c>
      <c r="N1342" s="539">
        <f ca="1">IFERROR(__xludf.DUMMYFUNCTION("""COMPUTED_VALUE"""),0)</f>
        <v>0</v>
      </c>
      <c r="O1342" s="539">
        <f ca="1">IFERROR(__xludf.DUMMYFUNCTION("""COMPUTED_VALUE"""),0)</f>
        <v>0</v>
      </c>
    </row>
    <row r="1343" spans="1:15" ht="12.75">
      <c r="A1343" s="539">
        <f ca="1"/>
        <v>1337</v>
      </c>
      <c r="B1343" s="35" t="str">
        <f ca="1">IFERROR(__xludf.DUMMYFUNCTION("""COMPUTED_VALUE"""),"Tổ Hạ tầng Tân Châu")</f>
        <v>Tổ Hạ tầng Tân Châu</v>
      </c>
      <c r="C1343" s="35" t="str">
        <f ca="1">IFERROR(__xludf.DUMMYFUNCTION("""COMPUTED_VALUE"""),"Huỳnh Quốc Thông")</f>
        <v>Huỳnh Quốc Thông</v>
      </c>
      <c r="D1343" s="35">
        <f ca="1">IFERROR(__xludf.DUMMYFUNCTION("""COMPUTED_VALUE"""),913814958)</f>
        <v>913814958</v>
      </c>
      <c r="E1343" s="35" t="str">
        <f ca="1">IFERROR(__xludf.DUMMYFUNCTION("""COMPUTED_VALUE"""),"thonghq.tnh@vnpt.vn")</f>
        <v>thonghq.tnh@vnpt.vn</v>
      </c>
      <c r="F1343" s="540" t="str">
        <f ca="1">IFERROR(__xludf.DUMMYFUNCTION("""COMPUTED_VALUE"""),"Lần 9")</f>
        <v>Lần 9</v>
      </c>
      <c r="G1343" s="278"/>
      <c r="H1343" s="35"/>
      <c r="I1343" s="35"/>
      <c r="J1343" s="541"/>
      <c r="K1343" s="541"/>
      <c r="M1343" s="539">
        <f ca="1">IFERROR(__xludf.DUMMYFUNCTION("""COMPUTED_VALUE"""),0)</f>
        <v>0</v>
      </c>
      <c r="N1343" s="539">
        <f ca="1">IFERROR(__xludf.DUMMYFUNCTION("""COMPUTED_VALUE"""),0)</f>
        <v>0</v>
      </c>
      <c r="O1343" s="539">
        <f ca="1">IFERROR(__xludf.DUMMYFUNCTION("""COMPUTED_VALUE"""),0)</f>
        <v>0</v>
      </c>
    </row>
    <row r="1344" spans="1:15" ht="12.75">
      <c r="A1344" s="539">
        <f ca="1"/>
        <v>1338</v>
      </c>
      <c r="B1344" s="35" t="str">
        <f ca="1">IFERROR(__xludf.DUMMYFUNCTION("""COMPUTED_VALUE"""),"Tổ Hạ tầng Tân Châu")</f>
        <v>Tổ Hạ tầng Tân Châu</v>
      </c>
      <c r="C1344" s="35" t="str">
        <f ca="1">IFERROR(__xludf.DUMMYFUNCTION("""COMPUTED_VALUE"""),"Huỳnh Quốc Thông")</f>
        <v>Huỳnh Quốc Thông</v>
      </c>
      <c r="D1344" s="35">
        <f ca="1">IFERROR(__xludf.DUMMYFUNCTION("""COMPUTED_VALUE"""),913814958)</f>
        <v>913814958</v>
      </c>
      <c r="E1344" s="35" t="str">
        <f ca="1">IFERROR(__xludf.DUMMYFUNCTION("""COMPUTED_VALUE"""),"thonghq.tnh@vnpt.vn")</f>
        <v>thonghq.tnh@vnpt.vn</v>
      </c>
      <c r="F1344" s="540" t="str">
        <f ca="1">IFERROR(__xludf.DUMMYFUNCTION("""COMPUTED_VALUE"""),"Lần 10")</f>
        <v>Lần 10</v>
      </c>
      <c r="G1344" s="278"/>
      <c r="H1344" s="35"/>
      <c r="I1344" s="35"/>
      <c r="J1344" s="541"/>
      <c r="K1344" s="541"/>
      <c r="M1344" s="539">
        <f ca="1">IFERROR(__xludf.DUMMYFUNCTION("""COMPUTED_VALUE"""),0)</f>
        <v>0</v>
      </c>
      <c r="N1344" s="539">
        <f ca="1">IFERROR(__xludf.DUMMYFUNCTION("""COMPUTED_VALUE"""),0)</f>
        <v>0</v>
      </c>
      <c r="O1344" s="539">
        <f ca="1">IFERROR(__xludf.DUMMYFUNCTION("""COMPUTED_VALUE"""),0)</f>
        <v>0</v>
      </c>
    </row>
    <row r="1345" spans="1:15" ht="12.75">
      <c r="A1345" s="539">
        <f ca="1"/>
        <v>1339</v>
      </c>
      <c r="B1345" s="35" t="str">
        <f ca="1">IFERROR(__xludf.DUMMYFUNCTION("""COMPUTED_VALUE"""),"Tổ Hạ tầng Tân Châu")</f>
        <v>Tổ Hạ tầng Tân Châu</v>
      </c>
      <c r="C1345" s="35" t="str">
        <f ca="1">IFERROR(__xludf.DUMMYFUNCTION("""COMPUTED_VALUE"""),"Huỳnh Quốc Thông")</f>
        <v>Huỳnh Quốc Thông</v>
      </c>
      <c r="D1345" s="35">
        <f ca="1">IFERROR(__xludf.DUMMYFUNCTION("""COMPUTED_VALUE"""),913814958)</f>
        <v>913814958</v>
      </c>
      <c r="E1345" s="35" t="str">
        <f ca="1">IFERROR(__xludf.DUMMYFUNCTION("""COMPUTED_VALUE"""),"thonghq.tnh@vnpt.vn")</f>
        <v>thonghq.tnh@vnpt.vn</v>
      </c>
      <c r="F1345" s="540" t="str">
        <f ca="1">IFERROR(__xludf.DUMMYFUNCTION("""COMPUTED_VALUE"""),"Lần 11")</f>
        <v>Lần 11</v>
      </c>
      <c r="G1345" s="278"/>
      <c r="H1345" s="35"/>
      <c r="I1345" s="542"/>
      <c r="J1345" s="541"/>
      <c r="K1345" s="542"/>
      <c r="M1345" s="539">
        <f ca="1">IFERROR(__xludf.DUMMYFUNCTION("""COMPUTED_VALUE"""),0)</f>
        <v>0</v>
      </c>
      <c r="N1345" s="539">
        <f ca="1">IFERROR(__xludf.DUMMYFUNCTION("""COMPUTED_VALUE"""),0)</f>
        <v>0</v>
      </c>
      <c r="O1345" s="539">
        <f ca="1">IFERROR(__xludf.DUMMYFUNCTION("""COMPUTED_VALUE"""),0)</f>
        <v>0</v>
      </c>
    </row>
    <row r="1346" spans="1:15" ht="12.75">
      <c r="A1346" s="539">
        <f ca="1"/>
        <v>1340</v>
      </c>
      <c r="B1346" s="35" t="str">
        <f ca="1">IFERROR(__xludf.DUMMYFUNCTION("""COMPUTED_VALUE"""),"Tổ Hạ tầng Tân Châu")</f>
        <v>Tổ Hạ tầng Tân Châu</v>
      </c>
      <c r="C1346" s="35" t="str">
        <f ca="1">IFERROR(__xludf.DUMMYFUNCTION("""COMPUTED_VALUE"""),"Huỳnh Quốc Thông")</f>
        <v>Huỳnh Quốc Thông</v>
      </c>
      <c r="D1346" s="35">
        <f ca="1">IFERROR(__xludf.DUMMYFUNCTION("""COMPUTED_VALUE"""),913814958)</f>
        <v>913814958</v>
      </c>
      <c r="E1346" s="35" t="str">
        <f ca="1">IFERROR(__xludf.DUMMYFUNCTION("""COMPUTED_VALUE"""),"thonghq.tnh@vnpt.vn")</f>
        <v>thonghq.tnh@vnpt.vn</v>
      </c>
      <c r="F1346" s="540" t="str">
        <f ca="1">IFERROR(__xludf.DUMMYFUNCTION("""COMPUTED_VALUE"""),"Lần 12")</f>
        <v>Lần 12</v>
      </c>
      <c r="G1346" s="278"/>
      <c r="H1346" s="35"/>
      <c r="I1346" s="542"/>
      <c r="J1346" s="541"/>
      <c r="K1346" s="542"/>
      <c r="M1346" s="539">
        <f ca="1">IFERROR(__xludf.DUMMYFUNCTION("""COMPUTED_VALUE"""),0)</f>
        <v>0</v>
      </c>
      <c r="N1346" s="539">
        <f ca="1">IFERROR(__xludf.DUMMYFUNCTION("""COMPUTED_VALUE"""),0)</f>
        <v>0</v>
      </c>
      <c r="O1346" s="539">
        <f ca="1">IFERROR(__xludf.DUMMYFUNCTION("""COMPUTED_VALUE"""),0)</f>
        <v>0</v>
      </c>
    </row>
    <row r="1347" spans="1:15" ht="12.75">
      <c r="A1347" s="539">
        <f ca="1"/>
        <v>1341</v>
      </c>
      <c r="B1347" s="35" t="str">
        <f ca="1">IFERROR(__xludf.DUMMYFUNCTION("""COMPUTED_VALUE"""),"Tổ Hạ tầng Tân Châu")</f>
        <v>Tổ Hạ tầng Tân Châu</v>
      </c>
      <c r="C1347" s="35" t="str">
        <f ca="1">IFERROR(__xludf.DUMMYFUNCTION("""COMPUTED_VALUE"""),"Huỳnh Quốc Thông")</f>
        <v>Huỳnh Quốc Thông</v>
      </c>
      <c r="D1347" s="35">
        <f ca="1">IFERROR(__xludf.DUMMYFUNCTION("""COMPUTED_VALUE"""),913814958)</f>
        <v>913814958</v>
      </c>
      <c r="E1347" s="35" t="str">
        <f ca="1">IFERROR(__xludf.DUMMYFUNCTION("""COMPUTED_VALUE"""),"thonghq.tnh@vnpt.vn")</f>
        <v>thonghq.tnh@vnpt.vn</v>
      </c>
      <c r="F1347" s="540" t="str">
        <f ca="1">IFERROR(__xludf.DUMMYFUNCTION("""COMPUTED_VALUE"""),"Lần 13")</f>
        <v>Lần 13</v>
      </c>
      <c r="G1347" s="278"/>
      <c r="H1347" s="35"/>
      <c r="I1347" s="35"/>
      <c r="J1347" s="541"/>
      <c r="K1347" s="541"/>
      <c r="M1347" s="539">
        <f ca="1">IFERROR(__xludf.DUMMYFUNCTION("""COMPUTED_VALUE"""),0)</f>
        <v>0</v>
      </c>
      <c r="N1347" s="539">
        <f ca="1">IFERROR(__xludf.DUMMYFUNCTION("""COMPUTED_VALUE"""),0)</f>
        <v>0</v>
      </c>
      <c r="O1347" s="539">
        <f ca="1">IFERROR(__xludf.DUMMYFUNCTION("""COMPUTED_VALUE"""),0)</f>
        <v>0</v>
      </c>
    </row>
    <row r="1348" spans="1:15" ht="12.75">
      <c r="A1348" s="539">
        <f ca="1"/>
        <v>1342</v>
      </c>
      <c r="B1348" s="35" t="str">
        <f ca="1">IFERROR(__xludf.DUMMYFUNCTION("""COMPUTED_VALUE"""),"Tổ Hạ tầng Tân Châu")</f>
        <v>Tổ Hạ tầng Tân Châu</v>
      </c>
      <c r="C1348" s="35" t="str">
        <f ca="1">IFERROR(__xludf.DUMMYFUNCTION("""COMPUTED_VALUE"""),"Huỳnh Quốc Thông")</f>
        <v>Huỳnh Quốc Thông</v>
      </c>
      <c r="D1348" s="35">
        <f ca="1">IFERROR(__xludf.DUMMYFUNCTION("""COMPUTED_VALUE"""),913814958)</f>
        <v>913814958</v>
      </c>
      <c r="E1348" s="35" t="str">
        <f ca="1">IFERROR(__xludf.DUMMYFUNCTION("""COMPUTED_VALUE"""),"thonghq.tnh@vnpt.vn")</f>
        <v>thonghq.tnh@vnpt.vn</v>
      </c>
      <c r="F1348" s="540" t="str">
        <f ca="1">IFERROR(__xludf.DUMMYFUNCTION("""COMPUTED_VALUE"""),"Lần 14")</f>
        <v>Lần 14</v>
      </c>
      <c r="G1348" s="278"/>
      <c r="H1348" s="35"/>
      <c r="I1348" s="35"/>
      <c r="J1348" s="541"/>
      <c r="K1348" s="541"/>
      <c r="M1348" s="539">
        <f ca="1">IFERROR(__xludf.DUMMYFUNCTION("""COMPUTED_VALUE"""),0)</f>
        <v>0</v>
      </c>
      <c r="N1348" s="539">
        <f ca="1">IFERROR(__xludf.DUMMYFUNCTION("""COMPUTED_VALUE"""),0)</f>
        <v>0</v>
      </c>
      <c r="O1348" s="539">
        <f ca="1">IFERROR(__xludf.DUMMYFUNCTION("""COMPUTED_VALUE"""),0)</f>
        <v>0</v>
      </c>
    </row>
    <row r="1349" spans="1:15" ht="12.75">
      <c r="A1349" s="539">
        <f ca="1"/>
        <v>1343</v>
      </c>
      <c r="B1349" s="35" t="str">
        <f ca="1">IFERROR(__xludf.DUMMYFUNCTION("""COMPUTED_VALUE"""),"Tổ Hạ tầng Tân Châu")</f>
        <v>Tổ Hạ tầng Tân Châu</v>
      </c>
      <c r="C1349" s="35" t="str">
        <f ca="1">IFERROR(__xludf.DUMMYFUNCTION("""COMPUTED_VALUE"""),"Huỳnh Quốc Thông")</f>
        <v>Huỳnh Quốc Thông</v>
      </c>
      <c r="D1349" s="35">
        <f ca="1">IFERROR(__xludf.DUMMYFUNCTION("""COMPUTED_VALUE"""),913814958)</f>
        <v>913814958</v>
      </c>
      <c r="E1349" s="35" t="str">
        <f ca="1">IFERROR(__xludf.DUMMYFUNCTION("""COMPUTED_VALUE"""),"thonghq.tnh@vnpt.vn")</f>
        <v>thonghq.tnh@vnpt.vn</v>
      </c>
      <c r="F1349" s="540" t="str">
        <f ca="1">IFERROR(__xludf.DUMMYFUNCTION("""COMPUTED_VALUE"""),"Lần 15")</f>
        <v>Lần 15</v>
      </c>
      <c r="G1349" s="278"/>
      <c r="H1349" s="35"/>
      <c r="I1349" s="35"/>
      <c r="J1349" s="541"/>
      <c r="K1349" s="541"/>
      <c r="M1349" s="539">
        <f ca="1">IFERROR(__xludf.DUMMYFUNCTION("""COMPUTED_VALUE"""),0)</f>
        <v>0</v>
      </c>
      <c r="N1349" s="539">
        <f ca="1">IFERROR(__xludf.DUMMYFUNCTION("""COMPUTED_VALUE"""),0)</f>
        <v>0</v>
      </c>
      <c r="O1349" s="539">
        <f ca="1">IFERROR(__xludf.DUMMYFUNCTION("""COMPUTED_VALUE"""),0)</f>
        <v>0</v>
      </c>
    </row>
    <row r="1350" spans="1:15" ht="12.75">
      <c r="A1350" s="539">
        <f ca="1"/>
        <v>1344</v>
      </c>
      <c r="B1350" s="35" t="str">
        <f ca="1">IFERROR(__xludf.DUMMYFUNCTION("""COMPUTED_VALUE"""),"Tổ Hạ tầng Tân Châu")</f>
        <v>Tổ Hạ tầng Tân Châu</v>
      </c>
      <c r="C1350" s="35" t="str">
        <f ca="1">IFERROR(__xludf.DUMMYFUNCTION("""COMPUTED_VALUE"""),"Huỳnh Quốc Thông")</f>
        <v>Huỳnh Quốc Thông</v>
      </c>
      <c r="D1350" s="35">
        <f ca="1">IFERROR(__xludf.DUMMYFUNCTION("""COMPUTED_VALUE"""),913814958)</f>
        <v>913814958</v>
      </c>
      <c r="E1350" s="35" t="str">
        <f ca="1">IFERROR(__xludf.DUMMYFUNCTION("""COMPUTED_VALUE"""),"thonghq.tnh@vnpt.vn")</f>
        <v>thonghq.tnh@vnpt.vn</v>
      </c>
      <c r="F1350" s="540" t="str">
        <f ca="1">IFERROR(__xludf.DUMMYFUNCTION("""COMPUTED_VALUE"""),"Lần 16")</f>
        <v>Lần 16</v>
      </c>
      <c r="G1350" s="278"/>
      <c r="H1350" s="35"/>
      <c r="I1350" s="35"/>
      <c r="J1350" s="541"/>
      <c r="K1350" s="541"/>
      <c r="M1350" s="539">
        <f ca="1">IFERROR(__xludf.DUMMYFUNCTION("""COMPUTED_VALUE"""),0)</f>
        <v>0</v>
      </c>
      <c r="N1350" s="539">
        <f ca="1">IFERROR(__xludf.DUMMYFUNCTION("""COMPUTED_VALUE"""),0)</f>
        <v>0</v>
      </c>
      <c r="O1350" s="539">
        <f ca="1">IFERROR(__xludf.DUMMYFUNCTION("""COMPUTED_VALUE"""),0)</f>
        <v>0</v>
      </c>
    </row>
    <row r="1351" spans="1:15" ht="12.75">
      <c r="A1351" s="539">
        <f ca="1"/>
        <v>1345</v>
      </c>
      <c r="B1351" s="35" t="str">
        <f ca="1">IFERROR(__xludf.DUMMYFUNCTION("""COMPUTED_VALUE"""),"Tổ Hạ tầng Tân Châu")</f>
        <v>Tổ Hạ tầng Tân Châu</v>
      </c>
      <c r="C1351" s="35" t="str">
        <f ca="1">IFERROR(__xludf.DUMMYFUNCTION("""COMPUTED_VALUE"""),"Nguyễn Hoài Tâm")</f>
        <v>Nguyễn Hoài Tâm</v>
      </c>
      <c r="D1351" s="35">
        <f ca="1">IFERROR(__xludf.DUMMYFUNCTION("""COMPUTED_VALUE"""),944911212)</f>
        <v>944911212</v>
      </c>
      <c r="E1351" s="35" t="str">
        <f ca="1">IFERROR(__xludf.DUMMYFUNCTION("""COMPUTED_VALUE"""),"tamnh.tnh@vnpt.vn")</f>
        <v>tamnh.tnh@vnpt.vn</v>
      </c>
      <c r="F1351" s="540" t="str">
        <f ca="1">IFERROR(__xludf.DUMMYFUNCTION("""COMPUTED_VALUE"""),"Lần 1")</f>
        <v>Lần 1</v>
      </c>
      <c r="G1351" s="278">
        <f ca="1">IFERROR(__xludf.DUMMYFUNCTION("""COMPUTED_VALUE"""),46213)</f>
        <v>46213</v>
      </c>
      <c r="H1351" s="35">
        <f ca="1">IFERROR(__xludf.DUMMYFUNCTION("""COMPUTED_VALUE"""),90)</f>
        <v>90</v>
      </c>
      <c r="I1351" s="35">
        <f ca="1">IFERROR(__xludf.DUMMYFUNCTION("""COMPUTED_VALUE"""),40)</f>
        <v>40</v>
      </c>
      <c r="J1351" s="541">
        <f ca="1">IFERROR(__xludf.DUMMYFUNCTION("""COMPUTED_VALUE"""),87)</f>
        <v>87</v>
      </c>
      <c r="K1351" s="541">
        <f ca="1">IFERROR(__xludf.DUMMYFUNCTION("""COMPUTED_VALUE"""),35)</f>
        <v>35</v>
      </c>
      <c r="M1351" s="539">
        <f ca="1">IFERROR(__xludf.DUMMYFUNCTION("""COMPUTED_VALUE"""),1)</f>
        <v>1</v>
      </c>
      <c r="N1351" s="539">
        <f ca="1">IFERROR(__xludf.DUMMYFUNCTION("""COMPUTED_VALUE"""),1)</f>
        <v>1</v>
      </c>
      <c r="O1351" s="539">
        <f ca="1">IFERROR(__xludf.DUMMYFUNCTION("""COMPUTED_VALUE"""),0)</f>
        <v>0</v>
      </c>
    </row>
    <row r="1352" spans="1:15" ht="12.75">
      <c r="A1352" s="539">
        <f ca="1"/>
        <v>1346</v>
      </c>
      <c r="B1352" s="35" t="str">
        <f ca="1">IFERROR(__xludf.DUMMYFUNCTION("""COMPUTED_VALUE"""),"Tổ Hạ tầng Tân Châu")</f>
        <v>Tổ Hạ tầng Tân Châu</v>
      </c>
      <c r="C1352" s="35" t="str">
        <f ca="1">IFERROR(__xludf.DUMMYFUNCTION("""COMPUTED_VALUE"""),"Nguyễn Hoài Tâm")</f>
        <v>Nguyễn Hoài Tâm</v>
      </c>
      <c r="D1352" s="35">
        <f ca="1">IFERROR(__xludf.DUMMYFUNCTION("""COMPUTED_VALUE"""),944911212)</f>
        <v>944911212</v>
      </c>
      <c r="E1352" s="35" t="str">
        <f ca="1">IFERROR(__xludf.DUMMYFUNCTION("""COMPUTED_VALUE"""),"tamnh.tnh@vnpt.vn")</f>
        <v>tamnh.tnh@vnpt.vn</v>
      </c>
      <c r="F1352" s="540" t="str">
        <f ca="1">IFERROR(__xludf.DUMMYFUNCTION("""COMPUTED_VALUE"""),"Lần 2")</f>
        <v>Lần 2</v>
      </c>
      <c r="G1352" s="278">
        <f ca="1">IFERROR(__xludf.DUMMYFUNCTION("""COMPUTED_VALUE"""),46213)</f>
        <v>46213</v>
      </c>
      <c r="H1352" s="35">
        <f ca="1">IFERROR(__xludf.DUMMYFUNCTION("""COMPUTED_VALUE"""),213)</f>
        <v>213</v>
      </c>
      <c r="I1352" s="35">
        <f ca="1">IFERROR(__xludf.DUMMYFUNCTION("""COMPUTED_VALUE"""),35)</f>
        <v>35</v>
      </c>
      <c r="J1352" s="541">
        <f ca="1">IFERROR(__xludf.DUMMYFUNCTION("""COMPUTED_VALUE"""),209)</f>
        <v>209</v>
      </c>
      <c r="K1352" s="541">
        <f ca="1">IFERROR(__xludf.DUMMYFUNCTION("""COMPUTED_VALUE"""),39)</f>
        <v>39</v>
      </c>
      <c r="M1352" s="539">
        <f ca="1">IFERROR(__xludf.DUMMYFUNCTION("""COMPUTED_VALUE"""),1)</f>
        <v>1</v>
      </c>
      <c r="N1352" s="539">
        <f ca="1">IFERROR(__xludf.DUMMYFUNCTION("""COMPUTED_VALUE"""),1)</f>
        <v>1</v>
      </c>
      <c r="O1352" s="539">
        <f ca="1">IFERROR(__xludf.DUMMYFUNCTION("""COMPUTED_VALUE"""),1)</f>
        <v>1</v>
      </c>
    </row>
    <row r="1353" spans="1:15" ht="12.75">
      <c r="A1353" s="539">
        <f ca="1"/>
        <v>1347</v>
      </c>
      <c r="B1353" s="35" t="str">
        <f ca="1">IFERROR(__xludf.DUMMYFUNCTION("""COMPUTED_VALUE"""),"Tổ Hạ tầng Tân Châu")</f>
        <v>Tổ Hạ tầng Tân Châu</v>
      </c>
      <c r="C1353" s="35" t="str">
        <f ca="1">IFERROR(__xludf.DUMMYFUNCTION("""COMPUTED_VALUE"""),"Nguyễn Hoài Tâm")</f>
        <v>Nguyễn Hoài Tâm</v>
      </c>
      <c r="D1353" s="35">
        <f ca="1">IFERROR(__xludf.DUMMYFUNCTION("""COMPUTED_VALUE"""),944911212)</f>
        <v>944911212</v>
      </c>
      <c r="E1353" s="35" t="str">
        <f ca="1">IFERROR(__xludf.DUMMYFUNCTION("""COMPUTED_VALUE"""),"tamnh.tnh@vnpt.vn")</f>
        <v>tamnh.tnh@vnpt.vn</v>
      </c>
      <c r="F1353" s="540" t="str">
        <f ca="1">IFERROR(__xludf.DUMMYFUNCTION("""COMPUTED_VALUE"""),"Lần 3")</f>
        <v>Lần 3</v>
      </c>
      <c r="G1353" s="278">
        <f ca="1">IFERROR(__xludf.DUMMYFUNCTION("""COMPUTED_VALUE"""),46213)</f>
        <v>46213</v>
      </c>
      <c r="H1353" s="35">
        <f ca="1">IFERROR(__xludf.DUMMYFUNCTION("""COMPUTED_VALUE"""),241)</f>
        <v>241</v>
      </c>
      <c r="I1353" s="35">
        <f ca="1">IFERROR(__xludf.DUMMYFUNCTION("""COMPUTED_VALUE"""),37)</f>
        <v>37</v>
      </c>
      <c r="J1353" s="541">
        <f ca="1">IFERROR(__xludf.DUMMYFUNCTION("""COMPUTED_VALUE"""),234)</f>
        <v>234</v>
      </c>
      <c r="K1353" s="541">
        <f ca="1">IFERROR(__xludf.DUMMYFUNCTION("""COMPUTED_VALUE"""),25)</f>
        <v>25</v>
      </c>
      <c r="M1353" s="539">
        <f ca="1">IFERROR(__xludf.DUMMYFUNCTION("""COMPUTED_VALUE"""),1)</f>
        <v>1</v>
      </c>
      <c r="N1353" s="539">
        <f ca="1">IFERROR(__xludf.DUMMYFUNCTION("""COMPUTED_VALUE"""),1)</f>
        <v>1</v>
      </c>
      <c r="O1353" s="539">
        <f ca="1">IFERROR(__xludf.DUMMYFUNCTION("""COMPUTED_VALUE"""),1)</f>
        <v>1</v>
      </c>
    </row>
    <row r="1354" spans="1:15" ht="12.75">
      <c r="A1354" s="539">
        <f ca="1"/>
        <v>1348</v>
      </c>
      <c r="B1354" s="35" t="str">
        <f ca="1">IFERROR(__xludf.DUMMYFUNCTION("""COMPUTED_VALUE"""),"Tổ Hạ tầng Tân Châu")</f>
        <v>Tổ Hạ tầng Tân Châu</v>
      </c>
      <c r="C1354" s="35" t="str">
        <f ca="1">IFERROR(__xludf.DUMMYFUNCTION("""COMPUTED_VALUE"""),"Nguyễn Hoài Tâm")</f>
        <v>Nguyễn Hoài Tâm</v>
      </c>
      <c r="D1354" s="35">
        <f ca="1">IFERROR(__xludf.DUMMYFUNCTION("""COMPUTED_VALUE"""),944911212)</f>
        <v>944911212</v>
      </c>
      <c r="E1354" s="35" t="str">
        <f ca="1">IFERROR(__xludf.DUMMYFUNCTION("""COMPUTED_VALUE"""),"tamnh.tnh@vnpt.vn")</f>
        <v>tamnh.tnh@vnpt.vn</v>
      </c>
      <c r="F1354" s="540" t="str">
        <f ca="1">IFERROR(__xludf.DUMMYFUNCTION("""COMPUTED_VALUE"""),"Lần 4")</f>
        <v>Lần 4</v>
      </c>
      <c r="G1354" s="278">
        <f ca="1">IFERROR(__xludf.DUMMYFUNCTION("""COMPUTED_VALUE"""),46213)</f>
        <v>46213</v>
      </c>
      <c r="H1354" s="35">
        <f ca="1">IFERROR(__xludf.DUMMYFUNCTION("""COMPUTED_VALUE"""),215)</f>
        <v>215</v>
      </c>
      <c r="I1354" s="35">
        <f ca="1">IFERROR(__xludf.DUMMYFUNCTION("""COMPUTED_VALUE"""),47)</f>
        <v>47</v>
      </c>
      <c r="J1354" s="541">
        <f ca="1">IFERROR(__xludf.DUMMYFUNCTION("""COMPUTED_VALUE"""),213)</f>
        <v>213</v>
      </c>
      <c r="K1354" s="541">
        <f ca="1">IFERROR(__xludf.DUMMYFUNCTION("""COMPUTED_VALUE"""),34)</f>
        <v>34</v>
      </c>
      <c r="M1354" s="539">
        <f ca="1">IFERROR(__xludf.DUMMYFUNCTION("""COMPUTED_VALUE"""),1)</f>
        <v>1</v>
      </c>
      <c r="N1354" s="539">
        <f ca="1">IFERROR(__xludf.DUMMYFUNCTION("""COMPUTED_VALUE"""),1)</f>
        <v>1</v>
      </c>
      <c r="O1354" s="539">
        <f ca="1">IFERROR(__xludf.DUMMYFUNCTION("""COMPUTED_VALUE"""),1)</f>
        <v>1</v>
      </c>
    </row>
    <row r="1355" spans="1:15" ht="12.75">
      <c r="A1355" s="539">
        <f ca="1"/>
        <v>1349</v>
      </c>
      <c r="B1355" s="35" t="str">
        <f ca="1">IFERROR(__xludf.DUMMYFUNCTION("""COMPUTED_VALUE"""),"Tổ Hạ tầng Tân Châu")</f>
        <v>Tổ Hạ tầng Tân Châu</v>
      </c>
      <c r="C1355" s="35" t="str">
        <f ca="1">IFERROR(__xludf.DUMMYFUNCTION("""COMPUTED_VALUE"""),"Nguyễn Hoài Tâm")</f>
        <v>Nguyễn Hoài Tâm</v>
      </c>
      <c r="D1355" s="35">
        <f ca="1">IFERROR(__xludf.DUMMYFUNCTION("""COMPUTED_VALUE"""),944911212)</f>
        <v>944911212</v>
      </c>
      <c r="E1355" s="35" t="str">
        <f ca="1">IFERROR(__xludf.DUMMYFUNCTION("""COMPUTED_VALUE"""),"tamnh.tnh@vnpt.vn")</f>
        <v>tamnh.tnh@vnpt.vn</v>
      </c>
      <c r="F1355" s="540" t="str">
        <f ca="1">IFERROR(__xludf.DUMMYFUNCTION("""COMPUTED_VALUE"""),"Lần 5")</f>
        <v>Lần 5</v>
      </c>
      <c r="G1355" s="278">
        <f ca="1">IFERROR(__xludf.DUMMYFUNCTION("""COMPUTED_VALUE"""),46213)</f>
        <v>46213</v>
      </c>
      <c r="H1355" s="35">
        <f ca="1">IFERROR(__xludf.DUMMYFUNCTION("""COMPUTED_VALUE"""),280)</f>
        <v>280</v>
      </c>
      <c r="I1355" s="35">
        <f ca="1">IFERROR(__xludf.DUMMYFUNCTION("""COMPUTED_VALUE"""),50)</f>
        <v>50</v>
      </c>
      <c r="J1355" s="541">
        <f ca="1">IFERROR(__xludf.DUMMYFUNCTION("""COMPUTED_VALUE"""),268)</f>
        <v>268</v>
      </c>
      <c r="K1355" s="541">
        <f ca="1">IFERROR(__xludf.DUMMYFUNCTION("""COMPUTED_VALUE"""),53)</f>
        <v>53</v>
      </c>
      <c r="M1355" s="539">
        <f ca="1">IFERROR(__xludf.DUMMYFUNCTION("""COMPUTED_VALUE"""),1)</f>
        <v>1</v>
      </c>
      <c r="N1355" s="539">
        <f ca="1">IFERROR(__xludf.DUMMYFUNCTION("""COMPUTED_VALUE"""),1)</f>
        <v>1</v>
      </c>
      <c r="O1355" s="539">
        <f ca="1">IFERROR(__xludf.DUMMYFUNCTION("""COMPUTED_VALUE"""),1)</f>
        <v>1</v>
      </c>
    </row>
    <row r="1356" spans="1:15" ht="12.75">
      <c r="A1356" s="539">
        <f ca="1"/>
        <v>1350</v>
      </c>
      <c r="B1356" s="35" t="str">
        <f ca="1">IFERROR(__xludf.DUMMYFUNCTION("""COMPUTED_VALUE"""),"Tổ Hạ tầng Tân Châu")</f>
        <v>Tổ Hạ tầng Tân Châu</v>
      </c>
      <c r="C1356" s="35" t="str">
        <f ca="1">IFERROR(__xludf.DUMMYFUNCTION("""COMPUTED_VALUE"""),"Nguyễn Hoài Tâm")</f>
        <v>Nguyễn Hoài Tâm</v>
      </c>
      <c r="D1356" s="35">
        <f ca="1">IFERROR(__xludf.DUMMYFUNCTION("""COMPUTED_VALUE"""),944911212)</f>
        <v>944911212</v>
      </c>
      <c r="E1356" s="35" t="str">
        <f ca="1">IFERROR(__xludf.DUMMYFUNCTION("""COMPUTED_VALUE"""),"tamnh.tnh@vnpt.vn")</f>
        <v>tamnh.tnh@vnpt.vn</v>
      </c>
      <c r="F1356" s="540" t="str">
        <f ca="1">IFERROR(__xludf.DUMMYFUNCTION("""COMPUTED_VALUE"""),"Lần 6")</f>
        <v>Lần 6</v>
      </c>
      <c r="G1356" s="278">
        <f ca="1">IFERROR(__xludf.DUMMYFUNCTION("""COMPUTED_VALUE"""),46213)</f>
        <v>46213</v>
      </c>
      <c r="H1356" s="35">
        <f ca="1">IFERROR(__xludf.DUMMYFUNCTION("""COMPUTED_VALUE"""),242)</f>
        <v>242</v>
      </c>
      <c r="I1356" s="35">
        <f ca="1">IFERROR(__xludf.DUMMYFUNCTION("""COMPUTED_VALUE"""),58)</f>
        <v>58</v>
      </c>
      <c r="J1356" s="541">
        <f ca="1">IFERROR(__xludf.DUMMYFUNCTION("""COMPUTED_VALUE"""),251)</f>
        <v>251</v>
      </c>
      <c r="K1356" s="541">
        <f ca="1">IFERROR(__xludf.DUMMYFUNCTION("""COMPUTED_VALUE"""),50)</f>
        <v>50</v>
      </c>
      <c r="M1356" s="539">
        <f ca="1">IFERROR(__xludf.DUMMYFUNCTION("""COMPUTED_VALUE"""),1)</f>
        <v>1</v>
      </c>
      <c r="N1356" s="539">
        <f ca="1">IFERROR(__xludf.DUMMYFUNCTION("""COMPUTED_VALUE"""),1)</f>
        <v>1</v>
      </c>
      <c r="O1356" s="539">
        <f ca="1">IFERROR(__xludf.DUMMYFUNCTION("""COMPUTED_VALUE"""),1)</f>
        <v>1</v>
      </c>
    </row>
    <row r="1357" spans="1:15" ht="12.75">
      <c r="A1357" s="539">
        <f ca="1"/>
        <v>1351</v>
      </c>
      <c r="B1357" s="35" t="str">
        <f ca="1">IFERROR(__xludf.DUMMYFUNCTION("""COMPUTED_VALUE"""),"Tổ Hạ tầng Tân Châu")</f>
        <v>Tổ Hạ tầng Tân Châu</v>
      </c>
      <c r="C1357" s="35" t="str">
        <f ca="1">IFERROR(__xludf.DUMMYFUNCTION("""COMPUTED_VALUE"""),"Nguyễn Hoài Tâm")</f>
        <v>Nguyễn Hoài Tâm</v>
      </c>
      <c r="D1357" s="35">
        <f ca="1">IFERROR(__xludf.DUMMYFUNCTION("""COMPUTED_VALUE"""),944911212)</f>
        <v>944911212</v>
      </c>
      <c r="E1357" s="35" t="str">
        <f ca="1">IFERROR(__xludf.DUMMYFUNCTION("""COMPUTED_VALUE"""),"tamnh.tnh@vnpt.vn")</f>
        <v>tamnh.tnh@vnpt.vn</v>
      </c>
      <c r="F1357" s="540" t="str">
        <f ca="1">IFERROR(__xludf.DUMMYFUNCTION("""COMPUTED_VALUE"""),"Lần 7")</f>
        <v>Lần 7</v>
      </c>
      <c r="G1357" s="278">
        <f ca="1">IFERROR(__xludf.DUMMYFUNCTION("""COMPUTED_VALUE"""),46213)</f>
        <v>46213</v>
      </c>
      <c r="H1357" s="35">
        <f ca="1">IFERROR(__xludf.DUMMYFUNCTION("""COMPUTED_VALUE"""),206)</f>
        <v>206</v>
      </c>
      <c r="I1357" s="35">
        <f ca="1">IFERROR(__xludf.DUMMYFUNCTION("""COMPUTED_VALUE"""),59)</f>
        <v>59</v>
      </c>
      <c r="J1357" s="541">
        <f ca="1">IFERROR(__xludf.DUMMYFUNCTION("""COMPUTED_VALUE"""),210)</f>
        <v>210</v>
      </c>
      <c r="K1357" s="541">
        <f ca="1">IFERROR(__xludf.DUMMYFUNCTION("""COMPUTED_VALUE"""),57)</f>
        <v>57</v>
      </c>
      <c r="M1357" s="539">
        <f ca="1">IFERROR(__xludf.DUMMYFUNCTION("""COMPUTED_VALUE"""),1)</f>
        <v>1</v>
      </c>
      <c r="N1357" s="539">
        <f ca="1">IFERROR(__xludf.DUMMYFUNCTION("""COMPUTED_VALUE"""),1)</f>
        <v>1</v>
      </c>
      <c r="O1357" s="539">
        <f ca="1">IFERROR(__xludf.DUMMYFUNCTION("""COMPUTED_VALUE"""),1)</f>
        <v>1</v>
      </c>
    </row>
    <row r="1358" spans="1:15" ht="12.75">
      <c r="A1358" s="539">
        <f ca="1"/>
        <v>1352</v>
      </c>
      <c r="B1358" s="35" t="str">
        <f ca="1">IFERROR(__xludf.DUMMYFUNCTION("""COMPUTED_VALUE"""),"Tổ Hạ tầng Tân Châu")</f>
        <v>Tổ Hạ tầng Tân Châu</v>
      </c>
      <c r="C1358" s="35" t="str">
        <f ca="1">IFERROR(__xludf.DUMMYFUNCTION("""COMPUTED_VALUE"""),"Nguyễn Hoài Tâm")</f>
        <v>Nguyễn Hoài Tâm</v>
      </c>
      <c r="D1358" s="35">
        <f ca="1">IFERROR(__xludf.DUMMYFUNCTION("""COMPUTED_VALUE"""),944911212)</f>
        <v>944911212</v>
      </c>
      <c r="E1358" s="35" t="str">
        <f ca="1">IFERROR(__xludf.DUMMYFUNCTION("""COMPUTED_VALUE"""),"tamnh.tnh@vnpt.vn")</f>
        <v>tamnh.tnh@vnpt.vn</v>
      </c>
      <c r="F1358" s="540" t="str">
        <f ca="1">IFERROR(__xludf.DUMMYFUNCTION("""COMPUTED_VALUE"""),"Lần 8")</f>
        <v>Lần 8</v>
      </c>
      <c r="G1358" s="278">
        <f ca="1">IFERROR(__xludf.DUMMYFUNCTION("""COMPUTED_VALUE"""),46213)</f>
        <v>46213</v>
      </c>
      <c r="H1358" s="35">
        <f ca="1">IFERROR(__xludf.DUMMYFUNCTION("""COMPUTED_VALUE"""),215)</f>
        <v>215</v>
      </c>
      <c r="I1358" s="35">
        <f ca="1">IFERROR(__xludf.DUMMYFUNCTION("""COMPUTED_VALUE"""),63)</f>
        <v>63</v>
      </c>
      <c r="J1358" s="541">
        <f ca="1">IFERROR(__xludf.DUMMYFUNCTION("""COMPUTED_VALUE"""),222)</f>
        <v>222</v>
      </c>
      <c r="K1358" s="541">
        <f ca="1">IFERROR(__xludf.DUMMYFUNCTION("""COMPUTED_VALUE"""),51)</f>
        <v>51</v>
      </c>
      <c r="M1358" s="539">
        <f ca="1">IFERROR(__xludf.DUMMYFUNCTION("""COMPUTED_VALUE"""),1)</f>
        <v>1</v>
      </c>
      <c r="N1358" s="539">
        <f ca="1">IFERROR(__xludf.DUMMYFUNCTION("""COMPUTED_VALUE"""),1)</f>
        <v>1</v>
      </c>
      <c r="O1358" s="539">
        <f ca="1">IFERROR(__xludf.DUMMYFUNCTION("""COMPUTED_VALUE"""),1)</f>
        <v>1</v>
      </c>
    </row>
    <row r="1359" spans="1:15" ht="12.75">
      <c r="A1359" s="539">
        <f ca="1"/>
        <v>1353</v>
      </c>
      <c r="B1359" s="35" t="str">
        <f ca="1">IFERROR(__xludf.DUMMYFUNCTION("""COMPUTED_VALUE"""),"Tổ Hạ tầng Tân Châu")</f>
        <v>Tổ Hạ tầng Tân Châu</v>
      </c>
      <c r="C1359" s="35" t="str">
        <f ca="1">IFERROR(__xludf.DUMMYFUNCTION("""COMPUTED_VALUE"""),"Nguyễn Hoài Tâm")</f>
        <v>Nguyễn Hoài Tâm</v>
      </c>
      <c r="D1359" s="35">
        <f ca="1">IFERROR(__xludf.DUMMYFUNCTION("""COMPUTED_VALUE"""),944911212)</f>
        <v>944911212</v>
      </c>
      <c r="E1359" s="35" t="str">
        <f ca="1">IFERROR(__xludf.DUMMYFUNCTION("""COMPUTED_VALUE"""),"tamnh.tnh@vnpt.vn")</f>
        <v>tamnh.tnh@vnpt.vn</v>
      </c>
      <c r="F1359" s="540" t="str">
        <f ca="1">IFERROR(__xludf.DUMMYFUNCTION("""COMPUTED_VALUE"""),"Lần 9")</f>
        <v>Lần 9</v>
      </c>
      <c r="G1359" s="278"/>
      <c r="H1359" s="35"/>
      <c r="I1359" s="35"/>
      <c r="J1359" s="541"/>
      <c r="K1359" s="541"/>
      <c r="M1359" s="539">
        <f ca="1">IFERROR(__xludf.DUMMYFUNCTION("""COMPUTED_VALUE"""),0)</f>
        <v>0</v>
      </c>
      <c r="N1359" s="539">
        <f ca="1">IFERROR(__xludf.DUMMYFUNCTION("""COMPUTED_VALUE"""),0)</f>
        <v>0</v>
      </c>
      <c r="O1359" s="539">
        <f ca="1">IFERROR(__xludf.DUMMYFUNCTION("""COMPUTED_VALUE"""),0)</f>
        <v>0</v>
      </c>
    </row>
    <row r="1360" spans="1:15" ht="12.75">
      <c r="A1360" s="539">
        <f ca="1"/>
        <v>1354</v>
      </c>
      <c r="B1360" s="35" t="str">
        <f ca="1">IFERROR(__xludf.DUMMYFUNCTION("""COMPUTED_VALUE"""),"Tổ Hạ tầng Tân Châu")</f>
        <v>Tổ Hạ tầng Tân Châu</v>
      </c>
      <c r="C1360" s="35" t="str">
        <f ca="1">IFERROR(__xludf.DUMMYFUNCTION("""COMPUTED_VALUE"""),"Nguyễn Hoài Tâm")</f>
        <v>Nguyễn Hoài Tâm</v>
      </c>
      <c r="D1360" s="35">
        <f ca="1">IFERROR(__xludf.DUMMYFUNCTION("""COMPUTED_VALUE"""),944911212)</f>
        <v>944911212</v>
      </c>
      <c r="E1360" s="35" t="str">
        <f ca="1">IFERROR(__xludf.DUMMYFUNCTION("""COMPUTED_VALUE"""),"tamnh.tnh@vnpt.vn")</f>
        <v>tamnh.tnh@vnpt.vn</v>
      </c>
      <c r="F1360" s="540" t="str">
        <f ca="1">IFERROR(__xludf.DUMMYFUNCTION("""COMPUTED_VALUE"""),"Lần 10")</f>
        <v>Lần 10</v>
      </c>
      <c r="G1360" s="278"/>
      <c r="H1360" s="35"/>
      <c r="I1360" s="35"/>
      <c r="J1360" s="541"/>
      <c r="K1360" s="541"/>
      <c r="M1360" s="539">
        <f ca="1">IFERROR(__xludf.DUMMYFUNCTION("""COMPUTED_VALUE"""),0)</f>
        <v>0</v>
      </c>
      <c r="N1360" s="539">
        <f ca="1">IFERROR(__xludf.DUMMYFUNCTION("""COMPUTED_VALUE"""),0)</f>
        <v>0</v>
      </c>
      <c r="O1360" s="539">
        <f ca="1">IFERROR(__xludf.DUMMYFUNCTION("""COMPUTED_VALUE"""),0)</f>
        <v>0</v>
      </c>
    </row>
    <row r="1361" spans="1:15" ht="12.75">
      <c r="A1361" s="539">
        <f ca="1"/>
        <v>1355</v>
      </c>
      <c r="B1361" s="35" t="str">
        <f ca="1">IFERROR(__xludf.DUMMYFUNCTION("""COMPUTED_VALUE"""),"Tổ Hạ tầng Tân Châu")</f>
        <v>Tổ Hạ tầng Tân Châu</v>
      </c>
      <c r="C1361" s="35" t="str">
        <f ca="1">IFERROR(__xludf.DUMMYFUNCTION("""COMPUTED_VALUE"""),"Nguyễn Hoài Tâm")</f>
        <v>Nguyễn Hoài Tâm</v>
      </c>
      <c r="D1361" s="35">
        <f ca="1">IFERROR(__xludf.DUMMYFUNCTION("""COMPUTED_VALUE"""),944911212)</f>
        <v>944911212</v>
      </c>
      <c r="E1361" s="35" t="str">
        <f ca="1">IFERROR(__xludf.DUMMYFUNCTION("""COMPUTED_VALUE"""),"tamnh.tnh@vnpt.vn")</f>
        <v>tamnh.tnh@vnpt.vn</v>
      </c>
      <c r="F1361" s="540" t="str">
        <f ca="1">IFERROR(__xludf.DUMMYFUNCTION("""COMPUTED_VALUE"""),"Lần 11")</f>
        <v>Lần 11</v>
      </c>
      <c r="G1361" s="278"/>
      <c r="H1361" s="35"/>
      <c r="I1361" s="35"/>
      <c r="J1361" s="541"/>
      <c r="K1361" s="541"/>
      <c r="M1361" s="539">
        <f ca="1">IFERROR(__xludf.DUMMYFUNCTION("""COMPUTED_VALUE"""),0)</f>
        <v>0</v>
      </c>
      <c r="N1361" s="539">
        <f ca="1">IFERROR(__xludf.DUMMYFUNCTION("""COMPUTED_VALUE"""),0)</f>
        <v>0</v>
      </c>
      <c r="O1361" s="539">
        <f ca="1">IFERROR(__xludf.DUMMYFUNCTION("""COMPUTED_VALUE"""),0)</f>
        <v>0</v>
      </c>
    </row>
    <row r="1362" spans="1:15" ht="12.75">
      <c r="A1362" s="539">
        <f ca="1"/>
        <v>1356</v>
      </c>
      <c r="B1362" s="35" t="str">
        <f ca="1">IFERROR(__xludf.DUMMYFUNCTION("""COMPUTED_VALUE"""),"Tổ Hạ tầng Tân Châu")</f>
        <v>Tổ Hạ tầng Tân Châu</v>
      </c>
      <c r="C1362" s="35" t="str">
        <f ca="1">IFERROR(__xludf.DUMMYFUNCTION("""COMPUTED_VALUE"""),"Nguyễn Hoài Tâm")</f>
        <v>Nguyễn Hoài Tâm</v>
      </c>
      <c r="D1362" s="35">
        <f ca="1">IFERROR(__xludf.DUMMYFUNCTION("""COMPUTED_VALUE"""),944911212)</f>
        <v>944911212</v>
      </c>
      <c r="E1362" s="35" t="str">
        <f ca="1">IFERROR(__xludf.DUMMYFUNCTION("""COMPUTED_VALUE"""),"tamnh.tnh@vnpt.vn")</f>
        <v>tamnh.tnh@vnpt.vn</v>
      </c>
      <c r="F1362" s="540" t="str">
        <f ca="1">IFERROR(__xludf.DUMMYFUNCTION("""COMPUTED_VALUE"""),"Lần 12")</f>
        <v>Lần 12</v>
      </c>
      <c r="G1362" s="278"/>
      <c r="H1362" s="35"/>
      <c r="I1362" s="35"/>
      <c r="J1362" s="541"/>
      <c r="K1362" s="541"/>
      <c r="M1362" s="539">
        <f ca="1">IFERROR(__xludf.DUMMYFUNCTION("""COMPUTED_VALUE"""),0)</f>
        <v>0</v>
      </c>
      <c r="N1362" s="539">
        <f ca="1">IFERROR(__xludf.DUMMYFUNCTION("""COMPUTED_VALUE"""),0)</f>
        <v>0</v>
      </c>
      <c r="O1362" s="539">
        <f ca="1">IFERROR(__xludf.DUMMYFUNCTION("""COMPUTED_VALUE"""),0)</f>
        <v>0</v>
      </c>
    </row>
    <row r="1363" spans="1:15" ht="12.75">
      <c r="A1363" s="539">
        <f ca="1"/>
        <v>1357</v>
      </c>
      <c r="B1363" s="35" t="str">
        <f ca="1">IFERROR(__xludf.DUMMYFUNCTION("""COMPUTED_VALUE"""),"Tổ Hạ tầng Tân Châu")</f>
        <v>Tổ Hạ tầng Tân Châu</v>
      </c>
      <c r="C1363" s="35" t="str">
        <f ca="1">IFERROR(__xludf.DUMMYFUNCTION("""COMPUTED_VALUE"""),"Nguyễn Hoài Tâm")</f>
        <v>Nguyễn Hoài Tâm</v>
      </c>
      <c r="D1363" s="35">
        <f ca="1">IFERROR(__xludf.DUMMYFUNCTION("""COMPUTED_VALUE"""),944911212)</f>
        <v>944911212</v>
      </c>
      <c r="E1363" s="35" t="str">
        <f ca="1">IFERROR(__xludf.DUMMYFUNCTION("""COMPUTED_VALUE"""),"tamnh.tnh@vnpt.vn")</f>
        <v>tamnh.tnh@vnpt.vn</v>
      </c>
      <c r="F1363" s="540" t="str">
        <f ca="1">IFERROR(__xludf.DUMMYFUNCTION("""COMPUTED_VALUE"""),"Lần 13")</f>
        <v>Lần 13</v>
      </c>
      <c r="G1363" s="278"/>
      <c r="H1363" s="35"/>
      <c r="I1363" s="35"/>
      <c r="J1363" s="541"/>
      <c r="K1363" s="541"/>
      <c r="M1363" s="539">
        <f ca="1">IFERROR(__xludf.DUMMYFUNCTION("""COMPUTED_VALUE"""),0)</f>
        <v>0</v>
      </c>
      <c r="N1363" s="539">
        <f ca="1">IFERROR(__xludf.DUMMYFUNCTION("""COMPUTED_VALUE"""),0)</f>
        <v>0</v>
      </c>
      <c r="O1363" s="539">
        <f ca="1">IFERROR(__xludf.DUMMYFUNCTION("""COMPUTED_VALUE"""),0)</f>
        <v>0</v>
      </c>
    </row>
    <row r="1364" spans="1:15" ht="12.75">
      <c r="A1364" s="539">
        <f ca="1"/>
        <v>1358</v>
      </c>
      <c r="B1364" s="35" t="str">
        <f ca="1">IFERROR(__xludf.DUMMYFUNCTION("""COMPUTED_VALUE"""),"Tổ Hạ tầng Tân Châu")</f>
        <v>Tổ Hạ tầng Tân Châu</v>
      </c>
      <c r="C1364" s="35" t="str">
        <f ca="1">IFERROR(__xludf.DUMMYFUNCTION("""COMPUTED_VALUE"""),"Nguyễn Hoài Tâm")</f>
        <v>Nguyễn Hoài Tâm</v>
      </c>
      <c r="D1364" s="35">
        <f ca="1">IFERROR(__xludf.DUMMYFUNCTION("""COMPUTED_VALUE"""),944911212)</f>
        <v>944911212</v>
      </c>
      <c r="E1364" s="35" t="str">
        <f ca="1">IFERROR(__xludf.DUMMYFUNCTION("""COMPUTED_VALUE"""),"tamnh.tnh@vnpt.vn")</f>
        <v>tamnh.tnh@vnpt.vn</v>
      </c>
      <c r="F1364" s="540" t="str">
        <f ca="1">IFERROR(__xludf.DUMMYFUNCTION("""COMPUTED_VALUE"""),"Lần 14")</f>
        <v>Lần 14</v>
      </c>
      <c r="G1364" s="278"/>
      <c r="H1364" s="35"/>
      <c r="I1364" s="35"/>
      <c r="J1364" s="541"/>
      <c r="K1364" s="541"/>
      <c r="M1364" s="539">
        <f ca="1">IFERROR(__xludf.DUMMYFUNCTION("""COMPUTED_VALUE"""),0)</f>
        <v>0</v>
      </c>
      <c r="N1364" s="539">
        <f ca="1">IFERROR(__xludf.DUMMYFUNCTION("""COMPUTED_VALUE"""),0)</f>
        <v>0</v>
      </c>
      <c r="O1364" s="539">
        <f ca="1">IFERROR(__xludf.DUMMYFUNCTION("""COMPUTED_VALUE"""),0)</f>
        <v>0</v>
      </c>
    </row>
    <row r="1365" spans="1:15" ht="12.75">
      <c r="A1365" s="539">
        <f ca="1"/>
        <v>1359</v>
      </c>
      <c r="B1365" s="35" t="str">
        <f ca="1">IFERROR(__xludf.DUMMYFUNCTION("""COMPUTED_VALUE"""),"Tổ Hạ tầng Tân Châu")</f>
        <v>Tổ Hạ tầng Tân Châu</v>
      </c>
      <c r="C1365" s="35" t="str">
        <f ca="1">IFERROR(__xludf.DUMMYFUNCTION("""COMPUTED_VALUE"""),"Nguyễn Hoài Tâm")</f>
        <v>Nguyễn Hoài Tâm</v>
      </c>
      <c r="D1365" s="35">
        <f ca="1">IFERROR(__xludf.DUMMYFUNCTION("""COMPUTED_VALUE"""),944911212)</f>
        <v>944911212</v>
      </c>
      <c r="E1365" s="35" t="str">
        <f ca="1">IFERROR(__xludf.DUMMYFUNCTION("""COMPUTED_VALUE"""),"tamnh.tnh@vnpt.vn")</f>
        <v>tamnh.tnh@vnpt.vn</v>
      </c>
      <c r="F1365" s="540" t="str">
        <f ca="1">IFERROR(__xludf.DUMMYFUNCTION("""COMPUTED_VALUE"""),"Lần 15")</f>
        <v>Lần 15</v>
      </c>
      <c r="G1365" s="278"/>
      <c r="H1365" s="35"/>
      <c r="I1365" s="35"/>
      <c r="J1365" s="541"/>
      <c r="K1365" s="541"/>
      <c r="M1365" s="539">
        <f ca="1">IFERROR(__xludf.DUMMYFUNCTION("""COMPUTED_VALUE"""),0)</f>
        <v>0</v>
      </c>
      <c r="N1365" s="539">
        <f ca="1">IFERROR(__xludf.DUMMYFUNCTION("""COMPUTED_VALUE"""),0)</f>
        <v>0</v>
      </c>
      <c r="O1365" s="539">
        <f ca="1">IFERROR(__xludf.DUMMYFUNCTION("""COMPUTED_VALUE"""),0)</f>
        <v>0</v>
      </c>
    </row>
    <row r="1366" spans="1:15" ht="12.75">
      <c r="A1366" s="539">
        <f ca="1"/>
        <v>1360</v>
      </c>
      <c r="B1366" s="35" t="str">
        <f ca="1">IFERROR(__xludf.DUMMYFUNCTION("""COMPUTED_VALUE"""),"Tổ Hạ tầng Tân Châu")</f>
        <v>Tổ Hạ tầng Tân Châu</v>
      </c>
      <c r="C1366" s="35" t="str">
        <f ca="1">IFERROR(__xludf.DUMMYFUNCTION("""COMPUTED_VALUE"""),"Nguyễn Hoài Tâm")</f>
        <v>Nguyễn Hoài Tâm</v>
      </c>
      <c r="D1366" s="35">
        <f ca="1">IFERROR(__xludf.DUMMYFUNCTION("""COMPUTED_VALUE"""),944911212)</f>
        <v>944911212</v>
      </c>
      <c r="E1366" s="35" t="str">
        <f ca="1">IFERROR(__xludf.DUMMYFUNCTION("""COMPUTED_VALUE"""),"tamnh.tnh@vnpt.vn")</f>
        <v>tamnh.tnh@vnpt.vn</v>
      </c>
      <c r="F1366" s="540" t="str">
        <f ca="1">IFERROR(__xludf.DUMMYFUNCTION("""COMPUTED_VALUE"""),"Lần 16")</f>
        <v>Lần 16</v>
      </c>
      <c r="G1366" s="278"/>
      <c r="H1366" s="35"/>
      <c r="I1366" s="35"/>
      <c r="J1366" s="541"/>
      <c r="K1366" s="541"/>
      <c r="M1366" s="539">
        <f ca="1">IFERROR(__xludf.DUMMYFUNCTION("""COMPUTED_VALUE"""),0)</f>
        <v>0</v>
      </c>
      <c r="N1366" s="539">
        <f ca="1">IFERROR(__xludf.DUMMYFUNCTION("""COMPUTED_VALUE"""),0)</f>
        <v>0</v>
      </c>
      <c r="O1366" s="539">
        <f ca="1">IFERROR(__xludf.DUMMYFUNCTION("""COMPUTED_VALUE"""),0)</f>
        <v>0</v>
      </c>
    </row>
    <row r="1367" spans="1:15" ht="12.75">
      <c r="A1367" s="539">
        <f ca="1"/>
        <v>1361</v>
      </c>
      <c r="B1367" s="35" t="str">
        <f ca="1">IFERROR(__xludf.DUMMYFUNCTION("""COMPUTED_VALUE"""),"Tổ Hạ tầng Tân Châu")</f>
        <v>Tổ Hạ tầng Tân Châu</v>
      </c>
      <c r="C1367" s="35" t="str">
        <f ca="1">IFERROR(__xludf.DUMMYFUNCTION("""COMPUTED_VALUE"""),"Phạm Đức Nguyên")</f>
        <v>Phạm Đức Nguyên</v>
      </c>
      <c r="D1367" s="35">
        <f ca="1">IFERROR(__xludf.DUMMYFUNCTION("""COMPUTED_VALUE"""),916014541)</f>
        <v>916014541</v>
      </c>
      <c r="E1367" s="35" t="str">
        <f ca="1">IFERROR(__xludf.DUMMYFUNCTION("""COMPUTED_VALUE"""),"nguyenpd.tnh@vnpt.vn")</f>
        <v>nguyenpd.tnh@vnpt.vn</v>
      </c>
      <c r="F1367" s="540" t="str">
        <f ca="1">IFERROR(__xludf.DUMMYFUNCTION("""COMPUTED_VALUE"""),"Lần 1")</f>
        <v>Lần 1</v>
      </c>
      <c r="G1367" s="278"/>
      <c r="H1367" s="35"/>
      <c r="I1367" s="35"/>
      <c r="J1367" s="35"/>
      <c r="K1367" s="35"/>
      <c r="M1367" s="539">
        <f ca="1">IFERROR(__xludf.DUMMYFUNCTION("""COMPUTED_VALUE"""),0)</f>
        <v>0</v>
      </c>
      <c r="N1367" s="539">
        <f ca="1">IFERROR(__xludf.DUMMYFUNCTION("""COMPUTED_VALUE"""),0)</f>
        <v>0</v>
      </c>
      <c r="O1367" s="539">
        <f ca="1">IFERROR(__xludf.DUMMYFUNCTION("""COMPUTED_VALUE"""),0)</f>
        <v>0</v>
      </c>
    </row>
    <row r="1368" spans="1:15" ht="12.75">
      <c r="A1368" s="539">
        <f ca="1"/>
        <v>1362</v>
      </c>
      <c r="B1368" s="35" t="str">
        <f ca="1">IFERROR(__xludf.DUMMYFUNCTION("""COMPUTED_VALUE"""),"Tổ Hạ tầng Tân Châu")</f>
        <v>Tổ Hạ tầng Tân Châu</v>
      </c>
      <c r="C1368" s="35" t="str">
        <f ca="1">IFERROR(__xludf.DUMMYFUNCTION("""COMPUTED_VALUE"""),"Phạm Đức Nguyên")</f>
        <v>Phạm Đức Nguyên</v>
      </c>
      <c r="D1368" s="35">
        <f ca="1">IFERROR(__xludf.DUMMYFUNCTION("""COMPUTED_VALUE"""),916014541)</f>
        <v>916014541</v>
      </c>
      <c r="E1368" s="35" t="str">
        <f ca="1">IFERROR(__xludf.DUMMYFUNCTION("""COMPUTED_VALUE"""),"nguyenpd.tnh@vnpt.vn")</f>
        <v>nguyenpd.tnh@vnpt.vn</v>
      </c>
      <c r="F1368" s="540" t="str">
        <f ca="1">IFERROR(__xludf.DUMMYFUNCTION("""COMPUTED_VALUE"""),"Lần 2")</f>
        <v>Lần 2</v>
      </c>
      <c r="G1368" s="278"/>
      <c r="H1368" s="35"/>
      <c r="I1368" s="35"/>
      <c r="J1368" s="35"/>
      <c r="K1368" s="35"/>
      <c r="M1368" s="539">
        <f ca="1">IFERROR(__xludf.DUMMYFUNCTION("""COMPUTED_VALUE"""),0)</f>
        <v>0</v>
      </c>
      <c r="N1368" s="539">
        <f ca="1">IFERROR(__xludf.DUMMYFUNCTION("""COMPUTED_VALUE"""),0)</f>
        <v>0</v>
      </c>
      <c r="O1368" s="539">
        <f ca="1">IFERROR(__xludf.DUMMYFUNCTION("""COMPUTED_VALUE"""),0)</f>
        <v>0</v>
      </c>
    </row>
    <row r="1369" spans="1:15" ht="12.75">
      <c r="A1369" s="539">
        <f ca="1"/>
        <v>1363</v>
      </c>
      <c r="B1369" s="35" t="str">
        <f ca="1">IFERROR(__xludf.DUMMYFUNCTION("""COMPUTED_VALUE"""),"Tổ Hạ tầng Tân Châu")</f>
        <v>Tổ Hạ tầng Tân Châu</v>
      </c>
      <c r="C1369" s="35" t="str">
        <f ca="1">IFERROR(__xludf.DUMMYFUNCTION("""COMPUTED_VALUE"""),"Phạm Đức Nguyên")</f>
        <v>Phạm Đức Nguyên</v>
      </c>
      <c r="D1369" s="35">
        <f ca="1">IFERROR(__xludf.DUMMYFUNCTION("""COMPUTED_VALUE"""),916014541)</f>
        <v>916014541</v>
      </c>
      <c r="E1369" s="35" t="str">
        <f ca="1">IFERROR(__xludf.DUMMYFUNCTION("""COMPUTED_VALUE"""),"nguyenpd.tnh@vnpt.vn")</f>
        <v>nguyenpd.tnh@vnpt.vn</v>
      </c>
      <c r="F1369" s="540" t="str">
        <f ca="1">IFERROR(__xludf.DUMMYFUNCTION("""COMPUTED_VALUE"""),"Lần 3")</f>
        <v>Lần 3</v>
      </c>
      <c r="G1369" s="278"/>
      <c r="H1369" s="35"/>
      <c r="I1369" s="35"/>
      <c r="J1369" s="541"/>
      <c r="K1369" s="541"/>
      <c r="M1369" s="539">
        <f ca="1">IFERROR(__xludf.DUMMYFUNCTION("""COMPUTED_VALUE"""),0)</f>
        <v>0</v>
      </c>
      <c r="N1369" s="539">
        <f ca="1">IFERROR(__xludf.DUMMYFUNCTION("""COMPUTED_VALUE"""),0)</f>
        <v>0</v>
      </c>
      <c r="O1369" s="539">
        <f ca="1">IFERROR(__xludf.DUMMYFUNCTION("""COMPUTED_VALUE"""),0)</f>
        <v>0</v>
      </c>
    </row>
    <row r="1370" spans="1:15" ht="12.75">
      <c r="A1370" s="539">
        <f ca="1"/>
        <v>1364</v>
      </c>
      <c r="B1370" s="35" t="str">
        <f ca="1">IFERROR(__xludf.DUMMYFUNCTION("""COMPUTED_VALUE"""),"Tổ Hạ tầng Tân Châu")</f>
        <v>Tổ Hạ tầng Tân Châu</v>
      </c>
      <c r="C1370" s="35" t="str">
        <f ca="1">IFERROR(__xludf.DUMMYFUNCTION("""COMPUTED_VALUE"""),"Phạm Đức Nguyên")</f>
        <v>Phạm Đức Nguyên</v>
      </c>
      <c r="D1370" s="35">
        <f ca="1">IFERROR(__xludf.DUMMYFUNCTION("""COMPUTED_VALUE"""),916014541)</f>
        <v>916014541</v>
      </c>
      <c r="E1370" s="35" t="str">
        <f ca="1">IFERROR(__xludf.DUMMYFUNCTION("""COMPUTED_VALUE"""),"nguyenpd.tnh@vnpt.vn")</f>
        <v>nguyenpd.tnh@vnpt.vn</v>
      </c>
      <c r="F1370" s="540" t="str">
        <f ca="1">IFERROR(__xludf.DUMMYFUNCTION("""COMPUTED_VALUE"""),"Lần 4")</f>
        <v>Lần 4</v>
      </c>
      <c r="G1370" s="278"/>
      <c r="H1370" s="35"/>
      <c r="I1370" s="35"/>
      <c r="J1370" s="35"/>
      <c r="K1370" s="35"/>
      <c r="M1370" s="539">
        <f ca="1">IFERROR(__xludf.DUMMYFUNCTION("""COMPUTED_VALUE"""),0)</f>
        <v>0</v>
      </c>
      <c r="N1370" s="539">
        <f ca="1">IFERROR(__xludf.DUMMYFUNCTION("""COMPUTED_VALUE"""),0)</f>
        <v>0</v>
      </c>
      <c r="O1370" s="539">
        <f ca="1">IFERROR(__xludf.DUMMYFUNCTION("""COMPUTED_VALUE"""),0)</f>
        <v>0</v>
      </c>
    </row>
    <row r="1371" spans="1:15" ht="12.75">
      <c r="A1371" s="539">
        <f ca="1"/>
        <v>1365</v>
      </c>
      <c r="B1371" s="35" t="str">
        <f ca="1">IFERROR(__xludf.DUMMYFUNCTION("""COMPUTED_VALUE"""),"Tổ Hạ tầng Tân Châu")</f>
        <v>Tổ Hạ tầng Tân Châu</v>
      </c>
      <c r="C1371" s="35" t="str">
        <f ca="1">IFERROR(__xludf.DUMMYFUNCTION("""COMPUTED_VALUE"""),"Phạm Đức Nguyên")</f>
        <v>Phạm Đức Nguyên</v>
      </c>
      <c r="D1371" s="35">
        <f ca="1">IFERROR(__xludf.DUMMYFUNCTION("""COMPUTED_VALUE"""),916014541)</f>
        <v>916014541</v>
      </c>
      <c r="E1371" s="35" t="str">
        <f ca="1">IFERROR(__xludf.DUMMYFUNCTION("""COMPUTED_VALUE"""),"nguyenpd.tnh@vnpt.vn")</f>
        <v>nguyenpd.tnh@vnpt.vn</v>
      </c>
      <c r="F1371" s="540" t="str">
        <f ca="1">IFERROR(__xludf.DUMMYFUNCTION("""COMPUTED_VALUE"""),"Lần 5")</f>
        <v>Lần 5</v>
      </c>
      <c r="G1371" s="278"/>
      <c r="H1371" s="35"/>
      <c r="I1371" s="35"/>
      <c r="J1371" s="541"/>
      <c r="K1371" s="541"/>
      <c r="M1371" s="539">
        <f ca="1">IFERROR(__xludf.DUMMYFUNCTION("""COMPUTED_VALUE"""),0)</f>
        <v>0</v>
      </c>
      <c r="N1371" s="539">
        <f ca="1">IFERROR(__xludf.DUMMYFUNCTION("""COMPUTED_VALUE"""),0)</f>
        <v>0</v>
      </c>
      <c r="O1371" s="539">
        <f ca="1">IFERROR(__xludf.DUMMYFUNCTION("""COMPUTED_VALUE"""),0)</f>
        <v>0</v>
      </c>
    </row>
    <row r="1372" spans="1:15" ht="12.75">
      <c r="A1372" s="539">
        <f ca="1"/>
        <v>1366</v>
      </c>
      <c r="B1372" s="35" t="str">
        <f ca="1">IFERROR(__xludf.DUMMYFUNCTION("""COMPUTED_VALUE"""),"Tổ Hạ tầng Tân Châu")</f>
        <v>Tổ Hạ tầng Tân Châu</v>
      </c>
      <c r="C1372" s="35" t="str">
        <f ca="1">IFERROR(__xludf.DUMMYFUNCTION("""COMPUTED_VALUE"""),"Phạm Đức Nguyên")</f>
        <v>Phạm Đức Nguyên</v>
      </c>
      <c r="D1372" s="35">
        <f ca="1">IFERROR(__xludf.DUMMYFUNCTION("""COMPUTED_VALUE"""),916014541)</f>
        <v>916014541</v>
      </c>
      <c r="E1372" s="35" t="str">
        <f ca="1">IFERROR(__xludf.DUMMYFUNCTION("""COMPUTED_VALUE"""),"nguyenpd.tnh@vnpt.vn")</f>
        <v>nguyenpd.tnh@vnpt.vn</v>
      </c>
      <c r="F1372" s="540" t="str">
        <f ca="1">IFERROR(__xludf.DUMMYFUNCTION("""COMPUTED_VALUE"""),"Lần 6")</f>
        <v>Lần 6</v>
      </c>
      <c r="G1372" s="278"/>
      <c r="H1372" s="35"/>
      <c r="I1372" s="35"/>
      <c r="J1372" s="541"/>
      <c r="K1372" s="541"/>
      <c r="M1372" s="539">
        <f ca="1">IFERROR(__xludf.DUMMYFUNCTION("""COMPUTED_VALUE"""),0)</f>
        <v>0</v>
      </c>
      <c r="N1372" s="539">
        <f ca="1">IFERROR(__xludf.DUMMYFUNCTION("""COMPUTED_VALUE"""),0)</f>
        <v>0</v>
      </c>
      <c r="O1372" s="539">
        <f ca="1">IFERROR(__xludf.DUMMYFUNCTION("""COMPUTED_VALUE"""),0)</f>
        <v>0</v>
      </c>
    </row>
    <row r="1373" spans="1:15" ht="12.75">
      <c r="A1373" s="539">
        <f ca="1"/>
        <v>1367</v>
      </c>
      <c r="B1373" s="35" t="str">
        <f ca="1">IFERROR(__xludf.DUMMYFUNCTION("""COMPUTED_VALUE"""),"Tổ Hạ tầng Tân Châu")</f>
        <v>Tổ Hạ tầng Tân Châu</v>
      </c>
      <c r="C1373" s="35" t="str">
        <f ca="1">IFERROR(__xludf.DUMMYFUNCTION("""COMPUTED_VALUE"""),"Phạm Đức Nguyên")</f>
        <v>Phạm Đức Nguyên</v>
      </c>
      <c r="D1373" s="35">
        <f ca="1">IFERROR(__xludf.DUMMYFUNCTION("""COMPUTED_VALUE"""),916014541)</f>
        <v>916014541</v>
      </c>
      <c r="E1373" s="35" t="str">
        <f ca="1">IFERROR(__xludf.DUMMYFUNCTION("""COMPUTED_VALUE"""),"nguyenpd.tnh@vnpt.vn")</f>
        <v>nguyenpd.tnh@vnpt.vn</v>
      </c>
      <c r="F1373" s="540" t="str">
        <f ca="1">IFERROR(__xludf.DUMMYFUNCTION("""COMPUTED_VALUE"""),"Lần 7")</f>
        <v>Lần 7</v>
      </c>
      <c r="G1373" s="278"/>
      <c r="H1373" s="35"/>
      <c r="I1373" s="35"/>
      <c r="J1373" s="541"/>
      <c r="K1373" s="541"/>
      <c r="M1373" s="539">
        <f ca="1">IFERROR(__xludf.DUMMYFUNCTION("""COMPUTED_VALUE"""),0)</f>
        <v>0</v>
      </c>
      <c r="N1373" s="539">
        <f ca="1">IFERROR(__xludf.DUMMYFUNCTION("""COMPUTED_VALUE"""),0)</f>
        <v>0</v>
      </c>
      <c r="O1373" s="539">
        <f ca="1">IFERROR(__xludf.DUMMYFUNCTION("""COMPUTED_VALUE"""),0)</f>
        <v>0</v>
      </c>
    </row>
    <row r="1374" spans="1:15" ht="12.75">
      <c r="A1374" s="539">
        <f ca="1"/>
        <v>1368</v>
      </c>
      <c r="B1374" s="35" t="str">
        <f ca="1">IFERROR(__xludf.DUMMYFUNCTION("""COMPUTED_VALUE"""),"Tổ Hạ tầng Tân Châu")</f>
        <v>Tổ Hạ tầng Tân Châu</v>
      </c>
      <c r="C1374" s="35" t="str">
        <f ca="1">IFERROR(__xludf.DUMMYFUNCTION("""COMPUTED_VALUE"""),"Phạm Đức Nguyên")</f>
        <v>Phạm Đức Nguyên</v>
      </c>
      <c r="D1374" s="35">
        <f ca="1">IFERROR(__xludf.DUMMYFUNCTION("""COMPUTED_VALUE"""),916014541)</f>
        <v>916014541</v>
      </c>
      <c r="E1374" s="35" t="str">
        <f ca="1">IFERROR(__xludf.DUMMYFUNCTION("""COMPUTED_VALUE"""),"nguyenpd.tnh@vnpt.vn")</f>
        <v>nguyenpd.tnh@vnpt.vn</v>
      </c>
      <c r="F1374" s="540" t="str">
        <f ca="1">IFERROR(__xludf.DUMMYFUNCTION("""COMPUTED_VALUE"""),"Lần 8")</f>
        <v>Lần 8</v>
      </c>
      <c r="G1374" s="278"/>
      <c r="H1374" s="35"/>
      <c r="I1374" s="35"/>
      <c r="J1374" s="541"/>
      <c r="K1374" s="541"/>
      <c r="M1374" s="539">
        <f ca="1">IFERROR(__xludf.DUMMYFUNCTION("""COMPUTED_VALUE"""),0)</f>
        <v>0</v>
      </c>
      <c r="N1374" s="539">
        <f ca="1">IFERROR(__xludf.DUMMYFUNCTION("""COMPUTED_VALUE"""),0)</f>
        <v>0</v>
      </c>
      <c r="O1374" s="539">
        <f ca="1">IFERROR(__xludf.DUMMYFUNCTION("""COMPUTED_VALUE"""),0)</f>
        <v>0</v>
      </c>
    </row>
    <row r="1375" spans="1:15" ht="12.75">
      <c r="A1375" s="539">
        <f ca="1"/>
        <v>1369</v>
      </c>
      <c r="B1375" s="35" t="str">
        <f ca="1">IFERROR(__xludf.DUMMYFUNCTION("""COMPUTED_VALUE"""),"Tổ Hạ tầng Tân Châu")</f>
        <v>Tổ Hạ tầng Tân Châu</v>
      </c>
      <c r="C1375" s="35" t="str">
        <f ca="1">IFERROR(__xludf.DUMMYFUNCTION("""COMPUTED_VALUE"""),"Phạm Đức Nguyên")</f>
        <v>Phạm Đức Nguyên</v>
      </c>
      <c r="D1375" s="35">
        <f ca="1">IFERROR(__xludf.DUMMYFUNCTION("""COMPUTED_VALUE"""),916014541)</f>
        <v>916014541</v>
      </c>
      <c r="E1375" s="35" t="str">
        <f ca="1">IFERROR(__xludf.DUMMYFUNCTION("""COMPUTED_VALUE"""),"nguyenpd.tnh@vnpt.vn")</f>
        <v>nguyenpd.tnh@vnpt.vn</v>
      </c>
      <c r="F1375" s="540" t="str">
        <f ca="1">IFERROR(__xludf.DUMMYFUNCTION("""COMPUTED_VALUE"""),"Lần 9")</f>
        <v>Lần 9</v>
      </c>
      <c r="G1375" s="278"/>
      <c r="H1375" s="35"/>
      <c r="I1375" s="35"/>
      <c r="J1375" s="541"/>
      <c r="K1375" s="541"/>
      <c r="M1375" s="539">
        <f ca="1">IFERROR(__xludf.DUMMYFUNCTION("""COMPUTED_VALUE"""),0)</f>
        <v>0</v>
      </c>
      <c r="N1375" s="539">
        <f ca="1">IFERROR(__xludf.DUMMYFUNCTION("""COMPUTED_VALUE"""),0)</f>
        <v>0</v>
      </c>
      <c r="O1375" s="539">
        <f ca="1">IFERROR(__xludf.DUMMYFUNCTION("""COMPUTED_VALUE"""),0)</f>
        <v>0</v>
      </c>
    </row>
    <row r="1376" spans="1:15" ht="12.75">
      <c r="A1376" s="539">
        <f ca="1"/>
        <v>1370</v>
      </c>
      <c r="B1376" s="35" t="str">
        <f ca="1">IFERROR(__xludf.DUMMYFUNCTION("""COMPUTED_VALUE"""),"Tổ Hạ tầng Tân Châu")</f>
        <v>Tổ Hạ tầng Tân Châu</v>
      </c>
      <c r="C1376" s="35" t="str">
        <f ca="1">IFERROR(__xludf.DUMMYFUNCTION("""COMPUTED_VALUE"""),"Phạm Đức Nguyên")</f>
        <v>Phạm Đức Nguyên</v>
      </c>
      <c r="D1376" s="35">
        <f ca="1">IFERROR(__xludf.DUMMYFUNCTION("""COMPUTED_VALUE"""),916014541)</f>
        <v>916014541</v>
      </c>
      <c r="E1376" s="35" t="str">
        <f ca="1">IFERROR(__xludf.DUMMYFUNCTION("""COMPUTED_VALUE"""),"nguyenpd.tnh@vnpt.vn")</f>
        <v>nguyenpd.tnh@vnpt.vn</v>
      </c>
      <c r="F1376" s="540" t="str">
        <f ca="1">IFERROR(__xludf.DUMMYFUNCTION("""COMPUTED_VALUE"""),"Lần 10")</f>
        <v>Lần 10</v>
      </c>
      <c r="G1376" s="278"/>
      <c r="H1376" s="35"/>
      <c r="I1376" s="35"/>
      <c r="J1376" s="541"/>
      <c r="K1376" s="541"/>
      <c r="M1376" s="539">
        <f ca="1">IFERROR(__xludf.DUMMYFUNCTION("""COMPUTED_VALUE"""),0)</f>
        <v>0</v>
      </c>
      <c r="N1376" s="539">
        <f ca="1">IFERROR(__xludf.DUMMYFUNCTION("""COMPUTED_VALUE"""),0)</f>
        <v>0</v>
      </c>
      <c r="O1376" s="539">
        <f ca="1">IFERROR(__xludf.DUMMYFUNCTION("""COMPUTED_VALUE"""),0)</f>
        <v>0</v>
      </c>
    </row>
    <row r="1377" spans="1:15" ht="12.75">
      <c r="A1377" s="539">
        <f ca="1"/>
        <v>1371</v>
      </c>
      <c r="B1377" s="35" t="str">
        <f ca="1">IFERROR(__xludf.DUMMYFUNCTION("""COMPUTED_VALUE"""),"Tổ Hạ tầng Tân Châu")</f>
        <v>Tổ Hạ tầng Tân Châu</v>
      </c>
      <c r="C1377" s="35" t="str">
        <f ca="1">IFERROR(__xludf.DUMMYFUNCTION("""COMPUTED_VALUE"""),"Phạm Đức Nguyên")</f>
        <v>Phạm Đức Nguyên</v>
      </c>
      <c r="D1377" s="35">
        <f ca="1">IFERROR(__xludf.DUMMYFUNCTION("""COMPUTED_VALUE"""),916014541)</f>
        <v>916014541</v>
      </c>
      <c r="E1377" s="35" t="str">
        <f ca="1">IFERROR(__xludf.DUMMYFUNCTION("""COMPUTED_VALUE"""),"nguyenpd.tnh@vnpt.vn")</f>
        <v>nguyenpd.tnh@vnpt.vn</v>
      </c>
      <c r="F1377" s="540" t="str">
        <f ca="1">IFERROR(__xludf.DUMMYFUNCTION("""COMPUTED_VALUE"""),"Lần 11")</f>
        <v>Lần 11</v>
      </c>
      <c r="G1377" s="278"/>
      <c r="H1377" s="35"/>
      <c r="I1377" s="35"/>
      <c r="J1377" s="541"/>
      <c r="K1377" s="541"/>
      <c r="M1377" s="539">
        <f ca="1">IFERROR(__xludf.DUMMYFUNCTION("""COMPUTED_VALUE"""),0)</f>
        <v>0</v>
      </c>
      <c r="N1377" s="539">
        <f ca="1">IFERROR(__xludf.DUMMYFUNCTION("""COMPUTED_VALUE"""),0)</f>
        <v>0</v>
      </c>
      <c r="O1377" s="539">
        <f ca="1">IFERROR(__xludf.DUMMYFUNCTION("""COMPUTED_VALUE"""),0)</f>
        <v>0</v>
      </c>
    </row>
    <row r="1378" spans="1:15" ht="12.75">
      <c r="A1378" s="539">
        <f ca="1"/>
        <v>1372</v>
      </c>
      <c r="B1378" s="35" t="str">
        <f ca="1">IFERROR(__xludf.DUMMYFUNCTION("""COMPUTED_VALUE"""),"Tổ Hạ tầng Tân Châu")</f>
        <v>Tổ Hạ tầng Tân Châu</v>
      </c>
      <c r="C1378" s="35" t="str">
        <f ca="1">IFERROR(__xludf.DUMMYFUNCTION("""COMPUTED_VALUE"""),"Phạm Đức Nguyên")</f>
        <v>Phạm Đức Nguyên</v>
      </c>
      <c r="D1378" s="35">
        <f ca="1">IFERROR(__xludf.DUMMYFUNCTION("""COMPUTED_VALUE"""),916014541)</f>
        <v>916014541</v>
      </c>
      <c r="E1378" s="35" t="str">
        <f ca="1">IFERROR(__xludf.DUMMYFUNCTION("""COMPUTED_VALUE"""),"nguyenpd.tnh@vnpt.vn")</f>
        <v>nguyenpd.tnh@vnpt.vn</v>
      </c>
      <c r="F1378" s="540" t="str">
        <f ca="1">IFERROR(__xludf.DUMMYFUNCTION("""COMPUTED_VALUE"""),"Lần 12")</f>
        <v>Lần 12</v>
      </c>
      <c r="G1378" s="278"/>
      <c r="H1378" s="35"/>
      <c r="I1378" s="35"/>
      <c r="J1378" s="541"/>
      <c r="K1378" s="541"/>
      <c r="M1378" s="539">
        <f ca="1">IFERROR(__xludf.DUMMYFUNCTION("""COMPUTED_VALUE"""),0)</f>
        <v>0</v>
      </c>
      <c r="N1378" s="539">
        <f ca="1">IFERROR(__xludf.DUMMYFUNCTION("""COMPUTED_VALUE"""),0)</f>
        <v>0</v>
      </c>
      <c r="O1378" s="539">
        <f ca="1">IFERROR(__xludf.DUMMYFUNCTION("""COMPUTED_VALUE"""),0)</f>
        <v>0</v>
      </c>
    </row>
    <row r="1379" spans="1:15" ht="12.75">
      <c r="A1379" s="539">
        <f ca="1"/>
        <v>1373</v>
      </c>
      <c r="B1379" s="35" t="str">
        <f ca="1">IFERROR(__xludf.DUMMYFUNCTION("""COMPUTED_VALUE"""),"Tổ Hạ tầng Tân Châu")</f>
        <v>Tổ Hạ tầng Tân Châu</v>
      </c>
      <c r="C1379" s="35" t="str">
        <f ca="1">IFERROR(__xludf.DUMMYFUNCTION("""COMPUTED_VALUE"""),"Phạm Đức Nguyên")</f>
        <v>Phạm Đức Nguyên</v>
      </c>
      <c r="D1379" s="35">
        <f ca="1">IFERROR(__xludf.DUMMYFUNCTION("""COMPUTED_VALUE"""),916014541)</f>
        <v>916014541</v>
      </c>
      <c r="E1379" s="35" t="str">
        <f ca="1">IFERROR(__xludf.DUMMYFUNCTION("""COMPUTED_VALUE"""),"nguyenpd.tnh@vnpt.vn")</f>
        <v>nguyenpd.tnh@vnpt.vn</v>
      </c>
      <c r="F1379" s="540" t="str">
        <f ca="1">IFERROR(__xludf.DUMMYFUNCTION("""COMPUTED_VALUE"""),"Lần 13")</f>
        <v>Lần 13</v>
      </c>
      <c r="G1379" s="278"/>
      <c r="H1379" s="35"/>
      <c r="I1379" s="35"/>
      <c r="J1379" s="541"/>
      <c r="K1379" s="541"/>
      <c r="M1379" s="539">
        <f ca="1">IFERROR(__xludf.DUMMYFUNCTION("""COMPUTED_VALUE"""),0)</f>
        <v>0</v>
      </c>
      <c r="N1379" s="539">
        <f ca="1">IFERROR(__xludf.DUMMYFUNCTION("""COMPUTED_VALUE"""),0)</f>
        <v>0</v>
      </c>
      <c r="O1379" s="539">
        <f ca="1">IFERROR(__xludf.DUMMYFUNCTION("""COMPUTED_VALUE"""),0)</f>
        <v>0</v>
      </c>
    </row>
    <row r="1380" spans="1:15" ht="12.75">
      <c r="A1380" s="539">
        <f ca="1"/>
        <v>1374</v>
      </c>
      <c r="B1380" s="35" t="str">
        <f ca="1">IFERROR(__xludf.DUMMYFUNCTION("""COMPUTED_VALUE"""),"Tổ Hạ tầng Tân Châu")</f>
        <v>Tổ Hạ tầng Tân Châu</v>
      </c>
      <c r="C1380" s="35" t="str">
        <f ca="1">IFERROR(__xludf.DUMMYFUNCTION("""COMPUTED_VALUE"""),"Phạm Đức Nguyên")</f>
        <v>Phạm Đức Nguyên</v>
      </c>
      <c r="D1380" s="35">
        <f ca="1">IFERROR(__xludf.DUMMYFUNCTION("""COMPUTED_VALUE"""),916014541)</f>
        <v>916014541</v>
      </c>
      <c r="E1380" s="35" t="str">
        <f ca="1">IFERROR(__xludf.DUMMYFUNCTION("""COMPUTED_VALUE"""),"nguyenpd.tnh@vnpt.vn")</f>
        <v>nguyenpd.tnh@vnpt.vn</v>
      </c>
      <c r="F1380" s="540" t="str">
        <f ca="1">IFERROR(__xludf.DUMMYFUNCTION("""COMPUTED_VALUE"""),"Lần 14")</f>
        <v>Lần 14</v>
      </c>
      <c r="G1380" s="278"/>
      <c r="H1380" s="35"/>
      <c r="I1380" s="35"/>
      <c r="J1380" s="541"/>
      <c r="K1380" s="541"/>
      <c r="M1380" s="539">
        <f ca="1">IFERROR(__xludf.DUMMYFUNCTION("""COMPUTED_VALUE"""),0)</f>
        <v>0</v>
      </c>
      <c r="N1380" s="539">
        <f ca="1">IFERROR(__xludf.DUMMYFUNCTION("""COMPUTED_VALUE"""),0)</f>
        <v>0</v>
      </c>
      <c r="O1380" s="539">
        <f ca="1">IFERROR(__xludf.DUMMYFUNCTION("""COMPUTED_VALUE"""),0)</f>
        <v>0</v>
      </c>
    </row>
    <row r="1381" spans="1:15" ht="12.75">
      <c r="A1381" s="539">
        <f ca="1"/>
        <v>1375</v>
      </c>
      <c r="B1381" s="35" t="str">
        <f ca="1">IFERROR(__xludf.DUMMYFUNCTION("""COMPUTED_VALUE"""),"Tổ Hạ tầng Tân Châu")</f>
        <v>Tổ Hạ tầng Tân Châu</v>
      </c>
      <c r="C1381" s="35" t="str">
        <f ca="1">IFERROR(__xludf.DUMMYFUNCTION("""COMPUTED_VALUE"""),"Phạm Đức Nguyên")</f>
        <v>Phạm Đức Nguyên</v>
      </c>
      <c r="D1381" s="35">
        <f ca="1">IFERROR(__xludf.DUMMYFUNCTION("""COMPUTED_VALUE"""),916014541)</f>
        <v>916014541</v>
      </c>
      <c r="E1381" s="35" t="str">
        <f ca="1">IFERROR(__xludf.DUMMYFUNCTION("""COMPUTED_VALUE"""),"nguyenpd.tnh@vnpt.vn")</f>
        <v>nguyenpd.tnh@vnpt.vn</v>
      </c>
      <c r="F1381" s="540" t="str">
        <f ca="1">IFERROR(__xludf.DUMMYFUNCTION("""COMPUTED_VALUE"""),"Lần 15")</f>
        <v>Lần 15</v>
      </c>
      <c r="G1381" s="278"/>
      <c r="H1381" s="35"/>
      <c r="I1381" s="35"/>
      <c r="J1381" s="541"/>
      <c r="K1381" s="541"/>
      <c r="M1381" s="539">
        <f ca="1">IFERROR(__xludf.DUMMYFUNCTION("""COMPUTED_VALUE"""),0)</f>
        <v>0</v>
      </c>
      <c r="N1381" s="539">
        <f ca="1">IFERROR(__xludf.DUMMYFUNCTION("""COMPUTED_VALUE"""),0)</f>
        <v>0</v>
      </c>
      <c r="O1381" s="539">
        <f ca="1">IFERROR(__xludf.DUMMYFUNCTION("""COMPUTED_VALUE"""),0)</f>
        <v>0</v>
      </c>
    </row>
    <row r="1382" spans="1:15" ht="12.75">
      <c r="A1382" s="539">
        <f ca="1"/>
        <v>1376</v>
      </c>
      <c r="B1382" s="35" t="str">
        <f ca="1">IFERROR(__xludf.DUMMYFUNCTION("""COMPUTED_VALUE"""),"Tổ Hạ tầng Tân Châu")</f>
        <v>Tổ Hạ tầng Tân Châu</v>
      </c>
      <c r="C1382" s="35" t="str">
        <f ca="1">IFERROR(__xludf.DUMMYFUNCTION("""COMPUTED_VALUE"""),"Phạm Đức Nguyên")</f>
        <v>Phạm Đức Nguyên</v>
      </c>
      <c r="D1382" s="35">
        <f ca="1">IFERROR(__xludf.DUMMYFUNCTION("""COMPUTED_VALUE"""),916014541)</f>
        <v>916014541</v>
      </c>
      <c r="E1382" s="35" t="str">
        <f ca="1">IFERROR(__xludf.DUMMYFUNCTION("""COMPUTED_VALUE"""),"nguyenpd.tnh@vnpt.vn")</f>
        <v>nguyenpd.tnh@vnpt.vn</v>
      </c>
      <c r="F1382" s="540" t="str">
        <f ca="1">IFERROR(__xludf.DUMMYFUNCTION("""COMPUTED_VALUE"""),"Lần 16")</f>
        <v>Lần 16</v>
      </c>
      <c r="G1382" s="278"/>
      <c r="H1382" s="35"/>
      <c r="I1382" s="35"/>
      <c r="J1382" s="541"/>
      <c r="K1382" s="541"/>
      <c r="M1382" s="539">
        <f ca="1">IFERROR(__xludf.DUMMYFUNCTION("""COMPUTED_VALUE"""),0)</f>
        <v>0</v>
      </c>
      <c r="N1382" s="539">
        <f ca="1">IFERROR(__xludf.DUMMYFUNCTION("""COMPUTED_VALUE"""),0)</f>
        <v>0</v>
      </c>
      <c r="O1382" s="539">
        <f ca="1">IFERROR(__xludf.DUMMYFUNCTION("""COMPUTED_VALUE"""),0)</f>
        <v>0</v>
      </c>
    </row>
    <row r="1383" spans="1:15" ht="12.75">
      <c r="A1383" s="539">
        <f ca="1"/>
        <v>1377</v>
      </c>
      <c r="B1383" s="35" t="str">
        <f ca="1">IFERROR(__xludf.DUMMYFUNCTION("""COMPUTED_VALUE"""),"Tổ Hạ tầng Tân Châu")</f>
        <v>Tổ Hạ tầng Tân Châu</v>
      </c>
      <c r="C1383" s="35" t="str">
        <f ca="1">IFERROR(__xludf.DUMMYFUNCTION("""COMPUTED_VALUE"""),"Nguyễn Thanh Hải")</f>
        <v>Nguyễn Thanh Hải</v>
      </c>
      <c r="D1383" s="35">
        <f ca="1">IFERROR(__xludf.DUMMYFUNCTION("""COMPUTED_VALUE"""),946744500)</f>
        <v>946744500</v>
      </c>
      <c r="E1383" s="35" t="str">
        <f ca="1">IFERROR(__xludf.DUMMYFUNCTION("""COMPUTED_VALUE"""),"haint.tnh@vnpt.vn")</f>
        <v>haint.tnh@vnpt.vn</v>
      </c>
      <c r="F1383" s="540" t="str">
        <f ca="1">IFERROR(__xludf.DUMMYFUNCTION("""COMPUTED_VALUE"""),"Lần 1")</f>
        <v>Lần 1</v>
      </c>
      <c r="G1383" s="278">
        <f ca="1">IFERROR(__xludf.DUMMYFUNCTION("""COMPUTED_VALUE"""),46214)</f>
        <v>46214</v>
      </c>
      <c r="H1383" s="35">
        <f ca="1">IFERROR(__xludf.DUMMYFUNCTION("""COMPUTED_VALUE"""),241)</f>
        <v>241</v>
      </c>
      <c r="I1383" s="35">
        <f ca="1">IFERROR(__xludf.DUMMYFUNCTION("""COMPUTED_VALUE"""),69.8)</f>
        <v>69.8</v>
      </c>
      <c r="J1383" s="541">
        <f ca="1">IFERROR(__xludf.DUMMYFUNCTION("""COMPUTED_VALUE"""),528)</f>
        <v>528</v>
      </c>
      <c r="K1383" s="541">
        <f ca="1">IFERROR(__xludf.DUMMYFUNCTION("""COMPUTED_VALUE"""),87.1)</f>
        <v>87.1</v>
      </c>
      <c r="M1383" s="539">
        <f ca="1">IFERROR(__xludf.DUMMYFUNCTION("""COMPUTED_VALUE"""),1)</f>
        <v>1</v>
      </c>
      <c r="N1383" s="539">
        <f ca="1">IFERROR(__xludf.DUMMYFUNCTION("""COMPUTED_VALUE"""),1)</f>
        <v>1</v>
      </c>
      <c r="O1383" s="539">
        <f ca="1">IFERROR(__xludf.DUMMYFUNCTION("""COMPUTED_VALUE"""),1)</f>
        <v>1</v>
      </c>
    </row>
    <row r="1384" spans="1:15" ht="12.75">
      <c r="A1384" s="539">
        <f ca="1"/>
        <v>1378</v>
      </c>
      <c r="B1384" s="35" t="str">
        <f ca="1">IFERROR(__xludf.DUMMYFUNCTION("""COMPUTED_VALUE"""),"Tổ Hạ tầng Tân Châu")</f>
        <v>Tổ Hạ tầng Tân Châu</v>
      </c>
      <c r="C1384" s="35" t="str">
        <f ca="1">IFERROR(__xludf.DUMMYFUNCTION("""COMPUTED_VALUE"""),"Nguyễn Thanh Hải")</f>
        <v>Nguyễn Thanh Hải</v>
      </c>
      <c r="D1384" s="35">
        <f ca="1">IFERROR(__xludf.DUMMYFUNCTION("""COMPUTED_VALUE"""),946744500)</f>
        <v>946744500</v>
      </c>
      <c r="E1384" s="35" t="str">
        <f ca="1">IFERROR(__xludf.DUMMYFUNCTION("""COMPUTED_VALUE"""),"haint.tnh@vnpt.vn")</f>
        <v>haint.tnh@vnpt.vn</v>
      </c>
      <c r="F1384" s="540" t="str">
        <f ca="1">IFERROR(__xludf.DUMMYFUNCTION("""COMPUTED_VALUE"""),"Lần 2")</f>
        <v>Lần 2</v>
      </c>
      <c r="G1384" s="278">
        <f ca="1">IFERROR(__xludf.DUMMYFUNCTION("""COMPUTED_VALUE"""),46214)</f>
        <v>46214</v>
      </c>
      <c r="H1384" s="35">
        <f ca="1">IFERROR(__xludf.DUMMYFUNCTION("""COMPUTED_VALUE"""),233)</f>
        <v>233</v>
      </c>
      <c r="I1384" s="35">
        <f ca="1">IFERROR(__xludf.DUMMYFUNCTION("""COMPUTED_VALUE"""),71)</f>
        <v>71</v>
      </c>
      <c r="J1384" s="541">
        <f ca="1">IFERROR(__xludf.DUMMYFUNCTION("""COMPUTED_VALUE"""),542)</f>
        <v>542</v>
      </c>
      <c r="K1384" s="541">
        <f ca="1">IFERROR(__xludf.DUMMYFUNCTION("""COMPUTED_VALUE"""),108)</f>
        <v>108</v>
      </c>
      <c r="M1384" s="539">
        <f ca="1">IFERROR(__xludf.DUMMYFUNCTION("""COMPUTED_VALUE"""),1)</f>
        <v>1</v>
      </c>
      <c r="N1384" s="539">
        <f ca="1">IFERROR(__xludf.DUMMYFUNCTION("""COMPUTED_VALUE"""),1)</f>
        <v>1</v>
      </c>
      <c r="O1384" s="539">
        <f ca="1">IFERROR(__xludf.DUMMYFUNCTION("""COMPUTED_VALUE"""),1)</f>
        <v>1</v>
      </c>
    </row>
    <row r="1385" spans="1:15" ht="12.75">
      <c r="A1385" s="539">
        <f ca="1"/>
        <v>1379</v>
      </c>
      <c r="B1385" s="35" t="str">
        <f ca="1">IFERROR(__xludf.DUMMYFUNCTION("""COMPUTED_VALUE"""),"Tổ Hạ tầng Tân Châu")</f>
        <v>Tổ Hạ tầng Tân Châu</v>
      </c>
      <c r="C1385" s="35" t="str">
        <f ca="1">IFERROR(__xludf.DUMMYFUNCTION("""COMPUTED_VALUE"""),"Nguyễn Thanh Hải")</f>
        <v>Nguyễn Thanh Hải</v>
      </c>
      <c r="D1385" s="35">
        <f ca="1">IFERROR(__xludf.DUMMYFUNCTION("""COMPUTED_VALUE"""),946744500)</f>
        <v>946744500</v>
      </c>
      <c r="E1385" s="35" t="str">
        <f ca="1">IFERROR(__xludf.DUMMYFUNCTION("""COMPUTED_VALUE"""),"haint.tnh@vnpt.vn")</f>
        <v>haint.tnh@vnpt.vn</v>
      </c>
      <c r="F1385" s="540" t="str">
        <f ca="1">IFERROR(__xludf.DUMMYFUNCTION("""COMPUTED_VALUE"""),"Lần 3")</f>
        <v>Lần 3</v>
      </c>
      <c r="G1385" s="278">
        <f ca="1">IFERROR(__xludf.DUMMYFUNCTION("""COMPUTED_VALUE"""),46214)</f>
        <v>46214</v>
      </c>
      <c r="H1385" s="35">
        <f ca="1">IFERROR(__xludf.DUMMYFUNCTION("""COMPUTED_VALUE"""),319)</f>
        <v>319</v>
      </c>
      <c r="I1385" s="35">
        <f ca="1">IFERROR(__xludf.DUMMYFUNCTION("""COMPUTED_VALUE"""),83.3)</f>
        <v>83.3</v>
      </c>
      <c r="J1385" s="541">
        <f ca="1">IFERROR(__xludf.DUMMYFUNCTION("""COMPUTED_VALUE"""),665)</f>
        <v>665</v>
      </c>
      <c r="K1385" s="541">
        <f ca="1">IFERROR(__xludf.DUMMYFUNCTION("""COMPUTED_VALUE"""),117)</f>
        <v>117</v>
      </c>
      <c r="M1385" s="539">
        <f ca="1">IFERROR(__xludf.DUMMYFUNCTION("""COMPUTED_VALUE"""),1)</f>
        <v>1</v>
      </c>
      <c r="N1385" s="539">
        <f ca="1">IFERROR(__xludf.DUMMYFUNCTION("""COMPUTED_VALUE"""),1)</f>
        <v>1</v>
      </c>
      <c r="O1385" s="539">
        <f ca="1">IFERROR(__xludf.DUMMYFUNCTION("""COMPUTED_VALUE"""),1)</f>
        <v>1</v>
      </c>
    </row>
    <row r="1386" spans="1:15" ht="12.75">
      <c r="A1386" s="539">
        <f ca="1"/>
        <v>1380</v>
      </c>
      <c r="B1386" s="35" t="str">
        <f ca="1">IFERROR(__xludf.DUMMYFUNCTION("""COMPUTED_VALUE"""),"Tổ Hạ tầng Tân Châu")</f>
        <v>Tổ Hạ tầng Tân Châu</v>
      </c>
      <c r="C1386" s="35" t="str">
        <f ca="1">IFERROR(__xludf.DUMMYFUNCTION("""COMPUTED_VALUE"""),"Nguyễn Thanh Hải")</f>
        <v>Nguyễn Thanh Hải</v>
      </c>
      <c r="D1386" s="35">
        <f ca="1">IFERROR(__xludf.DUMMYFUNCTION("""COMPUTED_VALUE"""),946744500)</f>
        <v>946744500</v>
      </c>
      <c r="E1386" s="35" t="str">
        <f ca="1">IFERROR(__xludf.DUMMYFUNCTION("""COMPUTED_VALUE"""),"haint.tnh@vnpt.vn")</f>
        <v>haint.tnh@vnpt.vn</v>
      </c>
      <c r="F1386" s="540" t="str">
        <f ca="1">IFERROR(__xludf.DUMMYFUNCTION("""COMPUTED_VALUE"""),"Lần 4")</f>
        <v>Lần 4</v>
      </c>
      <c r="G1386" s="278">
        <f ca="1">IFERROR(__xludf.DUMMYFUNCTION("""COMPUTED_VALUE"""),46214)</f>
        <v>46214</v>
      </c>
      <c r="H1386" s="35">
        <f ca="1">IFERROR(__xludf.DUMMYFUNCTION("""COMPUTED_VALUE"""),388)</f>
        <v>388</v>
      </c>
      <c r="I1386" s="35">
        <f ca="1">IFERROR(__xludf.DUMMYFUNCTION("""COMPUTED_VALUE"""),96.4)</f>
        <v>96.4</v>
      </c>
      <c r="J1386" s="541">
        <f ca="1">IFERROR(__xludf.DUMMYFUNCTION("""COMPUTED_VALUE"""),824)</f>
        <v>824</v>
      </c>
      <c r="K1386" s="541">
        <f ca="1">IFERROR(__xludf.DUMMYFUNCTION("""COMPUTED_VALUE"""),103)</f>
        <v>103</v>
      </c>
      <c r="M1386" s="539">
        <f ca="1">IFERROR(__xludf.DUMMYFUNCTION("""COMPUTED_VALUE"""),1)</f>
        <v>1</v>
      </c>
      <c r="N1386" s="539">
        <f ca="1">IFERROR(__xludf.DUMMYFUNCTION("""COMPUTED_VALUE"""),1)</f>
        <v>1</v>
      </c>
      <c r="O1386" s="539">
        <f ca="1">IFERROR(__xludf.DUMMYFUNCTION("""COMPUTED_VALUE"""),1)</f>
        <v>1</v>
      </c>
    </row>
    <row r="1387" spans="1:15" ht="12.75">
      <c r="A1387" s="539">
        <f ca="1"/>
        <v>1381</v>
      </c>
      <c r="B1387" s="35" t="str">
        <f ca="1">IFERROR(__xludf.DUMMYFUNCTION("""COMPUTED_VALUE"""),"Tổ Hạ tầng Tân Châu")</f>
        <v>Tổ Hạ tầng Tân Châu</v>
      </c>
      <c r="C1387" s="35" t="str">
        <f ca="1">IFERROR(__xludf.DUMMYFUNCTION("""COMPUTED_VALUE"""),"Nguyễn Thanh Hải")</f>
        <v>Nguyễn Thanh Hải</v>
      </c>
      <c r="D1387" s="35">
        <f ca="1">IFERROR(__xludf.DUMMYFUNCTION("""COMPUTED_VALUE"""),946744500)</f>
        <v>946744500</v>
      </c>
      <c r="E1387" s="35" t="str">
        <f ca="1">IFERROR(__xludf.DUMMYFUNCTION("""COMPUTED_VALUE"""),"haint.tnh@vnpt.vn")</f>
        <v>haint.tnh@vnpt.vn</v>
      </c>
      <c r="F1387" s="540" t="str">
        <f ca="1">IFERROR(__xludf.DUMMYFUNCTION("""COMPUTED_VALUE"""),"Lần 5")</f>
        <v>Lần 5</v>
      </c>
      <c r="G1387" s="278">
        <f ca="1">IFERROR(__xludf.DUMMYFUNCTION("""COMPUTED_VALUE"""),46214)</f>
        <v>46214</v>
      </c>
      <c r="H1387" s="35">
        <f ca="1">IFERROR(__xludf.DUMMYFUNCTION("""COMPUTED_VALUE"""),269.1)</f>
        <v>269.10000000000002</v>
      </c>
      <c r="I1387" s="35">
        <f ca="1">IFERROR(__xludf.DUMMYFUNCTION("""COMPUTED_VALUE"""),79.12)</f>
        <v>79.12</v>
      </c>
      <c r="J1387" s="541">
        <f ca="1">IFERROR(__xludf.DUMMYFUNCTION("""COMPUTED_VALUE"""),757)</f>
        <v>757</v>
      </c>
      <c r="K1387" s="541">
        <f ca="1">IFERROR(__xludf.DUMMYFUNCTION("""COMPUTED_VALUE"""),122)</f>
        <v>122</v>
      </c>
      <c r="M1387" s="539">
        <f ca="1">IFERROR(__xludf.DUMMYFUNCTION("""COMPUTED_VALUE"""),1)</f>
        <v>1</v>
      </c>
      <c r="N1387" s="539">
        <f ca="1">IFERROR(__xludf.DUMMYFUNCTION("""COMPUTED_VALUE"""),1)</f>
        <v>1</v>
      </c>
      <c r="O1387" s="539">
        <f ca="1">IFERROR(__xludf.DUMMYFUNCTION("""COMPUTED_VALUE"""),1)</f>
        <v>1</v>
      </c>
    </row>
    <row r="1388" spans="1:15" ht="12.75">
      <c r="A1388" s="539">
        <f ca="1"/>
        <v>1382</v>
      </c>
      <c r="B1388" s="35" t="str">
        <f ca="1">IFERROR(__xludf.DUMMYFUNCTION("""COMPUTED_VALUE"""),"Tổ Hạ tầng Tân Châu")</f>
        <v>Tổ Hạ tầng Tân Châu</v>
      </c>
      <c r="C1388" s="35" t="str">
        <f ca="1">IFERROR(__xludf.DUMMYFUNCTION("""COMPUTED_VALUE"""),"Nguyễn Thanh Hải")</f>
        <v>Nguyễn Thanh Hải</v>
      </c>
      <c r="D1388" s="35">
        <f ca="1">IFERROR(__xludf.DUMMYFUNCTION("""COMPUTED_VALUE"""),946744500)</f>
        <v>946744500</v>
      </c>
      <c r="E1388" s="35" t="str">
        <f ca="1">IFERROR(__xludf.DUMMYFUNCTION("""COMPUTED_VALUE"""),"haint.tnh@vnpt.vn")</f>
        <v>haint.tnh@vnpt.vn</v>
      </c>
      <c r="F1388" s="540" t="str">
        <f ca="1">IFERROR(__xludf.DUMMYFUNCTION("""COMPUTED_VALUE"""),"Lần 6")</f>
        <v>Lần 6</v>
      </c>
      <c r="G1388" s="278"/>
      <c r="H1388" s="35"/>
      <c r="I1388" s="35"/>
      <c r="J1388" s="541"/>
      <c r="K1388" s="541"/>
      <c r="M1388" s="539">
        <f ca="1">IFERROR(__xludf.DUMMYFUNCTION("""COMPUTED_VALUE"""),0)</f>
        <v>0</v>
      </c>
      <c r="N1388" s="539">
        <f ca="1">IFERROR(__xludf.DUMMYFUNCTION("""COMPUTED_VALUE"""),0)</f>
        <v>0</v>
      </c>
      <c r="O1388" s="539">
        <f ca="1">IFERROR(__xludf.DUMMYFUNCTION("""COMPUTED_VALUE"""),0)</f>
        <v>0</v>
      </c>
    </row>
    <row r="1389" spans="1:15" ht="12.75">
      <c r="A1389" s="539">
        <f ca="1"/>
        <v>1383</v>
      </c>
      <c r="B1389" s="35" t="str">
        <f ca="1">IFERROR(__xludf.DUMMYFUNCTION("""COMPUTED_VALUE"""),"Tổ Hạ tầng Tân Châu")</f>
        <v>Tổ Hạ tầng Tân Châu</v>
      </c>
      <c r="C1389" s="35" t="str">
        <f ca="1">IFERROR(__xludf.DUMMYFUNCTION("""COMPUTED_VALUE"""),"Nguyễn Thanh Hải")</f>
        <v>Nguyễn Thanh Hải</v>
      </c>
      <c r="D1389" s="35">
        <f ca="1">IFERROR(__xludf.DUMMYFUNCTION("""COMPUTED_VALUE"""),946744500)</f>
        <v>946744500</v>
      </c>
      <c r="E1389" s="35" t="str">
        <f ca="1">IFERROR(__xludf.DUMMYFUNCTION("""COMPUTED_VALUE"""),"haint.tnh@vnpt.vn")</f>
        <v>haint.tnh@vnpt.vn</v>
      </c>
      <c r="F1389" s="540" t="str">
        <f ca="1">IFERROR(__xludf.DUMMYFUNCTION("""COMPUTED_VALUE"""),"Lần 7")</f>
        <v>Lần 7</v>
      </c>
      <c r="G1389" s="278"/>
      <c r="H1389" s="35"/>
      <c r="I1389" s="35"/>
      <c r="J1389" s="541"/>
      <c r="K1389" s="541"/>
      <c r="M1389" s="539">
        <f ca="1">IFERROR(__xludf.DUMMYFUNCTION("""COMPUTED_VALUE"""),0)</f>
        <v>0</v>
      </c>
      <c r="N1389" s="539">
        <f ca="1">IFERROR(__xludf.DUMMYFUNCTION("""COMPUTED_VALUE"""),0)</f>
        <v>0</v>
      </c>
      <c r="O1389" s="539">
        <f ca="1">IFERROR(__xludf.DUMMYFUNCTION("""COMPUTED_VALUE"""),0)</f>
        <v>0</v>
      </c>
    </row>
    <row r="1390" spans="1:15" ht="12.75">
      <c r="A1390" s="539">
        <f ca="1"/>
        <v>1384</v>
      </c>
      <c r="B1390" s="35" t="str">
        <f ca="1">IFERROR(__xludf.DUMMYFUNCTION("""COMPUTED_VALUE"""),"Tổ Hạ tầng Tân Châu")</f>
        <v>Tổ Hạ tầng Tân Châu</v>
      </c>
      <c r="C1390" s="35" t="str">
        <f ca="1">IFERROR(__xludf.DUMMYFUNCTION("""COMPUTED_VALUE"""),"Nguyễn Thanh Hải")</f>
        <v>Nguyễn Thanh Hải</v>
      </c>
      <c r="D1390" s="35">
        <f ca="1">IFERROR(__xludf.DUMMYFUNCTION("""COMPUTED_VALUE"""),946744500)</f>
        <v>946744500</v>
      </c>
      <c r="E1390" s="35" t="str">
        <f ca="1">IFERROR(__xludf.DUMMYFUNCTION("""COMPUTED_VALUE"""),"haint.tnh@vnpt.vn")</f>
        <v>haint.tnh@vnpt.vn</v>
      </c>
      <c r="F1390" s="540" t="str">
        <f ca="1">IFERROR(__xludf.DUMMYFUNCTION("""COMPUTED_VALUE"""),"Lần 8")</f>
        <v>Lần 8</v>
      </c>
      <c r="G1390" s="278"/>
      <c r="H1390" s="35"/>
      <c r="I1390" s="35"/>
      <c r="J1390" s="541"/>
      <c r="K1390" s="541"/>
      <c r="M1390" s="539">
        <f ca="1">IFERROR(__xludf.DUMMYFUNCTION("""COMPUTED_VALUE"""),0)</f>
        <v>0</v>
      </c>
      <c r="N1390" s="539">
        <f ca="1">IFERROR(__xludf.DUMMYFUNCTION("""COMPUTED_VALUE"""),0)</f>
        <v>0</v>
      </c>
      <c r="O1390" s="539">
        <f ca="1">IFERROR(__xludf.DUMMYFUNCTION("""COMPUTED_VALUE"""),0)</f>
        <v>0</v>
      </c>
    </row>
    <row r="1391" spans="1:15" ht="12.75">
      <c r="A1391" s="539">
        <f ca="1"/>
        <v>1385</v>
      </c>
      <c r="B1391" s="35" t="str">
        <f ca="1">IFERROR(__xludf.DUMMYFUNCTION("""COMPUTED_VALUE"""),"Tổ Hạ tầng Tân Châu")</f>
        <v>Tổ Hạ tầng Tân Châu</v>
      </c>
      <c r="C1391" s="35" t="str">
        <f ca="1">IFERROR(__xludf.DUMMYFUNCTION("""COMPUTED_VALUE"""),"Nguyễn Thanh Hải")</f>
        <v>Nguyễn Thanh Hải</v>
      </c>
      <c r="D1391" s="35">
        <f ca="1">IFERROR(__xludf.DUMMYFUNCTION("""COMPUTED_VALUE"""),946744500)</f>
        <v>946744500</v>
      </c>
      <c r="E1391" s="35" t="str">
        <f ca="1">IFERROR(__xludf.DUMMYFUNCTION("""COMPUTED_VALUE"""),"haint.tnh@vnpt.vn")</f>
        <v>haint.tnh@vnpt.vn</v>
      </c>
      <c r="F1391" s="540" t="str">
        <f ca="1">IFERROR(__xludf.DUMMYFUNCTION("""COMPUTED_VALUE"""),"Lần 9")</f>
        <v>Lần 9</v>
      </c>
      <c r="G1391" s="278"/>
      <c r="H1391" s="35"/>
      <c r="I1391" s="35"/>
      <c r="J1391" s="541"/>
      <c r="K1391" s="541"/>
      <c r="M1391" s="539">
        <f ca="1">IFERROR(__xludf.DUMMYFUNCTION("""COMPUTED_VALUE"""),0)</f>
        <v>0</v>
      </c>
      <c r="N1391" s="539">
        <f ca="1">IFERROR(__xludf.DUMMYFUNCTION("""COMPUTED_VALUE"""),0)</f>
        <v>0</v>
      </c>
      <c r="O1391" s="539">
        <f ca="1">IFERROR(__xludf.DUMMYFUNCTION("""COMPUTED_VALUE"""),0)</f>
        <v>0</v>
      </c>
    </row>
    <row r="1392" spans="1:15" ht="12.75">
      <c r="A1392" s="539">
        <f ca="1"/>
        <v>1386</v>
      </c>
      <c r="B1392" s="35" t="str">
        <f ca="1">IFERROR(__xludf.DUMMYFUNCTION("""COMPUTED_VALUE"""),"Tổ Hạ tầng Tân Châu")</f>
        <v>Tổ Hạ tầng Tân Châu</v>
      </c>
      <c r="C1392" s="35" t="str">
        <f ca="1">IFERROR(__xludf.DUMMYFUNCTION("""COMPUTED_VALUE"""),"Nguyễn Thanh Hải")</f>
        <v>Nguyễn Thanh Hải</v>
      </c>
      <c r="D1392" s="35">
        <f ca="1">IFERROR(__xludf.DUMMYFUNCTION("""COMPUTED_VALUE"""),946744500)</f>
        <v>946744500</v>
      </c>
      <c r="E1392" s="35" t="str">
        <f ca="1">IFERROR(__xludf.DUMMYFUNCTION("""COMPUTED_VALUE"""),"haint.tnh@vnpt.vn")</f>
        <v>haint.tnh@vnpt.vn</v>
      </c>
      <c r="F1392" s="540" t="str">
        <f ca="1">IFERROR(__xludf.DUMMYFUNCTION("""COMPUTED_VALUE"""),"Lần 10")</f>
        <v>Lần 10</v>
      </c>
      <c r="G1392" s="278"/>
      <c r="H1392" s="35"/>
      <c r="I1392" s="35"/>
      <c r="J1392" s="541"/>
      <c r="K1392" s="541"/>
      <c r="M1392" s="539">
        <f ca="1">IFERROR(__xludf.DUMMYFUNCTION("""COMPUTED_VALUE"""),0)</f>
        <v>0</v>
      </c>
      <c r="N1392" s="539">
        <f ca="1">IFERROR(__xludf.DUMMYFUNCTION("""COMPUTED_VALUE"""),0)</f>
        <v>0</v>
      </c>
      <c r="O1392" s="539">
        <f ca="1">IFERROR(__xludf.DUMMYFUNCTION("""COMPUTED_VALUE"""),0)</f>
        <v>0</v>
      </c>
    </row>
    <row r="1393" spans="1:15" ht="12.75">
      <c r="A1393" s="539">
        <f ca="1"/>
        <v>1387</v>
      </c>
      <c r="B1393" s="35" t="str">
        <f ca="1">IFERROR(__xludf.DUMMYFUNCTION("""COMPUTED_VALUE"""),"Tổ Hạ tầng Tân Châu")</f>
        <v>Tổ Hạ tầng Tân Châu</v>
      </c>
      <c r="C1393" s="35" t="str">
        <f ca="1">IFERROR(__xludf.DUMMYFUNCTION("""COMPUTED_VALUE"""),"Nguyễn Thanh Hải")</f>
        <v>Nguyễn Thanh Hải</v>
      </c>
      <c r="D1393" s="35">
        <f ca="1">IFERROR(__xludf.DUMMYFUNCTION("""COMPUTED_VALUE"""),946744500)</f>
        <v>946744500</v>
      </c>
      <c r="E1393" s="35" t="str">
        <f ca="1">IFERROR(__xludf.DUMMYFUNCTION("""COMPUTED_VALUE"""),"haint.tnh@vnpt.vn")</f>
        <v>haint.tnh@vnpt.vn</v>
      </c>
      <c r="F1393" s="540" t="str">
        <f ca="1">IFERROR(__xludf.DUMMYFUNCTION("""COMPUTED_VALUE"""),"Lần 11")</f>
        <v>Lần 11</v>
      </c>
      <c r="G1393" s="278"/>
      <c r="H1393" s="35"/>
      <c r="I1393" s="35"/>
      <c r="J1393" s="541"/>
      <c r="K1393" s="541"/>
      <c r="M1393" s="539">
        <f ca="1">IFERROR(__xludf.DUMMYFUNCTION("""COMPUTED_VALUE"""),0)</f>
        <v>0</v>
      </c>
      <c r="N1393" s="539">
        <f ca="1">IFERROR(__xludf.DUMMYFUNCTION("""COMPUTED_VALUE"""),0)</f>
        <v>0</v>
      </c>
      <c r="O1393" s="539">
        <f ca="1">IFERROR(__xludf.DUMMYFUNCTION("""COMPUTED_VALUE"""),0)</f>
        <v>0</v>
      </c>
    </row>
    <row r="1394" spans="1:15" ht="12.75">
      <c r="A1394" s="539">
        <f ca="1"/>
        <v>1388</v>
      </c>
      <c r="B1394" s="35" t="str">
        <f ca="1">IFERROR(__xludf.DUMMYFUNCTION("""COMPUTED_VALUE"""),"Tổ Hạ tầng Tân Châu")</f>
        <v>Tổ Hạ tầng Tân Châu</v>
      </c>
      <c r="C1394" s="35" t="str">
        <f ca="1">IFERROR(__xludf.DUMMYFUNCTION("""COMPUTED_VALUE"""),"Nguyễn Thanh Hải")</f>
        <v>Nguyễn Thanh Hải</v>
      </c>
      <c r="D1394" s="35">
        <f ca="1">IFERROR(__xludf.DUMMYFUNCTION("""COMPUTED_VALUE"""),946744500)</f>
        <v>946744500</v>
      </c>
      <c r="E1394" s="35" t="str">
        <f ca="1">IFERROR(__xludf.DUMMYFUNCTION("""COMPUTED_VALUE"""),"haint.tnh@vnpt.vn")</f>
        <v>haint.tnh@vnpt.vn</v>
      </c>
      <c r="F1394" s="540" t="str">
        <f ca="1">IFERROR(__xludf.DUMMYFUNCTION("""COMPUTED_VALUE"""),"Lần 12")</f>
        <v>Lần 12</v>
      </c>
      <c r="G1394" s="278"/>
      <c r="H1394" s="35"/>
      <c r="I1394" s="35"/>
      <c r="J1394" s="541"/>
      <c r="K1394" s="541"/>
      <c r="M1394" s="539">
        <f ca="1">IFERROR(__xludf.DUMMYFUNCTION("""COMPUTED_VALUE"""),0)</f>
        <v>0</v>
      </c>
      <c r="N1394" s="539">
        <f ca="1">IFERROR(__xludf.DUMMYFUNCTION("""COMPUTED_VALUE"""),0)</f>
        <v>0</v>
      </c>
      <c r="O1394" s="539">
        <f ca="1">IFERROR(__xludf.DUMMYFUNCTION("""COMPUTED_VALUE"""),0)</f>
        <v>0</v>
      </c>
    </row>
    <row r="1395" spans="1:15" ht="12.75">
      <c r="A1395" s="539">
        <f ca="1"/>
        <v>1389</v>
      </c>
      <c r="B1395" s="35" t="str">
        <f ca="1">IFERROR(__xludf.DUMMYFUNCTION("""COMPUTED_VALUE"""),"Tổ Hạ tầng Tân Châu")</f>
        <v>Tổ Hạ tầng Tân Châu</v>
      </c>
      <c r="C1395" s="35" t="str">
        <f ca="1">IFERROR(__xludf.DUMMYFUNCTION("""COMPUTED_VALUE"""),"Nguyễn Thanh Hải")</f>
        <v>Nguyễn Thanh Hải</v>
      </c>
      <c r="D1395" s="35">
        <f ca="1">IFERROR(__xludf.DUMMYFUNCTION("""COMPUTED_VALUE"""),946744500)</f>
        <v>946744500</v>
      </c>
      <c r="E1395" s="35" t="str">
        <f ca="1">IFERROR(__xludf.DUMMYFUNCTION("""COMPUTED_VALUE"""),"haint.tnh@vnpt.vn")</f>
        <v>haint.tnh@vnpt.vn</v>
      </c>
      <c r="F1395" s="540" t="str">
        <f ca="1">IFERROR(__xludf.DUMMYFUNCTION("""COMPUTED_VALUE"""),"Lần 13")</f>
        <v>Lần 13</v>
      </c>
      <c r="G1395" s="278"/>
      <c r="H1395" s="35"/>
      <c r="I1395" s="35"/>
      <c r="J1395" s="541"/>
      <c r="K1395" s="541"/>
      <c r="M1395" s="539">
        <f ca="1">IFERROR(__xludf.DUMMYFUNCTION("""COMPUTED_VALUE"""),0)</f>
        <v>0</v>
      </c>
      <c r="N1395" s="539">
        <f ca="1">IFERROR(__xludf.DUMMYFUNCTION("""COMPUTED_VALUE"""),0)</f>
        <v>0</v>
      </c>
      <c r="O1395" s="539">
        <f ca="1">IFERROR(__xludf.DUMMYFUNCTION("""COMPUTED_VALUE"""),0)</f>
        <v>0</v>
      </c>
    </row>
    <row r="1396" spans="1:15" ht="12.75">
      <c r="A1396" s="539">
        <f ca="1"/>
        <v>1390</v>
      </c>
      <c r="B1396" s="35" t="str">
        <f ca="1">IFERROR(__xludf.DUMMYFUNCTION("""COMPUTED_VALUE"""),"Tổ Hạ tầng Tân Châu")</f>
        <v>Tổ Hạ tầng Tân Châu</v>
      </c>
      <c r="C1396" s="35" t="str">
        <f ca="1">IFERROR(__xludf.DUMMYFUNCTION("""COMPUTED_VALUE"""),"Nguyễn Thanh Hải")</f>
        <v>Nguyễn Thanh Hải</v>
      </c>
      <c r="D1396" s="35">
        <f ca="1">IFERROR(__xludf.DUMMYFUNCTION("""COMPUTED_VALUE"""),946744500)</f>
        <v>946744500</v>
      </c>
      <c r="E1396" s="35" t="str">
        <f ca="1">IFERROR(__xludf.DUMMYFUNCTION("""COMPUTED_VALUE"""),"haint.tnh@vnpt.vn")</f>
        <v>haint.tnh@vnpt.vn</v>
      </c>
      <c r="F1396" s="540" t="str">
        <f ca="1">IFERROR(__xludf.DUMMYFUNCTION("""COMPUTED_VALUE"""),"Lần 14")</f>
        <v>Lần 14</v>
      </c>
      <c r="G1396" s="278"/>
      <c r="H1396" s="35"/>
      <c r="I1396" s="35"/>
      <c r="J1396" s="541"/>
      <c r="K1396" s="541"/>
      <c r="M1396" s="539">
        <f ca="1">IFERROR(__xludf.DUMMYFUNCTION("""COMPUTED_VALUE"""),0)</f>
        <v>0</v>
      </c>
      <c r="N1396" s="539">
        <f ca="1">IFERROR(__xludf.DUMMYFUNCTION("""COMPUTED_VALUE"""),0)</f>
        <v>0</v>
      </c>
      <c r="O1396" s="539">
        <f ca="1">IFERROR(__xludf.DUMMYFUNCTION("""COMPUTED_VALUE"""),0)</f>
        <v>0</v>
      </c>
    </row>
    <row r="1397" spans="1:15" ht="12.75">
      <c r="A1397" s="539">
        <f ca="1"/>
        <v>1391</v>
      </c>
      <c r="B1397" s="35" t="str">
        <f ca="1">IFERROR(__xludf.DUMMYFUNCTION("""COMPUTED_VALUE"""),"Tổ Hạ tầng Tân Châu")</f>
        <v>Tổ Hạ tầng Tân Châu</v>
      </c>
      <c r="C1397" s="35" t="str">
        <f ca="1">IFERROR(__xludf.DUMMYFUNCTION("""COMPUTED_VALUE"""),"Nguyễn Thanh Hải")</f>
        <v>Nguyễn Thanh Hải</v>
      </c>
      <c r="D1397" s="35">
        <f ca="1">IFERROR(__xludf.DUMMYFUNCTION("""COMPUTED_VALUE"""),946744500)</f>
        <v>946744500</v>
      </c>
      <c r="E1397" s="35" t="str">
        <f ca="1">IFERROR(__xludf.DUMMYFUNCTION("""COMPUTED_VALUE"""),"haint.tnh@vnpt.vn")</f>
        <v>haint.tnh@vnpt.vn</v>
      </c>
      <c r="F1397" s="540" t="str">
        <f ca="1">IFERROR(__xludf.DUMMYFUNCTION("""COMPUTED_VALUE"""),"Lần 15")</f>
        <v>Lần 15</v>
      </c>
      <c r="G1397" s="278"/>
      <c r="H1397" s="35"/>
      <c r="I1397" s="35"/>
      <c r="J1397" s="541"/>
      <c r="K1397" s="541"/>
      <c r="M1397" s="539">
        <f ca="1">IFERROR(__xludf.DUMMYFUNCTION("""COMPUTED_VALUE"""),0)</f>
        <v>0</v>
      </c>
      <c r="N1397" s="539">
        <f ca="1">IFERROR(__xludf.DUMMYFUNCTION("""COMPUTED_VALUE"""),0)</f>
        <v>0</v>
      </c>
      <c r="O1397" s="539">
        <f ca="1">IFERROR(__xludf.DUMMYFUNCTION("""COMPUTED_VALUE"""),0)</f>
        <v>0</v>
      </c>
    </row>
    <row r="1398" spans="1:15" ht="12.75">
      <c r="A1398" s="539">
        <f ca="1"/>
        <v>1392</v>
      </c>
      <c r="B1398" s="35" t="str">
        <f ca="1">IFERROR(__xludf.DUMMYFUNCTION("""COMPUTED_VALUE"""),"Tổ Hạ tầng Tân Châu")</f>
        <v>Tổ Hạ tầng Tân Châu</v>
      </c>
      <c r="C1398" s="35" t="str">
        <f ca="1">IFERROR(__xludf.DUMMYFUNCTION("""COMPUTED_VALUE"""),"Nguyễn Thanh Hải")</f>
        <v>Nguyễn Thanh Hải</v>
      </c>
      <c r="D1398" s="35">
        <f ca="1">IFERROR(__xludf.DUMMYFUNCTION("""COMPUTED_VALUE"""),946744500)</f>
        <v>946744500</v>
      </c>
      <c r="E1398" s="35" t="str">
        <f ca="1">IFERROR(__xludf.DUMMYFUNCTION("""COMPUTED_VALUE"""),"haint.tnh@vnpt.vn")</f>
        <v>haint.tnh@vnpt.vn</v>
      </c>
      <c r="F1398" s="540" t="str">
        <f ca="1">IFERROR(__xludf.DUMMYFUNCTION("""COMPUTED_VALUE"""),"Lần 16")</f>
        <v>Lần 16</v>
      </c>
      <c r="G1398" s="278"/>
      <c r="H1398" s="35"/>
      <c r="I1398" s="35"/>
      <c r="J1398" s="541"/>
      <c r="K1398" s="541"/>
      <c r="M1398" s="539">
        <f ca="1">IFERROR(__xludf.DUMMYFUNCTION("""COMPUTED_VALUE"""),0)</f>
        <v>0</v>
      </c>
      <c r="N1398" s="539">
        <f ca="1">IFERROR(__xludf.DUMMYFUNCTION("""COMPUTED_VALUE"""),0)</f>
        <v>0</v>
      </c>
      <c r="O1398" s="539">
        <f ca="1">IFERROR(__xludf.DUMMYFUNCTION("""COMPUTED_VALUE"""),0)</f>
        <v>0</v>
      </c>
    </row>
    <row r="1399" spans="1:15" ht="12.75">
      <c r="A1399" s="539">
        <f ca="1"/>
        <v>1393</v>
      </c>
      <c r="B1399" s="35" t="str">
        <f ca="1">IFERROR(__xludf.DUMMYFUNCTION("""COMPUTED_VALUE"""),"Tổ Hạ tầng Tân Châu")</f>
        <v>Tổ Hạ tầng Tân Châu</v>
      </c>
      <c r="C1399" s="35" t="str">
        <f ca="1">IFERROR(__xludf.DUMMYFUNCTION("""COMPUTED_VALUE"""),"Nguyễn Văn Tài")</f>
        <v>Nguyễn Văn Tài</v>
      </c>
      <c r="D1399" s="543" t="str">
        <f ca="1">IFERROR(__xludf.DUMMYFUNCTION("""COMPUTED_VALUE"""),"0944725238")</f>
        <v>0944725238</v>
      </c>
      <c r="E1399" s="35" t="str">
        <f ca="1">IFERROR(__xludf.DUMMYFUNCTION("""COMPUTED_VALUE"""),"x")</f>
        <v>x</v>
      </c>
      <c r="F1399" s="540" t="str">
        <f ca="1">IFERROR(__xludf.DUMMYFUNCTION("""COMPUTED_VALUE"""),"Lần 1")</f>
        <v>Lần 1</v>
      </c>
      <c r="G1399" s="278"/>
      <c r="H1399" s="35"/>
      <c r="I1399" s="35"/>
      <c r="J1399" s="541"/>
      <c r="K1399" s="541"/>
      <c r="M1399" s="539">
        <f ca="1">IFERROR(__xludf.DUMMYFUNCTION("""COMPUTED_VALUE"""),0)</f>
        <v>0</v>
      </c>
      <c r="N1399" s="539">
        <f ca="1">IFERROR(__xludf.DUMMYFUNCTION("""COMPUTED_VALUE"""),0)</f>
        <v>0</v>
      </c>
      <c r="O1399" s="539">
        <f ca="1">IFERROR(__xludf.DUMMYFUNCTION("""COMPUTED_VALUE"""),0)</f>
        <v>0</v>
      </c>
    </row>
    <row r="1400" spans="1:15" ht="12.75">
      <c r="A1400" s="539">
        <f ca="1"/>
        <v>1394</v>
      </c>
      <c r="B1400" s="35" t="str">
        <f ca="1">IFERROR(__xludf.DUMMYFUNCTION("""COMPUTED_VALUE"""),"Tổ Hạ tầng Tân Châu")</f>
        <v>Tổ Hạ tầng Tân Châu</v>
      </c>
      <c r="C1400" s="35" t="str">
        <f ca="1">IFERROR(__xludf.DUMMYFUNCTION("""COMPUTED_VALUE"""),"Nguyễn Văn Tài")</f>
        <v>Nguyễn Văn Tài</v>
      </c>
      <c r="D1400" s="543" t="str">
        <f ca="1">IFERROR(__xludf.DUMMYFUNCTION("""COMPUTED_VALUE"""),"0944725238")</f>
        <v>0944725238</v>
      </c>
      <c r="E1400" s="35" t="str">
        <f ca="1">IFERROR(__xludf.DUMMYFUNCTION("""COMPUTED_VALUE"""),"x")</f>
        <v>x</v>
      </c>
      <c r="F1400" s="540" t="str">
        <f ca="1">IFERROR(__xludf.DUMMYFUNCTION("""COMPUTED_VALUE"""),"Lần 2")</f>
        <v>Lần 2</v>
      </c>
      <c r="G1400" s="278"/>
      <c r="H1400" s="35"/>
      <c r="I1400" s="35"/>
      <c r="J1400" s="541"/>
      <c r="K1400" s="541"/>
      <c r="M1400" s="539">
        <f ca="1">IFERROR(__xludf.DUMMYFUNCTION("""COMPUTED_VALUE"""),0)</f>
        <v>0</v>
      </c>
      <c r="N1400" s="539">
        <f ca="1">IFERROR(__xludf.DUMMYFUNCTION("""COMPUTED_VALUE"""),0)</f>
        <v>0</v>
      </c>
      <c r="O1400" s="539">
        <f ca="1">IFERROR(__xludf.DUMMYFUNCTION("""COMPUTED_VALUE"""),0)</f>
        <v>0</v>
      </c>
    </row>
    <row r="1401" spans="1:15" ht="12.75">
      <c r="A1401" s="539">
        <f ca="1"/>
        <v>1395</v>
      </c>
      <c r="B1401" s="35" t="str">
        <f ca="1">IFERROR(__xludf.DUMMYFUNCTION("""COMPUTED_VALUE"""),"Tổ Hạ tầng Tân Châu")</f>
        <v>Tổ Hạ tầng Tân Châu</v>
      </c>
      <c r="C1401" s="35" t="str">
        <f ca="1">IFERROR(__xludf.DUMMYFUNCTION("""COMPUTED_VALUE"""),"Nguyễn Văn Tài")</f>
        <v>Nguyễn Văn Tài</v>
      </c>
      <c r="D1401" s="543" t="str">
        <f ca="1">IFERROR(__xludf.DUMMYFUNCTION("""COMPUTED_VALUE"""),"0944725238")</f>
        <v>0944725238</v>
      </c>
      <c r="E1401" s="35" t="str">
        <f ca="1">IFERROR(__xludf.DUMMYFUNCTION("""COMPUTED_VALUE"""),"x")</f>
        <v>x</v>
      </c>
      <c r="F1401" s="540" t="str">
        <f ca="1">IFERROR(__xludf.DUMMYFUNCTION("""COMPUTED_VALUE"""),"Lần 3")</f>
        <v>Lần 3</v>
      </c>
      <c r="G1401" s="278"/>
      <c r="H1401" s="35"/>
      <c r="I1401" s="35"/>
      <c r="J1401" s="541"/>
      <c r="K1401" s="541"/>
      <c r="M1401" s="539">
        <f ca="1">IFERROR(__xludf.DUMMYFUNCTION("""COMPUTED_VALUE"""),0)</f>
        <v>0</v>
      </c>
      <c r="N1401" s="539">
        <f ca="1">IFERROR(__xludf.DUMMYFUNCTION("""COMPUTED_VALUE"""),0)</f>
        <v>0</v>
      </c>
      <c r="O1401" s="539">
        <f ca="1">IFERROR(__xludf.DUMMYFUNCTION("""COMPUTED_VALUE"""),0)</f>
        <v>0</v>
      </c>
    </row>
    <row r="1402" spans="1:15" ht="12.75">
      <c r="A1402" s="539">
        <f ca="1"/>
        <v>1396</v>
      </c>
      <c r="B1402" s="35" t="str">
        <f ca="1">IFERROR(__xludf.DUMMYFUNCTION("""COMPUTED_VALUE"""),"Tổ Hạ tầng Tân Châu")</f>
        <v>Tổ Hạ tầng Tân Châu</v>
      </c>
      <c r="C1402" s="35" t="str">
        <f ca="1">IFERROR(__xludf.DUMMYFUNCTION("""COMPUTED_VALUE"""),"Nguyễn Văn Tài")</f>
        <v>Nguyễn Văn Tài</v>
      </c>
      <c r="D1402" s="543" t="str">
        <f ca="1">IFERROR(__xludf.DUMMYFUNCTION("""COMPUTED_VALUE"""),"0944725238")</f>
        <v>0944725238</v>
      </c>
      <c r="E1402" s="35" t="str">
        <f ca="1">IFERROR(__xludf.DUMMYFUNCTION("""COMPUTED_VALUE"""),"x")</f>
        <v>x</v>
      </c>
      <c r="F1402" s="540" t="str">
        <f ca="1">IFERROR(__xludf.DUMMYFUNCTION("""COMPUTED_VALUE"""),"Lần 4")</f>
        <v>Lần 4</v>
      </c>
      <c r="G1402" s="278"/>
      <c r="H1402" s="35"/>
      <c r="I1402" s="35"/>
      <c r="J1402" s="541"/>
      <c r="K1402" s="541"/>
      <c r="M1402" s="539">
        <f ca="1">IFERROR(__xludf.DUMMYFUNCTION("""COMPUTED_VALUE"""),0)</f>
        <v>0</v>
      </c>
      <c r="N1402" s="539">
        <f ca="1">IFERROR(__xludf.DUMMYFUNCTION("""COMPUTED_VALUE"""),0)</f>
        <v>0</v>
      </c>
      <c r="O1402" s="539">
        <f ca="1">IFERROR(__xludf.DUMMYFUNCTION("""COMPUTED_VALUE"""),0)</f>
        <v>0</v>
      </c>
    </row>
    <row r="1403" spans="1:15" ht="12.75">
      <c r="A1403" s="539">
        <f ca="1"/>
        <v>1397</v>
      </c>
      <c r="B1403" s="35" t="str">
        <f ca="1">IFERROR(__xludf.DUMMYFUNCTION("""COMPUTED_VALUE"""),"Tổ Hạ tầng Tân Châu")</f>
        <v>Tổ Hạ tầng Tân Châu</v>
      </c>
      <c r="C1403" s="35" t="str">
        <f ca="1">IFERROR(__xludf.DUMMYFUNCTION("""COMPUTED_VALUE"""),"Nguyễn Văn Tài")</f>
        <v>Nguyễn Văn Tài</v>
      </c>
      <c r="D1403" s="543" t="str">
        <f ca="1">IFERROR(__xludf.DUMMYFUNCTION("""COMPUTED_VALUE"""),"0944725238")</f>
        <v>0944725238</v>
      </c>
      <c r="E1403" s="35" t="str">
        <f ca="1">IFERROR(__xludf.DUMMYFUNCTION("""COMPUTED_VALUE"""),"x")</f>
        <v>x</v>
      </c>
      <c r="F1403" s="540" t="str">
        <f ca="1">IFERROR(__xludf.DUMMYFUNCTION("""COMPUTED_VALUE"""),"Lần 5")</f>
        <v>Lần 5</v>
      </c>
      <c r="G1403" s="278"/>
      <c r="H1403" s="35"/>
      <c r="I1403" s="35"/>
      <c r="J1403" s="541"/>
      <c r="K1403" s="541"/>
      <c r="M1403" s="539">
        <f ca="1">IFERROR(__xludf.DUMMYFUNCTION("""COMPUTED_VALUE"""),0)</f>
        <v>0</v>
      </c>
      <c r="N1403" s="539">
        <f ca="1">IFERROR(__xludf.DUMMYFUNCTION("""COMPUTED_VALUE"""),0)</f>
        <v>0</v>
      </c>
      <c r="O1403" s="539">
        <f ca="1">IFERROR(__xludf.DUMMYFUNCTION("""COMPUTED_VALUE"""),0)</f>
        <v>0</v>
      </c>
    </row>
    <row r="1404" spans="1:15" ht="12.75">
      <c r="A1404" s="539">
        <f ca="1"/>
        <v>1398</v>
      </c>
      <c r="B1404" s="35" t="str">
        <f ca="1">IFERROR(__xludf.DUMMYFUNCTION("""COMPUTED_VALUE"""),"Tổ Hạ tầng Tân Châu")</f>
        <v>Tổ Hạ tầng Tân Châu</v>
      </c>
      <c r="C1404" s="35" t="str">
        <f ca="1">IFERROR(__xludf.DUMMYFUNCTION("""COMPUTED_VALUE"""),"Nguyễn Văn Tài")</f>
        <v>Nguyễn Văn Tài</v>
      </c>
      <c r="D1404" s="543" t="str">
        <f ca="1">IFERROR(__xludf.DUMMYFUNCTION("""COMPUTED_VALUE"""),"0944725238")</f>
        <v>0944725238</v>
      </c>
      <c r="E1404" s="35" t="str">
        <f ca="1">IFERROR(__xludf.DUMMYFUNCTION("""COMPUTED_VALUE"""),"x")</f>
        <v>x</v>
      </c>
      <c r="F1404" s="540" t="str">
        <f ca="1">IFERROR(__xludf.DUMMYFUNCTION("""COMPUTED_VALUE"""),"Lần 6")</f>
        <v>Lần 6</v>
      </c>
      <c r="G1404" s="278"/>
      <c r="H1404" s="35"/>
      <c r="I1404" s="35"/>
      <c r="J1404" s="541"/>
      <c r="K1404" s="541"/>
      <c r="M1404" s="539">
        <f ca="1">IFERROR(__xludf.DUMMYFUNCTION("""COMPUTED_VALUE"""),0)</f>
        <v>0</v>
      </c>
      <c r="N1404" s="539">
        <f ca="1">IFERROR(__xludf.DUMMYFUNCTION("""COMPUTED_VALUE"""),0)</f>
        <v>0</v>
      </c>
      <c r="O1404" s="539">
        <f ca="1">IFERROR(__xludf.DUMMYFUNCTION("""COMPUTED_VALUE"""),0)</f>
        <v>0</v>
      </c>
    </row>
    <row r="1405" spans="1:15" ht="12.75">
      <c r="A1405" s="539">
        <f ca="1"/>
        <v>1399</v>
      </c>
      <c r="B1405" s="35" t="str">
        <f ca="1">IFERROR(__xludf.DUMMYFUNCTION("""COMPUTED_VALUE"""),"Tổ Hạ tầng Tân Châu")</f>
        <v>Tổ Hạ tầng Tân Châu</v>
      </c>
      <c r="C1405" s="35" t="str">
        <f ca="1">IFERROR(__xludf.DUMMYFUNCTION("""COMPUTED_VALUE"""),"Nguyễn Văn Tài")</f>
        <v>Nguyễn Văn Tài</v>
      </c>
      <c r="D1405" s="543" t="str">
        <f ca="1">IFERROR(__xludf.DUMMYFUNCTION("""COMPUTED_VALUE"""),"0944725238")</f>
        <v>0944725238</v>
      </c>
      <c r="E1405" s="35" t="str">
        <f ca="1">IFERROR(__xludf.DUMMYFUNCTION("""COMPUTED_VALUE"""),"x")</f>
        <v>x</v>
      </c>
      <c r="F1405" s="540" t="str">
        <f ca="1">IFERROR(__xludf.DUMMYFUNCTION("""COMPUTED_VALUE"""),"Lần 7")</f>
        <v>Lần 7</v>
      </c>
      <c r="G1405" s="278"/>
      <c r="H1405" s="35"/>
      <c r="I1405" s="35"/>
      <c r="J1405" s="541"/>
      <c r="K1405" s="541"/>
      <c r="M1405" s="539">
        <f ca="1">IFERROR(__xludf.DUMMYFUNCTION("""COMPUTED_VALUE"""),0)</f>
        <v>0</v>
      </c>
      <c r="N1405" s="539">
        <f ca="1">IFERROR(__xludf.DUMMYFUNCTION("""COMPUTED_VALUE"""),0)</f>
        <v>0</v>
      </c>
      <c r="O1405" s="539">
        <f ca="1">IFERROR(__xludf.DUMMYFUNCTION("""COMPUTED_VALUE"""),0)</f>
        <v>0</v>
      </c>
    </row>
    <row r="1406" spans="1:15" ht="12.75">
      <c r="A1406" s="539">
        <f ca="1"/>
        <v>1400</v>
      </c>
      <c r="B1406" s="35" t="str">
        <f ca="1">IFERROR(__xludf.DUMMYFUNCTION("""COMPUTED_VALUE"""),"Tổ Hạ tầng Tân Châu")</f>
        <v>Tổ Hạ tầng Tân Châu</v>
      </c>
      <c r="C1406" s="35" t="str">
        <f ca="1">IFERROR(__xludf.DUMMYFUNCTION("""COMPUTED_VALUE"""),"Nguyễn Văn Tài")</f>
        <v>Nguyễn Văn Tài</v>
      </c>
      <c r="D1406" s="543" t="str">
        <f ca="1">IFERROR(__xludf.DUMMYFUNCTION("""COMPUTED_VALUE"""),"0944725238")</f>
        <v>0944725238</v>
      </c>
      <c r="E1406" s="35" t="str">
        <f ca="1">IFERROR(__xludf.DUMMYFUNCTION("""COMPUTED_VALUE"""),"x")</f>
        <v>x</v>
      </c>
      <c r="F1406" s="540" t="str">
        <f ca="1">IFERROR(__xludf.DUMMYFUNCTION("""COMPUTED_VALUE"""),"Lần 8")</f>
        <v>Lần 8</v>
      </c>
      <c r="G1406" s="278"/>
      <c r="H1406" s="35"/>
      <c r="I1406" s="35"/>
      <c r="J1406" s="541"/>
      <c r="K1406" s="541"/>
      <c r="M1406" s="539">
        <f ca="1">IFERROR(__xludf.DUMMYFUNCTION("""COMPUTED_VALUE"""),0)</f>
        <v>0</v>
      </c>
      <c r="N1406" s="539">
        <f ca="1">IFERROR(__xludf.DUMMYFUNCTION("""COMPUTED_VALUE"""),0)</f>
        <v>0</v>
      </c>
      <c r="O1406" s="539">
        <f ca="1">IFERROR(__xludf.DUMMYFUNCTION("""COMPUTED_VALUE"""),0)</f>
        <v>0</v>
      </c>
    </row>
    <row r="1407" spans="1:15" ht="12.75">
      <c r="A1407" s="539">
        <f ca="1"/>
        <v>1401</v>
      </c>
      <c r="B1407" s="35" t="str">
        <f ca="1">IFERROR(__xludf.DUMMYFUNCTION("""COMPUTED_VALUE"""),"Tổ Hạ tầng Tân Châu")</f>
        <v>Tổ Hạ tầng Tân Châu</v>
      </c>
      <c r="C1407" s="35" t="str">
        <f ca="1">IFERROR(__xludf.DUMMYFUNCTION("""COMPUTED_VALUE"""),"Nguyễn Văn Tài")</f>
        <v>Nguyễn Văn Tài</v>
      </c>
      <c r="D1407" s="543" t="str">
        <f ca="1">IFERROR(__xludf.DUMMYFUNCTION("""COMPUTED_VALUE"""),"0944725238")</f>
        <v>0944725238</v>
      </c>
      <c r="E1407" s="35" t="str">
        <f ca="1">IFERROR(__xludf.DUMMYFUNCTION("""COMPUTED_VALUE"""),"x")</f>
        <v>x</v>
      </c>
      <c r="F1407" s="540" t="str">
        <f ca="1">IFERROR(__xludf.DUMMYFUNCTION("""COMPUTED_VALUE"""),"Lần 9")</f>
        <v>Lần 9</v>
      </c>
      <c r="G1407" s="278"/>
      <c r="H1407" s="35"/>
      <c r="I1407" s="35"/>
      <c r="J1407" s="541"/>
      <c r="K1407" s="541"/>
      <c r="M1407" s="539">
        <f ca="1">IFERROR(__xludf.DUMMYFUNCTION("""COMPUTED_VALUE"""),0)</f>
        <v>0</v>
      </c>
      <c r="N1407" s="539">
        <f ca="1">IFERROR(__xludf.DUMMYFUNCTION("""COMPUTED_VALUE"""),0)</f>
        <v>0</v>
      </c>
      <c r="O1407" s="539">
        <f ca="1">IFERROR(__xludf.DUMMYFUNCTION("""COMPUTED_VALUE"""),0)</f>
        <v>0</v>
      </c>
    </row>
    <row r="1408" spans="1:15" ht="12.75">
      <c r="A1408" s="539">
        <f ca="1"/>
        <v>1402</v>
      </c>
      <c r="B1408" s="35" t="str">
        <f ca="1">IFERROR(__xludf.DUMMYFUNCTION("""COMPUTED_VALUE"""),"Tổ Hạ tầng Tân Châu")</f>
        <v>Tổ Hạ tầng Tân Châu</v>
      </c>
      <c r="C1408" s="35" t="str">
        <f ca="1">IFERROR(__xludf.DUMMYFUNCTION("""COMPUTED_VALUE"""),"Nguyễn Văn Tài")</f>
        <v>Nguyễn Văn Tài</v>
      </c>
      <c r="D1408" s="543" t="str">
        <f ca="1">IFERROR(__xludf.DUMMYFUNCTION("""COMPUTED_VALUE"""),"0944725238")</f>
        <v>0944725238</v>
      </c>
      <c r="E1408" s="35" t="str">
        <f ca="1">IFERROR(__xludf.DUMMYFUNCTION("""COMPUTED_VALUE"""),"x")</f>
        <v>x</v>
      </c>
      <c r="F1408" s="540" t="str">
        <f ca="1">IFERROR(__xludf.DUMMYFUNCTION("""COMPUTED_VALUE"""),"Lần 10")</f>
        <v>Lần 10</v>
      </c>
      <c r="G1408" s="278"/>
      <c r="H1408" s="35"/>
      <c r="I1408" s="35"/>
      <c r="J1408" s="541"/>
      <c r="K1408" s="541"/>
      <c r="M1408" s="539">
        <f ca="1">IFERROR(__xludf.DUMMYFUNCTION("""COMPUTED_VALUE"""),0)</f>
        <v>0</v>
      </c>
      <c r="N1408" s="539">
        <f ca="1">IFERROR(__xludf.DUMMYFUNCTION("""COMPUTED_VALUE"""),0)</f>
        <v>0</v>
      </c>
      <c r="O1408" s="539">
        <f ca="1">IFERROR(__xludf.DUMMYFUNCTION("""COMPUTED_VALUE"""),0)</f>
        <v>0</v>
      </c>
    </row>
    <row r="1409" spans="1:15" ht="12.75">
      <c r="A1409" s="539">
        <f ca="1"/>
        <v>1403</v>
      </c>
      <c r="B1409" s="35" t="str">
        <f ca="1">IFERROR(__xludf.DUMMYFUNCTION("""COMPUTED_VALUE"""),"Tổ Hạ tầng Tân Châu")</f>
        <v>Tổ Hạ tầng Tân Châu</v>
      </c>
      <c r="C1409" s="35" t="str">
        <f ca="1">IFERROR(__xludf.DUMMYFUNCTION("""COMPUTED_VALUE"""),"Nguyễn Văn Tài")</f>
        <v>Nguyễn Văn Tài</v>
      </c>
      <c r="D1409" s="543" t="str">
        <f ca="1">IFERROR(__xludf.DUMMYFUNCTION("""COMPUTED_VALUE"""),"0944725238")</f>
        <v>0944725238</v>
      </c>
      <c r="E1409" s="35" t="str">
        <f ca="1">IFERROR(__xludf.DUMMYFUNCTION("""COMPUTED_VALUE"""),"x")</f>
        <v>x</v>
      </c>
      <c r="F1409" s="540" t="str">
        <f ca="1">IFERROR(__xludf.DUMMYFUNCTION("""COMPUTED_VALUE"""),"Lần 11")</f>
        <v>Lần 11</v>
      </c>
      <c r="G1409" s="278"/>
      <c r="H1409" s="35"/>
      <c r="I1409" s="35"/>
      <c r="J1409" s="541"/>
      <c r="K1409" s="541"/>
      <c r="M1409" s="539">
        <f ca="1">IFERROR(__xludf.DUMMYFUNCTION("""COMPUTED_VALUE"""),0)</f>
        <v>0</v>
      </c>
      <c r="N1409" s="539">
        <f ca="1">IFERROR(__xludf.DUMMYFUNCTION("""COMPUTED_VALUE"""),0)</f>
        <v>0</v>
      </c>
      <c r="O1409" s="539">
        <f ca="1">IFERROR(__xludf.DUMMYFUNCTION("""COMPUTED_VALUE"""),0)</f>
        <v>0</v>
      </c>
    </row>
    <row r="1410" spans="1:15" ht="12.75">
      <c r="A1410" s="539">
        <f ca="1"/>
        <v>1404</v>
      </c>
      <c r="B1410" s="35" t="str">
        <f ca="1">IFERROR(__xludf.DUMMYFUNCTION("""COMPUTED_VALUE"""),"Tổ Hạ tầng Tân Châu")</f>
        <v>Tổ Hạ tầng Tân Châu</v>
      </c>
      <c r="C1410" s="35" t="str">
        <f ca="1">IFERROR(__xludf.DUMMYFUNCTION("""COMPUTED_VALUE"""),"Nguyễn Văn Tài")</f>
        <v>Nguyễn Văn Tài</v>
      </c>
      <c r="D1410" s="543" t="str">
        <f ca="1">IFERROR(__xludf.DUMMYFUNCTION("""COMPUTED_VALUE"""),"0944725238")</f>
        <v>0944725238</v>
      </c>
      <c r="E1410" s="35" t="str">
        <f ca="1">IFERROR(__xludf.DUMMYFUNCTION("""COMPUTED_VALUE"""),"x")</f>
        <v>x</v>
      </c>
      <c r="F1410" s="540" t="str">
        <f ca="1">IFERROR(__xludf.DUMMYFUNCTION("""COMPUTED_VALUE"""),"Lần 12")</f>
        <v>Lần 12</v>
      </c>
      <c r="G1410" s="278"/>
      <c r="H1410" s="35"/>
      <c r="I1410" s="35"/>
      <c r="J1410" s="541"/>
      <c r="K1410" s="541"/>
      <c r="M1410" s="539">
        <f ca="1">IFERROR(__xludf.DUMMYFUNCTION("""COMPUTED_VALUE"""),0)</f>
        <v>0</v>
      </c>
      <c r="N1410" s="539">
        <f ca="1">IFERROR(__xludf.DUMMYFUNCTION("""COMPUTED_VALUE"""),0)</f>
        <v>0</v>
      </c>
      <c r="O1410" s="539">
        <f ca="1">IFERROR(__xludf.DUMMYFUNCTION("""COMPUTED_VALUE"""),0)</f>
        <v>0</v>
      </c>
    </row>
    <row r="1411" spans="1:15" ht="12.75">
      <c r="A1411" s="539">
        <f ca="1"/>
        <v>1405</v>
      </c>
      <c r="B1411" s="35" t="str">
        <f ca="1">IFERROR(__xludf.DUMMYFUNCTION("""COMPUTED_VALUE"""),"Tổ Hạ tầng Tân Châu")</f>
        <v>Tổ Hạ tầng Tân Châu</v>
      </c>
      <c r="C1411" s="35" t="str">
        <f ca="1">IFERROR(__xludf.DUMMYFUNCTION("""COMPUTED_VALUE"""),"Nguyễn Văn Tài")</f>
        <v>Nguyễn Văn Tài</v>
      </c>
      <c r="D1411" s="543" t="str">
        <f ca="1">IFERROR(__xludf.DUMMYFUNCTION("""COMPUTED_VALUE"""),"0944725238")</f>
        <v>0944725238</v>
      </c>
      <c r="E1411" s="35" t="str">
        <f ca="1">IFERROR(__xludf.DUMMYFUNCTION("""COMPUTED_VALUE"""),"x")</f>
        <v>x</v>
      </c>
      <c r="F1411" s="540" t="str">
        <f ca="1">IFERROR(__xludf.DUMMYFUNCTION("""COMPUTED_VALUE"""),"Lần 13")</f>
        <v>Lần 13</v>
      </c>
      <c r="G1411" s="278"/>
      <c r="H1411" s="35"/>
      <c r="I1411" s="35"/>
      <c r="J1411" s="541"/>
      <c r="K1411" s="541"/>
      <c r="M1411" s="539">
        <f ca="1">IFERROR(__xludf.DUMMYFUNCTION("""COMPUTED_VALUE"""),0)</f>
        <v>0</v>
      </c>
      <c r="N1411" s="539">
        <f ca="1">IFERROR(__xludf.DUMMYFUNCTION("""COMPUTED_VALUE"""),0)</f>
        <v>0</v>
      </c>
      <c r="O1411" s="539">
        <f ca="1">IFERROR(__xludf.DUMMYFUNCTION("""COMPUTED_VALUE"""),0)</f>
        <v>0</v>
      </c>
    </row>
    <row r="1412" spans="1:15" ht="12.75">
      <c r="A1412" s="539">
        <f ca="1"/>
        <v>1406</v>
      </c>
      <c r="B1412" s="35" t="str">
        <f ca="1">IFERROR(__xludf.DUMMYFUNCTION("""COMPUTED_VALUE"""),"Tổ Hạ tầng Tân Châu")</f>
        <v>Tổ Hạ tầng Tân Châu</v>
      </c>
      <c r="C1412" s="35" t="str">
        <f ca="1">IFERROR(__xludf.DUMMYFUNCTION("""COMPUTED_VALUE"""),"Nguyễn Văn Tài")</f>
        <v>Nguyễn Văn Tài</v>
      </c>
      <c r="D1412" s="543" t="str">
        <f ca="1">IFERROR(__xludf.DUMMYFUNCTION("""COMPUTED_VALUE"""),"0944725238")</f>
        <v>0944725238</v>
      </c>
      <c r="E1412" s="35" t="str">
        <f ca="1">IFERROR(__xludf.DUMMYFUNCTION("""COMPUTED_VALUE"""),"x")</f>
        <v>x</v>
      </c>
      <c r="F1412" s="540" t="str">
        <f ca="1">IFERROR(__xludf.DUMMYFUNCTION("""COMPUTED_VALUE"""),"Lần 14")</f>
        <v>Lần 14</v>
      </c>
      <c r="G1412" s="278"/>
      <c r="H1412" s="35"/>
      <c r="I1412" s="35"/>
      <c r="J1412" s="541"/>
      <c r="K1412" s="541"/>
      <c r="M1412" s="539">
        <f ca="1">IFERROR(__xludf.DUMMYFUNCTION("""COMPUTED_VALUE"""),0)</f>
        <v>0</v>
      </c>
      <c r="N1412" s="539">
        <f ca="1">IFERROR(__xludf.DUMMYFUNCTION("""COMPUTED_VALUE"""),0)</f>
        <v>0</v>
      </c>
      <c r="O1412" s="539">
        <f ca="1">IFERROR(__xludf.DUMMYFUNCTION("""COMPUTED_VALUE"""),0)</f>
        <v>0</v>
      </c>
    </row>
    <row r="1413" spans="1:15" ht="12.75">
      <c r="A1413" s="539">
        <f ca="1"/>
        <v>1407</v>
      </c>
      <c r="B1413" s="35" t="str">
        <f ca="1">IFERROR(__xludf.DUMMYFUNCTION("""COMPUTED_VALUE"""),"Tổ Hạ tầng Tân Châu")</f>
        <v>Tổ Hạ tầng Tân Châu</v>
      </c>
      <c r="C1413" s="35" t="str">
        <f ca="1">IFERROR(__xludf.DUMMYFUNCTION("""COMPUTED_VALUE"""),"Nguyễn Văn Tài")</f>
        <v>Nguyễn Văn Tài</v>
      </c>
      <c r="D1413" s="543" t="str">
        <f ca="1">IFERROR(__xludf.DUMMYFUNCTION("""COMPUTED_VALUE"""),"0944725238")</f>
        <v>0944725238</v>
      </c>
      <c r="E1413" s="35" t="str">
        <f ca="1">IFERROR(__xludf.DUMMYFUNCTION("""COMPUTED_VALUE"""),"x")</f>
        <v>x</v>
      </c>
      <c r="F1413" s="540" t="str">
        <f ca="1">IFERROR(__xludf.DUMMYFUNCTION("""COMPUTED_VALUE"""),"Lần 15")</f>
        <v>Lần 15</v>
      </c>
      <c r="G1413" s="278"/>
      <c r="H1413" s="35"/>
      <c r="I1413" s="35"/>
      <c r="J1413" s="541"/>
      <c r="K1413" s="541"/>
      <c r="M1413" s="539">
        <f ca="1">IFERROR(__xludf.DUMMYFUNCTION("""COMPUTED_VALUE"""),0)</f>
        <v>0</v>
      </c>
      <c r="N1413" s="539">
        <f ca="1">IFERROR(__xludf.DUMMYFUNCTION("""COMPUTED_VALUE"""),0)</f>
        <v>0</v>
      </c>
      <c r="O1413" s="539">
        <f ca="1">IFERROR(__xludf.DUMMYFUNCTION("""COMPUTED_VALUE"""),0)</f>
        <v>0</v>
      </c>
    </row>
    <row r="1414" spans="1:15" ht="12.75">
      <c r="A1414" s="539">
        <f ca="1"/>
        <v>1408</v>
      </c>
      <c r="B1414" s="35" t="str">
        <f ca="1">IFERROR(__xludf.DUMMYFUNCTION("""COMPUTED_VALUE"""),"Tổ Hạ tầng Tân Châu")</f>
        <v>Tổ Hạ tầng Tân Châu</v>
      </c>
      <c r="C1414" s="35" t="str">
        <f ca="1">IFERROR(__xludf.DUMMYFUNCTION("""COMPUTED_VALUE"""),"Nguyễn Văn Tài")</f>
        <v>Nguyễn Văn Tài</v>
      </c>
      <c r="D1414" s="543" t="str">
        <f ca="1">IFERROR(__xludf.DUMMYFUNCTION("""COMPUTED_VALUE"""),"0944725238")</f>
        <v>0944725238</v>
      </c>
      <c r="E1414" s="35" t="str">
        <f ca="1">IFERROR(__xludf.DUMMYFUNCTION("""COMPUTED_VALUE"""),"x")</f>
        <v>x</v>
      </c>
      <c r="F1414" s="540" t="str">
        <f ca="1">IFERROR(__xludf.DUMMYFUNCTION("""COMPUTED_VALUE"""),"Lần 16")</f>
        <v>Lần 16</v>
      </c>
      <c r="G1414" s="278"/>
      <c r="H1414" s="35"/>
      <c r="I1414" s="35"/>
      <c r="J1414" s="541"/>
      <c r="K1414" s="541"/>
      <c r="M1414" s="539">
        <f ca="1">IFERROR(__xludf.DUMMYFUNCTION("""COMPUTED_VALUE"""),0)</f>
        <v>0</v>
      </c>
      <c r="N1414" s="539">
        <f ca="1">IFERROR(__xludf.DUMMYFUNCTION("""COMPUTED_VALUE"""),0)</f>
        <v>0</v>
      </c>
      <c r="O1414" s="539">
        <f ca="1">IFERROR(__xludf.DUMMYFUNCTION("""COMPUTED_VALUE"""),0)</f>
        <v>0</v>
      </c>
    </row>
    <row r="1415" spans="1:15" ht="12.75">
      <c r="A1415" s="539">
        <f ca="1"/>
        <v>1409</v>
      </c>
      <c r="B1415" s="35" t="str">
        <f ca="1">IFERROR(__xludf.DUMMYFUNCTION("""COMPUTED_VALUE"""),"Tổ Hạ tầng Tân Châu")</f>
        <v>Tổ Hạ tầng Tân Châu</v>
      </c>
      <c r="C1415" s="35" t="str">
        <f ca="1">IFERROR(__xludf.DUMMYFUNCTION("""COMPUTED_VALUE"""),"Phan Anh Tuấn")</f>
        <v>Phan Anh Tuấn</v>
      </c>
      <c r="D1415" s="543" t="str">
        <f ca="1">IFERROR(__xludf.DUMMYFUNCTION("""COMPUTED_VALUE"""),"0918486992")</f>
        <v>0918486992</v>
      </c>
      <c r="E1415" s="35" t="str">
        <f ca="1">IFERROR(__xludf.DUMMYFUNCTION("""COMPUTED_VALUE"""),"x")</f>
        <v>x</v>
      </c>
      <c r="F1415" s="540" t="str">
        <f ca="1">IFERROR(__xludf.DUMMYFUNCTION("""COMPUTED_VALUE"""),"Lần 1")</f>
        <v>Lần 1</v>
      </c>
      <c r="G1415" s="278"/>
      <c r="H1415" s="35"/>
      <c r="I1415" s="35"/>
      <c r="J1415" s="541"/>
      <c r="K1415" s="541"/>
      <c r="M1415" s="539">
        <f ca="1">IFERROR(__xludf.DUMMYFUNCTION("""COMPUTED_VALUE"""),0)</f>
        <v>0</v>
      </c>
      <c r="N1415" s="539">
        <f ca="1">IFERROR(__xludf.DUMMYFUNCTION("""COMPUTED_VALUE"""),0)</f>
        <v>0</v>
      </c>
      <c r="O1415" s="539">
        <f ca="1">IFERROR(__xludf.DUMMYFUNCTION("""COMPUTED_VALUE"""),0)</f>
        <v>0</v>
      </c>
    </row>
    <row r="1416" spans="1:15" ht="12.75">
      <c r="A1416" s="539">
        <f ca="1"/>
        <v>1410</v>
      </c>
      <c r="B1416" s="35" t="str">
        <f ca="1">IFERROR(__xludf.DUMMYFUNCTION("""COMPUTED_VALUE"""),"Tổ Hạ tầng Tân Châu")</f>
        <v>Tổ Hạ tầng Tân Châu</v>
      </c>
      <c r="C1416" s="35" t="str">
        <f ca="1">IFERROR(__xludf.DUMMYFUNCTION("""COMPUTED_VALUE"""),"Phan Anh Tuấn")</f>
        <v>Phan Anh Tuấn</v>
      </c>
      <c r="D1416" s="543" t="str">
        <f ca="1">IFERROR(__xludf.DUMMYFUNCTION("""COMPUTED_VALUE"""),"0918486992")</f>
        <v>0918486992</v>
      </c>
      <c r="E1416" s="35" t="str">
        <f ca="1">IFERROR(__xludf.DUMMYFUNCTION("""COMPUTED_VALUE"""),"x")</f>
        <v>x</v>
      </c>
      <c r="F1416" s="540" t="str">
        <f ca="1">IFERROR(__xludf.DUMMYFUNCTION("""COMPUTED_VALUE"""),"Lần 2")</f>
        <v>Lần 2</v>
      </c>
      <c r="G1416" s="278"/>
      <c r="H1416" s="35"/>
      <c r="I1416" s="35"/>
      <c r="J1416" s="541"/>
      <c r="K1416" s="541"/>
      <c r="M1416" s="539">
        <f ca="1">IFERROR(__xludf.DUMMYFUNCTION("""COMPUTED_VALUE"""),0)</f>
        <v>0</v>
      </c>
      <c r="N1416" s="539">
        <f ca="1">IFERROR(__xludf.DUMMYFUNCTION("""COMPUTED_VALUE"""),0)</f>
        <v>0</v>
      </c>
      <c r="O1416" s="539">
        <f ca="1">IFERROR(__xludf.DUMMYFUNCTION("""COMPUTED_VALUE"""),0)</f>
        <v>0</v>
      </c>
    </row>
    <row r="1417" spans="1:15" ht="12.75">
      <c r="A1417" s="539">
        <f ca="1"/>
        <v>1411</v>
      </c>
      <c r="B1417" s="35" t="str">
        <f ca="1">IFERROR(__xludf.DUMMYFUNCTION("""COMPUTED_VALUE"""),"Tổ Hạ tầng Tân Châu")</f>
        <v>Tổ Hạ tầng Tân Châu</v>
      </c>
      <c r="C1417" s="35" t="str">
        <f ca="1">IFERROR(__xludf.DUMMYFUNCTION("""COMPUTED_VALUE"""),"Phan Anh Tuấn")</f>
        <v>Phan Anh Tuấn</v>
      </c>
      <c r="D1417" s="543" t="str">
        <f ca="1">IFERROR(__xludf.DUMMYFUNCTION("""COMPUTED_VALUE"""),"0918486992")</f>
        <v>0918486992</v>
      </c>
      <c r="E1417" s="35" t="str">
        <f ca="1">IFERROR(__xludf.DUMMYFUNCTION("""COMPUTED_VALUE"""),"x")</f>
        <v>x</v>
      </c>
      <c r="F1417" s="540" t="str">
        <f ca="1">IFERROR(__xludf.DUMMYFUNCTION("""COMPUTED_VALUE"""),"Lần 3")</f>
        <v>Lần 3</v>
      </c>
      <c r="G1417" s="278"/>
      <c r="H1417" s="35"/>
      <c r="I1417" s="35"/>
      <c r="J1417" s="541"/>
      <c r="K1417" s="541"/>
      <c r="M1417" s="539">
        <f ca="1">IFERROR(__xludf.DUMMYFUNCTION("""COMPUTED_VALUE"""),0)</f>
        <v>0</v>
      </c>
      <c r="N1417" s="539">
        <f ca="1">IFERROR(__xludf.DUMMYFUNCTION("""COMPUTED_VALUE"""),0)</f>
        <v>0</v>
      </c>
      <c r="O1417" s="539">
        <f ca="1">IFERROR(__xludf.DUMMYFUNCTION("""COMPUTED_VALUE"""),0)</f>
        <v>0</v>
      </c>
    </row>
    <row r="1418" spans="1:15" ht="12.75">
      <c r="A1418" s="539">
        <f ca="1"/>
        <v>1412</v>
      </c>
      <c r="B1418" s="35" t="str">
        <f ca="1">IFERROR(__xludf.DUMMYFUNCTION("""COMPUTED_VALUE"""),"Tổ Hạ tầng Tân Châu")</f>
        <v>Tổ Hạ tầng Tân Châu</v>
      </c>
      <c r="C1418" s="35" t="str">
        <f ca="1">IFERROR(__xludf.DUMMYFUNCTION("""COMPUTED_VALUE"""),"Phan Anh Tuấn")</f>
        <v>Phan Anh Tuấn</v>
      </c>
      <c r="D1418" s="543" t="str">
        <f ca="1">IFERROR(__xludf.DUMMYFUNCTION("""COMPUTED_VALUE"""),"0918486992")</f>
        <v>0918486992</v>
      </c>
      <c r="E1418" s="35" t="str">
        <f ca="1">IFERROR(__xludf.DUMMYFUNCTION("""COMPUTED_VALUE"""),"x")</f>
        <v>x</v>
      </c>
      <c r="F1418" s="540" t="str">
        <f ca="1">IFERROR(__xludf.DUMMYFUNCTION("""COMPUTED_VALUE"""),"Lần 4")</f>
        <v>Lần 4</v>
      </c>
      <c r="G1418" s="278"/>
      <c r="H1418" s="35"/>
      <c r="I1418" s="35"/>
      <c r="J1418" s="541"/>
      <c r="K1418" s="541"/>
      <c r="M1418" s="539">
        <f ca="1">IFERROR(__xludf.DUMMYFUNCTION("""COMPUTED_VALUE"""),0)</f>
        <v>0</v>
      </c>
      <c r="N1418" s="539">
        <f ca="1">IFERROR(__xludf.DUMMYFUNCTION("""COMPUTED_VALUE"""),0)</f>
        <v>0</v>
      </c>
      <c r="O1418" s="539">
        <f ca="1">IFERROR(__xludf.DUMMYFUNCTION("""COMPUTED_VALUE"""),0)</f>
        <v>0</v>
      </c>
    </row>
    <row r="1419" spans="1:15" ht="12.75">
      <c r="A1419" s="539">
        <f ca="1"/>
        <v>1413</v>
      </c>
      <c r="B1419" s="35" t="str">
        <f ca="1">IFERROR(__xludf.DUMMYFUNCTION("""COMPUTED_VALUE"""),"Tổ Hạ tầng Tân Châu")</f>
        <v>Tổ Hạ tầng Tân Châu</v>
      </c>
      <c r="C1419" s="35" t="str">
        <f ca="1">IFERROR(__xludf.DUMMYFUNCTION("""COMPUTED_VALUE"""),"Phan Anh Tuấn")</f>
        <v>Phan Anh Tuấn</v>
      </c>
      <c r="D1419" s="543" t="str">
        <f ca="1">IFERROR(__xludf.DUMMYFUNCTION("""COMPUTED_VALUE"""),"0918486992")</f>
        <v>0918486992</v>
      </c>
      <c r="E1419" s="35" t="str">
        <f ca="1">IFERROR(__xludf.DUMMYFUNCTION("""COMPUTED_VALUE"""),"x")</f>
        <v>x</v>
      </c>
      <c r="F1419" s="540" t="str">
        <f ca="1">IFERROR(__xludf.DUMMYFUNCTION("""COMPUTED_VALUE"""),"Lần 5")</f>
        <v>Lần 5</v>
      </c>
      <c r="G1419" s="278"/>
      <c r="H1419" s="35"/>
      <c r="I1419" s="35"/>
      <c r="J1419" s="541"/>
      <c r="K1419" s="541"/>
      <c r="M1419" s="539">
        <f ca="1">IFERROR(__xludf.DUMMYFUNCTION("""COMPUTED_VALUE"""),0)</f>
        <v>0</v>
      </c>
      <c r="N1419" s="539">
        <f ca="1">IFERROR(__xludf.DUMMYFUNCTION("""COMPUTED_VALUE"""),0)</f>
        <v>0</v>
      </c>
      <c r="O1419" s="539">
        <f ca="1">IFERROR(__xludf.DUMMYFUNCTION("""COMPUTED_VALUE"""),0)</f>
        <v>0</v>
      </c>
    </row>
    <row r="1420" spans="1:15" ht="12.75">
      <c r="A1420" s="539">
        <f ca="1"/>
        <v>1414</v>
      </c>
      <c r="B1420" s="35" t="str">
        <f ca="1">IFERROR(__xludf.DUMMYFUNCTION("""COMPUTED_VALUE"""),"Tổ Hạ tầng Tân Châu")</f>
        <v>Tổ Hạ tầng Tân Châu</v>
      </c>
      <c r="C1420" s="35" t="str">
        <f ca="1">IFERROR(__xludf.DUMMYFUNCTION("""COMPUTED_VALUE"""),"Phan Anh Tuấn")</f>
        <v>Phan Anh Tuấn</v>
      </c>
      <c r="D1420" s="543" t="str">
        <f ca="1">IFERROR(__xludf.DUMMYFUNCTION("""COMPUTED_VALUE"""),"0918486992")</f>
        <v>0918486992</v>
      </c>
      <c r="E1420" s="35" t="str">
        <f ca="1">IFERROR(__xludf.DUMMYFUNCTION("""COMPUTED_VALUE"""),"x")</f>
        <v>x</v>
      </c>
      <c r="F1420" s="540" t="str">
        <f ca="1">IFERROR(__xludf.DUMMYFUNCTION("""COMPUTED_VALUE"""),"Lần 6")</f>
        <v>Lần 6</v>
      </c>
      <c r="G1420" s="278"/>
      <c r="H1420" s="35"/>
      <c r="I1420" s="35"/>
      <c r="J1420" s="541"/>
      <c r="K1420" s="541"/>
      <c r="M1420" s="539">
        <f ca="1">IFERROR(__xludf.DUMMYFUNCTION("""COMPUTED_VALUE"""),0)</f>
        <v>0</v>
      </c>
      <c r="N1420" s="539">
        <f ca="1">IFERROR(__xludf.DUMMYFUNCTION("""COMPUTED_VALUE"""),0)</f>
        <v>0</v>
      </c>
      <c r="O1420" s="539">
        <f ca="1">IFERROR(__xludf.DUMMYFUNCTION("""COMPUTED_VALUE"""),0)</f>
        <v>0</v>
      </c>
    </row>
    <row r="1421" spans="1:15" ht="12.75">
      <c r="A1421" s="539">
        <f ca="1"/>
        <v>1415</v>
      </c>
      <c r="B1421" s="35" t="str">
        <f ca="1">IFERROR(__xludf.DUMMYFUNCTION("""COMPUTED_VALUE"""),"Tổ Hạ tầng Tân Châu")</f>
        <v>Tổ Hạ tầng Tân Châu</v>
      </c>
      <c r="C1421" s="35" t="str">
        <f ca="1">IFERROR(__xludf.DUMMYFUNCTION("""COMPUTED_VALUE"""),"Phan Anh Tuấn")</f>
        <v>Phan Anh Tuấn</v>
      </c>
      <c r="D1421" s="543" t="str">
        <f ca="1">IFERROR(__xludf.DUMMYFUNCTION("""COMPUTED_VALUE"""),"0918486992")</f>
        <v>0918486992</v>
      </c>
      <c r="E1421" s="35" t="str">
        <f ca="1">IFERROR(__xludf.DUMMYFUNCTION("""COMPUTED_VALUE"""),"x")</f>
        <v>x</v>
      </c>
      <c r="F1421" s="540" t="str">
        <f ca="1">IFERROR(__xludf.DUMMYFUNCTION("""COMPUTED_VALUE"""),"Lần 7")</f>
        <v>Lần 7</v>
      </c>
      <c r="G1421" s="278"/>
      <c r="H1421" s="35"/>
      <c r="I1421" s="35"/>
      <c r="J1421" s="541"/>
      <c r="K1421" s="541"/>
      <c r="M1421" s="539">
        <f ca="1">IFERROR(__xludf.DUMMYFUNCTION("""COMPUTED_VALUE"""),0)</f>
        <v>0</v>
      </c>
      <c r="N1421" s="539">
        <f ca="1">IFERROR(__xludf.DUMMYFUNCTION("""COMPUTED_VALUE"""),0)</f>
        <v>0</v>
      </c>
      <c r="O1421" s="539">
        <f ca="1">IFERROR(__xludf.DUMMYFUNCTION("""COMPUTED_VALUE"""),0)</f>
        <v>0</v>
      </c>
    </row>
    <row r="1422" spans="1:15" ht="12.75">
      <c r="A1422" s="539">
        <f ca="1"/>
        <v>1416</v>
      </c>
      <c r="B1422" s="35" t="str">
        <f ca="1">IFERROR(__xludf.DUMMYFUNCTION("""COMPUTED_VALUE"""),"Tổ Hạ tầng Tân Châu")</f>
        <v>Tổ Hạ tầng Tân Châu</v>
      </c>
      <c r="C1422" s="35" t="str">
        <f ca="1">IFERROR(__xludf.DUMMYFUNCTION("""COMPUTED_VALUE"""),"Phan Anh Tuấn")</f>
        <v>Phan Anh Tuấn</v>
      </c>
      <c r="D1422" s="543" t="str">
        <f ca="1">IFERROR(__xludf.DUMMYFUNCTION("""COMPUTED_VALUE"""),"0918486992")</f>
        <v>0918486992</v>
      </c>
      <c r="E1422" s="35" t="str">
        <f ca="1">IFERROR(__xludf.DUMMYFUNCTION("""COMPUTED_VALUE"""),"x")</f>
        <v>x</v>
      </c>
      <c r="F1422" s="540" t="str">
        <f ca="1">IFERROR(__xludf.DUMMYFUNCTION("""COMPUTED_VALUE"""),"Lần 8")</f>
        <v>Lần 8</v>
      </c>
      <c r="G1422" s="278"/>
      <c r="H1422" s="35"/>
      <c r="I1422" s="35"/>
      <c r="J1422" s="541"/>
      <c r="K1422" s="541"/>
      <c r="M1422" s="539">
        <f ca="1">IFERROR(__xludf.DUMMYFUNCTION("""COMPUTED_VALUE"""),0)</f>
        <v>0</v>
      </c>
      <c r="N1422" s="539">
        <f ca="1">IFERROR(__xludf.DUMMYFUNCTION("""COMPUTED_VALUE"""),0)</f>
        <v>0</v>
      </c>
      <c r="O1422" s="539">
        <f ca="1">IFERROR(__xludf.DUMMYFUNCTION("""COMPUTED_VALUE"""),0)</f>
        <v>0</v>
      </c>
    </row>
    <row r="1423" spans="1:15" ht="12.75">
      <c r="A1423" s="539">
        <f ca="1"/>
        <v>1417</v>
      </c>
      <c r="B1423" s="35" t="str">
        <f ca="1">IFERROR(__xludf.DUMMYFUNCTION("""COMPUTED_VALUE"""),"Tổ Hạ tầng Tân Châu")</f>
        <v>Tổ Hạ tầng Tân Châu</v>
      </c>
      <c r="C1423" s="35" t="str">
        <f ca="1">IFERROR(__xludf.DUMMYFUNCTION("""COMPUTED_VALUE"""),"Phan Anh Tuấn")</f>
        <v>Phan Anh Tuấn</v>
      </c>
      <c r="D1423" s="543" t="str">
        <f ca="1">IFERROR(__xludf.DUMMYFUNCTION("""COMPUTED_VALUE"""),"0918486992")</f>
        <v>0918486992</v>
      </c>
      <c r="E1423" s="35" t="str">
        <f ca="1">IFERROR(__xludf.DUMMYFUNCTION("""COMPUTED_VALUE"""),"x")</f>
        <v>x</v>
      </c>
      <c r="F1423" s="540" t="str">
        <f ca="1">IFERROR(__xludf.DUMMYFUNCTION("""COMPUTED_VALUE"""),"Lần 9")</f>
        <v>Lần 9</v>
      </c>
      <c r="G1423" s="278"/>
      <c r="H1423" s="35"/>
      <c r="I1423" s="35"/>
      <c r="J1423" s="541"/>
      <c r="K1423" s="541"/>
      <c r="M1423" s="539">
        <f ca="1">IFERROR(__xludf.DUMMYFUNCTION("""COMPUTED_VALUE"""),0)</f>
        <v>0</v>
      </c>
      <c r="N1423" s="539">
        <f ca="1">IFERROR(__xludf.DUMMYFUNCTION("""COMPUTED_VALUE"""),0)</f>
        <v>0</v>
      </c>
      <c r="O1423" s="539">
        <f ca="1">IFERROR(__xludf.DUMMYFUNCTION("""COMPUTED_VALUE"""),0)</f>
        <v>0</v>
      </c>
    </row>
    <row r="1424" spans="1:15" ht="12.75">
      <c r="A1424" s="539">
        <f ca="1"/>
        <v>1418</v>
      </c>
      <c r="B1424" s="35" t="str">
        <f ca="1">IFERROR(__xludf.DUMMYFUNCTION("""COMPUTED_VALUE"""),"Tổ Hạ tầng Tân Châu")</f>
        <v>Tổ Hạ tầng Tân Châu</v>
      </c>
      <c r="C1424" s="35" t="str">
        <f ca="1">IFERROR(__xludf.DUMMYFUNCTION("""COMPUTED_VALUE"""),"Phan Anh Tuấn")</f>
        <v>Phan Anh Tuấn</v>
      </c>
      <c r="D1424" s="543" t="str">
        <f ca="1">IFERROR(__xludf.DUMMYFUNCTION("""COMPUTED_VALUE"""),"0918486992")</f>
        <v>0918486992</v>
      </c>
      <c r="E1424" s="35" t="str">
        <f ca="1">IFERROR(__xludf.DUMMYFUNCTION("""COMPUTED_VALUE"""),"x")</f>
        <v>x</v>
      </c>
      <c r="F1424" s="540" t="str">
        <f ca="1">IFERROR(__xludf.DUMMYFUNCTION("""COMPUTED_VALUE"""),"Lần 10")</f>
        <v>Lần 10</v>
      </c>
      <c r="G1424" s="278"/>
      <c r="H1424" s="35"/>
      <c r="I1424" s="35"/>
      <c r="J1424" s="541"/>
      <c r="K1424" s="541"/>
      <c r="M1424" s="539">
        <f ca="1">IFERROR(__xludf.DUMMYFUNCTION("""COMPUTED_VALUE"""),0)</f>
        <v>0</v>
      </c>
      <c r="N1424" s="539">
        <f ca="1">IFERROR(__xludf.DUMMYFUNCTION("""COMPUTED_VALUE"""),0)</f>
        <v>0</v>
      </c>
      <c r="O1424" s="539">
        <f ca="1">IFERROR(__xludf.DUMMYFUNCTION("""COMPUTED_VALUE"""),0)</f>
        <v>0</v>
      </c>
    </row>
    <row r="1425" spans="1:15" ht="12.75">
      <c r="A1425" s="539">
        <f ca="1"/>
        <v>1419</v>
      </c>
      <c r="B1425" s="35" t="str">
        <f ca="1">IFERROR(__xludf.DUMMYFUNCTION("""COMPUTED_VALUE"""),"Tổ Hạ tầng Tân Châu")</f>
        <v>Tổ Hạ tầng Tân Châu</v>
      </c>
      <c r="C1425" s="35" t="str">
        <f ca="1">IFERROR(__xludf.DUMMYFUNCTION("""COMPUTED_VALUE"""),"Phan Anh Tuấn")</f>
        <v>Phan Anh Tuấn</v>
      </c>
      <c r="D1425" s="543" t="str">
        <f ca="1">IFERROR(__xludf.DUMMYFUNCTION("""COMPUTED_VALUE"""),"0918486992")</f>
        <v>0918486992</v>
      </c>
      <c r="E1425" s="35" t="str">
        <f ca="1">IFERROR(__xludf.DUMMYFUNCTION("""COMPUTED_VALUE"""),"x")</f>
        <v>x</v>
      </c>
      <c r="F1425" s="540" t="str">
        <f ca="1">IFERROR(__xludf.DUMMYFUNCTION("""COMPUTED_VALUE"""),"Lần 11")</f>
        <v>Lần 11</v>
      </c>
      <c r="G1425" s="278"/>
      <c r="H1425" s="35"/>
      <c r="I1425" s="35"/>
      <c r="J1425" s="541"/>
      <c r="K1425" s="541"/>
      <c r="M1425" s="539">
        <f ca="1">IFERROR(__xludf.DUMMYFUNCTION("""COMPUTED_VALUE"""),0)</f>
        <v>0</v>
      </c>
      <c r="N1425" s="539">
        <f ca="1">IFERROR(__xludf.DUMMYFUNCTION("""COMPUTED_VALUE"""),0)</f>
        <v>0</v>
      </c>
      <c r="O1425" s="539">
        <f ca="1">IFERROR(__xludf.DUMMYFUNCTION("""COMPUTED_VALUE"""),0)</f>
        <v>0</v>
      </c>
    </row>
    <row r="1426" spans="1:15" ht="12.75">
      <c r="A1426" s="539">
        <f ca="1"/>
        <v>1420</v>
      </c>
      <c r="B1426" s="35" t="str">
        <f ca="1">IFERROR(__xludf.DUMMYFUNCTION("""COMPUTED_VALUE"""),"Tổ Hạ tầng Tân Châu")</f>
        <v>Tổ Hạ tầng Tân Châu</v>
      </c>
      <c r="C1426" s="35" t="str">
        <f ca="1">IFERROR(__xludf.DUMMYFUNCTION("""COMPUTED_VALUE"""),"Phan Anh Tuấn")</f>
        <v>Phan Anh Tuấn</v>
      </c>
      <c r="D1426" s="543" t="str">
        <f ca="1">IFERROR(__xludf.DUMMYFUNCTION("""COMPUTED_VALUE"""),"0918486992")</f>
        <v>0918486992</v>
      </c>
      <c r="E1426" s="35" t="str">
        <f ca="1">IFERROR(__xludf.DUMMYFUNCTION("""COMPUTED_VALUE"""),"x")</f>
        <v>x</v>
      </c>
      <c r="F1426" s="540" t="str">
        <f ca="1">IFERROR(__xludf.DUMMYFUNCTION("""COMPUTED_VALUE"""),"Lần 12")</f>
        <v>Lần 12</v>
      </c>
      <c r="G1426" s="278"/>
      <c r="H1426" s="35"/>
      <c r="I1426" s="35"/>
      <c r="J1426" s="35"/>
      <c r="K1426" s="35"/>
      <c r="M1426" s="539">
        <f ca="1">IFERROR(__xludf.DUMMYFUNCTION("""COMPUTED_VALUE"""),0)</f>
        <v>0</v>
      </c>
      <c r="N1426" s="539">
        <f ca="1">IFERROR(__xludf.DUMMYFUNCTION("""COMPUTED_VALUE"""),0)</f>
        <v>0</v>
      </c>
      <c r="O1426" s="539">
        <f ca="1">IFERROR(__xludf.DUMMYFUNCTION("""COMPUTED_VALUE"""),0)</f>
        <v>0</v>
      </c>
    </row>
    <row r="1427" spans="1:15" ht="12.75">
      <c r="A1427" s="539">
        <f ca="1"/>
        <v>1421</v>
      </c>
      <c r="B1427" s="35" t="str">
        <f ca="1">IFERROR(__xludf.DUMMYFUNCTION("""COMPUTED_VALUE"""),"Tổ Hạ tầng Tân Châu")</f>
        <v>Tổ Hạ tầng Tân Châu</v>
      </c>
      <c r="C1427" s="35" t="str">
        <f ca="1">IFERROR(__xludf.DUMMYFUNCTION("""COMPUTED_VALUE"""),"Phan Anh Tuấn")</f>
        <v>Phan Anh Tuấn</v>
      </c>
      <c r="D1427" s="543" t="str">
        <f ca="1">IFERROR(__xludf.DUMMYFUNCTION("""COMPUTED_VALUE"""),"0918486992")</f>
        <v>0918486992</v>
      </c>
      <c r="E1427" s="35" t="str">
        <f ca="1">IFERROR(__xludf.DUMMYFUNCTION("""COMPUTED_VALUE"""),"x")</f>
        <v>x</v>
      </c>
      <c r="F1427" s="540" t="str">
        <f ca="1">IFERROR(__xludf.DUMMYFUNCTION("""COMPUTED_VALUE"""),"Lần 13")</f>
        <v>Lần 13</v>
      </c>
      <c r="G1427" s="278"/>
      <c r="H1427" s="35"/>
      <c r="I1427" s="35"/>
      <c r="J1427" s="35"/>
      <c r="K1427" s="35"/>
      <c r="M1427" s="539">
        <f ca="1">IFERROR(__xludf.DUMMYFUNCTION("""COMPUTED_VALUE"""),0)</f>
        <v>0</v>
      </c>
      <c r="N1427" s="539">
        <f ca="1">IFERROR(__xludf.DUMMYFUNCTION("""COMPUTED_VALUE"""),0)</f>
        <v>0</v>
      </c>
      <c r="O1427" s="539">
        <f ca="1">IFERROR(__xludf.DUMMYFUNCTION("""COMPUTED_VALUE"""),0)</f>
        <v>0</v>
      </c>
    </row>
    <row r="1428" spans="1:15" ht="12.75">
      <c r="A1428" s="539">
        <f ca="1"/>
        <v>1422</v>
      </c>
      <c r="B1428" s="35" t="str">
        <f ca="1">IFERROR(__xludf.DUMMYFUNCTION("""COMPUTED_VALUE"""),"Tổ Hạ tầng Tân Châu")</f>
        <v>Tổ Hạ tầng Tân Châu</v>
      </c>
      <c r="C1428" s="35" t="str">
        <f ca="1">IFERROR(__xludf.DUMMYFUNCTION("""COMPUTED_VALUE"""),"Phan Anh Tuấn")</f>
        <v>Phan Anh Tuấn</v>
      </c>
      <c r="D1428" s="543" t="str">
        <f ca="1">IFERROR(__xludf.DUMMYFUNCTION("""COMPUTED_VALUE"""),"0918486992")</f>
        <v>0918486992</v>
      </c>
      <c r="E1428" s="35" t="str">
        <f ca="1">IFERROR(__xludf.DUMMYFUNCTION("""COMPUTED_VALUE"""),"x")</f>
        <v>x</v>
      </c>
      <c r="F1428" s="540" t="str">
        <f ca="1">IFERROR(__xludf.DUMMYFUNCTION("""COMPUTED_VALUE"""),"Lần 14")</f>
        <v>Lần 14</v>
      </c>
      <c r="G1428" s="278"/>
      <c r="H1428" s="35"/>
      <c r="I1428" s="35"/>
      <c r="J1428" s="35"/>
      <c r="K1428" s="35"/>
      <c r="M1428" s="539">
        <f ca="1">IFERROR(__xludf.DUMMYFUNCTION("""COMPUTED_VALUE"""),0)</f>
        <v>0</v>
      </c>
      <c r="N1428" s="539">
        <f ca="1">IFERROR(__xludf.DUMMYFUNCTION("""COMPUTED_VALUE"""),0)</f>
        <v>0</v>
      </c>
      <c r="O1428" s="539">
        <f ca="1">IFERROR(__xludf.DUMMYFUNCTION("""COMPUTED_VALUE"""),0)</f>
        <v>0</v>
      </c>
    </row>
    <row r="1429" spans="1:15" ht="12.75">
      <c r="A1429" s="539">
        <f ca="1"/>
        <v>1423</v>
      </c>
      <c r="B1429" s="35" t="str">
        <f ca="1">IFERROR(__xludf.DUMMYFUNCTION("""COMPUTED_VALUE"""),"Tổ Hạ tầng Tân Châu")</f>
        <v>Tổ Hạ tầng Tân Châu</v>
      </c>
      <c r="C1429" s="35" t="str">
        <f ca="1">IFERROR(__xludf.DUMMYFUNCTION("""COMPUTED_VALUE"""),"Phan Anh Tuấn")</f>
        <v>Phan Anh Tuấn</v>
      </c>
      <c r="D1429" s="543" t="str">
        <f ca="1">IFERROR(__xludf.DUMMYFUNCTION("""COMPUTED_VALUE"""),"0918486992")</f>
        <v>0918486992</v>
      </c>
      <c r="E1429" s="35" t="str">
        <f ca="1">IFERROR(__xludf.DUMMYFUNCTION("""COMPUTED_VALUE"""),"x")</f>
        <v>x</v>
      </c>
      <c r="F1429" s="540" t="str">
        <f ca="1">IFERROR(__xludf.DUMMYFUNCTION("""COMPUTED_VALUE"""),"Lần 15")</f>
        <v>Lần 15</v>
      </c>
      <c r="G1429" s="278"/>
      <c r="H1429" s="35"/>
      <c r="I1429" s="35"/>
      <c r="J1429" s="35"/>
      <c r="K1429" s="35"/>
      <c r="M1429" s="539">
        <f ca="1">IFERROR(__xludf.DUMMYFUNCTION("""COMPUTED_VALUE"""),0)</f>
        <v>0</v>
      </c>
      <c r="N1429" s="539">
        <f ca="1">IFERROR(__xludf.DUMMYFUNCTION("""COMPUTED_VALUE"""),0)</f>
        <v>0</v>
      </c>
      <c r="O1429" s="539">
        <f ca="1">IFERROR(__xludf.DUMMYFUNCTION("""COMPUTED_VALUE"""),0)</f>
        <v>0</v>
      </c>
    </row>
    <row r="1430" spans="1:15" ht="12.75">
      <c r="A1430" s="539">
        <f ca="1"/>
        <v>1424</v>
      </c>
      <c r="B1430" s="35" t="str">
        <f ca="1">IFERROR(__xludf.DUMMYFUNCTION("""COMPUTED_VALUE"""),"Tổ Hạ tầng Tân Châu")</f>
        <v>Tổ Hạ tầng Tân Châu</v>
      </c>
      <c r="C1430" s="35" t="str">
        <f ca="1">IFERROR(__xludf.DUMMYFUNCTION("""COMPUTED_VALUE"""),"Phan Anh Tuấn")</f>
        <v>Phan Anh Tuấn</v>
      </c>
      <c r="D1430" s="543" t="str">
        <f ca="1">IFERROR(__xludf.DUMMYFUNCTION("""COMPUTED_VALUE"""),"0918486992")</f>
        <v>0918486992</v>
      </c>
      <c r="E1430" s="35" t="str">
        <f ca="1">IFERROR(__xludf.DUMMYFUNCTION("""COMPUTED_VALUE"""),"x")</f>
        <v>x</v>
      </c>
      <c r="F1430" s="540" t="str">
        <f ca="1">IFERROR(__xludf.DUMMYFUNCTION("""COMPUTED_VALUE"""),"Lần 16")</f>
        <v>Lần 16</v>
      </c>
      <c r="G1430" s="278"/>
      <c r="H1430" s="35"/>
      <c r="I1430" s="35"/>
      <c r="J1430" s="35"/>
      <c r="K1430" s="35"/>
      <c r="M1430" s="539">
        <f ca="1">IFERROR(__xludf.DUMMYFUNCTION("""COMPUTED_VALUE"""),0)</f>
        <v>0</v>
      </c>
      <c r="N1430" s="539">
        <f ca="1">IFERROR(__xludf.DUMMYFUNCTION("""COMPUTED_VALUE"""),0)</f>
        <v>0</v>
      </c>
      <c r="O1430" s="539">
        <f ca="1">IFERROR(__xludf.DUMMYFUNCTION("""COMPUTED_VALUE"""),0)</f>
        <v>0</v>
      </c>
    </row>
    <row r="1431" spans="1:15" ht="12.75">
      <c r="A1431" s="539">
        <f ca="1"/>
        <v>1425</v>
      </c>
      <c r="B1431" s="35" t="str">
        <f ca="1">IFERROR(__xludf.DUMMYFUNCTION("""COMPUTED_VALUE"""),"Tổ Hạ tầng Tân Ninh")</f>
        <v>Tổ Hạ tầng Tân Ninh</v>
      </c>
      <c r="C1431" s="35" t="str">
        <f ca="1">IFERROR(__xludf.DUMMYFUNCTION("""COMPUTED_VALUE"""),"Trịnh Thượng Lào")</f>
        <v>Trịnh Thượng Lào</v>
      </c>
      <c r="D1431" s="35">
        <f ca="1">IFERROR(__xludf.DUMMYFUNCTION("""COMPUTED_VALUE"""),914310210)</f>
        <v>914310210</v>
      </c>
      <c r="E1431" s="35" t="str">
        <f ca="1">IFERROR(__xludf.DUMMYFUNCTION("""COMPUTED_VALUE"""),"laott.tnh@vnpt.vn")</f>
        <v>laott.tnh@vnpt.vn</v>
      </c>
      <c r="F1431" s="540" t="str">
        <f ca="1">IFERROR(__xludf.DUMMYFUNCTION("""COMPUTED_VALUE"""),"Lần 1")</f>
        <v>Lần 1</v>
      </c>
      <c r="G1431" s="278"/>
      <c r="H1431" s="35"/>
      <c r="I1431" s="35"/>
      <c r="J1431" s="35"/>
      <c r="K1431" s="35"/>
      <c r="M1431" s="539">
        <f ca="1">IFERROR(__xludf.DUMMYFUNCTION("""COMPUTED_VALUE"""),0)</f>
        <v>0</v>
      </c>
      <c r="N1431" s="539">
        <f ca="1">IFERROR(__xludf.DUMMYFUNCTION("""COMPUTED_VALUE"""),0)</f>
        <v>0</v>
      </c>
      <c r="O1431" s="539">
        <f ca="1">IFERROR(__xludf.DUMMYFUNCTION("""COMPUTED_VALUE"""),0)</f>
        <v>0</v>
      </c>
    </row>
    <row r="1432" spans="1:15" ht="12.75">
      <c r="A1432" s="539">
        <f ca="1"/>
        <v>1426</v>
      </c>
      <c r="B1432" s="35" t="str">
        <f ca="1">IFERROR(__xludf.DUMMYFUNCTION("""COMPUTED_VALUE"""),"Tổ Hạ tầng Tân Ninh")</f>
        <v>Tổ Hạ tầng Tân Ninh</v>
      </c>
      <c r="C1432" s="35" t="str">
        <f ca="1">IFERROR(__xludf.DUMMYFUNCTION("""COMPUTED_VALUE"""),"Trịnh Thượng Lào")</f>
        <v>Trịnh Thượng Lào</v>
      </c>
      <c r="D1432" s="35">
        <f ca="1">IFERROR(__xludf.DUMMYFUNCTION("""COMPUTED_VALUE"""),914310210)</f>
        <v>914310210</v>
      </c>
      <c r="E1432" s="35" t="str">
        <f ca="1">IFERROR(__xludf.DUMMYFUNCTION("""COMPUTED_VALUE"""),"laott.tnh@vnpt.vn")</f>
        <v>laott.tnh@vnpt.vn</v>
      </c>
      <c r="F1432" s="540" t="str">
        <f ca="1">IFERROR(__xludf.DUMMYFUNCTION("""COMPUTED_VALUE"""),"Lần 2")</f>
        <v>Lần 2</v>
      </c>
      <c r="G1432" s="278"/>
      <c r="H1432" s="35"/>
      <c r="I1432" s="35"/>
      <c r="J1432" s="35"/>
      <c r="K1432" s="35"/>
      <c r="M1432" s="539">
        <f ca="1">IFERROR(__xludf.DUMMYFUNCTION("""COMPUTED_VALUE"""),0)</f>
        <v>0</v>
      </c>
      <c r="N1432" s="539">
        <f ca="1">IFERROR(__xludf.DUMMYFUNCTION("""COMPUTED_VALUE"""),0)</f>
        <v>0</v>
      </c>
      <c r="O1432" s="539">
        <f ca="1">IFERROR(__xludf.DUMMYFUNCTION("""COMPUTED_VALUE"""),0)</f>
        <v>0</v>
      </c>
    </row>
    <row r="1433" spans="1:15" ht="12.75">
      <c r="A1433" s="539">
        <f ca="1"/>
        <v>1427</v>
      </c>
      <c r="B1433" s="35" t="str">
        <f ca="1">IFERROR(__xludf.DUMMYFUNCTION("""COMPUTED_VALUE"""),"Tổ Hạ tầng Tân Ninh")</f>
        <v>Tổ Hạ tầng Tân Ninh</v>
      </c>
      <c r="C1433" s="35" t="str">
        <f ca="1">IFERROR(__xludf.DUMMYFUNCTION("""COMPUTED_VALUE"""),"Trịnh Thượng Lào")</f>
        <v>Trịnh Thượng Lào</v>
      </c>
      <c r="D1433" s="35">
        <f ca="1">IFERROR(__xludf.DUMMYFUNCTION("""COMPUTED_VALUE"""),914310210)</f>
        <v>914310210</v>
      </c>
      <c r="E1433" s="35" t="str">
        <f ca="1">IFERROR(__xludf.DUMMYFUNCTION("""COMPUTED_VALUE"""),"laott.tnh@vnpt.vn")</f>
        <v>laott.tnh@vnpt.vn</v>
      </c>
      <c r="F1433" s="540" t="str">
        <f ca="1">IFERROR(__xludf.DUMMYFUNCTION("""COMPUTED_VALUE"""),"Lần 3")</f>
        <v>Lần 3</v>
      </c>
      <c r="G1433" s="278"/>
      <c r="H1433" s="35"/>
      <c r="I1433" s="35"/>
      <c r="J1433" s="35"/>
      <c r="K1433" s="35"/>
      <c r="M1433" s="539">
        <f ca="1">IFERROR(__xludf.DUMMYFUNCTION("""COMPUTED_VALUE"""),0)</f>
        <v>0</v>
      </c>
      <c r="N1433" s="539">
        <f ca="1">IFERROR(__xludf.DUMMYFUNCTION("""COMPUTED_VALUE"""),0)</f>
        <v>0</v>
      </c>
      <c r="O1433" s="539">
        <f ca="1">IFERROR(__xludf.DUMMYFUNCTION("""COMPUTED_VALUE"""),0)</f>
        <v>0</v>
      </c>
    </row>
    <row r="1434" spans="1:15" ht="12.75">
      <c r="A1434" s="539">
        <f ca="1"/>
        <v>1428</v>
      </c>
      <c r="B1434" s="35" t="str">
        <f ca="1">IFERROR(__xludf.DUMMYFUNCTION("""COMPUTED_VALUE"""),"Tổ Hạ tầng Tân Ninh")</f>
        <v>Tổ Hạ tầng Tân Ninh</v>
      </c>
      <c r="C1434" s="35" t="str">
        <f ca="1">IFERROR(__xludf.DUMMYFUNCTION("""COMPUTED_VALUE"""),"Trịnh Thượng Lào")</f>
        <v>Trịnh Thượng Lào</v>
      </c>
      <c r="D1434" s="35">
        <f ca="1">IFERROR(__xludf.DUMMYFUNCTION("""COMPUTED_VALUE"""),914310210)</f>
        <v>914310210</v>
      </c>
      <c r="E1434" s="35" t="str">
        <f ca="1">IFERROR(__xludf.DUMMYFUNCTION("""COMPUTED_VALUE"""),"laott.tnh@vnpt.vn")</f>
        <v>laott.tnh@vnpt.vn</v>
      </c>
      <c r="F1434" s="540" t="str">
        <f ca="1">IFERROR(__xludf.DUMMYFUNCTION("""COMPUTED_VALUE"""),"Lần 4")</f>
        <v>Lần 4</v>
      </c>
      <c r="G1434" s="278"/>
      <c r="H1434" s="35"/>
      <c r="I1434" s="35"/>
      <c r="J1434" s="35"/>
      <c r="K1434" s="35"/>
      <c r="M1434" s="539">
        <f ca="1">IFERROR(__xludf.DUMMYFUNCTION("""COMPUTED_VALUE"""),0)</f>
        <v>0</v>
      </c>
      <c r="N1434" s="539">
        <f ca="1">IFERROR(__xludf.DUMMYFUNCTION("""COMPUTED_VALUE"""),0)</f>
        <v>0</v>
      </c>
      <c r="O1434" s="539">
        <f ca="1">IFERROR(__xludf.DUMMYFUNCTION("""COMPUTED_VALUE"""),0)</f>
        <v>0</v>
      </c>
    </row>
    <row r="1435" spans="1:15" ht="12.75">
      <c r="A1435" s="539">
        <f ca="1"/>
        <v>1429</v>
      </c>
      <c r="B1435" s="35" t="str">
        <f ca="1">IFERROR(__xludf.DUMMYFUNCTION("""COMPUTED_VALUE"""),"Tổ Hạ tầng Tân Ninh")</f>
        <v>Tổ Hạ tầng Tân Ninh</v>
      </c>
      <c r="C1435" s="35" t="str">
        <f ca="1">IFERROR(__xludf.DUMMYFUNCTION("""COMPUTED_VALUE"""),"Trịnh Thượng Lào")</f>
        <v>Trịnh Thượng Lào</v>
      </c>
      <c r="D1435" s="35">
        <f ca="1">IFERROR(__xludf.DUMMYFUNCTION("""COMPUTED_VALUE"""),914310210)</f>
        <v>914310210</v>
      </c>
      <c r="E1435" s="35" t="str">
        <f ca="1">IFERROR(__xludf.DUMMYFUNCTION("""COMPUTED_VALUE"""),"laott.tnh@vnpt.vn")</f>
        <v>laott.tnh@vnpt.vn</v>
      </c>
      <c r="F1435" s="540" t="str">
        <f ca="1">IFERROR(__xludf.DUMMYFUNCTION("""COMPUTED_VALUE"""),"Lần 5")</f>
        <v>Lần 5</v>
      </c>
      <c r="G1435" s="278"/>
      <c r="H1435" s="35"/>
      <c r="I1435" s="35"/>
      <c r="J1435" s="35"/>
      <c r="K1435" s="35"/>
      <c r="M1435" s="539">
        <f ca="1">IFERROR(__xludf.DUMMYFUNCTION("""COMPUTED_VALUE"""),0)</f>
        <v>0</v>
      </c>
      <c r="N1435" s="539">
        <f ca="1">IFERROR(__xludf.DUMMYFUNCTION("""COMPUTED_VALUE"""),0)</f>
        <v>0</v>
      </c>
      <c r="O1435" s="539">
        <f ca="1">IFERROR(__xludf.DUMMYFUNCTION("""COMPUTED_VALUE"""),0)</f>
        <v>0</v>
      </c>
    </row>
    <row r="1436" spans="1:15" ht="12.75">
      <c r="A1436" s="539">
        <f ca="1"/>
        <v>1430</v>
      </c>
      <c r="B1436" s="35" t="str">
        <f ca="1">IFERROR(__xludf.DUMMYFUNCTION("""COMPUTED_VALUE"""),"Tổ Hạ tầng Tân Ninh")</f>
        <v>Tổ Hạ tầng Tân Ninh</v>
      </c>
      <c r="C1436" s="35" t="str">
        <f ca="1">IFERROR(__xludf.DUMMYFUNCTION("""COMPUTED_VALUE"""),"Trịnh Thượng Lào")</f>
        <v>Trịnh Thượng Lào</v>
      </c>
      <c r="D1436" s="35">
        <f ca="1">IFERROR(__xludf.DUMMYFUNCTION("""COMPUTED_VALUE"""),914310210)</f>
        <v>914310210</v>
      </c>
      <c r="E1436" s="35" t="str">
        <f ca="1">IFERROR(__xludf.DUMMYFUNCTION("""COMPUTED_VALUE"""),"laott.tnh@vnpt.vn")</f>
        <v>laott.tnh@vnpt.vn</v>
      </c>
      <c r="F1436" s="540" t="str">
        <f ca="1">IFERROR(__xludf.DUMMYFUNCTION("""COMPUTED_VALUE"""),"Lần 6")</f>
        <v>Lần 6</v>
      </c>
      <c r="G1436" s="278"/>
      <c r="H1436" s="35"/>
      <c r="I1436" s="35"/>
      <c r="J1436" s="35"/>
      <c r="K1436" s="35"/>
      <c r="M1436" s="539">
        <f ca="1">IFERROR(__xludf.DUMMYFUNCTION("""COMPUTED_VALUE"""),0)</f>
        <v>0</v>
      </c>
      <c r="N1436" s="539">
        <f ca="1">IFERROR(__xludf.DUMMYFUNCTION("""COMPUTED_VALUE"""),0)</f>
        <v>0</v>
      </c>
      <c r="O1436" s="539">
        <f ca="1">IFERROR(__xludf.DUMMYFUNCTION("""COMPUTED_VALUE"""),0)</f>
        <v>0</v>
      </c>
    </row>
    <row r="1437" spans="1:15" ht="12.75">
      <c r="A1437" s="539">
        <f ca="1"/>
        <v>1431</v>
      </c>
      <c r="B1437" s="35" t="str">
        <f ca="1">IFERROR(__xludf.DUMMYFUNCTION("""COMPUTED_VALUE"""),"Tổ Hạ tầng Tân Ninh")</f>
        <v>Tổ Hạ tầng Tân Ninh</v>
      </c>
      <c r="C1437" s="35" t="str">
        <f ca="1">IFERROR(__xludf.DUMMYFUNCTION("""COMPUTED_VALUE"""),"Trịnh Thượng Lào")</f>
        <v>Trịnh Thượng Lào</v>
      </c>
      <c r="D1437" s="35">
        <f ca="1">IFERROR(__xludf.DUMMYFUNCTION("""COMPUTED_VALUE"""),914310210)</f>
        <v>914310210</v>
      </c>
      <c r="E1437" s="35" t="str">
        <f ca="1">IFERROR(__xludf.DUMMYFUNCTION("""COMPUTED_VALUE"""),"laott.tnh@vnpt.vn")</f>
        <v>laott.tnh@vnpt.vn</v>
      </c>
      <c r="F1437" s="540" t="str">
        <f ca="1">IFERROR(__xludf.DUMMYFUNCTION("""COMPUTED_VALUE"""),"Lần 7")</f>
        <v>Lần 7</v>
      </c>
      <c r="G1437" s="278"/>
      <c r="H1437" s="35"/>
      <c r="I1437" s="35"/>
      <c r="J1437" s="35"/>
      <c r="K1437" s="35"/>
      <c r="M1437" s="539">
        <f ca="1">IFERROR(__xludf.DUMMYFUNCTION("""COMPUTED_VALUE"""),0)</f>
        <v>0</v>
      </c>
      <c r="N1437" s="539">
        <f ca="1">IFERROR(__xludf.DUMMYFUNCTION("""COMPUTED_VALUE"""),0)</f>
        <v>0</v>
      </c>
      <c r="O1437" s="539">
        <f ca="1">IFERROR(__xludf.DUMMYFUNCTION("""COMPUTED_VALUE"""),0)</f>
        <v>0</v>
      </c>
    </row>
    <row r="1438" spans="1:15" ht="12.75">
      <c r="A1438" s="539">
        <f ca="1"/>
        <v>1432</v>
      </c>
      <c r="B1438" s="35" t="str">
        <f ca="1">IFERROR(__xludf.DUMMYFUNCTION("""COMPUTED_VALUE"""),"Tổ Hạ tầng Tân Ninh")</f>
        <v>Tổ Hạ tầng Tân Ninh</v>
      </c>
      <c r="C1438" s="35" t="str">
        <f ca="1">IFERROR(__xludf.DUMMYFUNCTION("""COMPUTED_VALUE"""),"Trịnh Thượng Lào")</f>
        <v>Trịnh Thượng Lào</v>
      </c>
      <c r="D1438" s="35">
        <f ca="1">IFERROR(__xludf.DUMMYFUNCTION("""COMPUTED_VALUE"""),914310210)</f>
        <v>914310210</v>
      </c>
      <c r="E1438" s="35" t="str">
        <f ca="1">IFERROR(__xludf.DUMMYFUNCTION("""COMPUTED_VALUE"""),"laott.tnh@vnpt.vn")</f>
        <v>laott.tnh@vnpt.vn</v>
      </c>
      <c r="F1438" s="540" t="str">
        <f ca="1">IFERROR(__xludf.DUMMYFUNCTION("""COMPUTED_VALUE"""),"Lần 8")</f>
        <v>Lần 8</v>
      </c>
      <c r="G1438" s="278"/>
      <c r="H1438" s="35"/>
      <c r="I1438" s="35"/>
      <c r="J1438" s="35"/>
      <c r="K1438" s="35"/>
      <c r="M1438" s="539">
        <f ca="1">IFERROR(__xludf.DUMMYFUNCTION("""COMPUTED_VALUE"""),0)</f>
        <v>0</v>
      </c>
      <c r="N1438" s="539">
        <f ca="1">IFERROR(__xludf.DUMMYFUNCTION("""COMPUTED_VALUE"""),0)</f>
        <v>0</v>
      </c>
      <c r="O1438" s="539">
        <f ca="1">IFERROR(__xludf.DUMMYFUNCTION("""COMPUTED_VALUE"""),0)</f>
        <v>0</v>
      </c>
    </row>
    <row r="1439" spans="1:15" ht="12.75">
      <c r="A1439" s="539">
        <f ca="1"/>
        <v>1433</v>
      </c>
      <c r="B1439" s="35" t="str">
        <f ca="1">IFERROR(__xludf.DUMMYFUNCTION("""COMPUTED_VALUE"""),"Tổ Hạ tầng Tân Ninh")</f>
        <v>Tổ Hạ tầng Tân Ninh</v>
      </c>
      <c r="C1439" s="35" t="str">
        <f ca="1">IFERROR(__xludf.DUMMYFUNCTION("""COMPUTED_VALUE"""),"Trịnh Thượng Lào")</f>
        <v>Trịnh Thượng Lào</v>
      </c>
      <c r="D1439" s="35">
        <f ca="1">IFERROR(__xludf.DUMMYFUNCTION("""COMPUTED_VALUE"""),914310210)</f>
        <v>914310210</v>
      </c>
      <c r="E1439" s="35" t="str">
        <f ca="1">IFERROR(__xludf.DUMMYFUNCTION("""COMPUTED_VALUE"""),"laott.tnh@vnpt.vn")</f>
        <v>laott.tnh@vnpt.vn</v>
      </c>
      <c r="F1439" s="540" t="str">
        <f ca="1">IFERROR(__xludf.DUMMYFUNCTION("""COMPUTED_VALUE"""),"Lần 9")</f>
        <v>Lần 9</v>
      </c>
      <c r="G1439" s="278"/>
      <c r="H1439" s="35"/>
      <c r="I1439" s="35"/>
      <c r="J1439" s="35"/>
      <c r="K1439" s="35"/>
      <c r="M1439" s="539">
        <f ca="1">IFERROR(__xludf.DUMMYFUNCTION("""COMPUTED_VALUE"""),0)</f>
        <v>0</v>
      </c>
      <c r="N1439" s="539">
        <f ca="1">IFERROR(__xludf.DUMMYFUNCTION("""COMPUTED_VALUE"""),0)</f>
        <v>0</v>
      </c>
      <c r="O1439" s="539">
        <f ca="1">IFERROR(__xludf.DUMMYFUNCTION("""COMPUTED_VALUE"""),0)</f>
        <v>0</v>
      </c>
    </row>
    <row r="1440" spans="1:15" ht="12.75">
      <c r="A1440" s="539">
        <f ca="1"/>
        <v>1434</v>
      </c>
      <c r="B1440" s="35" t="str">
        <f ca="1">IFERROR(__xludf.DUMMYFUNCTION("""COMPUTED_VALUE"""),"Tổ Hạ tầng Tân Ninh")</f>
        <v>Tổ Hạ tầng Tân Ninh</v>
      </c>
      <c r="C1440" s="35" t="str">
        <f ca="1">IFERROR(__xludf.DUMMYFUNCTION("""COMPUTED_VALUE"""),"Trịnh Thượng Lào")</f>
        <v>Trịnh Thượng Lào</v>
      </c>
      <c r="D1440" s="35">
        <f ca="1">IFERROR(__xludf.DUMMYFUNCTION("""COMPUTED_VALUE"""),914310210)</f>
        <v>914310210</v>
      </c>
      <c r="E1440" s="35" t="str">
        <f ca="1">IFERROR(__xludf.DUMMYFUNCTION("""COMPUTED_VALUE"""),"laott.tnh@vnpt.vn")</f>
        <v>laott.tnh@vnpt.vn</v>
      </c>
      <c r="F1440" s="540" t="str">
        <f ca="1">IFERROR(__xludf.DUMMYFUNCTION("""COMPUTED_VALUE"""),"Lần 10")</f>
        <v>Lần 10</v>
      </c>
      <c r="G1440" s="278"/>
      <c r="H1440" s="35"/>
      <c r="I1440" s="35"/>
      <c r="J1440" s="35"/>
      <c r="K1440" s="35"/>
      <c r="M1440" s="539">
        <f ca="1">IFERROR(__xludf.DUMMYFUNCTION("""COMPUTED_VALUE"""),0)</f>
        <v>0</v>
      </c>
      <c r="N1440" s="539">
        <f ca="1">IFERROR(__xludf.DUMMYFUNCTION("""COMPUTED_VALUE"""),0)</f>
        <v>0</v>
      </c>
      <c r="O1440" s="539">
        <f ca="1">IFERROR(__xludf.DUMMYFUNCTION("""COMPUTED_VALUE"""),0)</f>
        <v>0</v>
      </c>
    </row>
    <row r="1441" spans="1:15" ht="12.75">
      <c r="A1441" s="539">
        <f ca="1"/>
        <v>1435</v>
      </c>
      <c r="B1441" s="35" t="str">
        <f ca="1">IFERROR(__xludf.DUMMYFUNCTION("""COMPUTED_VALUE"""),"Tổ Hạ tầng Tân Ninh")</f>
        <v>Tổ Hạ tầng Tân Ninh</v>
      </c>
      <c r="C1441" s="35" t="str">
        <f ca="1">IFERROR(__xludf.DUMMYFUNCTION("""COMPUTED_VALUE"""),"Trịnh Thượng Lào")</f>
        <v>Trịnh Thượng Lào</v>
      </c>
      <c r="D1441" s="35">
        <f ca="1">IFERROR(__xludf.DUMMYFUNCTION("""COMPUTED_VALUE"""),914310210)</f>
        <v>914310210</v>
      </c>
      <c r="E1441" s="35" t="str">
        <f ca="1">IFERROR(__xludf.DUMMYFUNCTION("""COMPUTED_VALUE"""),"laott.tnh@vnpt.vn")</f>
        <v>laott.tnh@vnpt.vn</v>
      </c>
      <c r="F1441" s="540" t="str">
        <f ca="1">IFERROR(__xludf.DUMMYFUNCTION("""COMPUTED_VALUE"""),"Lần 11")</f>
        <v>Lần 11</v>
      </c>
      <c r="G1441" s="278"/>
      <c r="H1441" s="35"/>
      <c r="I1441" s="35"/>
      <c r="J1441" s="35"/>
      <c r="K1441" s="35"/>
      <c r="M1441" s="539">
        <f ca="1">IFERROR(__xludf.DUMMYFUNCTION("""COMPUTED_VALUE"""),0)</f>
        <v>0</v>
      </c>
      <c r="N1441" s="539">
        <f ca="1">IFERROR(__xludf.DUMMYFUNCTION("""COMPUTED_VALUE"""),0)</f>
        <v>0</v>
      </c>
      <c r="O1441" s="539">
        <f ca="1">IFERROR(__xludf.DUMMYFUNCTION("""COMPUTED_VALUE"""),0)</f>
        <v>0</v>
      </c>
    </row>
    <row r="1442" spans="1:15" ht="12.75">
      <c r="A1442" s="539">
        <f ca="1"/>
        <v>1436</v>
      </c>
      <c r="B1442" s="35" t="str">
        <f ca="1">IFERROR(__xludf.DUMMYFUNCTION("""COMPUTED_VALUE"""),"Tổ Hạ tầng Tân Ninh")</f>
        <v>Tổ Hạ tầng Tân Ninh</v>
      </c>
      <c r="C1442" s="35" t="str">
        <f ca="1">IFERROR(__xludf.DUMMYFUNCTION("""COMPUTED_VALUE"""),"Trịnh Thượng Lào")</f>
        <v>Trịnh Thượng Lào</v>
      </c>
      <c r="D1442" s="35">
        <f ca="1">IFERROR(__xludf.DUMMYFUNCTION("""COMPUTED_VALUE"""),914310210)</f>
        <v>914310210</v>
      </c>
      <c r="E1442" s="35" t="str">
        <f ca="1">IFERROR(__xludf.DUMMYFUNCTION("""COMPUTED_VALUE"""),"laott.tnh@vnpt.vn")</f>
        <v>laott.tnh@vnpt.vn</v>
      </c>
      <c r="F1442" s="540" t="str">
        <f ca="1">IFERROR(__xludf.DUMMYFUNCTION("""COMPUTED_VALUE"""),"Lần 12")</f>
        <v>Lần 12</v>
      </c>
      <c r="G1442" s="278"/>
      <c r="H1442" s="35"/>
      <c r="I1442" s="35"/>
      <c r="J1442" s="35"/>
      <c r="K1442" s="35"/>
      <c r="M1442" s="539">
        <f ca="1">IFERROR(__xludf.DUMMYFUNCTION("""COMPUTED_VALUE"""),0)</f>
        <v>0</v>
      </c>
      <c r="N1442" s="539">
        <f ca="1">IFERROR(__xludf.DUMMYFUNCTION("""COMPUTED_VALUE"""),0)</f>
        <v>0</v>
      </c>
      <c r="O1442" s="539">
        <f ca="1">IFERROR(__xludf.DUMMYFUNCTION("""COMPUTED_VALUE"""),0)</f>
        <v>0</v>
      </c>
    </row>
    <row r="1443" spans="1:15" ht="12.75">
      <c r="A1443" s="539">
        <f ca="1"/>
        <v>1437</v>
      </c>
      <c r="B1443" s="35" t="str">
        <f ca="1">IFERROR(__xludf.DUMMYFUNCTION("""COMPUTED_VALUE"""),"Tổ Hạ tầng Tân Ninh")</f>
        <v>Tổ Hạ tầng Tân Ninh</v>
      </c>
      <c r="C1443" s="35" t="str">
        <f ca="1">IFERROR(__xludf.DUMMYFUNCTION("""COMPUTED_VALUE"""),"Trịnh Thượng Lào")</f>
        <v>Trịnh Thượng Lào</v>
      </c>
      <c r="D1443" s="35">
        <f ca="1">IFERROR(__xludf.DUMMYFUNCTION("""COMPUTED_VALUE"""),914310210)</f>
        <v>914310210</v>
      </c>
      <c r="E1443" s="35" t="str">
        <f ca="1">IFERROR(__xludf.DUMMYFUNCTION("""COMPUTED_VALUE"""),"laott.tnh@vnpt.vn")</f>
        <v>laott.tnh@vnpt.vn</v>
      </c>
      <c r="F1443" s="540" t="str">
        <f ca="1">IFERROR(__xludf.DUMMYFUNCTION("""COMPUTED_VALUE"""),"Lần 13")</f>
        <v>Lần 13</v>
      </c>
      <c r="G1443" s="278"/>
      <c r="H1443" s="35"/>
      <c r="I1443" s="35"/>
      <c r="J1443" s="35"/>
      <c r="K1443" s="35"/>
      <c r="M1443" s="539">
        <f ca="1">IFERROR(__xludf.DUMMYFUNCTION("""COMPUTED_VALUE"""),0)</f>
        <v>0</v>
      </c>
      <c r="N1443" s="539">
        <f ca="1">IFERROR(__xludf.DUMMYFUNCTION("""COMPUTED_VALUE"""),0)</f>
        <v>0</v>
      </c>
      <c r="O1443" s="539">
        <f ca="1">IFERROR(__xludf.DUMMYFUNCTION("""COMPUTED_VALUE"""),0)</f>
        <v>0</v>
      </c>
    </row>
    <row r="1444" spans="1:15" ht="12.75">
      <c r="A1444" s="539">
        <f ca="1"/>
        <v>1438</v>
      </c>
      <c r="B1444" s="35" t="str">
        <f ca="1">IFERROR(__xludf.DUMMYFUNCTION("""COMPUTED_VALUE"""),"Tổ Hạ tầng Tân Ninh")</f>
        <v>Tổ Hạ tầng Tân Ninh</v>
      </c>
      <c r="C1444" s="35" t="str">
        <f ca="1">IFERROR(__xludf.DUMMYFUNCTION("""COMPUTED_VALUE"""),"Trịnh Thượng Lào")</f>
        <v>Trịnh Thượng Lào</v>
      </c>
      <c r="D1444" s="35">
        <f ca="1">IFERROR(__xludf.DUMMYFUNCTION("""COMPUTED_VALUE"""),914310210)</f>
        <v>914310210</v>
      </c>
      <c r="E1444" s="35" t="str">
        <f ca="1">IFERROR(__xludf.DUMMYFUNCTION("""COMPUTED_VALUE"""),"laott.tnh@vnpt.vn")</f>
        <v>laott.tnh@vnpt.vn</v>
      </c>
      <c r="F1444" s="540" t="str">
        <f ca="1">IFERROR(__xludf.DUMMYFUNCTION("""COMPUTED_VALUE"""),"Lần 14")</f>
        <v>Lần 14</v>
      </c>
      <c r="G1444" s="278"/>
      <c r="H1444" s="35"/>
      <c r="I1444" s="35"/>
      <c r="J1444" s="35"/>
      <c r="K1444" s="35"/>
      <c r="M1444" s="539">
        <f ca="1">IFERROR(__xludf.DUMMYFUNCTION("""COMPUTED_VALUE"""),0)</f>
        <v>0</v>
      </c>
      <c r="N1444" s="539">
        <f ca="1">IFERROR(__xludf.DUMMYFUNCTION("""COMPUTED_VALUE"""),0)</f>
        <v>0</v>
      </c>
      <c r="O1444" s="539">
        <f ca="1">IFERROR(__xludf.DUMMYFUNCTION("""COMPUTED_VALUE"""),0)</f>
        <v>0</v>
      </c>
    </row>
    <row r="1445" spans="1:15" ht="12.75">
      <c r="A1445" s="539">
        <f ca="1"/>
        <v>1439</v>
      </c>
      <c r="B1445" s="35" t="str">
        <f ca="1">IFERROR(__xludf.DUMMYFUNCTION("""COMPUTED_VALUE"""),"Tổ Hạ tầng Tân Ninh")</f>
        <v>Tổ Hạ tầng Tân Ninh</v>
      </c>
      <c r="C1445" s="35" t="str">
        <f ca="1">IFERROR(__xludf.DUMMYFUNCTION("""COMPUTED_VALUE"""),"Trịnh Thượng Lào")</f>
        <v>Trịnh Thượng Lào</v>
      </c>
      <c r="D1445" s="35">
        <f ca="1">IFERROR(__xludf.DUMMYFUNCTION("""COMPUTED_VALUE"""),914310210)</f>
        <v>914310210</v>
      </c>
      <c r="E1445" s="35" t="str">
        <f ca="1">IFERROR(__xludf.DUMMYFUNCTION("""COMPUTED_VALUE"""),"laott.tnh@vnpt.vn")</f>
        <v>laott.tnh@vnpt.vn</v>
      </c>
      <c r="F1445" s="540" t="str">
        <f ca="1">IFERROR(__xludf.DUMMYFUNCTION("""COMPUTED_VALUE"""),"Lần 15")</f>
        <v>Lần 15</v>
      </c>
      <c r="G1445" s="278"/>
      <c r="H1445" s="35"/>
      <c r="I1445" s="35"/>
      <c r="J1445" s="35"/>
      <c r="K1445" s="35"/>
      <c r="M1445" s="539">
        <f ca="1">IFERROR(__xludf.DUMMYFUNCTION("""COMPUTED_VALUE"""),0)</f>
        <v>0</v>
      </c>
      <c r="N1445" s="539">
        <f ca="1">IFERROR(__xludf.DUMMYFUNCTION("""COMPUTED_VALUE"""),0)</f>
        <v>0</v>
      </c>
      <c r="O1445" s="539">
        <f ca="1">IFERROR(__xludf.DUMMYFUNCTION("""COMPUTED_VALUE"""),0)</f>
        <v>0</v>
      </c>
    </row>
    <row r="1446" spans="1:15" ht="12.75">
      <c r="A1446" s="539">
        <f ca="1"/>
        <v>1440</v>
      </c>
      <c r="B1446" s="35" t="str">
        <f ca="1">IFERROR(__xludf.DUMMYFUNCTION("""COMPUTED_VALUE"""),"Tổ Hạ tầng Tân Ninh")</f>
        <v>Tổ Hạ tầng Tân Ninh</v>
      </c>
      <c r="C1446" s="35" t="str">
        <f ca="1">IFERROR(__xludf.DUMMYFUNCTION("""COMPUTED_VALUE"""),"Trịnh Thượng Lào")</f>
        <v>Trịnh Thượng Lào</v>
      </c>
      <c r="D1446" s="35">
        <f ca="1">IFERROR(__xludf.DUMMYFUNCTION("""COMPUTED_VALUE"""),914310210)</f>
        <v>914310210</v>
      </c>
      <c r="E1446" s="35" t="str">
        <f ca="1">IFERROR(__xludf.DUMMYFUNCTION("""COMPUTED_VALUE"""),"laott.tnh@vnpt.vn")</f>
        <v>laott.tnh@vnpt.vn</v>
      </c>
      <c r="F1446" s="540" t="str">
        <f ca="1">IFERROR(__xludf.DUMMYFUNCTION("""COMPUTED_VALUE"""),"Lần 16")</f>
        <v>Lần 16</v>
      </c>
      <c r="G1446" s="278"/>
      <c r="H1446" s="35"/>
      <c r="I1446" s="35"/>
      <c r="J1446" s="35"/>
      <c r="K1446" s="35"/>
      <c r="M1446" s="539">
        <f ca="1">IFERROR(__xludf.DUMMYFUNCTION("""COMPUTED_VALUE"""),0)</f>
        <v>0</v>
      </c>
      <c r="N1446" s="539">
        <f ca="1">IFERROR(__xludf.DUMMYFUNCTION("""COMPUTED_VALUE"""),0)</f>
        <v>0</v>
      </c>
      <c r="O1446" s="539">
        <f ca="1">IFERROR(__xludf.DUMMYFUNCTION("""COMPUTED_VALUE"""),0)</f>
        <v>0</v>
      </c>
    </row>
    <row r="1447" spans="1:15" ht="12.75">
      <c r="A1447" s="539">
        <f ca="1"/>
        <v>1441</v>
      </c>
      <c r="B1447" s="35" t="str">
        <f ca="1">IFERROR(__xludf.DUMMYFUNCTION("""COMPUTED_VALUE"""),"Tổ Hạ tầng Tân Ninh")</f>
        <v>Tổ Hạ tầng Tân Ninh</v>
      </c>
      <c r="C1447" s="35" t="str">
        <f ca="1">IFERROR(__xludf.DUMMYFUNCTION("""COMPUTED_VALUE"""),"Nguyễn Trường Quang")</f>
        <v>Nguyễn Trường Quang</v>
      </c>
      <c r="D1447" s="35">
        <f ca="1">IFERROR(__xludf.DUMMYFUNCTION("""COMPUTED_VALUE"""),888193957)</f>
        <v>888193957</v>
      </c>
      <c r="E1447" s="35" t="str">
        <f ca="1">IFERROR(__xludf.DUMMYFUNCTION("""COMPUTED_VALUE"""),"quangnt.tnh@vnpt.vn")</f>
        <v>quangnt.tnh@vnpt.vn</v>
      </c>
      <c r="F1447" s="540" t="str">
        <f ca="1">IFERROR(__xludf.DUMMYFUNCTION("""COMPUTED_VALUE"""),"Lần 1")</f>
        <v>Lần 1</v>
      </c>
      <c r="G1447" s="278"/>
      <c r="H1447" s="35"/>
      <c r="I1447" s="35"/>
      <c r="J1447" s="35"/>
      <c r="K1447" s="35"/>
      <c r="M1447" s="539">
        <f ca="1">IFERROR(__xludf.DUMMYFUNCTION("""COMPUTED_VALUE"""),0)</f>
        <v>0</v>
      </c>
      <c r="N1447" s="539">
        <f ca="1">IFERROR(__xludf.DUMMYFUNCTION("""COMPUTED_VALUE"""),0)</f>
        <v>0</v>
      </c>
      <c r="O1447" s="539">
        <f ca="1">IFERROR(__xludf.DUMMYFUNCTION("""COMPUTED_VALUE"""),0)</f>
        <v>0</v>
      </c>
    </row>
    <row r="1448" spans="1:15" ht="12.75">
      <c r="A1448" s="539">
        <f ca="1"/>
        <v>1442</v>
      </c>
      <c r="B1448" s="35" t="str">
        <f ca="1">IFERROR(__xludf.DUMMYFUNCTION("""COMPUTED_VALUE"""),"Tổ Hạ tầng Tân Ninh")</f>
        <v>Tổ Hạ tầng Tân Ninh</v>
      </c>
      <c r="C1448" s="35" t="str">
        <f ca="1">IFERROR(__xludf.DUMMYFUNCTION("""COMPUTED_VALUE"""),"Nguyễn Trường Quang")</f>
        <v>Nguyễn Trường Quang</v>
      </c>
      <c r="D1448" s="35">
        <f ca="1">IFERROR(__xludf.DUMMYFUNCTION("""COMPUTED_VALUE"""),888193957)</f>
        <v>888193957</v>
      </c>
      <c r="E1448" s="35" t="str">
        <f ca="1">IFERROR(__xludf.DUMMYFUNCTION("""COMPUTED_VALUE"""),"quangnt.tnh@vnpt.vn")</f>
        <v>quangnt.tnh@vnpt.vn</v>
      </c>
      <c r="F1448" s="540" t="str">
        <f ca="1">IFERROR(__xludf.DUMMYFUNCTION("""COMPUTED_VALUE"""),"Lần 2")</f>
        <v>Lần 2</v>
      </c>
      <c r="G1448" s="278"/>
      <c r="H1448" s="35"/>
      <c r="I1448" s="35"/>
      <c r="J1448" s="35"/>
      <c r="K1448" s="35"/>
      <c r="M1448" s="539">
        <f ca="1">IFERROR(__xludf.DUMMYFUNCTION("""COMPUTED_VALUE"""),0)</f>
        <v>0</v>
      </c>
      <c r="N1448" s="539">
        <f ca="1">IFERROR(__xludf.DUMMYFUNCTION("""COMPUTED_VALUE"""),0)</f>
        <v>0</v>
      </c>
      <c r="O1448" s="539">
        <f ca="1">IFERROR(__xludf.DUMMYFUNCTION("""COMPUTED_VALUE"""),0)</f>
        <v>0</v>
      </c>
    </row>
    <row r="1449" spans="1:15" ht="12.75">
      <c r="A1449" s="539">
        <f ca="1"/>
        <v>1443</v>
      </c>
      <c r="B1449" s="35" t="str">
        <f ca="1">IFERROR(__xludf.DUMMYFUNCTION("""COMPUTED_VALUE"""),"Tổ Hạ tầng Tân Ninh")</f>
        <v>Tổ Hạ tầng Tân Ninh</v>
      </c>
      <c r="C1449" s="35" t="str">
        <f ca="1">IFERROR(__xludf.DUMMYFUNCTION("""COMPUTED_VALUE"""),"Nguyễn Trường Quang")</f>
        <v>Nguyễn Trường Quang</v>
      </c>
      <c r="D1449" s="35">
        <f ca="1">IFERROR(__xludf.DUMMYFUNCTION("""COMPUTED_VALUE"""),888193957)</f>
        <v>888193957</v>
      </c>
      <c r="E1449" s="35" t="str">
        <f ca="1">IFERROR(__xludf.DUMMYFUNCTION("""COMPUTED_VALUE"""),"quangnt.tnh@vnpt.vn")</f>
        <v>quangnt.tnh@vnpt.vn</v>
      </c>
      <c r="F1449" s="540" t="str">
        <f ca="1">IFERROR(__xludf.DUMMYFUNCTION("""COMPUTED_VALUE"""),"Lần 3")</f>
        <v>Lần 3</v>
      </c>
      <c r="G1449" s="278"/>
      <c r="H1449" s="35"/>
      <c r="I1449" s="35"/>
      <c r="J1449" s="35"/>
      <c r="K1449" s="35"/>
      <c r="M1449" s="539">
        <f ca="1">IFERROR(__xludf.DUMMYFUNCTION("""COMPUTED_VALUE"""),0)</f>
        <v>0</v>
      </c>
      <c r="N1449" s="539">
        <f ca="1">IFERROR(__xludf.DUMMYFUNCTION("""COMPUTED_VALUE"""),0)</f>
        <v>0</v>
      </c>
      <c r="O1449" s="539">
        <f ca="1">IFERROR(__xludf.DUMMYFUNCTION("""COMPUTED_VALUE"""),0)</f>
        <v>0</v>
      </c>
    </row>
    <row r="1450" spans="1:15" ht="12.75">
      <c r="A1450" s="539">
        <f ca="1"/>
        <v>1444</v>
      </c>
      <c r="B1450" s="35" t="str">
        <f ca="1">IFERROR(__xludf.DUMMYFUNCTION("""COMPUTED_VALUE"""),"Tổ Hạ tầng Tân Ninh")</f>
        <v>Tổ Hạ tầng Tân Ninh</v>
      </c>
      <c r="C1450" s="35" t="str">
        <f ca="1">IFERROR(__xludf.DUMMYFUNCTION("""COMPUTED_VALUE"""),"Nguyễn Trường Quang")</f>
        <v>Nguyễn Trường Quang</v>
      </c>
      <c r="D1450" s="35">
        <f ca="1">IFERROR(__xludf.DUMMYFUNCTION("""COMPUTED_VALUE"""),888193957)</f>
        <v>888193957</v>
      </c>
      <c r="E1450" s="35" t="str">
        <f ca="1">IFERROR(__xludf.DUMMYFUNCTION("""COMPUTED_VALUE"""),"quangnt.tnh@vnpt.vn")</f>
        <v>quangnt.tnh@vnpt.vn</v>
      </c>
      <c r="F1450" s="540" t="str">
        <f ca="1">IFERROR(__xludf.DUMMYFUNCTION("""COMPUTED_VALUE"""),"Lần 4")</f>
        <v>Lần 4</v>
      </c>
      <c r="G1450" s="278"/>
      <c r="H1450" s="35"/>
      <c r="I1450" s="35"/>
      <c r="J1450" s="35"/>
      <c r="K1450" s="35"/>
      <c r="M1450" s="539">
        <f ca="1">IFERROR(__xludf.DUMMYFUNCTION("""COMPUTED_VALUE"""),0)</f>
        <v>0</v>
      </c>
      <c r="N1450" s="539">
        <f ca="1">IFERROR(__xludf.DUMMYFUNCTION("""COMPUTED_VALUE"""),0)</f>
        <v>0</v>
      </c>
      <c r="O1450" s="539">
        <f ca="1">IFERROR(__xludf.DUMMYFUNCTION("""COMPUTED_VALUE"""),0)</f>
        <v>0</v>
      </c>
    </row>
    <row r="1451" spans="1:15" ht="12.75">
      <c r="A1451" s="539">
        <f ca="1"/>
        <v>1445</v>
      </c>
      <c r="B1451" s="35" t="str">
        <f ca="1">IFERROR(__xludf.DUMMYFUNCTION("""COMPUTED_VALUE"""),"Tổ Hạ tầng Tân Ninh")</f>
        <v>Tổ Hạ tầng Tân Ninh</v>
      </c>
      <c r="C1451" s="35" t="str">
        <f ca="1">IFERROR(__xludf.DUMMYFUNCTION("""COMPUTED_VALUE"""),"Nguyễn Trường Quang")</f>
        <v>Nguyễn Trường Quang</v>
      </c>
      <c r="D1451" s="35">
        <f ca="1">IFERROR(__xludf.DUMMYFUNCTION("""COMPUTED_VALUE"""),888193957)</f>
        <v>888193957</v>
      </c>
      <c r="E1451" s="35" t="str">
        <f ca="1">IFERROR(__xludf.DUMMYFUNCTION("""COMPUTED_VALUE"""),"quangnt.tnh@vnpt.vn")</f>
        <v>quangnt.tnh@vnpt.vn</v>
      </c>
      <c r="F1451" s="540" t="str">
        <f ca="1">IFERROR(__xludf.DUMMYFUNCTION("""COMPUTED_VALUE"""),"Lần 5")</f>
        <v>Lần 5</v>
      </c>
      <c r="G1451" s="278"/>
      <c r="H1451" s="35"/>
      <c r="I1451" s="35"/>
      <c r="J1451" s="35"/>
      <c r="K1451" s="35"/>
      <c r="M1451" s="539">
        <f ca="1">IFERROR(__xludf.DUMMYFUNCTION("""COMPUTED_VALUE"""),0)</f>
        <v>0</v>
      </c>
      <c r="N1451" s="539">
        <f ca="1">IFERROR(__xludf.DUMMYFUNCTION("""COMPUTED_VALUE"""),0)</f>
        <v>0</v>
      </c>
      <c r="O1451" s="539">
        <f ca="1">IFERROR(__xludf.DUMMYFUNCTION("""COMPUTED_VALUE"""),0)</f>
        <v>0</v>
      </c>
    </row>
    <row r="1452" spans="1:15" ht="12.75">
      <c r="A1452" s="539">
        <f ca="1"/>
        <v>1446</v>
      </c>
      <c r="B1452" s="35" t="str">
        <f ca="1">IFERROR(__xludf.DUMMYFUNCTION("""COMPUTED_VALUE"""),"Tổ Hạ tầng Tân Ninh")</f>
        <v>Tổ Hạ tầng Tân Ninh</v>
      </c>
      <c r="C1452" s="35" t="str">
        <f ca="1">IFERROR(__xludf.DUMMYFUNCTION("""COMPUTED_VALUE"""),"Nguyễn Trường Quang")</f>
        <v>Nguyễn Trường Quang</v>
      </c>
      <c r="D1452" s="35">
        <f ca="1">IFERROR(__xludf.DUMMYFUNCTION("""COMPUTED_VALUE"""),888193957)</f>
        <v>888193957</v>
      </c>
      <c r="E1452" s="35" t="str">
        <f ca="1">IFERROR(__xludf.DUMMYFUNCTION("""COMPUTED_VALUE"""),"quangnt.tnh@vnpt.vn")</f>
        <v>quangnt.tnh@vnpt.vn</v>
      </c>
      <c r="F1452" s="540" t="str">
        <f ca="1">IFERROR(__xludf.DUMMYFUNCTION("""COMPUTED_VALUE"""),"Lần 6")</f>
        <v>Lần 6</v>
      </c>
      <c r="G1452" s="278"/>
      <c r="H1452" s="35"/>
      <c r="I1452" s="35"/>
      <c r="J1452" s="35"/>
      <c r="K1452" s="35"/>
      <c r="M1452" s="539">
        <f ca="1">IFERROR(__xludf.DUMMYFUNCTION("""COMPUTED_VALUE"""),0)</f>
        <v>0</v>
      </c>
      <c r="N1452" s="539">
        <f ca="1">IFERROR(__xludf.DUMMYFUNCTION("""COMPUTED_VALUE"""),0)</f>
        <v>0</v>
      </c>
      <c r="O1452" s="539">
        <f ca="1">IFERROR(__xludf.DUMMYFUNCTION("""COMPUTED_VALUE"""),0)</f>
        <v>0</v>
      </c>
    </row>
    <row r="1453" spans="1:15" ht="12.75">
      <c r="A1453" s="539">
        <f ca="1"/>
        <v>1447</v>
      </c>
      <c r="B1453" s="35" t="str">
        <f ca="1">IFERROR(__xludf.DUMMYFUNCTION("""COMPUTED_VALUE"""),"Tổ Hạ tầng Tân Ninh")</f>
        <v>Tổ Hạ tầng Tân Ninh</v>
      </c>
      <c r="C1453" s="35" t="str">
        <f ca="1">IFERROR(__xludf.DUMMYFUNCTION("""COMPUTED_VALUE"""),"Nguyễn Trường Quang")</f>
        <v>Nguyễn Trường Quang</v>
      </c>
      <c r="D1453" s="35">
        <f ca="1">IFERROR(__xludf.DUMMYFUNCTION("""COMPUTED_VALUE"""),888193957)</f>
        <v>888193957</v>
      </c>
      <c r="E1453" s="35" t="str">
        <f ca="1">IFERROR(__xludf.DUMMYFUNCTION("""COMPUTED_VALUE"""),"quangnt.tnh@vnpt.vn")</f>
        <v>quangnt.tnh@vnpt.vn</v>
      </c>
      <c r="F1453" s="540" t="str">
        <f ca="1">IFERROR(__xludf.DUMMYFUNCTION("""COMPUTED_VALUE"""),"Lần 7")</f>
        <v>Lần 7</v>
      </c>
      <c r="G1453" s="278"/>
      <c r="H1453" s="35"/>
      <c r="I1453" s="35"/>
      <c r="J1453" s="35"/>
      <c r="K1453" s="35"/>
      <c r="M1453" s="539">
        <f ca="1">IFERROR(__xludf.DUMMYFUNCTION("""COMPUTED_VALUE"""),0)</f>
        <v>0</v>
      </c>
      <c r="N1453" s="539">
        <f ca="1">IFERROR(__xludf.DUMMYFUNCTION("""COMPUTED_VALUE"""),0)</f>
        <v>0</v>
      </c>
      <c r="O1453" s="539">
        <f ca="1">IFERROR(__xludf.DUMMYFUNCTION("""COMPUTED_VALUE"""),0)</f>
        <v>0</v>
      </c>
    </row>
    <row r="1454" spans="1:15" ht="12.75">
      <c r="A1454" s="539">
        <f ca="1"/>
        <v>1448</v>
      </c>
      <c r="B1454" s="35" t="str">
        <f ca="1">IFERROR(__xludf.DUMMYFUNCTION("""COMPUTED_VALUE"""),"Tổ Hạ tầng Tân Ninh")</f>
        <v>Tổ Hạ tầng Tân Ninh</v>
      </c>
      <c r="C1454" s="35" t="str">
        <f ca="1">IFERROR(__xludf.DUMMYFUNCTION("""COMPUTED_VALUE"""),"Nguyễn Trường Quang")</f>
        <v>Nguyễn Trường Quang</v>
      </c>
      <c r="D1454" s="35">
        <f ca="1">IFERROR(__xludf.DUMMYFUNCTION("""COMPUTED_VALUE"""),888193957)</f>
        <v>888193957</v>
      </c>
      <c r="E1454" s="35" t="str">
        <f ca="1">IFERROR(__xludf.DUMMYFUNCTION("""COMPUTED_VALUE"""),"quangnt.tnh@vnpt.vn")</f>
        <v>quangnt.tnh@vnpt.vn</v>
      </c>
      <c r="F1454" s="540" t="str">
        <f ca="1">IFERROR(__xludf.DUMMYFUNCTION("""COMPUTED_VALUE"""),"Lần 8")</f>
        <v>Lần 8</v>
      </c>
      <c r="G1454" s="278"/>
      <c r="H1454" s="35"/>
      <c r="I1454" s="35"/>
      <c r="J1454" s="35"/>
      <c r="K1454" s="35"/>
      <c r="M1454" s="539">
        <f ca="1">IFERROR(__xludf.DUMMYFUNCTION("""COMPUTED_VALUE"""),0)</f>
        <v>0</v>
      </c>
      <c r="N1454" s="539">
        <f ca="1">IFERROR(__xludf.DUMMYFUNCTION("""COMPUTED_VALUE"""),0)</f>
        <v>0</v>
      </c>
      <c r="O1454" s="539">
        <f ca="1">IFERROR(__xludf.DUMMYFUNCTION("""COMPUTED_VALUE"""),0)</f>
        <v>0</v>
      </c>
    </row>
    <row r="1455" spans="1:15" ht="12.75">
      <c r="A1455" s="539">
        <f ca="1"/>
        <v>1449</v>
      </c>
      <c r="B1455" s="35" t="str">
        <f ca="1">IFERROR(__xludf.DUMMYFUNCTION("""COMPUTED_VALUE"""),"Tổ Hạ tầng Tân Ninh")</f>
        <v>Tổ Hạ tầng Tân Ninh</v>
      </c>
      <c r="C1455" s="35" t="str">
        <f ca="1">IFERROR(__xludf.DUMMYFUNCTION("""COMPUTED_VALUE"""),"Nguyễn Trường Quang")</f>
        <v>Nguyễn Trường Quang</v>
      </c>
      <c r="D1455" s="35">
        <f ca="1">IFERROR(__xludf.DUMMYFUNCTION("""COMPUTED_VALUE"""),888193957)</f>
        <v>888193957</v>
      </c>
      <c r="E1455" s="35" t="str">
        <f ca="1">IFERROR(__xludf.DUMMYFUNCTION("""COMPUTED_VALUE"""),"quangnt.tnh@vnpt.vn")</f>
        <v>quangnt.tnh@vnpt.vn</v>
      </c>
      <c r="F1455" s="540" t="str">
        <f ca="1">IFERROR(__xludf.DUMMYFUNCTION("""COMPUTED_VALUE"""),"Lần 9")</f>
        <v>Lần 9</v>
      </c>
      <c r="G1455" s="278"/>
      <c r="H1455" s="35"/>
      <c r="I1455" s="35"/>
      <c r="J1455" s="35"/>
      <c r="K1455" s="35"/>
      <c r="M1455" s="539">
        <f ca="1">IFERROR(__xludf.DUMMYFUNCTION("""COMPUTED_VALUE"""),0)</f>
        <v>0</v>
      </c>
      <c r="N1455" s="539">
        <f ca="1">IFERROR(__xludf.DUMMYFUNCTION("""COMPUTED_VALUE"""),0)</f>
        <v>0</v>
      </c>
      <c r="O1455" s="539">
        <f ca="1">IFERROR(__xludf.DUMMYFUNCTION("""COMPUTED_VALUE"""),0)</f>
        <v>0</v>
      </c>
    </row>
    <row r="1456" spans="1:15" ht="12.75">
      <c r="A1456" s="539">
        <f ca="1"/>
        <v>1450</v>
      </c>
      <c r="B1456" s="35" t="str">
        <f ca="1">IFERROR(__xludf.DUMMYFUNCTION("""COMPUTED_VALUE"""),"Tổ Hạ tầng Tân Ninh")</f>
        <v>Tổ Hạ tầng Tân Ninh</v>
      </c>
      <c r="C1456" s="35" t="str">
        <f ca="1">IFERROR(__xludf.DUMMYFUNCTION("""COMPUTED_VALUE"""),"Nguyễn Trường Quang")</f>
        <v>Nguyễn Trường Quang</v>
      </c>
      <c r="D1456" s="35">
        <f ca="1">IFERROR(__xludf.DUMMYFUNCTION("""COMPUTED_VALUE"""),888193957)</f>
        <v>888193957</v>
      </c>
      <c r="E1456" s="35" t="str">
        <f ca="1">IFERROR(__xludf.DUMMYFUNCTION("""COMPUTED_VALUE"""),"quangnt.tnh@vnpt.vn")</f>
        <v>quangnt.tnh@vnpt.vn</v>
      </c>
      <c r="F1456" s="540" t="str">
        <f ca="1">IFERROR(__xludf.DUMMYFUNCTION("""COMPUTED_VALUE"""),"Lần 10")</f>
        <v>Lần 10</v>
      </c>
      <c r="G1456" s="278"/>
      <c r="H1456" s="35"/>
      <c r="I1456" s="35"/>
      <c r="J1456" s="35"/>
      <c r="K1456" s="35"/>
      <c r="M1456" s="539">
        <f ca="1">IFERROR(__xludf.DUMMYFUNCTION("""COMPUTED_VALUE"""),0)</f>
        <v>0</v>
      </c>
      <c r="N1456" s="539">
        <f ca="1">IFERROR(__xludf.DUMMYFUNCTION("""COMPUTED_VALUE"""),0)</f>
        <v>0</v>
      </c>
      <c r="O1456" s="539">
        <f ca="1">IFERROR(__xludf.DUMMYFUNCTION("""COMPUTED_VALUE"""),0)</f>
        <v>0</v>
      </c>
    </row>
    <row r="1457" spans="1:15" ht="12.75">
      <c r="A1457" s="539">
        <f ca="1"/>
        <v>1451</v>
      </c>
      <c r="B1457" s="35" t="str">
        <f ca="1">IFERROR(__xludf.DUMMYFUNCTION("""COMPUTED_VALUE"""),"Tổ Hạ tầng Tân Ninh")</f>
        <v>Tổ Hạ tầng Tân Ninh</v>
      </c>
      <c r="C1457" s="35" t="str">
        <f ca="1">IFERROR(__xludf.DUMMYFUNCTION("""COMPUTED_VALUE"""),"Nguyễn Trường Quang")</f>
        <v>Nguyễn Trường Quang</v>
      </c>
      <c r="D1457" s="35">
        <f ca="1">IFERROR(__xludf.DUMMYFUNCTION("""COMPUTED_VALUE"""),888193957)</f>
        <v>888193957</v>
      </c>
      <c r="E1457" s="35" t="str">
        <f ca="1">IFERROR(__xludf.DUMMYFUNCTION("""COMPUTED_VALUE"""),"quangnt.tnh@vnpt.vn")</f>
        <v>quangnt.tnh@vnpt.vn</v>
      </c>
      <c r="F1457" s="540" t="str">
        <f ca="1">IFERROR(__xludf.DUMMYFUNCTION("""COMPUTED_VALUE"""),"Lần 11")</f>
        <v>Lần 11</v>
      </c>
      <c r="G1457" s="278"/>
      <c r="H1457" s="35"/>
      <c r="I1457" s="35"/>
      <c r="J1457" s="35"/>
      <c r="K1457" s="35"/>
      <c r="M1457" s="539">
        <f ca="1">IFERROR(__xludf.DUMMYFUNCTION("""COMPUTED_VALUE"""),0)</f>
        <v>0</v>
      </c>
      <c r="N1457" s="539">
        <f ca="1">IFERROR(__xludf.DUMMYFUNCTION("""COMPUTED_VALUE"""),0)</f>
        <v>0</v>
      </c>
      <c r="O1457" s="539">
        <f ca="1">IFERROR(__xludf.DUMMYFUNCTION("""COMPUTED_VALUE"""),0)</f>
        <v>0</v>
      </c>
    </row>
    <row r="1458" spans="1:15" ht="12.75">
      <c r="A1458" s="539">
        <f ca="1"/>
        <v>1452</v>
      </c>
      <c r="B1458" s="35" t="str">
        <f ca="1">IFERROR(__xludf.DUMMYFUNCTION("""COMPUTED_VALUE"""),"Tổ Hạ tầng Tân Ninh")</f>
        <v>Tổ Hạ tầng Tân Ninh</v>
      </c>
      <c r="C1458" s="35" t="str">
        <f ca="1">IFERROR(__xludf.DUMMYFUNCTION("""COMPUTED_VALUE"""),"Nguyễn Trường Quang")</f>
        <v>Nguyễn Trường Quang</v>
      </c>
      <c r="D1458" s="35">
        <f ca="1">IFERROR(__xludf.DUMMYFUNCTION("""COMPUTED_VALUE"""),888193957)</f>
        <v>888193957</v>
      </c>
      <c r="E1458" s="35" t="str">
        <f ca="1">IFERROR(__xludf.DUMMYFUNCTION("""COMPUTED_VALUE"""),"quangnt.tnh@vnpt.vn")</f>
        <v>quangnt.tnh@vnpt.vn</v>
      </c>
      <c r="F1458" s="540" t="str">
        <f ca="1">IFERROR(__xludf.DUMMYFUNCTION("""COMPUTED_VALUE"""),"Lần 12")</f>
        <v>Lần 12</v>
      </c>
      <c r="G1458" s="278"/>
      <c r="H1458" s="35"/>
      <c r="I1458" s="35"/>
      <c r="J1458" s="35"/>
      <c r="K1458" s="35"/>
      <c r="M1458" s="539">
        <f ca="1">IFERROR(__xludf.DUMMYFUNCTION("""COMPUTED_VALUE"""),0)</f>
        <v>0</v>
      </c>
      <c r="N1458" s="539">
        <f ca="1">IFERROR(__xludf.DUMMYFUNCTION("""COMPUTED_VALUE"""),0)</f>
        <v>0</v>
      </c>
      <c r="O1458" s="539">
        <f ca="1">IFERROR(__xludf.DUMMYFUNCTION("""COMPUTED_VALUE"""),0)</f>
        <v>0</v>
      </c>
    </row>
    <row r="1459" spans="1:15" ht="12.75">
      <c r="A1459" s="539">
        <f ca="1"/>
        <v>1453</v>
      </c>
      <c r="B1459" s="35" t="str">
        <f ca="1">IFERROR(__xludf.DUMMYFUNCTION("""COMPUTED_VALUE"""),"Tổ Hạ tầng Tân Ninh")</f>
        <v>Tổ Hạ tầng Tân Ninh</v>
      </c>
      <c r="C1459" s="35" t="str">
        <f ca="1">IFERROR(__xludf.DUMMYFUNCTION("""COMPUTED_VALUE"""),"Nguyễn Trường Quang")</f>
        <v>Nguyễn Trường Quang</v>
      </c>
      <c r="D1459" s="35">
        <f ca="1">IFERROR(__xludf.DUMMYFUNCTION("""COMPUTED_VALUE"""),888193957)</f>
        <v>888193957</v>
      </c>
      <c r="E1459" s="35" t="str">
        <f ca="1">IFERROR(__xludf.DUMMYFUNCTION("""COMPUTED_VALUE"""),"quangnt.tnh@vnpt.vn")</f>
        <v>quangnt.tnh@vnpt.vn</v>
      </c>
      <c r="F1459" s="540" t="str">
        <f ca="1">IFERROR(__xludf.DUMMYFUNCTION("""COMPUTED_VALUE"""),"Lần 13")</f>
        <v>Lần 13</v>
      </c>
      <c r="G1459" s="278"/>
      <c r="H1459" s="35"/>
      <c r="I1459" s="35"/>
      <c r="J1459" s="35"/>
      <c r="K1459" s="35"/>
      <c r="M1459" s="539">
        <f ca="1">IFERROR(__xludf.DUMMYFUNCTION("""COMPUTED_VALUE"""),0)</f>
        <v>0</v>
      </c>
      <c r="N1459" s="539">
        <f ca="1">IFERROR(__xludf.DUMMYFUNCTION("""COMPUTED_VALUE"""),0)</f>
        <v>0</v>
      </c>
      <c r="O1459" s="539">
        <f ca="1">IFERROR(__xludf.DUMMYFUNCTION("""COMPUTED_VALUE"""),0)</f>
        <v>0</v>
      </c>
    </row>
    <row r="1460" spans="1:15" ht="12.75">
      <c r="A1460" s="539">
        <f ca="1"/>
        <v>1454</v>
      </c>
      <c r="B1460" s="35" t="str">
        <f ca="1">IFERROR(__xludf.DUMMYFUNCTION("""COMPUTED_VALUE"""),"Tổ Hạ tầng Tân Ninh")</f>
        <v>Tổ Hạ tầng Tân Ninh</v>
      </c>
      <c r="C1460" s="35" t="str">
        <f ca="1">IFERROR(__xludf.DUMMYFUNCTION("""COMPUTED_VALUE"""),"Nguyễn Trường Quang")</f>
        <v>Nguyễn Trường Quang</v>
      </c>
      <c r="D1460" s="35">
        <f ca="1">IFERROR(__xludf.DUMMYFUNCTION("""COMPUTED_VALUE"""),888193957)</f>
        <v>888193957</v>
      </c>
      <c r="E1460" s="35" t="str">
        <f ca="1">IFERROR(__xludf.DUMMYFUNCTION("""COMPUTED_VALUE"""),"quangnt.tnh@vnpt.vn")</f>
        <v>quangnt.tnh@vnpt.vn</v>
      </c>
      <c r="F1460" s="540" t="str">
        <f ca="1">IFERROR(__xludf.DUMMYFUNCTION("""COMPUTED_VALUE"""),"Lần 14")</f>
        <v>Lần 14</v>
      </c>
      <c r="G1460" s="278"/>
      <c r="H1460" s="35"/>
      <c r="I1460" s="35"/>
      <c r="J1460" s="35"/>
      <c r="K1460" s="35"/>
      <c r="M1460" s="539">
        <f ca="1">IFERROR(__xludf.DUMMYFUNCTION("""COMPUTED_VALUE"""),0)</f>
        <v>0</v>
      </c>
      <c r="N1460" s="539">
        <f ca="1">IFERROR(__xludf.DUMMYFUNCTION("""COMPUTED_VALUE"""),0)</f>
        <v>0</v>
      </c>
      <c r="O1460" s="539">
        <f ca="1">IFERROR(__xludf.DUMMYFUNCTION("""COMPUTED_VALUE"""),0)</f>
        <v>0</v>
      </c>
    </row>
    <row r="1461" spans="1:15" ht="12.75">
      <c r="A1461" s="539">
        <f ca="1"/>
        <v>1455</v>
      </c>
      <c r="B1461" s="35" t="str">
        <f ca="1">IFERROR(__xludf.DUMMYFUNCTION("""COMPUTED_VALUE"""),"Tổ Hạ tầng Tân Ninh")</f>
        <v>Tổ Hạ tầng Tân Ninh</v>
      </c>
      <c r="C1461" s="35" t="str">
        <f ca="1">IFERROR(__xludf.DUMMYFUNCTION("""COMPUTED_VALUE"""),"Nguyễn Trường Quang")</f>
        <v>Nguyễn Trường Quang</v>
      </c>
      <c r="D1461" s="35">
        <f ca="1">IFERROR(__xludf.DUMMYFUNCTION("""COMPUTED_VALUE"""),888193957)</f>
        <v>888193957</v>
      </c>
      <c r="E1461" s="35" t="str">
        <f ca="1">IFERROR(__xludf.DUMMYFUNCTION("""COMPUTED_VALUE"""),"quangnt.tnh@vnpt.vn")</f>
        <v>quangnt.tnh@vnpt.vn</v>
      </c>
      <c r="F1461" s="540" t="str">
        <f ca="1">IFERROR(__xludf.DUMMYFUNCTION("""COMPUTED_VALUE"""),"Lần 15")</f>
        <v>Lần 15</v>
      </c>
      <c r="G1461" s="278"/>
      <c r="H1461" s="35"/>
      <c r="I1461" s="35"/>
      <c r="J1461" s="35"/>
      <c r="K1461" s="35"/>
      <c r="M1461" s="539">
        <f ca="1">IFERROR(__xludf.DUMMYFUNCTION("""COMPUTED_VALUE"""),0)</f>
        <v>0</v>
      </c>
      <c r="N1461" s="539">
        <f ca="1">IFERROR(__xludf.DUMMYFUNCTION("""COMPUTED_VALUE"""),0)</f>
        <v>0</v>
      </c>
      <c r="O1461" s="539">
        <f ca="1">IFERROR(__xludf.DUMMYFUNCTION("""COMPUTED_VALUE"""),0)</f>
        <v>0</v>
      </c>
    </row>
    <row r="1462" spans="1:15" ht="12.75">
      <c r="A1462" s="539">
        <f ca="1"/>
        <v>1456</v>
      </c>
      <c r="B1462" s="35" t="str">
        <f ca="1">IFERROR(__xludf.DUMMYFUNCTION("""COMPUTED_VALUE"""),"Tổ Hạ tầng Tân Ninh")</f>
        <v>Tổ Hạ tầng Tân Ninh</v>
      </c>
      <c r="C1462" s="35" t="str">
        <f ca="1">IFERROR(__xludf.DUMMYFUNCTION("""COMPUTED_VALUE"""),"Nguyễn Trường Quang")</f>
        <v>Nguyễn Trường Quang</v>
      </c>
      <c r="D1462" s="35">
        <f ca="1">IFERROR(__xludf.DUMMYFUNCTION("""COMPUTED_VALUE"""),888193957)</f>
        <v>888193957</v>
      </c>
      <c r="E1462" s="35" t="str">
        <f ca="1">IFERROR(__xludf.DUMMYFUNCTION("""COMPUTED_VALUE"""),"quangnt.tnh@vnpt.vn")</f>
        <v>quangnt.tnh@vnpt.vn</v>
      </c>
      <c r="F1462" s="540" t="str">
        <f ca="1">IFERROR(__xludf.DUMMYFUNCTION("""COMPUTED_VALUE"""),"Lần 16")</f>
        <v>Lần 16</v>
      </c>
      <c r="G1462" s="278"/>
      <c r="H1462" s="35"/>
      <c r="I1462" s="35"/>
      <c r="J1462" s="35"/>
      <c r="K1462" s="35"/>
      <c r="M1462" s="539">
        <f ca="1">IFERROR(__xludf.DUMMYFUNCTION("""COMPUTED_VALUE"""),0)</f>
        <v>0</v>
      </c>
      <c r="N1462" s="539">
        <f ca="1">IFERROR(__xludf.DUMMYFUNCTION("""COMPUTED_VALUE"""),0)</f>
        <v>0</v>
      </c>
      <c r="O1462" s="539">
        <f ca="1">IFERROR(__xludf.DUMMYFUNCTION("""COMPUTED_VALUE"""),0)</f>
        <v>0</v>
      </c>
    </row>
    <row r="1463" spans="1:15" ht="12.75">
      <c r="A1463" s="539">
        <f ca="1"/>
        <v>1457</v>
      </c>
      <c r="B1463" s="35" t="str">
        <f ca="1">IFERROR(__xludf.DUMMYFUNCTION("""COMPUTED_VALUE"""),"Tổ Hạ tầng Tân Ninh")</f>
        <v>Tổ Hạ tầng Tân Ninh</v>
      </c>
      <c r="C1463" s="35" t="str">
        <f ca="1">IFERROR(__xludf.DUMMYFUNCTION("""COMPUTED_VALUE"""),"Võ Thế Minh")</f>
        <v>Võ Thế Minh</v>
      </c>
      <c r="D1463" s="35">
        <f ca="1">IFERROR(__xludf.DUMMYFUNCTION("""COMPUTED_VALUE"""),919542919)</f>
        <v>919542919</v>
      </c>
      <c r="E1463" s="35" t="str">
        <f ca="1">IFERROR(__xludf.DUMMYFUNCTION("""COMPUTED_VALUE"""),"minhvt.tnh@vnpt.vn")</f>
        <v>minhvt.tnh@vnpt.vn</v>
      </c>
      <c r="F1463" s="540" t="str">
        <f ca="1">IFERROR(__xludf.DUMMYFUNCTION("""COMPUTED_VALUE"""),"Lần 1")</f>
        <v>Lần 1</v>
      </c>
      <c r="G1463" s="278">
        <f ca="1">IFERROR(__xludf.DUMMYFUNCTION("""COMPUTED_VALUE"""),46217)</f>
        <v>46217</v>
      </c>
      <c r="H1463" s="35">
        <f ca="1">IFERROR(__xludf.DUMMYFUNCTION("""COMPUTED_VALUE"""),81)</f>
        <v>81</v>
      </c>
      <c r="I1463" s="35">
        <f ca="1">IFERROR(__xludf.DUMMYFUNCTION("""COMPUTED_VALUE"""),30.8)</f>
        <v>30.8</v>
      </c>
      <c r="J1463" s="541">
        <f ca="1">IFERROR(__xludf.DUMMYFUNCTION("""COMPUTED_VALUE"""),78.5)</f>
        <v>78.5</v>
      </c>
      <c r="K1463" s="541">
        <f ca="1">IFERROR(__xludf.DUMMYFUNCTION("""COMPUTED_VALUE"""),53.1)</f>
        <v>53.1</v>
      </c>
      <c r="M1463" s="539">
        <f ca="1">IFERROR(__xludf.DUMMYFUNCTION("""COMPUTED_VALUE"""),1)</f>
        <v>1</v>
      </c>
      <c r="N1463" s="539">
        <f ca="1">IFERROR(__xludf.DUMMYFUNCTION("""COMPUTED_VALUE"""),1)</f>
        <v>1</v>
      </c>
      <c r="O1463" s="539">
        <f ca="1">IFERROR(__xludf.DUMMYFUNCTION("""COMPUTED_VALUE"""),0)</f>
        <v>0</v>
      </c>
    </row>
    <row r="1464" spans="1:15" ht="12.75">
      <c r="A1464" s="539">
        <f ca="1"/>
        <v>1458</v>
      </c>
      <c r="B1464" s="35" t="str">
        <f ca="1">IFERROR(__xludf.DUMMYFUNCTION("""COMPUTED_VALUE"""),"Tổ Hạ tầng Tân Ninh")</f>
        <v>Tổ Hạ tầng Tân Ninh</v>
      </c>
      <c r="C1464" s="35" t="str">
        <f ca="1">IFERROR(__xludf.DUMMYFUNCTION("""COMPUTED_VALUE"""),"Võ Thế Minh")</f>
        <v>Võ Thế Minh</v>
      </c>
      <c r="D1464" s="35">
        <f ca="1">IFERROR(__xludf.DUMMYFUNCTION("""COMPUTED_VALUE"""),919542919)</f>
        <v>919542919</v>
      </c>
      <c r="E1464" s="35" t="str">
        <f ca="1">IFERROR(__xludf.DUMMYFUNCTION("""COMPUTED_VALUE"""),"minhvt.tnh@vnpt.vn")</f>
        <v>minhvt.tnh@vnpt.vn</v>
      </c>
      <c r="F1464" s="540" t="str">
        <f ca="1">IFERROR(__xludf.DUMMYFUNCTION("""COMPUTED_VALUE"""),"Lần 2")</f>
        <v>Lần 2</v>
      </c>
      <c r="G1464" s="278">
        <f ca="1">IFERROR(__xludf.DUMMYFUNCTION("""COMPUTED_VALUE"""),46217)</f>
        <v>46217</v>
      </c>
      <c r="H1464" s="35">
        <f ca="1">IFERROR(__xludf.DUMMYFUNCTION("""COMPUTED_VALUE"""),70.6)</f>
        <v>70.599999999999994</v>
      </c>
      <c r="I1464" s="35">
        <f ca="1">IFERROR(__xludf.DUMMYFUNCTION("""COMPUTED_VALUE"""),35.2)</f>
        <v>35.200000000000003</v>
      </c>
      <c r="J1464" s="541">
        <f ca="1">IFERROR(__xludf.DUMMYFUNCTION("""COMPUTED_VALUE"""),70.6)</f>
        <v>70.599999999999994</v>
      </c>
      <c r="K1464" s="541">
        <f ca="1">IFERROR(__xludf.DUMMYFUNCTION("""COMPUTED_VALUE"""),52.5)</f>
        <v>52.5</v>
      </c>
      <c r="M1464" s="539">
        <f ca="1">IFERROR(__xludf.DUMMYFUNCTION("""COMPUTED_VALUE"""),1)</f>
        <v>1</v>
      </c>
      <c r="N1464" s="539">
        <f ca="1">IFERROR(__xludf.DUMMYFUNCTION("""COMPUTED_VALUE"""),1)</f>
        <v>1</v>
      </c>
      <c r="O1464" s="539">
        <f ca="1">IFERROR(__xludf.DUMMYFUNCTION("""COMPUTED_VALUE"""),0)</f>
        <v>0</v>
      </c>
    </row>
    <row r="1465" spans="1:15" ht="12.75">
      <c r="A1465" s="539">
        <f ca="1"/>
        <v>1459</v>
      </c>
      <c r="B1465" s="35" t="str">
        <f ca="1">IFERROR(__xludf.DUMMYFUNCTION("""COMPUTED_VALUE"""),"Tổ Hạ tầng Tân Ninh")</f>
        <v>Tổ Hạ tầng Tân Ninh</v>
      </c>
      <c r="C1465" s="35" t="str">
        <f ca="1">IFERROR(__xludf.DUMMYFUNCTION("""COMPUTED_VALUE"""),"Võ Thế Minh")</f>
        <v>Võ Thế Minh</v>
      </c>
      <c r="D1465" s="35">
        <f ca="1">IFERROR(__xludf.DUMMYFUNCTION("""COMPUTED_VALUE"""),919542919)</f>
        <v>919542919</v>
      </c>
      <c r="E1465" s="35" t="str">
        <f ca="1">IFERROR(__xludf.DUMMYFUNCTION("""COMPUTED_VALUE"""),"minhvt.tnh@vnpt.vn")</f>
        <v>minhvt.tnh@vnpt.vn</v>
      </c>
      <c r="F1465" s="540" t="str">
        <f ca="1">IFERROR(__xludf.DUMMYFUNCTION("""COMPUTED_VALUE"""),"Lần 3")</f>
        <v>Lần 3</v>
      </c>
      <c r="G1465" s="278">
        <f ca="1">IFERROR(__xludf.DUMMYFUNCTION("""COMPUTED_VALUE"""),46217)</f>
        <v>46217</v>
      </c>
      <c r="H1465" s="35">
        <f ca="1">IFERROR(__xludf.DUMMYFUNCTION("""COMPUTED_VALUE"""),86.4)</f>
        <v>86.4</v>
      </c>
      <c r="I1465" s="35">
        <f ca="1">IFERROR(__xludf.DUMMYFUNCTION("""COMPUTED_VALUE"""),33.6)</f>
        <v>33.6</v>
      </c>
      <c r="J1465" s="541">
        <f ca="1">IFERROR(__xludf.DUMMYFUNCTION("""COMPUTED_VALUE"""),76)</f>
        <v>76</v>
      </c>
      <c r="K1465" s="541">
        <f ca="1">IFERROR(__xludf.DUMMYFUNCTION("""COMPUTED_VALUE"""),51)</f>
        <v>51</v>
      </c>
      <c r="M1465" s="539">
        <f ca="1">IFERROR(__xludf.DUMMYFUNCTION("""COMPUTED_VALUE"""),1)</f>
        <v>1</v>
      </c>
      <c r="N1465" s="539">
        <f ca="1">IFERROR(__xludf.DUMMYFUNCTION("""COMPUTED_VALUE"""),1)</f>
        <v>1</v>
      </c>
      <c r="O1465" s="539">
        <f ca="1">IFERROR(__xludf.DUMMYFUNCTION("""COMPUTED_VALUE"""),0)</f>
        <v>0</v>
      </c>
    </row>
    <row r="1466" spans="1:15" ht="12.75">
      <c r="A1466" s="539">
        <f ca="1"/>
        <v>1460</v>
      </c>
      <c r="B1466" s="35" t="str">
        <f ca="1">IFERROR(__xludf.DUMMYFUNCTION("""COMPUTED_VALUE"""),"Tổ Hạ tầng Tân Ninh")</f>
        <v>Tổ Hạ tầng Tân Ninh</v>
      </c>
      <c r="C1466" s="35" t="str">
        <f ca="1">IFERROR(__xludf.DUMMYFUNCTION("""COMPUTED_VALUE"""),"Võ Thế Minh")</f>
        <v>Võ Thế Minh</v>
      </c>
      <c r="D1466" s="35">
        <f ca="1">IFERROR(__xludf.DUMMYFUNCTION("""COMPUTED_VALUE"""),919542919)</f>
        <v>919542919</v>
      </c>
      <c r="E1466" s="35" t="str">
        <f ca="1">IFERROR(__xludf.DUMMYFUNCTION("""COMPUTED_VALUE"""),"minhvt.tnh@vnpt.vn")</f>
        <v>minhvt.tnh@vnpt.vn</v>
      </c>
      <c r="F1466" s="540" t="str">
        <f ca="1">IFERROR(__xludf.DUMMYFUNCTION("""COMPUTED_VALUE"""),"Lần 4")</f>
        <v>Lần 4</v>
      </c>
      <c r="G1466" s="278">
        <f ca="1">IFERROR(__xludf.DUMMYFUNCTION("""COMPUTED_VALUE"""),46217)</f>
        <v>46217</v>
      </c>
      <c r="H1466" s="35">
        <f ca="1">IFERROR(__xludf.DUMMYFUNCTION("""COMPUTED_VALUE"""),70.9)</f>
        <v>70.900000000000006</v>
      </c>
      <c r="I1466" s="35">
        <f ca="1">IFERROR(__xludf.DUMMYFUNCTION("""COMPUTED_VALUE"""),43)</f>
        <v>43</v>
      </c>
      <c r="J1466" s="541">
        <f ca="1">IFERROR(__xludf.DUMMYFUNCTION("""COMPUTED_VALUE"""),71.3)</f>
        <v>71.3</v>
      </c>
      <c r="K1466" s="541">
        <f ca="1">IFERROR(__xludf.DUMMYFUNCTION("""COMPUTED_VALUE"""),11.3)</f>
        <v>11.3</v>
      </c>
      <c r="M1466" s="539">
        <f ca="1">IFERROR(__xludf.DUMMYFUNCTION("""COMPUTED_VALUE"""),1)</f>
        <v>1</v>
      </c>
      <c r="N1466" s="539">
        <f ca="1">IFERROR(__xludf.DUMMYFUNCTION("""COMPUTED_VALUE"""),1)</f>
        <v>1</v>
      </c>
      <c r="O1466" s="539">
        <f ca="1">IFERROR(__xludf.DUMMYFUNCTION("""COMPUTED_VALUE"""),0)</f>
        <v>0</v>
      </c>
    </row>
    <row r="1467" spans="1:15" ht="12.75">
      <c r="A1467" s="539">
        <f ca="1"/>
        <v>1461</v>
      </c>
      <c r="B1467" s="35" t="str">
        <f ca="1">IFERROR(__xludf.DUMMYFUNCTION("""COMPUTED_VALUE"""),"Tổ Hạ tầng Tân Ninh")</f>
        <v>Tổ Hạ tầng Tân Ninh</v>
      </c>
      <c r="C1467" s="35" t="str">
        <f ca="1">IFERROR(__xludf.DUMMYFUNCTION("""COMPUTED_VALUE"""),"Võ Thế Minh")</f>
        <v>Võ Thế Minh</v>
      </c>
      <c r="D1467" s="35">
        <f ca="1">IFERROR(__xludf.DUMMYFUNCTION("""COMPUTED_VALUE"""),919542919)</f>
        <v>919542919</v>
      </c>
      <c r="E1467" s="35" t="str">
        <f ca="1">IFERROR(__xludf.DUMMYFUNCTION("""COMPUTED_VALUE"""),"minhvt.tnh@vnpt.vn")</f>
        <v>minhvt.tnh@vnpt.vn</v>
      </c>
      <c r="F1467" s="540" t="str">
        <f ca="1">IFERROR(__xludf.DUMMYFUNCTION("""COMPUTED_VALUE"""),"Lần 5")</f>
        <v>Lần 5</v>
      </c>
      <c r="G1467" s="278">
        <f ca="1">IFERROR(__xludf.DUMMYFUNCTION("""COMPUTED_VALUE"""),46217)</f>
        <v>46217</v>
      </c>
      <c r="H1467" s="35">
        <f ca="1">IFERROR(__xludf.DUMMYFUNCTION("""COMPUTED_VALUE"""),75.2)</f>
        <v>75.2</v>
      </c>
      <c r="I1467" s="35">
        <f ca="1">IFERROR(__xludf.DUMMYFUNCTION("""COMPUTED_VALUE"""),35.2)</f>
        <v>35.200000000000003</v>
      </c>
      <c r="J1467" s="541">
        <f ca="1">IFERROR(__xludf.DUMMYFUNCTION("""COMPUTED_VALUE"""),83)</f>
        <v>83</v>
      </c>
      <c r="K1467" s="541">
        <f ca="1">IFERROR(__xludf.DUMMYFUNCTION("""COMPUTED_VALUE"""),54.2)</f>
        <v>54.2</v>
      </c>
      <c r="M1467" s="539">
        <f ca="1">IFERROR(__xludf.DUMMYFUNCTION("""COMPUTED_VALUE"""),1)</f>
        <v>1</v>
      </c>
      <c r="N1467" s="539">
        <f ca="1">IFERROR(__xludf.DUMMYFUNCTION("""COMPUTED_VALUE"""),1)</f>
        <v>1</v>
      </c>
      <c r="O1467" s="539">
        <f ca="1">IFERROR(__xludf.DUMMYFUNCTION("""COMPUTED_VALUE"""),0)</f>
        <v>0</v>
      </c>
    </row>
    <row r="1468" spans="1:15" ht="12.75">
      <c r="A1468" s="539">
        <f ca="1"/>
        <v>1462</v>
      </c>
      <c r="B1468" s="35" t="str">
        <f ca="1">IFERROR(__xludf.DUMMYFUNCTION("""COMPUTED_VALUE"""),"Tổ Hạ tầng Tân Ninh")</f>
        <v>Tổ Hạ tầng Tân Ninh</v>
      </c>
      <c r="C1468" s="35" t="str">
        <f ca="1">IFERROR(__xludf.DUMMYFUNCTION("""COMPUTED_VALUE"""),"Võ Thế Minh")</f>
        <v>Võ Thế Minh</v>
      </c>
      <c r="D1468" s="35">
        <f ca="1">IFERROR(__xludf.DUMMYFUNCTION("""COMPUTED_VALUE"""),919542919)</f>
        <v>919542919</v>
      </c>
      <c r="E1468" s="35" t="str">
        <f ca="1">IFERROR(__xludf.DUMMYFUNCTION("""COMPUTED_VALUE"""),"minhvt.tnh@vnpt.vn")</f>
        <v>minhvt.tnh@vnpt.vn</v>
      </c>
      <c r="F1468" s="540" t="str">
        <f ca="1">IFERROR(__xludf.DUMMYFUNCTION("""COMPUTED_VALUE"""),"Lần 6")</f>
        <v>Lần 6</v>
      </c>
      <c r="G1468" s="278">
        <f ca="1">IFERROR(__xludf.DUMMYFUNCTION("""COMPUTED_VALUE"""),46217)</f>
        <v>46217</v>
      </c>
      <c r="H1468" s="35">
        <f ca="1">IFERROR(__xludf.DUMMYFUNCTION("""COMPUTED_VALUE"""),98.8)</f>
        <v>98.8</v>
      </c>
      <c r="I1468" s="35">
        <f ca="1">IFERROR(__xludf.DUMMYFUNCTION("""COMPUTED_VALUE"""),38.8)</f>
        <v>38.799999999999997</v>
      </c>
      <c r="J1468" s="541">
        <f ca="1">IFERROR(__xludf.DUMMYFUNCTION("""COMPUTED_VALUE"""),81)</f>
        <v>81</v>
      </c>
      <c r="K1468" s="541">
        <f ca="1">IFERROR(__xludf.DUMMYFUNCTION("""COMPUTED_VALUE"""),49)</f>
        <v>49</v>
      </c>
      <c r="M1468" s="539">
        <f ca="1">IFERROR(__xludf.DUMMYFUNCTION("""COMPUTED_VALUE"""),1)</f>
        <v>1</v>
      </c>
      <c r="N1468" s="539">
        <f ca="1">IFERROR(__xludf.DUMMYFUNCTION("""COMPUTED_VALUE"""),1)</f>
        <v>1</v>
      </c>
      <c r="O1468" s="539">
        <f ca="1">IFERROR(__xludf.DUMMYFUNCTION("""COMPUTED_VALUE"""),0)</f>
        <v>0</v>
      </c>
    </row>
    <row r="1469" spans="1:15" ht="12.75">
      <c r="A1469" s="539">
        <f ca="1"/>
        <v>1463</v>
      </c>
      <c r="B1469" s="35" t="str">
        <f ca="1">IFERROR(__xludf.DUMMYFUNCTION("""COMPUTED_VALUE"""),"Tổ Hạ tầng Tân Ninh")</f>
        <v>Tổ Hạ tầng Tân Ninh</v>
      </c>
      <c r="C1469" s="35" t="str">
        <f ca="1">IFERROR(__xludf.DUMMYFUNCTION("""COMPUTED_VALUE"""),"Võ Thế Minh")</f>
        <v>Võ Thế Minh</v>
      </c>
      <c r="D1469" s="35">
        <f ca="1">IFERROR(__xludf.DUMMYFUNCTION("""COMPUTED_VALUE"""),919542919)</f>
        <v>919542919</v>
      </c>
      <c r="E1469" s="35" t="str">
        <f ca="1">IFERROR(__xludf.DUMMYFUNCTION("""COMPUTED_VALUE"""),"minhvt.tnh@vnpt.vn")</f>
        <v>minhvt.tnh@vnpt.vn</v>
      </c>
      <c r="F1469" s="540" t="str">
        <f ca="1">IFERROR(__xludf.DUMMYFUNCTION("""COMPUTED_VALUE"""),"Lần 7")</f>
        <v>Lần 7</v>
      </c>
      <c r="G1469" s="278">
        <f ca="1">IFERROR(__xludf.DUMMYFUNCTION("""COMPUTED_VALUE"""),46217)</f>
        <v>46217</v>
      </c>
      <c r="H1469" s="35">
        <f ca="1">IFERROR(__xludf.DUMMYFUNCTION("""COMPUTED_VALUE"""),73)</f>
        <v>73</v>
      </c>
      <c r="I1469" s="35">
        <f ca="1">IFERROR(__xludf.DUMMYFUNCTION("""COMPUTED_VALUE"""),35.1)</f>
        <v>35.1</v>
      </c>
      <c r="J1469" s="541">
        <f ca="1">IFERROR(__xludf.DUMMYFUNCTION("""COMPUTED_VALUE"""),72.5)</f>
        <v>72.5</v>
      </c>
      <c r="K1469" s="541">
        <f ca="1">IFERROR(__xludf.DUMMYFUNCTION("""COMPUTED_VALUE"""),49.6)</f>
        <v>49.6</v>
      </c>
      <c r="M1469" s="539">
        <f ca="1">IFERROR(__xludf.DUMMYFUNCTION("""COMPUTED_VALUE"""),1)</f>
        <v>1</v>
      </c>
      <c r="N1469" s="539">
        <f ca="1">IFERROR(__xludf.DUMMYFUNCTION("""COMPUTED_VALUE"""),1)</f>
        <v>1</v>
      </c>
      <c r="O1469" s="539">
        <f ca="1">IFERROR(__xludf.DUMMYFUNCTION("""COMPUTED_VALUE"""),0)</f>
        <v>0</v>
      </c>
    </row>
    <row r="1470" spans="1:15" ht="12.75">
      <c r="A1470" s="539">
        <f ca="1"/>
        <v>1464</v>
      </c>
      <c r="B1470" s="35" t="str">
        <f ca="1">IFERROR(__xludf.DUMMYFUNCTION("""COMPUTED_VALUE"""),"Tổ Hạ tầng Tân Ninh")</f>
        <v>Tổ Hạ tầng Tân Ninh</v>
      </c>
      <c r="C1470" s="35" t="str">
        <f ca="1">IFERROR(__xludf.DUMMYFUNCTION("""COMPUTED_VALUE"""),"Võ Thế Minh")</f>
        <v>Võ Thế Minh</v>
      </c>
      <c r="D1470" s="35">
        <f ca="1">IFERROR(__xludf.DUMMYFUNCTION("""COMPUTED_VALUE"""),919542919)</f>
        <v>919542919</v>
      </c>
      <c r="E1470" s="35" t="str">
        <f ca="1">IFERROR(__xludf.DUMMYFUNCTION("""COMPUTED_VALUE"""),"minhvt.tnh@vnpt.vn")</f>
        <v>minhvt.tnh@vnpt.vn</v>
      </c>
      <c r="F1470" s="540" t="str">
        <f ca="1">IFERROR(__xludf.DUMMYFUNCTION("""COMPUTED_VALUE"""),"Lần 8")</f>
        <v>Lần 8</v>
      </c>
      <c r="G1470" s="278">
        <f ca="1">IFERROR(__xludf.DUMMYFUNCTION("""COMPUTED_VALUE"""),46217)</f>
        <v>46217</v>
      </c>
      <c r="H1470" s="35">
        <f ca="1">IFERROR(__xludf.DUMMYFUNCTION("""COMPUTED_VALUE"""),81.9)</f>
        <v>81.900000000000006</v>
      </c>
      <c r="I1470" s="35">
        <f ca="1">IFERROR(__xludf.DUMMYFUNCTION("""COMPUTED_VALUE"""),38)</f>
        <v>38</v>
      </c>
      <c r="J1470" s="541">
        <f ca="1">IFERROR(__xludf.DUMMYFUNCTION("""COMPUTED_VALUE"""),82.5)</f>
        <v>82.5</v>
      </c>
      <c r="K1470" s="541">
        <f ca="1">IFERROR(__xludf.DUMMYFUNCTION("""COMPUTED_VALUE"""),53.2)</f>
        <v>53.2</v>
      </c>
      <c r="M1470" s="539">
        <f ca="1">IFERROR(__xludf.DUMMYFUNCTION("""COMPUTED_VALUE"""),1)</f>
        <v>1</v>
      </c>
      <c r="N1470" s="539">
        <f ca="1">IFERROR(__xludf.DUMMYFUNCTION("""COMPUTED_VALUE"""),1)</f>
        <v>1</v>
      </c>
      <c r="O1470" s="539">
        <f ca="1">IFERROR(__xludf.DUMMYFUNCTION("""COMPUTED_VALUE"""),0)</f>
        <v>0</v>
      </c>
    </row>
    <row r="1471" spans="1:15" ht="12.75">
      <c r="A1471" s="539">
        <f ca="1"/>
        <v>1465</v>
      </c>
      <c r="B1471" s="35" t="str">
        <f ca="1">IFERROR(__xludf.DUMMYFUNCTION("""COMPUTED_VALUE"""),"Tổ Hạ tầng Tân Ninh")</f>
        <v>Tổ Hạ tầng Tân Ninh</v>
      </c>
      <c r="C1471" s="35" t="str">
        <f ca="1">IFERROR(__xludf.DUMMYFUNCTION("""COMPUTED_VALUE"""),"Võ Thế Minh")</f>
        <v>Võ Thế Minh</v>
      </c>
      <c r="D1471" s="35">
        <f ca="1">IFERROR(__xludf.DUMMYFUNCTION("""COMPUTED_VALUE"""),919542919)</f>
        <v>919542919</v>
      </c>
      <c r="E1471" s="35" t="str">
        <f ca="1">IFERROR(__xludf.DUMMYFUNCTION("""COMPUTED_VALUE"""),"minhvt.tnh@vnpt.vn")</f>
        <v>minhvt.tnh@vnpt.vn</v>
      </c>
      <c r="F1471" s="540" t="str">
        <f ca="1">IFERROR(__xludf.DUMMYFUNCTION("""COMPUTED_VALUE"""),"Lần 9")</f>
        <v>Lần 9</v>
      </c>
      <c r="G1471" s="278">
        <f ca="1">IFERROR(__xludf.DUMMYFUNCTION("""COMPUTED_VALUE"""),46217)</f>
        <v>46217</v>
      </c>
      <c r="H1471" s="35">
        <f ca="1">IFERROR(__xludf.DUMMYFUNCTION("""COMPUTED_VALUE"""),75.1)</f>
        <v>75.099999999999994</v>
      </c>
      <c r="I1471" s="35">
        <f ca="1">IFERROR(__xludf.DUMMYFUNCTION("""COMPUTED_VALUE"""),28.4)</f>
        <v>28.4</v>
      </c>
      <c r="J1471" s="541">
        <f ca="1">IFERROR(__xludf.DUMMYFUNCTION("""COMPUTED_VALUE"""),71.7)</f>
        <v>71.7</v>
      </c>
      <c r="K1471" s="541">
        <f ca="1">IFERROR(__xludf.DUMMYFUNCTION("""COMPUTED_VALUE"""),51.2)</f>
        <v>51.2</v>
      </c>
      <c r="M1471" s="539">
        <f ca="1">IFERROR(__xludf.DUMMYFUNCTION("""COMPUTED_VALUE"""),1)</f>
        <v>1</v>
      </c>
      <c r="N1471" s="539">
        <f ca="1">IFERROR(__xludf.DUMMYFUNCTION("""COMPUTED_VALUE"""),1)</f>
        <v>1</v>
      </c>
      <c r="O1471" s="539">
        <f ca="1">IFERROR(__xludf.DUMMYFUNCTION("""COMPUTED_VALUE"""),0)</f>
        <v>0</v>
      </c>
    </row>
    <row r="1472" spans="1:15" ht="12.75">
      <c r="A1472" s="539">
        <f ca="1"/>
        <v>1466</v>
      </c>
      <c r="B1472" s="35" t="str">
        <f ca="1">IFERROR(__xludf.DUMMYFUNCTION("""COMPUTED_VALUE"""),"Tổ Hạ tầng Tân Ninh")</f>
        <v>Tổ Hạ tầng Tân Ninh</v>
      </c>
      <c r="C1472" s="35" t="str">
        <f ca="1">IFERROR(__xludf.DUMMYFUNCTION("""COMPUTED_VALUE"""),"Võ Thế Minh")</f>
        <v>Võ Thế Minh</v>
      </c>
      <c r="D1472" s="35">
        <f ca="1">IFERROR(__xludf.DUMMYFUNCTION("""COMPUTED_VALUE"""),919542919)</f>
        <v>919542919</v>
      </c>
      <c r="E1472" s="35" t="str">
        <f ca="1">IFERROR(__xludf.DUMMYFUNCTION("""COMPUTED_VALUE"""),"minhvt.tnh@vnpt.vn")</f>
        <v>minhvt.tnh@vnpt.vn</v>
      </c>
      <c r="F1472" s="540" t="str">
        <f ca="1">IFERROR(__xludf.DUMMYFUNCTION("""COMPUTED_VALUE"""),"Lần 10")</f>
        <v>Lần 10</v>
      </c>
      <c r="G1472" s="278">
        <f ca="1">IFERROR(__xludf.DUMMYFUNCTION("""COMPUTED_VALUE"""),46217)</f>
        <v>46217</v>
      </c>
      <c r="H1472" s="35">
        <f ca="1">IFERROR(__xludf.DUMMYFUNCTION("""COMPUTED_VALUE"""),77.6)</f>
        <v>77.599999999999994</v>
      </c>
      <c r="I1472" s="35">
        <f ca="1">IFERROR(__xludf.DUMMYFUNCTION("""COMPUTED_VALUE"""),42.1)</f>
        <v>42.1</v>
      </c>
      <c r="J1472" s="541">
        <f ca="1">IFERROR(__xludf.DUMMYFUNCTION("""COMPUTED_VALUE"""),71.9)</f>
        <v>71.900000000000006</v>
      </c>
      <c r="K1472" s="541">
        <f ca="1">IFERROR(__xludf.DUMMYFUNCTION("""COMPUTED_VALUE"""),57.4)</f>
        <v>57.4</v>
      </c>
      <c r="M1472" s="539">
        <f ca="1">IFERROR(__xludf.DUMMYFUNCTION("""COMPUTED_VALUE"""),1)</f>
        <v>1</v>
      </c>
      <c r="N1472" s="539">
        <f ca="1">IFERROR(__xludf.DUMMYFUNCTION("""COMPUTED_VALUE"""),1)</f>
        <v>1</v>
      </c>
      <c r="O1472" s="539">
        <f ca="1">IFERROR(__xludf.DUMMYFUNCTION("""COMPUTED_VALUE"""),0)</f>
        <v>0</v>
      </c>
    </row>
    <row r="1473" spans="1:15" ht="12.75">
      <c r="A1473" s="539">
        <f ca="1"/>
        <v>1467</v>
      </c>
      <c r="B1473" s="35" t="str">
        <f ca="1">IFERROR(__xludf.DUMMYFUNCTION("""COMPUTED_VALUE"""),"Tổ Hạ tầng Tân Ninh")</f>
        <v>Tổ Hạ tầng Tân Ninh</v>
      </c>
      <c r="C1473" s="35" t="str">
        <f ca="1">IFERROR(__xludf.DUMMYFUNCTION("""COMPUTED_VALUE"""),"Võ Thế Minh")</f>
        <v>Võ Thế Minh</v>
      </c>
      <c r="D1473" s="35">
        <f ca="1">IFERROR(__xludf.DUMMYFUNCTION("""COMPUTED_VALUE"""),919542919)</f>
        <v>919542919</v>
      </c>
      <c r="E1473" s="35" t="str">
        <f ca="1">IFERROR(__xludf.DUMMYFUNCTION("""COMPUTED_VALUE"""),"minhvt.tnh@vnpt.vn")</f>
        <v>minhvt.tnh@vnpt.vn</v>
      </c>
      <c r="F1473" s="540" t="str">
        <f ca="1">IFERROR(__xludf.DUMMYFUNCTION("""COMPUTED_VALUE"""),"Lần 11")</f>
        <v>Lần 11</v>
      </c>
      <c r="G1473" s="278">
        <f ca="1">IFERROR(__xludf.DUMMYFUNCTION("""COMPUTED_VALUE"""),46217)</f>
        <v>46217</v>
      </c>
      <c r="H1473" s="35">
        <f ca="1">IFERROR(__xludf.DUMMYFUNCTION("""COMPUTED_VALUE"""),78.1)</f>
        <v>78.099999999999994</v>
      </c>
      <c r="I1473" s="35">
        <f ca="1">IFERROR(__xludf.DUMMYFUNCTION("""COMPUTED_VALUE"""),44.8)</f>
        <v>44.8</v>
      </c>
      <c r="J1473" s="541">
        <f ca="1">IFERROR(__xludf.DUMMYFUNCTION("""COMPUTED_VALUE"""),77.7)</f>
        <v>77.7</v>
      </c>
      <c r="K1473" s="541">
        <f ca="1">IFERROR(__xludf.DUMMYFUNCTION("""COMPUTED_VALUE"""),57.2)</f>
        <v>57.2</v>
      </c>
      <c r="M1473" s="539">
        <f ca="1">IFERROR(__xludf.DUMMYFUNCTION("""COMPUTED_VALUE"""),1)</f>
        <v>1</v>
      </c>
      <c r="N1473" s="539">
        <f ca="1">IFERROR(__xludf.DUMMYFUNCTION("""COMPUTED_VALUE"""),1)</f>
        <v>1</v>
      </c>
      <c r="O1473" s="539">
        <f ca="1">IFERROR(__xludf.DUMMYFUNCTION("""COMPUTED_VALUE"""),0)</f>
        <v>0</v>
      </c>
    </row>
    <row r="1474" spans="1:15" ht="12.75">
      <c r="A1474" s="539">
        <f ca="1"/>
        <v>1468</v>
      </c>
      <c r="B1474" s="35" t="str">
        <f ca="1">IFERROR(__xludf.DUMMYFUNCTION("""COMPUTED_VALUE"""),"Tổ Hạ tầng Tân Ninh")</f>
        <v>Tổ Hạ tầng Tân Ninh</v>
      </c>
      <c r="C1474" s="35" t="str">
        <f ca="1">IFERROR(__xludf.DUMMYFUNCTION("""COMPUTED_VALUE"""),"Võ Thế Minh")</f>
        <v>Võ Thế Minh</v>
      </c>
      <c r="D1474" s="35">
        <f ca="1">IFERROR(__xludf.DUMMYFUNCTION("""COMPUTED_VALUE"""),919542919)</f>
        <v>919542919</v>
      </c>
      <c r="E1474" s="35" t="str">
        <f ca="1">IFERROR(__xludf.DUMMYFUNCTION("""COMPUTED_VALUE"""),"minhvt.tnh@vnpt.vn")</f>
        <v>minhvt.tnh@vnpt.vn</v>
      </c>
      <c r="F1474" s="540" t="str">
        <f ca="1">IFERROR(__xludf.DUMMYFUNCTION("""COMPUTED_VALUE"""),"Lần 12")</f>
        <v>Lần 12</v>
      </c>
      <c r="G1474" s="278">
        <f ca="1">IFERROR(__xludf.DUMMYFUNCTION("""COMPUTED_VALUE"""),46217)</f>
        <v>46217</v>
      </c>
      <c r="H1474" s="35">
        <f ca="1">IFERROR(__xludf.DUMMYFUNCTION("""COMPUTED_VALUE"""),83)</f>
        <v>83</v>
      </c>
      <c r="I1474" s="35">
        <f ca="1">IFERROR(__xludf.DUMMYFUNCTION("""COMPUTED_VALUE"""),38.2)</f>
        <v>38.200000000000003</v>
      </c>
      <c r="J1474" s="541">
        <f ca="1">IFERROR(__xludf.DUMMYFUNCTION("""COMPUTED_VALUE"""),94.5)</f>
        <v>94.5</v>
      </c>
      <c r="K1474" s="541">
        <f ca="1">IFERROR(__xludf.DUMMYFUNCTION("""COMPUTED_VALUE"""),56.9)</f>
        <v>56.9</v>
      </c>
      <c r="M1474" s="539">
        <f ca="1">IFERROR(__xludf.DUMMYFUNCTION("""COMPUTED_VALUE"""),1)</f>
        <v>1</v>
      </c>
      <c r="N1474" s="539">
        <f ca="1">IFERROR(__xludf.DUMMYFUNCTION("""COMPUTED_VALUE"""),1)</f>
        <v>1</v>
      </c>
      <c r="O1474" s="539">
        <f ca="1">IFERROR(__xludf.DUMMYFUNCTION("""COMPUTED_VALUE"""),0)</f>
        <v>0</v>
      </c>
    </row>
    <row r="1475" spans="1:15" ht="12.75">
      <c r="A1475" s="539">
        <f ca="1"/>
        <v>1469</v>
      </c>
      <c r="B1475" s="35" t="str">
        <f ca="1">IFERROR(__xludf.DUMMYFUNCTION("""COMPUTED_VALUE"""),"Tổ Hạ tầng Tân Ninh")</f>
        <v>Tổ Hạ tầng Tân Ninh</v>
      </c>
      <c r="C1475" s="35" t="str">
        <f ca="1">IFERROR(__xludf.DUMMYFUNCTION("""COMPUTED_VALUE"""),"Võ Thế Minh")</f>
        <v>Võ Thế Minh</v>
      </c>
      <c r="D1475" s="35">
        <f ca="1">IFERROR(__xludf.DUMMYFUNCTION("""COMPUTED_VALUE"""),919542919)</f>
        <v>919542919</v>
      </c>
      <c r="E1475" s="35" t="str">
        <f ca="1">IFERROR(__xludf.DUMMYFUNCTION("""COMPUTED_VALUE"""),"minhvt.tnh@vnpt.vn")</f>
        <v>minhvt.tnh@vnpt.vn</v>
      </c>
      <c r="F1475" s="540" t="str">
        <f ca="1">IFERROR(__xludf.DUMMYFUNCTION("""COMPUTED_VALUE"""),"Lần 13")</f>
        <v>Lần 13</v>
      </c>
      <c r="G1475" s="278">
        <f ca="1">IFERROR(__xludf.DUMMYFUNCTION("""COMPUTED_VALUE"""),46217)</f>
        <v>46217</v>
      </c>
      <c r="H1475" s="35">
        <f ca="1">IFERROR(__xludf.DUMMYFUNCTION("""COMPUTED_VALUE"""),82.7)</f>
        <v>82.7</v>
      </c>
      <c r="I1475" s="35">
        <f ca="1">IFERROR(__xludf.DUMMYFUNCTION("""COMPUTED_VALUE"""),34.3)</f>
        <v>34.299999999999997</v>
      </c>
      <c r="J1475" s="541">
        <f ca="1">IFERROR(__xludf.DUMMYFUNCTION("""COMPUTED_VALUE"""),98.6)</f>
        <v>98.6</v>
      </c>
      <c r="K1475" s="541">
        <f ca="1">IFERROR(__xludf.DUMMYFUNCTION("""COMPUTED_VALUE"""),56)</f>
        <v>56</v>
      </c>
      <c r="M1475" s="539">
        <f ca="1">IFERROR(__xludf.DUMMYFUNCTION("""COMPUTED_VALUE"""),1)</f>
        <v>1</v>
      </c>
      <c r="N1475" s="539">
        <f ca="1">IFERROR(__xludf.DUMMYFUNCTION("""COMPUTED_VALUE"""),1)</f>
        <v>1</v>
      </c>
      <c r="O1475" s="539">
        <f ca="1">IFERROR(__xludf.DUMMYFUNCTION("""COMPUTED_VALUE"""),0)</f>
        <v>0</v>
      </c>
    </row>
    <row r="1476" spans="1:15" ht="12.75">
      <c r="A1476" s="539">
        <f ca="1"/>
        <v>1470</v>
      </c>
      <c r="B1476" s="35" t="str">
        <f ca="1">IFERROR(__xludf.DUMMYFUNCTION("""COMPUTED_VALUE"""),"Tổ Hạ tầng Tân Ninh")</f>
        <v>Tổ Hạ tầng Tân Ninh</v>
      </c>
      <c r="C1476" s="35" t="str">
        <f ca="1">IFERROR(__xludf.DUMMYFUNCTION("""COMPUTED_VALUE"""),"Võ Thế Minh")</f>
        <v>Võ Thế Minh</v>
      </c>
      <c r="D1476" s="35">
        <f ca="1">IFERROR(__xludf.DUMMYFUNCTION("""COMPUTED_VALUE"""),919542919)</f>
        <v>919542919</v>
      </c>
      <c r="E1476" s="35" t="str">
        <f ca="1">IFERROR(__xludf.DUMMYFUNCTION("""COMPUTED_VALUE"""),"minhvt.tnh@vnpt.vn")</f>
        <v>minhvt.tnh@vnpt.vn</v>
      </c>
      <c r="F1476" s="540" t="str">
        <f ca="1">IFERROR(__xludf.DUMMYFUNCTION("""COMPUTED_VALUE"""),"Lần 14")</f>
        <v>Lần 14</v>
      </c>
      <c r="G1476" s="278">
        <f ca="1">IFERROR(__xludf.DUMMYFUNCTION("""COMPUTED_VALUE"""),46217)</f>
        <v>46217</v>
      </c>
      <c r="H1476" s="35">
        <f ca="1">IFERROR(__xludf.DUMMYFUNCTION("""COMPUTED_VALUE"""),75.2)</f>
        <v>75.2</v>
      </c>
      <c r="I1476" s="35">
        <f ca="1">IFERROR(__xludf.DUMMYFUNCTION("""COMPUTED_VALUE"""),46.9)</f>
        <v>46.9</v>
      </c>
      <c r="J1476" s="541">
        <f ca="1">IFERROR(__xludf.DUMMYFUNCTION("""COMPUTED_VALUE"""),79.6)</f>
        <v>79.599999999999994</v>
      </c>
      <c r="K1476" s="541">
        <f ca="1">IFERROR(__xludf.DUMMYFUNCTION("""COMPUTED_VALUE"""),57.4)</f>
        <v>57.4</v>
      </c>
      <c r="M1476" s="539">
        <f ca="1">IFERROR(__xludf.DUMMYFUNCTION("""COMPUTED_VALUE"""),1)</f>
        <v>1</v>
      </c>
      <c r="N1476" s="539">
        <f ca="1">IFERROR(__xludf.DUMMYFUNCTION("""COMPUTED_VALUE"""),1)</f>
        <v>1</v>
      </c>
      <c r="O1476" s="539">
        <f ca="1">IFERROR(__xludf.DUMMYFUNCTION("""COMPUTED_VALUE"""),0)</f>
        <v>0</v>
      </c>
    </row>
    <row r="1477" spans="1:15" ht="12.75">
      <c r="A1477" s="539">
        <f ca="1"/>
        <v>1471</v>
      </c>
      <c r="B1477" s="35" t="str">
        <f ca="1">IFERROR(__xludf.DUMMYFUNCTION("""COMPUTED_VALUE"""),"Tổ Hạ tầng Tân Ninh")</f>
        <v>Tổ Hạ tầng Tân Ninh</v>
      </c>
      <c r="C1477" s="35" t="str">
        <f ca="1">IFERROR(__xludf.DUMMYFUNCTION("""COMPUTED_VALUE"""),"Võ Thế Minh")</f>
        <v>Võ Thế Minh</v>
      </c>
      <c r="D1477" s="35">
        <f ca="1">IFERROR(__xludf.DUMMYFUNCTION("""COMPUTED_VALUE"""),919542919)</f>
        <v>919542919</v>
      </c>
      <c r="E1477" s="35" t="str">
        <f ca="1">IFERROR(__xludf.DUMMYFUNCTION("""COMPUTED_VALUE"""),"minhvt.tnh@vnpt.vn")</f>
        <v>minhvt.tnh@vnpt.vn</v>
      </c>
      <c r="F1477" s="540" t="str">
        <f ca="1">IFERROR(__xludf.DUMMYFUNCTION("""COMPUTED_VALUE"""),"Lần 15")</f>
        <v>Lần 15</v>
      </c>
      <c r="G1477" s="278">
        <f ca="1">IFERROR(__xludf.DUMMYFUNCTION("""COMPUTED_VALUE"""),46217)</f>
        <v>46217</v>
      </c>
      <c r="H1477" s="35">
        <f ca="1">IFERROR(__xludf.DUMMYFUNCTION("""COMPUTED_VALUE"""),79.1)</f>
        <v>79.099999999999994</v>
      </c>
      <c r="I1477" s="35">
        <f ca="1">IFERROR(__xludf.DUMMYFUNCTION("""COMPUTED_VALUE"""),40.1)</f>
        <v>40.1</v>
      </c>
      <c r="J1477" s="541">
        <f ca="1">IFERROR(__xludf.DUMMYFUNCTION("""COMPUTED_VALUE"""),73.3)</f>
        <v>73.3</v>
      </c>
      <c r="K1477" s="541">
        <f ca="1">IFERROR(__xludf.DUMMYFUNCTION("""COMPUTED_VALUE"""),57.3)</f>
        <v>57.3</v>
      </c>
      <c r="M1477" s="539">
        <f ca="1">IFERROR(__xludf.DUMMYFUNCTION("""COMPUTED_VALUE"""),1)</f>
        <v>1</v>
      </c>
      <c r="N1477" s="539">
        <f ca="1">IFERROR(__xludf.DUMMYFUNCTION("""COMPUTED_VALUE"""),1)</f>
        <v>1</v>
      </c>
      <c r="O1477" s="539">
        <f ca="1">IFERROR(__xludf.DUMMYFUNCTION("""COMPUTED_VALUE"""),0)</f>
        <v>0</v>
      </c>
    </row>
    <row r="1478" spans="1:15" ht="12.75">
      <c r="A1478" s="539">
        <f ca="1"/>
        <v>1472</v>
      </c>
      <c r="B1478" s="35" t="str">
        <f ca="1">IFERROR(__xludf.DUMMYFUNCTION("""COMPUTED_VALUE"""),"Tổ Hạ tầng Tân Ninh")</f>
        <v>Tổ Hạ tầng Tân Ninh</v>
      </c>
      <c r="C1478" s="35" t="str">
        <f ca="1">IFERROR(__xludf.DUMMYFUNCTION("""COMPUTED_VALUE"""),"Võ Thế Minh")</f>
        <v>Võ Thế Minh</v>
      </c>
      <c r="D1478" s="35">
        <f ca="1">IFERROR(__xludf.DUMMYFUNCTION("""COMPUTED_VALUE"""),919542919)</f>
        <v>919542919</v>
      </c>
      <c r="E1478" s="35" t="str">
        <f ca="1">IFERROR(__xludf.DUMMYFUNCTION("""COMPUTED_VALUE"""),"minhvt.tnh@vnpt.vn")</f>
        <v>minhvt.tnh@vnpt.vn</v>
      </c>
      <c r="F1478" s="540" t="str">
        <f ca="1">IFERROR(__xludf.DUMMYFUNCTION("""COMPUTED_VALUE"""),"Lần 16")</f>
        <v>Lần 16</v>
      </c>
      <c r="G1478" s="278">
        <f ca="1">IFERROR(__xludf.DUMMYFUNCTION("""COMPUTED_VALUE"""),46217)</f>
        <v>46217</v>
      </c>
      <c r="H1478" s="35">
        <f ca="1">IFERROR(__xludf.DUMMYFUNCTION("""COMPUTED_VALUE"""),81)</f>
        <v>81</v>
      </c>
      <c r="I1478" s="35">
        <f ca="1">IFERROR(__xludf.DUMMYFUNCTION("""COMPUTED_VALUE"""),30.8)</f>
        <v>30.8</v>
      </c>
      <c r="J1478" s="541">
        <f ca="1">IFERROR(__xludf.DUMMYFUNCTION("""COMPUTED_VALUE"""),77.4)</f>
        <v>77.400000000000006</v>
      </c>
      <c r="K1478" s="541">
        <f ca="1">IFERROR(__xludf.DUMMYFUNCTION("""COMPUTED_VALUE"""),54.4)</f>
        <v>54.4</v>
      </c>
      <c r="M1478" s="539">
        <f ca="1">IFERROR(__xludf.DUMMYFUNCTION("""COMPUTED_VALUE"""),1)</f>
        <v>1</v>
      </c>
      <c r="N1478" s="539">
        <f ca="1">IFERROR(__xludf.DUMMYFUNCTION("""COMPUTED_VALUE"""),1)</f>
        <v>1</v>
      </c>
      <c r="O1478" s="539">
        <f ca="1">IFERROR(__xludf.DUMMYFUNCTION("""COMPUTED_VALUE"""),0)</f>
        <v>0</v>
      </c>
    </row>
    <row r="1479" spans="1:15" ht="12.75">
      <c r="A1479" s="539">
        <f ca="1"/>
        <v>1473</v>
      </c>
      <c r="B1479" s="35" t="str">
        <f ca="1">IFERROR(__xludf.DUMMYFUNCTION("""COMPUTED_VALUE"""),"Tổ Hạ tầng Tân Ninh")</f>
        <v>Tổ Hạ tầng Tân Ninh</v>
      </c>
      <c r="C1479" s="35" t="str">
        <f ca="1">IFERROR(__xludf.DUMMYFUNCTION("""COMPUTED_VALUE"""),"Ngô Văn Tâm")</f>
        <v>Ngô Văn Tâm</v>
      </c>
      <c r="D1479" s="35">
        <f ca="1">IFERROR(__xludf.DUMMYFUNCTION("""COMPUTED_VALUE"""),917259777)</f>
        <v>917259777</v>
      </c>
      <c r="E1479" s="35" t="str">
        <f ca="1">IFERROR(__xludf.DUMMYFUNCTION("""COMPUTED_VALUE"""),"tamnv.tnh@vnpt.vn")</f>
        <v>tamnv.tnh@vnpt.vn</v>
      </c>
      <c r="F1479" s="540" t="str">
        <f ca="1">IFERROR(__xludf.DUMMYFUNCTION("""COMPUTED_VALUE"""),"Lần 1")</f>
        <v>Lần 1</v>
      </c>
      <c r="G1479" s="546">
        <f ca="1">IFERROR(__xludf.DUMMYFUNCTION("""COMPUTED_VALUE"""),46206)</f>
        <v>46206</v>
      </c>
      <c r="H1479" s="35">
        <f ca="1">IFERROR(__xludf.DUMMYFUNCTION("""COMPUTED_VALUE"""),87.1)</f>
        <v>87.1</v>
      </c>
      <c r="I1479" s="35">
        <f ca="1">IFERROR(__xludf.DUMMYFUNCTION("""COMPUTED_VALUE"""),49)</f>
        <v>49</v>
      </c>
      <c r="J1479" s="541">
        <f ca="1">IFERROR(__xludf.DUMMYFUNCTION("""COMPUTED_VALUE"""),94.8)</f>
        <v>94.8</v>
      </c>
      <c r="K1479" s="541">
        <f ca="1">IFERROR(__xludf.DUMMYFUNCTION("""COMPUTED_VALUE"""),56)</f>
        <v>56</v>
      </c>
      <c r="M1479" s="539">
        <f ca="1">IFERROR(__xludf.DUMMYFUNCTION("""COMPUTED_VALUE"""),1)</f>
        <v>1</v>
      </c>
      <c r="N1479" s="539">
        <f ca="1">IFERROR(__xludf.DUMMYFUNCTION("""COMPUTED_VALUE"""),1)</f>
        <v>1</v>
      </c>
      <c r="O1479" s="539">
        <f ca="1">IFERROR(__xludf.DUMMYFUNCTION("""COMPUTED_VALUE"""),0)</f>
        <v>0</v>
      </c>
    </row>
    <row r="1480" spans="1:15" ht="12.75">
      <c r="A1480" s="539">
        <f ca="1"/>
        <v>1474</v>
      </c>
      <c r="B1480" s="35" t="str">
        <f ca="1">IFERROR(__xludf.DUMMYFUNCTION("""COMPUTED_VALUE"""),"Tổ Hạ tầng Tân Ninh")</f>
        <v>Tổ Hạ tầng Tân Ninh</v>
      </c>
      <c r="C1480" s="35" t="str">
        <f ca="1">IFERROR(__xludf.DUMMYFUNCTION("""COMPUTED_VALUE"""),"Ngô Văn Tâm")</f>
        <v>Ngô Văn Tâm</v>
      </c>
      <c r="D1480" s="35">
        <f ca="1">IFERROR(__xludf.DUMMYFUNCTION("""COMPUTED_VALUE"""),917259777)</f>
        <v>917259777</v>
      </c>
      <c r="E1480" s="35" t="str">
        <f ca="1">IFERROR(__xludf.DUMMYFUNCTION("""COMPUTED_VALUE"""),"tamnv.tnh@vnpt.vn")</f>
        <v>tamnv.tnh@vnpt.vn</v>
      </c>
      <c r="F1480" s="540" t="str">
        <f ca="1">IFERROR(__xludf.DUMMYFUNCTION("""COMPUTED_VALUE"""),"Lần 2")</f>
        <v>Lần 2</v>
      </c>
      <c r="G1480" s="278">
        <f ca="1">IFERROR(__xludf.DUMMYFUNCTION("""COMPUTED_VALUE"""),46206)</f>
        <v>46206</v>
      </c>
      <c r="H1480" s="35">
        <f ca="1">IFERROR(__xludf.DUMMYFUNCTION("""COMPUTED_VALUE"""),88.7)</f>
        <v>88.7</v>
      </c>
      <c r="I1480" s="35">
        <f ca="1">IFERROR(__xludf.DUMMYFUNCTION("""COMPUTED_VALUE"""),45.7)</f>
        <v>45.7</v>
      </c>
      <c r="J1480" s="541">
        <f ca="1">IFERROR(__xludf.DUMMYFUNCTION("""COMPUTED_VALUE"""),101)</f>
        <v>101</v>
      </c>
      <c r="K1480" s="541">
        <f ca="1">IFERROR(__xludf.DUMMYFUNCTION("""COMPUTED_VALUE"""),52.8)</f>
        <v>52.8</v>
      </c>
      <c r="M1480" s="539">
        <f ca="1">IFERROR(__xludf.DUMMYFUNCTION("""COMPUTED_VALUE"""),1)</f>
        <v>1</v>
      </c>
      <c r="N1480" s="539">
        <f ca="1">IFERROR(__xludf.DUMMYFUNCTION("""COMPUTED_VALUE"""),1)</f>
        <v>1</v>
      </c>
      <c r="O1480" s="539">
        <f ca="1">IFERROR(__xludf.DUMMYFUNCTION("""COMPUTED_VALUE"""),0)</f>
        <v>0</v>
      </c>
    </row>
    <row r="1481" spans="1:15" ht="12.75">
      <c r="A1481" s="539">
        <f ca="1"/>
        <v>1475</v>
      </c>
      <c r="B1481" s="35" t="str">
        <f ca="1">IFERROR(__xludf.DUMMYFUNCTION("""COMPUTED_VALUE"""),"Tổ Hạ tầng Tân Ninh")</f>
        <v>Tổ Hạ tầng Tân Ninh</v>
      </c>
      <c r="C1481" s="35" t="str">
        <f ca="1">IFERROR(__xludf.DUMMYFUNCTION("""COMPUTED_VALUE"""),"Ngô Văn Tâm")</f>
        <v>Ngô Văn Tâm</v>
      </c>
      <c r="D1481" s="35">
        <f ca="1">IFERROR(__xludf.DUMMYFUNCTION("""COMPUTED_VALUE"""),917259777)</f>
        <v>917259777</v>
      </c>
      <c r="E1481" s="35" t="str">
        <f ca="1">IFERROR(__xludf.DUMMYFUNCTION("""COMPUTED_VALUE"""),"tamnv.tnh@vnpt.vn")</f>
        <v>tamnv.tnh@vnpt.vn</v>
      </c>
      <c r="F1481" s="540" t="str">
        <f ca="1">IFERROR(__xludf.DUMMYFUNCTION("""COMPUTED_VALUE"""),"Lần 3")</f>
        <v>Lần 3</v>
      </c>
      <c r="G1481" s="278">
        <f ca="1">IFERROR(__xludf.DUMMYFUNCTION("""COMPUTED_VALUE"""),46206)</f>
        <v>46206</v>
      </c>
      <c r="H1481" s="35">
        <f ca="1">IFERROR(__xludf.DUMMYFUNCTION("""COMPUTED_VALUE"""),110)</f>
        <v>110</v>
      </c>
      <c r="I1481" s="35">
        <f ca="1">IFERROR(__xludf.DUMMYFUNCTION("""COMPUTED_VALUE"""),47.6)</f>
        <v>47.6</v>
      </c>
      <c r="J1481" s="541">
        <f ca="1">IFERROR(__xludf.DUMMYFUNCTION("""COMPUTED_VALUE"""),74.7)</f>
        <v>74.7</v>
      </c>
      <c r="K1481" s="541">
        <f ca="1">IFERROR(__xludf.DUMMYFUNCTION("""COMPUTED_VALUE"""),54.5)</f>
        <v>54.5</v>
      </c>
      <c r="M1481" s="539">
        <f ca="1">IFERROR(__xludf.DUMMYFUNCTION("""COMPUTED_VALUE"""),1)</f>
        <v>1</v>
      </c>
      <c r="N1481" s="539">
        <f ca="1">IFERROR(__xludf.DUMMYFUNCTION("""COMPUTED_VALUE"""),1)</f>
        <v>1</v>
      </c>
      <c r="O1481" s="539">
        <f ca="1">IFERROR(__xludf.DUMMYFUNCTION("""COMPUTED_VALUE"""),0)</f>
        <v>0</v>
      </c>
    </row>
    <row r="1482" spans="1:15" ht="12.75">
      <c r="A1482" s="539">
        <f ca="1"/>
        <v>1476</v>
      </c>
      <c r="B1482" s="35" t="str">
        <f ca="1">IFERROR(__xludf.DUMMYFUNCTION("""COMPUTED_VALUE"""),"Tổ Hạ tầng Tân Ninh")</f>
        <v>Tổ Hạ tầng Tân Ninh</v>
      </c>
      <c r="C1482" s="35" t="str">
        <f ca="1">IFERROR(__xludf.DUMMYFUNCTION("""COMPUTED_VALUE"""),"Ngô Văn Tâm")</f>
        <v>Ngô Văn Tâm</v>
      </c>
      <c r="D1482" s="35">
        <f ca="1">IFERROR(__xludf.DUMMYFUNCTION("""COMPUTED_VALUE"""),917259777)</f>
        <v>917259777</v>
      </c>
      <c r="E1482" s="35" t="str">
        <f ca="1">IFERROR(__xludf.DUMMYFUNCTION("""COMPUTED_VALUE"""),"tamnv.tnh@vnpt.vn")</f>
        <v>tamnv.tnh@vnpt.vn</v>
      </c>
      <c r="F1482" s="540" t="str">
        <f ca="1">IFERROR(__xludf.DUMMYFUNCTION("""COMPUTED_VALUE"""),"Lần 4")</f>
        <v>Lần 4</v>
      </c>
      <c r="G1482" s="278">
        <f ca="1">IFERROR(__xludf.DUMMYFUNCTION("""COMPUTED_VALUE"""),46207)</f>
        <v>46207</v>
      </c>
      <c r="H1482" s="35">
        <f ca="1">IFERROR(__xludf.DUMMYFUNCTION("""COMPUTED_VALUE"""),95.1)</f>
        <v>95.1</v>
      </c>
      <c r="I1482" s="35">
        <f ca="1">IFERROR(__xludf.DUMMYFUNCTION("""COMPUTED_VALUE"""),35.2)</f>
        <v>35.200000000000003</v>
      </c>
      <c r="J1482" s="541">
        <f ca="1">IFERROR(__xludf.DUMMYFUNCTION("""COMPUTED_VALUE"""),91.7)</f>
        <v>91.7</v>
      </c>
      <c r="K1482" s="541">
        <f ca="1">IFERROR(__xludf.DUMMYFUNCTION("""COMPUTED_VALUE"""),43.9)</f>
        <v>43.9</v>
      </c>
      <c r="M1482" s="539">
        <f ca="1">IFERROR(__xludf.DUMMYFUNCTION("""COMPUTED_VALUE"""),1)</f>
        <v>1</v>
      </c>
      <c r="N1482" s="539">
        <f ca="1">IFERROR(__xludf.DUMMYFUNCTION("""COMPUTED_VALUE"""),1)</f>
        <v>1</v>
      </c>
      <c r="O1482" s="539">
        <f ca="1">IFERROR(__xludf.DUMMYFUNCTION("""COMPUTED_VALUE"""),0)</f>
        <v>0</v>
      </c>
    </row>
    <row r="1483" spans="1:15" ht="12.75">
      <c r="A1483" s="539">
        <f ca="1"/>
        <v>1477</v>
      </c>
      <c r="B1483" s="35" t="str">
        <f ca="1">IFERROR(__xludf.DUMMYFUNCTION("""COMPUTED_VALUE"""),"Tổ Hạ tầng Tân Ninh")</f>
        <v>Tổ Hạ tầng Tân Ninh</v>
      </c>
      <c r="C1483" s="35" t="str">
        <f ca="1">IFERROR(__xludf.DUMMYFUNCTION("""COMPUTED_VALUE"""),"Ngô Văn Tâm")</f>
        <v>Ngô Văn Tâm</v>
      </c>
      <c r="D1483" s="35">
        <f ca="1">IFERROR(__xludf.DUMMYFUNCTION("""COMPUTED_VALUE"""),917259777)</f>
        <v>917259777</v>
      </c>
      <c r="E1483" s="35" t="str">
        <f ca="1">IFERROR(__xludf.DUMMYFUNCTION("""COMPUTED_VALUE"""),"tamnv.tnh@vnpt.vn")</f>
        <v>tamnv.tnh@vnpt.vn</v>
      </c>
      <c r="F1483" s="540" t="str">
        <f ca="1">IFERROR(__xludf.DUMMYFUNCTION("""COMPUTED_VALUE"""),"Lần 5")</f>
        <v>Lần 5</v>
      </c>
      <c r="G1483" s="278">
        <f ca="1">IFERROR(__xludf.DUMMYFUNCTION("""COMPUTED_VALUE"""),46207)</f>
        <v>46207</v>
      </c>
      <c r="H1483" s="35">
        <f ca="1">IFERROR(__xludf.DUMMYFUNCTION("""COMPUTED_VALUE"""),78.8)</f>
        <v>78.8</v>
      </c>
      <c r="I1483" s="35">
        <f ca="1">IFERROR(__xludf.DUMMYFUNCTION("""COMPUTED_VALUE"""),39.3)</f>
        <v>39.299999999999997</v>
      </c>
      <c r="J1483" s="541">
        <f ca="1">IFERROR(__xludf.DUMMYFUNCTION("""COMPUTED_VALUE"""),96.3)</f>
        <v>96.3</v>
      </c>
      <c r="K1483" s="541">
        <f ca="1">IFERROR(__xludf.DUMMYFUNCTION("""COMPUTED_VALUE"""),43.7)</f>
        <v>43.7</v>
      </c>
      <c r="M1483" s="539">
        <f ca="1">IFERROR(__xludf.DUMMYFUNCTION("""COMPUTED_VALUE"""),1)</f>
        <v>1</v>
      </c>
      <c r="N1483" s="539">
        <f ca="1">IFERROR(__xludf.DUMMYFUNCTION("""COMPUTED_VALUE"""),1)</f>
        <v>1</v>
      </c>
      <c r="O1483" s="539">
        <f ca="1">IFERROR(__xludf.DUMMYFUNCTION("""COMPUTED_VALUE"""),0)</f>
        <v>0</v>
      </c>
    </row>
    <row r="1484" spans="1:15" ht="12.75">
      <c r="A1484" s="539">
        <f ca="1"/>
        <v>1478</v>
      </c>
      <c r="B1484" s="35" t="str">
        <f ca="1">IFERROR(__xludf.DUMMYFUNCTION("""COMPUTED_VALUE"""),"Tổ Hạ tầng Tân Ninh")</f>
        <v>Tổ Hạ tầng Tân Ninh</v>
      </c>
      <c r="C1484" s="35" t="str">
        <f ca="1">IFERROR(__xludf.DUMMYFUNCTION("""COMPUTED_VALUE"""),"Ngô Văn Tâm")</f>
        <v>Ngô Văn Tâm</v>
      </c>
      <c r="D1484" s="35">
        <f ca="1">IFERROR(__xludf.DUMMYFUNCTION("""COMPUTED_VALUE"""),917259777)</f>
        <v>917259777</v>
      </c>
      <c r="E1484" s="35" t="str">
        <f ca="1">IFERROR(__xludf.DUMMYFUNCTION("""COMPUTED_VALUE"""),"tamnv.tnh@vnpt.vn")</f>
        <v>tamnv.tnh@vnpt.vn</v>
      </c>
      <c r="F1484" s="540" t="str">
        <f ca="1">IFERROR(__xludf.DUMMYFUNCTION("""COMPUTED_VALUE"""),"Lần 6")</f>
        <v>Lần 6</v>
      </c>
      <c r="G1484" s="278">
        <f ca="1">IFERROR(__xludf.DUMMYFUNCTION("""COMPUTED_VALUE"""),46207)</f>
        <v>46207</v>
      </c>
      <c r="H1484" s="35">
        <f ca="1">IFERROR(__xludf.DUMMYFUNCTION("""COMPUTED_VALUE"""),72.1)</f>
        <v>72.099999999999994</v>
      </c>
      <c r="I1484" s="35">
        <f ca="1">IFERROR(__xludf.DUMMYFUNCTION("""COMPUTED_VALUE"""),39.5)</f>
        <v>39.5</v>
      </c>
      <c r="J1484" s="541">
        <f ca="1">IFERROR(__xludf.DUMMYFUNCTION("""COMPUTED_VALUE"""),78.7)</f>
        <v>78.7</v>
      </c>
      <c r="K1484" s="541">
        <f ca="1">IFERROR(__xludf.DUMMYFUNCTION("""COMPUTED_VALUE"""),42.5)</f>
        <v>42.5</v>
      </c>
      <c r="M1484" s="539">
        <f ca="1">IFERROR(__xludf.DUMMYFUNCTION("""COMPUTED_VALUE"""),1)</f>
        <v>1</v>
      </c>
      <c r="N1484" s="539">
        <f ca="1">IFERROR(__xludf.DUMMYFUNCTION("""COMPUTED_VALUE"""),1)</f>
        <v>1</v>
      </c>
      <c r="O1484" s="539">
        <f ca="1">IFERROR(__xludf.DUMMYFUNCTION("""COMPUTED_VALUE"""),0)</f>
        <v>0</v>
      </c>
    </row>
    <row r="1485" spans="1:15" ht="12.75">
      <c r="A1485" s="539">
        <f ca="1"/>
        <v>1479</v>
      </c>
      <c r="B1485" s="35" t="str">
        <f ca="1">IFERROR(__xludf.DUMMYFUNCTION("""COMPUTED_VALUE"""),"Tổ Hạ tầng Tân Ninh")</f>
        <v>Tổ Hạ tầng Tân Ninh</v>
      </c>
      <c r="C1485" s="35" t="str">
        <f ca="1">IFERROR(__xludf.DUMMYFUNCTION("""COMPUTED_VALUE"""),"Ngô Văn Tâm")</f>
        <v>Ngô Văn Tâm</v>
      </c>
      <c r="D1485" s="35">
        <f ca="1">IFERROR(__xludf.DUMMYFUNCTION("""COMPUTED_VALUE"""),917259777)</f>
        <v>917259777</v>
      </c>
      <c r="E1485" s="35" t="str">
        <f ca="1">IFERROR(__xludf.DUMMYFUNCTION("""COMPUTED_VALUE"""),"tamnv.tnh@vnpt.vn")</f>
        <v>tamnv.tnh@vnpt.vn</v>
      </c>
      <c r="F1485" s="540" t="str">
        <f ca="1">IFERROR(__xludf.DUMMYFUNCTION("""COMPUTED_VALUE"""),"Lần 7")</f>
        <v>Lần 7</v>
      </c>
      <c r="G1485" s="278">
        <f ca="1">IFERROR(__xludf.DUMMYFUNCTION("""COMPUTED_VALUE"""),46210)</f>
        <v>46210</v>
      </c>
      <c r="H1485" s="35">
        <f ca="1">IFERROR(__xludf.DUMMYFUNCTION("""COMPUTED_VALUE"""),90.8)</f>
        <v>90.8</v>
      </c>
      <c r="I1485" s="35">
        <f ca="1">IFERROR(__xludf.DUMMYFUNCTION("""COMPUTED_VALUE"""),49.1)</f>
        <v>49.1</v>
      </c>
      <c r="J1485" s="541">
        <f ca="1">IFERROR(__xludf.DUMMYFUNCTION("""COMPUTED_VALUE"""),92.5)</f>
        <v>92.5</v>
      </c>
      <c r="K1485" s="541">
        <f ca="1">IFERROR(__xludf.DUMMYFUNCTION("""COMPUTED_VALUE"""),61.1)</f>
        <v>61.1</v>
      </c>
      <c r="M1485" s="539">
        <f ca="1">IFERROR(__xludf.DUMMYFUNCTION("""COMPUTED_VALUE"""),1)</f>
        <v>1</v>
      </c>
      <c r="N1485" s="539">
        <f ca="1">IFERROR(__xludf.DUMMYFUNCTION("""COMPUTED_VALUE"""),1)</f>
        <v>1</v>
      </c>
      <c r="O1485" s="539">
        <f ca="1">IFERROR(__xludf.DUMMYFUNCTION("""COMPUTED_VALUE"""),0)</f>
        <v>0</v>
      </c>
    </row>
    <row r="1486" spans="1:15" ht="12.75">
      <c r="A1486" s="539">
        <f ca="1"/>
        <v>1480</v>
      </c>
      <c r="B1486" s="35" t="str">
        <f ca="1">IFERROR(__xludf.DUMMYFUNCTION("""COMPUTED_VALUE"""),"Tổ Hạ tầng Tân Ninh")</f>
        <v>Tổ Hạ tầng Tân Ninh</v>
      </c>
      <c r="C1486" s="35" t="str">
        <f ca="1">IFERROR(__xludf.DUMMYFUNCTION("""COMPUTED_VALUE"""),"Ngô Văn Tâm")</f>
        <v>Ngô Văn Tâm</v>
      </c>
      <c r="D1486" s="35">
        <f ca="1">IFERROR(__xludf.DUMMYFUNCTION("""COMPUTED_VALUE"""),917259777)</f>
        <v>917259777</v>
      </c>
      <c r="E1486" s="35" t="str">
        <f ca="1">IFERROR(__xludf.DUMMYFUNCTION("""COMPUTED_VALUE"""),"tamnv.tnh@vnpt.vn")</f>
        <v>tamnv.tnh@vnpt.vn</v>
      </c>
      <c r="F1486" s="540" t="str">
        <f ca="1">IFERROR(__xludf.DUMMYFUNCTION("""COMPUTED_VALUE"""),"Lần 8")</f>
        <v>Lần 8</v>
      </c>
      <c r="G1486" s="278">
        <f ca="1">IFERROR(__xludf.DUMMYFUNCTION("""COMPUTED_VALUE"""),46210)</f>
        <v>46210</v>
      </c>
      <c r="H1486" s="35">
        <f ca="1">IFERROR(__xludf.DUMMYFUNCTION("""COMPUTED_VALUE"""),105)</f>
        <v>105</v>
      </c>
      <c r="I1486" s="35">
        <f ca="1">IFERROR(__xludf.DUMMYFUNCTION("""COMPUTED_VALUE"""),49.1)</f>
        <v>49.1</v>
      </c>
      <c r="J1486" s="541">
        <f ca="1">IFERROR(__xludf.DUMMYFUNCTION("""COMPUTED_VALUE"""),80.6)</f>
        <v>80.599999999999994</v>
      </c>
      <c r="K1486" s="541">
        <f ca="1">IFERROR(__xludf.DUMMYFUNCTION("""COMPUTED_VALUE"""),55.7)</f>
        <v>55.7</v>
      </c>
      <c r="M1486" s="539">
        <f ca="1">IFERROR(__xludf.DUMMYFUNCTION("""COMPUTED_VALUE"""),1)</f>
        <v>1</v>
      </c>
      <c r="N1486" s="539">
        <f ca="1">IFERROR(__xludf.DUMMYFUNCTION("""COMPUTED_VALUE"""),1)</f>
        <v>1</v>
      </c>
      <c r="O1486" s="539">
        <f ca="1">IFERROR(__xludf.DUMMYFUNCTION("""COMPUTED_VALUE"""),0)</f>
        <v>0</v>
      </c>
    </row>
    <row r="1487" spans="1:15" ht="12.75">
      <c r="A1487" s="539">
        <f ca="1"/>
        <v>1481</v>
      </c>
      <c r="B1487" s="35" t="str">
        <f ca="1">IFERROR(__xludf.DUMMYFUNCTION("""COMPUTED_VALUE"""),"Tổ Hạ tầng Tân Ninh")</f>
        <v>Tổ Hạ tầng Tân Ninh</v>
      </c>
      <c r="C1487" s="35" t="str">
        <f ca="1">IFERROR(__xludf.DUMMYFUNCTION("""COMPUTED_VALUE"""),"Ngô Văn Tâm")</f>
        <v>Ngô Văn Tâm</v>
      </c>
      <c r="D1487" s="35">
        <f ca="1">IFERROR(__xludf.DUMMYFUNCTION("""COMPUTED_VALUE"""),917259777)</f>
        <v>917259777</v>
      </c>
      <c r="E1487" s="35" t="str">
        <f ca="1">IFERROR(__xludf.DUMMYFUNCTION("""COMPUTED_VALUE"""),"tamnv.tnh@vnpt.vn")</f>
        <v>tamnv.tnh@vnpt.vn</v>
      </c>
      <c r="F1487" s="540" t="str">
        <f ca="1">IFERROR(__xludf.DUMMYFUNCTION("""COMPUTED_VALUE"""),"Lần 9")</f>
        <v>Lần 9</v>
      </c>
      <c r="G1487" s="278">
        <f ca="1">IFERROR(__xludf.DUMMYFUNCTION("""COMPUTED_VALUE"""),46210)</f>
        <v>46210</v>
      </c>
      <c r="H1487" s="35">
        <f ca="1">IFERROR(__xludf.DUMMYFUNCTION("""COMPUTED_VALUE"""),86)</f>
        <v>86</v>
      </c>
      <c r="I1487" s="35">
        <f ca="1">IFERROR(__xludf.DUMMYFUNCTION("""COMPUTED_VALUE"""),48.1)</f>
        <v>48.1</v>
      </c>
      <c r="J1487" s="541">
        <f ca="1">IFERROR(__xludf.DUMMYFUNCTION("""COMPUTED_VALUE"""),87.8)</f>
        <v>87.8</v>
      </c>
      <c r="K1487" s="541">
        <f ca="1">IFERROR(__xludf.DUMMYFUNCTION("""COMPUTED_VALUE"""),60.8)</f>
        <v>60.8</v>
      </c>
      <c r="M1487" s="539">
        <f ca="1">IFERROR(__xludf.DUMMYFUNCTION("""COMPUTED_VALUE"""),1)</f>
        <v>1</v>
      </c>
      <c r="N1487" s="539">
        <f ca="1">IFERROR(__xludf.DUMMYFUNCTION("""COMPUTED_VALUE"""),1)</f>
        <v>1</v>
      </c>
      <c r="O1487" s="539">
        <f ca="1">IFERROR(__xludf.DUMMYFUNCTION("""COMPUTED_VALUE"""),0)</f>
        <v>0</v>
      </c>
    </row>
    <row r="1488" spans="1:15" ht="12.75">
      <c r="A1488" s="539">
        <f ca="1"/>
        <v>1482</v>
      </c>
      <c r="B1488" s="35" t="str">
        <f ca="1">IFERROR(__xludf.DUMMYFUNCTION("""COMPUTED_VALUE"""),"Tổ Hạ tầng Tân Ninh")</f>
        <v>Tổ Hạ tầng Tân Ninh</v>
      </c>
      <c r="C1488" s="35" t="str">
        <f ca="1">IFERROR(__xludf.DUMMYFUNCTION("""COMPUTED_VALUE"""),"Ngô Văn Tâm")</f>
        <v>Ngô Văn Tâm</v>
      </c>
      <c r="D1488" s="35">
        <f ca="1">IFERROR(__xludf.DUMMYFUNCTION("""COMPUTED_VALUE"""),917259777)</f>
        <v>917259777</v>
      </c>
      <c r="E1488" s="35" t="str">
        <f ca="1">IFERROR(__xludf.DUMMYFUNCTION("""COMPUTED_VALUE"""),"tamnv.tnh@vnpt.vn")</f>
        <v>tamnv.tnh@vnpt.vn</v>
      </c>
      <c r="F1488" s="540" t="str">
        <f ca="1">IFERROR(__xludf.DUMMYFUNCTION("""COMPUTED_VALUE"""),"Lần 10")</f>
        <v>Lần 10</v>
      </c>
      <c r="G1488" s="278">
        <f ca="1">IFERROR(__xludf.DUMMYFUNCTION("""COMPUTED_VALUE"""),46212)</f>
        <v>46212</v>
      </c>
      <c r="H1488" s="35">
        <f ca="1">IFERROR(__xludf.DUMMYFUNCTION("""COMPUTED_VALUE"""),72.9)</f>
        <v>72.900000000000006</v>
      </c>
      <c r="I1488" s="35">
        <f ca="1">IFERROR(__xludf.DUMMYFUNCTION("""COMPUTED_VALUE"""),30.7)</f>
        <v>30.7</v>
      </c>
      <c r="J1488" s="541">
        <f ca="1">IFERROR(__xludf.DUMMYFUNCTION("""COMPUTED_VALUE"""),92.7)</f>
        <v>92.7</v>
      </c>
      <c r="K1488" s="541">
        <f ca="1">IFERROR(__xludf.DUMMYFUNCTION("""COMPUTED_VALUE"""),25.4)</f>
        <v>25.4</v>
      </c>
      <c r="M1488" s="539">
        <f ca="1">IFERROR(__xludf.DUMMYFUNCTION("""COMPUTED_VALUE"""),1)</f>
        <v>1</v>
      </c>
      <c r="N1488" s="539">
        <f ca="1">IFERROR(__xludf.DUMMYFUNCTION("""COMPUTED_VALUE"""),1)</f>
        <v>1</v>
      </c>
      <c r="O1488" s="539">
        <f ca="1">IFERROR(__xludf.DUMMYFUNCTION("""COMPUTED_VALUE"""),0)</f>
        <v>0</v>
      </c>
    </row>
    <row r="1489" spans="1:15" ht="12.75">
      <c r="A1489" s="539">
        <f ca="1"/>
        <v>1483</v>
      </c>
      <c r="B1489" s="35" t="str">
        <f ca="1">IFERROR(__xludf.DUMMYFUNCTION("""COMPUTED_VALUE"""),"Tổ Hạ tầng Tân Ninh")</f>
        <v>Tổ Hạ tầng Tân Ninh</v>
      </c>
      <c r="C1489" s="35" t="str">
        <f ca="1">IFERROR(__xludf.DUMMYFUNCTION("""COMPUTED_VALUE"""),"Ngô Văn Tâm")</f>
        <v>Ngô Văn Tâm</v>
      </c>
      <c r="D1489" s="35">
        <f ca="1">IFERROR(__xludf.DUMMYFUNCTION("""COMPUTED_VALUE"""),917259777)</f>
        <v>917259777</v>
      </c>
      <c r="E1489" s="35" t="str">
        <f ca="1">IFERROR(__xludf.DUMMYFUNCTION("""COMPUTED_VALUE"""),"tamnv.tnh@vnpt.vn")</f>
        <v>tamnv.tnh@vnpt.vn</v>
      </c>
      <c r="F1489" s="540" t="str">
        <f ca="1">IFERROR(__xludf.DUMMYFUNCTION("""COMPUTED_VALUE"""),"Lần 11")</f>
        <v>Lần 11</v>
      </c>
      <c r="G1489" s="278">
        <f ca="1">IFERROR(__xludf.DUMMYFUNCTION("""COMPUTED_VALUE"""),46212)</f>
        <v>46212</v>
      </c>
      <c r="H1489" s="35">
        <f ca="1">IFERROR(__xludf.DUMMYFUNCTION("""COMPUTED_VALUE"""),71.8)</f>
        <v>71.8</v>
      </c>
      <c r="I1489" s="35">
        <f ca="1">IFERROR(__xludf.DUMMYFUNCTION("""COMPUTED_VALUE"""),30.8)</f>
        <v>30.8</v>
      </c>
      <c r="J1489" s="541">
        <f ca="1">IFERROR(__xludf.DUMMYFUNCTION("""COMPUTED_VALUE"""),84.5)</f>
        <v>84.5</v>
      </c>
      <c r="K1489" s="541">
        <f ca="1">IFERROR(__xludf.DUMMYFUNCTION("""COMPUTED_VALUE"""),29.1)</f>
        <v>29.1</v>
      </c>
      <c r="M1489" s="539">
        <f ca="1">IFERROR(__xludf.DUMMYFUNCTION("""COMPUTED_VALUE"""),1)</f>
        <v>1</v>
      </c>
      <c r="N1489" s="539">
        <f ca="1">IFERROR(__xludf.DUMMYFUNCTION("""COMPUTED_VALUE"""),1)</f>
        <v>1</v>
      </c>
      <c r="O1489" s="539">
        <f ca="1">IFERROR(__xludf.DUMMYFUNCTION("""COMPUTED_VALUE"""),0)</f>
        <v>0</v>
      </c>
    </row>
    <row r="1490" spans="1:15" ht="12.75">
      <c r="A1490" s="539">
        <f ca="1"/>
        <v>1484</v>
      </c>
      <c r="B1490" s="35" t="str">
        <f ca="1">IFERROR(__xludf.DUMMYFUNCTION("""COMPUTED_VALUE"""),"Tổ Hạ tầng Tân Ninh")</f>
        <v>Tổ Hạ tầng Tân Ninh</v>
      </c>
      <c r="C1490" s="35" t="str">
        <f ca="1">IFERROR(__xludf.DUMMYFUNCTION("""COMPUTED_VALUE"""),"Ngô Văn Tâm")</f>
        <v>Ngô Văn Tâm</v>
      </c>
      <c r="D1490" s="35">
        <f ca="1">IFERROR(__xludf.DUMMYFUNCTION("""COMPUTED_VALUE"""),917259777)</f>
        <v>917259777</v>
      </c>
      <c r="E1490" s="35" t="str">
        <f ca="1">IFERROR(__xludf.DUMMYFUNCTION("""COMPUTED_VALUE"""),"tamnv.tnh@vnpt.vn")</f>
        <v>tamnv.tnh@vnpt.vn</v>
      </c>
      <c r="F1490" s="540" t="str">
        <f ca="1">IFERROR(__xludf.DUMMYFUNCTION("""COMPUTED_VALUE"""),"Lần 12")</f>
        <v>Lần 12</v>
      </c>
      <c r="G1490" s="278">
        <f ca="1">IFERROR(__xludf.DUMMYFUNCTION("""COMPUTED_VALUE"""),46212)</f>
        <v>46212</v>
      </c>
      <c r="H1490" s="35">
        <f ca="1">IFERROR(__xludf.DUMMYFUNCTION("""COMPUTED_VALUE"""),86.7)</f>
        <v>86.7</v>
      </c>
      <c r="I1490" s="35">
        <f ca="1">IFERROR(__xludf.DUMMYFUNCTION("""COMPUTED_VALUE"""),40.6)</f>
        <v>40.6</v>
      </c>
      <c r="J1490" s="541">
        <f ca="1">IFERROR(__xludf.DUMMYFUNCTION("""COMPUTED_VALUE"""),77.7)</f>
        <v>77.7</v>
      </c>
      <c r="K1490" s="541">
        <f ca="1">IFERROR(__xludf.DUMMYFUNCTION("""COMPUTED_VALUE"""),42.6)</f>
        <v>42.6</v>
      </c>
      <c r="M1490" s="539">
        <f ca="1">IFERROR(__xludf.DUMMYFUNCTION("""COMPUTED_VALUE"""),1)</f>
        <v>1</v>
      </c>
      <c r="N1490" s="539">
        <f ca="1">IFERROR(__xludf.DUMMYFUNCTION("""COMPUTED_VALUE"""),1)</f>
        <v>1</v>
      </c>
      <c r="O1490" s="539">
        <f ca="1">IFERROR(__xludf.DUMMYFUNCTION("""COMPUTED_VALUE"""),0)</f>
        <v>0</v>
      </c>
    </row>
    <row r="1491" spans="1:15" ht="12.75">
      <c r="A1491" s="539">
        <f ca="1"/>
        <v>1485</v>
      </c>
      <c r="B1491" s="35" t="str">
        <f ca="1">IFERROR(__xludf.DUMMYFUNCTION("""COMPUTED_VALUE"""),"Tổ Hạ tầng Tân Ninh")</f>
        <v>Tổ Hạ tầng Tân Ninh</v>
      </c>
      <c r="C1491" s="35" t="str">
        <f ca="1">IFERROR(__xludf.DUMMYFUNCTION("""COMPUTED_VALUE"""),"Ngô Văn Tâm")</f>
        <v>Ngô Văn Tâm</v>
      </c>
      <c r="D1491" s="35">
        <f ca="1">IFERROR(__xludf.DUMMYFUNCTION("""COMPUTED_VALUE"""),917259777)</f>
        <v>917259777</v>
      </c>
      <c r="E1491" s="35" t="str">
        <f ca="1">IFERROR(__xludf.DUMMYFUNCTION("""COMPUTED_VALUE"""),"tamnv.tnh@vnpt.vn")</f>
        <v>tamnv.tnh@vnpt.vn</v>
      </c>
      <c r="F1491" s="540" t="str">
        <f ca="1">IFERROR(__xludf.DUMMYFUNCTION("""COMPUTED_VALUE"""),"Lần 13")</f>
        <v>Lần 13</v>
      </c>
      <c r="G1491" s="278">
        <f ca="1">IFERROR(__xludf.DUMMYFUNCTION("""COMPUTED_VALUE"""),46212)</f>
        <v>46212</v>
      </c>
      <c r="H1491" s="35">
        <f ca="1">IFERROR(__xludf.DUMMYFUNCTION("""COMPUTED_VALUE"""),85.5)</f>
        <v>85.5</v>
      </c>
      <c r="I1491" s="35">
        <f ca="1">IFERROR(__xludf.DUMMYFUNCTION("""COMPUTED_VALUE"""),39)</f>
        <v>39</v>
      </c>
      <c r="J1491" s="541">
        <f ca="1">IFERROR(__xludf.DUMMYFUNCTION("""COMPUTED_VALUE"""),89.7)</f>
        <v>89.7</v>
      </c>
      <c r="K1491" s="541">
        <f ca="1">IFERROR(__xludf.DUMMYFUNCTION("""COMPUTED_VALUE"""),40.1)</f>
        <v>40.1</v>
      </c>
      <c r="M1491" s="539">
        <f ca="1">IFERROR(__xludf.DUMMYFUNCTION("""COMPUTED_VALUE"""),1)</f>
        <v>1</v>
      </c>
      <c r="N1491" s="539">
        <f ca="1">IFERROR(__xludf.DUMMYFUNCTION("""COMPUTED_VALUE"""),1)</f>
        <v>1</v>
      </c>
      <c r="O1491" s="539">
        <f ca="1">IFERROR(__xludf.DUMMYFUNCTION("""COMPUTED_VALUE"""),0)</f>
        <v>0</v>
      </c>
    </row>
    <row r="1492" spans="1:15" ht="12.75">
      <c r="A1492" s="539">
        <f ca="1"/>
        <v>1486</v>
      </c>
      <c r="B1492" s="35" t="str">
        <f ca="1">IFERROR(__xludf.DUMMYFUNCTION("""COMPUTED_VALUE"""),"Tổ Hạ tầng Tân Ninh")</f>
        <v>Tổ Hạ tầng Tân Ninh</v>
      </c>
      <c r="C1492" s="35" t="str">
        <f ca="1">IFERROR(__xludf.DUMMYFUNCTION("""COMPUTED_VALUE"""),"Ngô Văn Tâm")</f>
        <v>Ngô Văn Tâm</v>
      </c>
      <c r="D1492" s="35">
        <f ca="1">IFERROR(__xludf.DUMMYFUNCTION("""COMPUTED_VALUE"""),917259777)</f>
        <v>917259777</v>
      </c>
      <c r="E1492" s="35" t="str">
        <f ca="1">IFERROR(__xludf.DUMMYFUNCTION("""COMPUTED_VALUE"""),"tamnv.tnh@vnpt.vn")</f>
        <v>tamnv.tnh@vnpt.vn</v>
      </c>
      <c r="F1492" s="540" t="str">
        <f ca="1">IFERROR(__xludf.DUMMYFUNCTION("""COMPUTED_VALUE"""),"Lần 14")</f>
        <v>Lần 14</v>
      </c>
      <c r="G1492" s="278">
        <f ca="1">IFERROR(__xludf.DUMMYFUNCTION("""COMPUTED_VALUE"""),46217)</f>
        <v>46217</v>
      </c>
      <c r="H1492" s="35">
        <f ca="1">IFERROR(__xludf.DUMMYFUNCTION("""COMPUTED_VALUE"""),74.4)</f>
        <v>74.400000000000006</v>
      </c>
      <c r="I1492" s="35">
        <f ca="1">IFERROR(__xludf.DUMMYFUNCTION("""COMPUTED_VALUE"""),29.9)</f>
        <v>29.9</v>
      </c>
      <c r="J1492" s="541">
        <f ca="1">IFERROR(__xludf.DUMMYFUNCTION("""COMPUTED_VALUE"""),95.9)</f>
        <v>95.9</v>
      </c>
      <c r="K1492" s="541">
        <f ca="1">IFERROR(__xludf.DUMMYFUNCTION("""COMPUTED_VALUE"""),29.7)</f>
        <v>29.7</v>
      </c>
      <c r="M1492" s="539">
        <f ca="1">IFERROR(__xludf.DUMMYFUNCTION("""COMPUTED_VALUE"""),1)</f>
        <v>1</v>
      </c>
      <c r="N1492" s="539">
        <f ca="1">IFERROR(__xludf.DUMMYFUNCTION("""COMPUTED_VALUE"""),1)</f>
        <v>1</v>
      </c>
      <c r="O1492" s="539">
        <f ca="1">IFERROR(__xludf.DUMMYFUNCTION("""COMPUTED_VALUE"""),0)</f>
        <v>0</v>
      </c>
    </row>
    <row r="1493" spans="1:15" ht="12.75">
      <c r="A1493" s="539">
        <f ca="1"/>
        <v>1487</v>
      </c>
      <c r="B1493" s="35" t="str">
        <f ca="1">IFERROR(__xludf.DUMMYFUNCTION("""COMPUTED_VALUE"""),"Tổ Hạ tầng Tân Ninh")</f>
        <v>Tổ Hạ tầng Tân Ninh</v>
      </c>
      <c r="C1493" s="35" t="str">
        <f ca="1">IFERROR(__xludf.DUMMYFUNCTION("""COMPUTED_VALUE"""),"Ngô Văn Tâm")</f>
        <v>Ngô Văn Tâm</v>
      </c>
      <c r="D1493" s="35">
        <f ca="1">IFERROR(__xludf.DUMMYFUNCTION("""COMPUTED_VALUE"""),917259777)</f>
        <v>917259777</v>
      </c>
      <c r="E1493" s="35" t="str">
        <f ca="1">IFERROR(__xludf.DUMMYFUNCTION("""COMPUTED_VALUE"""),"tamnv.tnh@vnpt.vn")</f>
        <v>tamnv.tnh@vnpt.vn</v>
      </c>
      <c r="F1493" s="540" t="str">
        <f ca="1">IFERROR(__xludf.DUMMYFUNCTION("""COMPUTED_VALUE"""),"Lần 15")</f>
        <v>Lần 15</v>
      </c>
      <c r="G1493" s="278">
        <f ca="1">IFERROR(__xludf.DUMMYFUNCTION("""COMPUTED_VALUE"""),46217)</f>
        <v>46217</v>
      </c>
      <c r="H1493" s="35">
        <f ca="1">IFERROR(__xludf.DUMMYFUNCTION("""COMPUTED_VALUE"""),81.8)</f>
        <v>81.8</v>
      </c>
      <c r="I1493" s="35">
        <f ca="1">IFERROR(__xludf.DUMMYFUNCTION("""COMPUTED_VALUE"""),30.3)</f>
        <v>30.3</v>
      </c>
      <c r="J1493" s="541">
        <f ca="1">IFERROR(__xludf.DUMMYFUNCTION("""COMPUTED_VALUE"""),90.4)</f>
        <v>90.4</v>
      </c>
      <c r="K1493" s="541">
        <f ca="1">IFERROR(__xludf.DUMMYFUNCTION("""COMPUTED_VALUE"""),33.4)</f>
        <v>33.4</v>
      </c>
      <c r="M1493" s="539">
        <f ca="1">IFERROR(__xludf.DUMMYFUNCTION("""COMPUTED_VALUE"""),1)</f>
        <v>1</v>
      </c>
      <c r="N1493" s="539">
        <f ca="1">IFERROR(__xludf.DUMMYFUNCTION("""COMPUTED_VALUE"""),1)</f>
        <v>1</v>
      </c>
      <c r="O1493" s="539">
        <f ca="1">IFERROR(__xludf.DUMMYFUNCTION("""COMPUTED_VALUE"""),0)</f>
        <v>0</v>
      </c>
    </row>
    <row r="1494" spans="1:15" ht="12.75">
      <c r="A1494" s="539">
        <f ca="1"/>
        <v>1488</v>
      </c>
      <c r="B1494" s="35" t="str">
        <f ca="1">IFERROR(__xludf.DUMMYFUNCTION("""COMPUTED_VALUE"""),"Tổ Hạ tầng Tân Ninh")</f>
        <v>Tổ Hạ tầng Tân Ninh</v>
      </c>
      <c r="C1494" s="35" t="str">
        <f ca="1">IFERROR(__xludf.DUMMYFUNCTION("""COMPUTED_VALUE"""),"Ngô Văn Tâm")</f>
        <v>Ngô Văn Tâm</v>
      </c>
      <c r="D1494" s="35">
        <f ca="1">IFERROR(__xludf.DUMMYFUNCTION("""COMPUTED_VALUE"""),917259777)</f>
        <v>917259777</v>
      </c>
      <c r="E1494" s="35" t="str">
        <f ca="1">IFERROR(__xludf.DUMMYFUNCTION("""COMPUTED_VALUE"""),"tamnv.tnh@vnpt.vn")</f>
        <v>tamnv.tnh@vnpt.vn</v>
      </c>
      <c r="F1494" s="540" t="str">
        <f ca="1">IFERROR(__xludf.DUMMYFUNCTION("""COMPUTED_VALUE"""),"Lần 16")</f>
        <v>Lần 16</v>
      </c>
      <c r="G1494" s="278">
        <f ca="1">IFERROR(__xludf.DUMMYFUNCTION("""COMPUTED_VALUE"""),46217)</f>
        <v>46217</v>
      </c>
      <c r="H1494" s="35">
        <f ca="1">IFERROR(__xludf.DUMMYFUNCTION("""COMPUTED_VALUE"""),71.4)</f>
        <v>71.400000000000006</v>
      </c>
      <c r="I1494" s="35">
        <f ca="1">IFERROR(__xludf.DUMMYFUNCTION("""COMPUTED_VALUE"""),39.4)</f>
        <v>39.4</v>
      </c>
      <c r="J1494" s="541">
        <f ca="1">IFERROR(__xludf.DUMMYFUNCTION("""COMPUTED_VALUE"""),72)</f>
        <v>72</v>
      </c>
      <c r="K1494" s="541">
        <f ca="1">IFERROR(__xludf.DUMMYFUNCTION("""COMPUTED_VALUE"""),37.5)</f>
        <v>37.5</v>
      </c>
      <c r="M1494" s="539">
        <f ca="1">IFERROR(__xludf.DUMMYFUNCTION("""COMPUTED_VALUE"""),1)</f>
        <v>1</v>
      </c>
      <c r="N1494" s="539">
        <f ca="1">IFERROR(__xludf.DUMMYFUNCTION("""COMPUTED_VALUE"""),1)</f>
        <v>1</v>
      </c>
      <c r="O1494" s="539">
        <f ca="1">IFERROR(__xludf.DUMMYFUNCTION("""COMPUTED_VALUE"""),0)</f>
        <v>0</v>
      </c>
    </row>
    <row r="1495" spans="1:15" ht="12.75">
      <c r="A1495" s="539">
        <f ca="1"/>
        <v>1489</v>
      </c>
      <c r="B1495" s="35" t="str">
        <f ca="1">IFERROR(__xludf.DUMMYFUNCTION("""COMPUTED_VALUE"""),"Tổ Hạ tầng Tân Ninh")</f>
        <v>Tổ Hạ tầng Tân Ninh</v>
      </c>
      <c r="C1495" s="35" t="str">
        <f ca="1">IFERROR(__xludf.DUMMYFUNCTION("""COMPUTED_VALUE"""),"Lê Thành Tài")</f>
        <v>Lê Thành Tài</v>
      </c>
      <c r="D1495" s="35">
        <f ca="1">IFERROR(__xludf.DUMMYFUNCTION("""COMPUTED_VALUE"""),918955485)</f>
        <v>918955485</v>
      </c>
      <c r="E1495" s="35" t="str">
        <f ca="1">IFERROR(__xludf.DUMMYFUNCTION("""COMPUTED_VALUE"""),"lttai.tnh@vnpt.vn")</f>
        <v>lttai.tnh@vnpt.vn</v>
      </c>
      <c r="F1495" s="540" t="str">
        <f ca="1">IFERROR(__xludf.DUMMYFUNCTION("""COMPUTED_VALUE"""),"Lần 1")</f>
        <v>Lần 1</v>
      </c>
      <c r="G1495" s="545">
        <f ca="1">IFERROR(__xludf.DUMMYFUNCTION("""COMPUTED_VALUE"""),46204)</f>
        <v>46204</v>
      </c>
      <c r="H1495" s="35">
        <f ca="1">IFERROR(__xludf.DUMMYFUNCTION("""COMPUTED_VALUE"""),350)</f>
        <v>350</v>
      </c>
      <c r="I1495" s="35">
        <f ca="1">IFERROR(__xludf.DUMMYFUNCTION("""COMPUTED_VALUE"""),70)</f>
        <v>70</v>
      </c>
      <c r="J1495" s="540">
        <f ca="1">IFERROR(__xludf.DUMMYFUNCTION("""COMPUTED_VALUE"""),300)</f>
        <v>300</v>
      </c>
      <c r="K1495" s="540">
        <f ca="1">IFERROR(__xludf.DUMMYFUNCTION("""COMPUTED_VALUE"""),68)</f>
        <v>68</v>
      </c>
      <c r="M1495" s="539">
        <f ca="1">IFERROR(__xludf.DUMMYFUNCTION("""COMPUTED_VALUE"""),1)</f>
        <v>1</v>
      </c>
      <c r="N1495" s="539">
        <f ca="1">IFERROR(__xludf.DUMMYFUNCTION("""COMPUTED_VALUE"""),1)</f>
        <v>1</v>
      </c>
      <c r="O1495" s="539">
        <f ca="1">IFERROR(__xludf.DUMMYFUNCTION("""COMPUTED_VALUE"""),1)</f>
        <v>1</v>
      </c>
    </row>
    <row r="1496" spans="1:15" ht="12.75">
      <c r="A1496" s="539">
        <f ca="1"/>
        <v>1490</v>
      </c>
      <c r="B1496" s="35" t="str">
        <f ca="1">IFERROR(__xludf.DUMMYFUNCTION("""COMPUTED_VALUE"""),"Tổ Hạ tầng Tân Ninh")</f>
        <v>Tổ Hạ tầng Tân Ninh</v>
      </c>
      <c r="C1496" s="35" t="str">
        <f ca="1">IFERROR(__xludf.DUMMYFUNCTION("""COMPUTED_VALUE"""),"Lê Thành Tài")</f>
        <v>Lê Thành Tài</v>
      </c>
      <c r="D1496" s="35">
        <f ca="1">IFERROR(__xludf.DUMMYFUNCTION("""COMPUTED_VALUE"""),918955485)</f>
        <v>918955485</v>
      </c>
      <c r="E1496" s="35" t="str">
        <f ca="1">IFERROR(__xludf.DUMMYFUNCTION("""COMPUTED_VALUE"""),"lttai.tnh@vnpt.vn")</f>
        <v>lttai.tnh@vnpt.vn</v>
      </c>
      <c r="F1496" s="540" t="str">
        <f ca="1">IFERROR(__xludf.DUMMYFUNCTION("""COMPUTED_VALUE"""),"Lần 2")</f>
        <v>Lần 2</v>
      </c>
      <c r="G1496" s="545">
        <f ca="1">IFERROR(__xludf.DUMMYFUNCTION("""COMPUTED_VALUE"""),46205)</f>
        <v>46205</v>
      </c>
      <c r="H1496" s="35">
        <f ca="1">IFERROR(__xludf.DUMMYFUNCTION("""COMPUTED_VALUE"""),425)</f>
        <v>425</v>
      </c>
      <c r="I1496" s="35">
        <f ca="1">IFERROR(__xludf.DUMMYFUNCTION("""COMPUTED_VALUE"""),45)</f>
        <v>45</v>
      </c>
      <c r="J1496" s="540">
        <f ca="1">IFERROR(__xludf.DUMMYFUNCTION("""COMPUTED_VALUE"""),350)</f>
        <v>350</v>
      </c>
      <c r="K1496" s="540">
        <f ca="1">IFERROR(__xludf.DUMMYFUNCTION("""COMPUTED_VALUE"""),51)</f>
        <v>51</v>
      </c>
      <c r="M1496" s="539">
        <f ca="1">IFERROR(__xludf.DUMMYFUNCTION("""COMPUTED_VALUE"""),1)</f>
        <v>1</v>
      </c>
      <c r="N1496" s="539">
        <f ca="1">IFERROR(__xludf.DUMMYFUNCTION("""COMPUTED_VALUE"""),1)</f>
        <v>1</v>
      </c>
      <c r="O1496" s="539">
        <f ca="1">IFERROR(__xludf.DUMMYFUNCTION("""COMPUTED_VALUE"""),1)</f>
        <v>1</v>
      </c>
    </row>
    <row r="1497" spans="1:15" ht="12.75">
      <c r="A1497" s="539">
        <f ca="1"/>
        <v>1491</v>
      </c>
      <c r="B1497" s="35" t="str">
        <f ca="1">IFERROR(__xludf.DUMMYFUNCTION("""COMPUTED_VALUE"""),"Tổ Hạ tầng Tân Ninh")</f>
        <v>Tổ Hạ tầng Tân Ninh</v>
      </c>
      <c r="C1497" s="35" t="str">
        <f ca="1">IFERROR(__xludf.DUMMYFUNCTION("""COMPUTED_VALUE"""),"Lê Thành Tài")</f>
        <v>Lê Thành Tài</v>
      </c>
      <c r="D1497" s="35">
        <f ca="1">IFERROR(__xludf.DUMMYFUNCTION("""COMPUTED_VALUE"""),918955485)</f>
        <v>918955485</v>
      </c>
      <c r="E1497" s="35" t="str">
        <f ca="1">IFERROR(__xludf.DUMMYFUNCTION("""COMPUTED_VALUE"""),"lttai.tnh@vnpt.vn")</f>
        <v>lttai.tnh@vnpt.vn</v>
      </c>
      <c r="F1497" s="540" t="str">
        <f ca="1">IFERROR(__xludf.DUMMYFUNCTION("""COMPUTED_VALUE"""),"Lần 3")</f>
        <v>Lần 3</v>
      </c>
      <c r="G1497" s="545">
        <f ca="1">IFERROR(__xludf.DUMMYFUNCTION("""COMPUTED_VALUE"""),46206)</f>
        <v>46206</v>
      </c>
      <c r="H1497" s="35">
        <f ca="1">IFERROR(__xludf.DUMMYFUNCTION("""COMPUTED_VALUE"""),650)</f>
        <v>650</v>
      </c>
      <c r="I1497" s="35">
        <f ca="1">IFERROR(__xludf.DUMMYFUNCTION("""COMPUTED_VALUE"""),70)</f>
        <v>70</v>
      </c>
      <c r="J1497" s="540">
        <f ca="1">IFERROR(__xludf.DUMMYFUNCTION("""COMPUTED_VALUE"""),500)</f>
        <v>500</v>
      </c>
      <c r="K1497" s="540">
        <f ca="1">IFERROR(__xludf.DUMMYFUNCTION("""COMPUTED_VALUE"""),65)</f>
        <v>65</v>
      </c>
      <c r="M1497" s="539">
        <f ca="1">IFERROR(__xludf.DUMMYFUNCTION("""COMPUTED_VALUE"""),1)</f>
        <v>1</v>
      </c>
      <c r="N1497" s="539">
        <f ca="1">IFERROR(__xludf.DUMMYFUNCTION("""COMPUTED_VALUE"""),1)</f>
        <v>1</v>
      </c>
      <c r="O1497" s="539">
        <f ca="1">IFERROR(__xludf.DUMMYFUNCTION("""COMPUTED_VALUE"""),1)</f>
        <v>1</v>
      </c>
    </row>
    <row r="1498" spans="1:15" ht="12.75">
      <c r="A1498" s="539">
        <f ca="1"/>
        <v>1492</v>
      </c>
      <c r="B1498" s="35" t="str">
        <f ca="1">IFERROR(__xludf.DUMMYFUNCTION("""COMPUTED_VALUE"""),"Tổ Hạ tầng Tân Ninh")</f>
        <v>Tổ Hạ tầng Tân Ninh</v>
      </c>
      <c r="C1498" s="35" t="str">
        <f ca="1">IFERROR(__xludf.DUMMYFUNCTION("""COMPUTED_VALUE"""),"Lê Thành Tài")</f>
        <v>Lê Thành Tài</v>
      </c>
      <c r="D1498" s="35">
        <f ca="1">IFERROR(__xludf.DUMMYFUNCTION("""COMPUTED_VALUE"""),918955485)</f>
        <v>918955485</v>
      </c>
      <c r="E1498" s="35" t="str">
        <f ca="1">IFERROR(__xludf.DUMMYFUNCTION("""COMPUTED_VALUE"""),"lttai.tnh@vnpt.vn")</f>
        <v>lttai.tnh@vnpt.vn</v>
      </c>
      <c r="F1498" s="540" t="str">
        <f ca="1">IFERROR(__xludf.DUMMYFUNCTION("""COMPUTED_VALUE"""),"Lần 4")</f>
        <v>Lần 4</v>
      </c>
      <c r="G1498" s="545">
        <f ca="1">IFERROR(__xludf.DUMMYFUNCTION("""COMPUTED_VALUE"""),46207)</f>
        <v>46207</v>
      </c>
      <c r="H1498" s="35">
        <f ca="1">IFERROR(__xludf.DUMMYFUNCTION("""COMPUTED_VALUE"""),845)</f>
        <v>845</v>
      </c>
      <c r="I1498" s="35">
        <f ca="1">IFERROR(__xludf.DUMMYFUNCTION("""COMPUTED_VALUE"""),100)</f>
        <v>100</v>
      </c>
      <c r="J1498" s="540">
        <f ca="1">IFERROR(__xludf.DUMMYFUNCTION("""COMPUTED_VALUE"""),560)</f>
        <v>560</v>
      </c>
      <c r="K1498" s="540">
        <f ca="1">IFERROR(__xludf.DUMMYFUNCTION("""COMPUTED_VALUE"""),70)</f>
        <v>70</v>
      </c>
      <c r="M1498" s="539">
        <f ca="1">IFERROR(__xludf.DUMMYFUNCTION("""COMPUTED_VALUE"""),1)</f>
        <v>1</v>
      </c>
      <c r="N1498" s="539">
        <f ca="1">IFERROR(__xludf.DUMMYFUNCTION("""COMPUTED_VALUE"""),1)</f>
        <v>1</v>
      </c>
      <c r="O1498" s="539">
        <f ca="1">IFERROR(__xludf.DUMMYFUNCTION("""COMPUTED_VALUE"""),1)</f>
        <v>1</v>
      </c>
    </row>
    <row r="1499" spans="1:15" ht="12.75">
      <c r="A1499" s="539">
        <f ca="1"/>
        <v>1493</v>
      </c>
      <c r="B1499" s="35" t="str">
        <f ca="1">IFERROR(__xludf.DUMMYFUNCTION("""COMPUTED_VALUE"""),"Tổ Hạ tầng Tân Ninh")</f>
        <v>Tổ Hạ tầng Tân Ninh</v>
      </c>
      <c r="C1499" s="35" t="str">
        <f ca="1">IFERROR(__xludf.DUMMYFUNCTION("""COMPUTED_VALUE"""),"Lê Thành Tài")</f>
        <v>Lê Thành Tài</v>
      </c>
      <c r="D1499" s="35">
        <f ca="1">IFERROR(__xludf.DUMMYFUNCTION("""COMPUTED_VALUE"""),918955485)</f>
        <v>918955485</v>
      </c>
      <c r="E1499" s="35" t="str">
        <f ca="1">IFERROR(__xludf.DUMMYFUNCTION("""COMPUTED_VALUE"""),"lttai.tnh@vnpt.vn")</f>
        <v>lttai.tnh@vnpt.vn</v>
      </c>
      <c r="F1499" s="540" t="str">
        <f ca="1">IFERROR(__xludf.DUMMYFUNCTION("""COMPUTED_VALUE"""),"Lần 5")</f>
        <v>Lần 5</v>
      </c>
      <c r="G1499" s="545">
        <f ca="1">IFERROR(__xludf.DUMMYFUNCTION("""COMPUTED_VALUE"""),46208)</f>
        <v>46208</v>
      </c>
      <c r="H1499" s="35">
        <f ca="1">IFERROR(__xludf.DUMMYFUNCTION("""COMPUTED_VALUE"""),365)</f>
        <v>365</v>
      </c>
      <c r="I1499" s="35">
        <f ca="1">IFERROR(__xludf.DUMMYFUNCTION("""COMPUTED_VALUE"""),45)</f>
        <v>45</v>
      </c>
      <c r="J1499" s="540">
        <f ca="1">IFERROR(__xludf.DUMMYFUNCTION("""COMPUTED_VALUE"""),300)</f>
        <v>300</v>
      </c>
      <c r="K1499" s="540">
        <f ca="1">IFERROR(__xludf.DUMMYFUNCTION("""COMPUTED_VALUE"""),50)</f>
        <v>50</v>
      </c>
      <c r="M1499" s="539">
        <f ca="1">IFERROR(__xludf.DUMMYFUNCTION("""COMPUTED_VALUE"""),1)</f>
        <v>1</v>
      </c>
      <c r="N1499" s="539">
        <f ca="1">IFERROR(__xludf.DUMMYFUNCTION("""COMPUTED_VALUE"""),1)</f>
        <v>1</v>
      </c>
      <c r="O1499" s="539">
        <f ca="1">IFERROR(__xludf.DUMMYFUNCTION("""COMPUTED_VALUE"""),1)</f>
        <v>1</v>
      </c>
    </row>
    <row r="1500" spans="1:15" ht="12.75">
      <c r="A1500" s="539">
        <f ca="1"/>
        <v>1494</v>
      </c>
      <c r="B1500" s="35" t="str">
        <f ca="1">IFERROR(__xludf.DUMMYFUNCTION("""COMPUTED_VALUE"""),"Tổ Hạ tầng Tân Ninh")</f>
        <v>Tổ Hạ tầng Tân Ninh</v>
      </c>
      <c r="C1500" s="35" t="str">
        <f ca="1">IFERROR(__xludf.DUMMYFUNCTION("""COMPUTED_VALUE"""),"Lê Thành Tài")</f>
        <v>Lê Thành Tài</v>
      </c>
      <c r="D1500" s="35">
        <f ca="1">IFERROR(__xludf.DUMMYFUNCTION("""COMPUTED_VALUE"""),918955485)</f>
        <v>918955485</v>
      </c>
      <c r="E1500" s="35" t="str">
        <f ca="1">IFERROR(__xludf.DUMMYFUNCTION("""COMPUTED_VALUE"""),"lttai.tnh@vnpt.vn")</f>
        <v>lttai.tnh@vnpt.vn</v>
      </c>
      <c r="F1500" s="540" t="str">
        <f ca="1">IFERROR(__xludf.DUMMYFUNCTION("""COMPUTED_VALUE"""),"Lần 6")</f>
        <v>Lần 6</v>
      </c>
      <c r="G1500" s="278"/>
      <c r="H1500" s="35"/>
      <c r="I1500" s="35"/>
      <c r="J1500" s="540"/>
      <c r="K1500" s="540"/>
      <c r="M1500" s="539">
        <f ca="1">IFERROR(__xludf.DUMMYFUNCTION("""COMPUTED_VALUE"""),0)</f>
        <v>0</v>
      </c>
      <c r="N1500" s="539">
        <f ca="1">IFERROR(__xludf.DUMMYFUNCTION("""COMPUTED_VALUE"""),0)</f>
        <v>0</v>
      </c>
      <c r="O1500" s="539">
        <f ca="1">IFERROR(__xludf.DUMMYFUNCTION("""COMPUTED_VALUE"""),0)</f>
        <v>0</v>
      </c>
    </row>
    <row r="1501" spans="1:15" ht="12.75">
      <c r="A1501" s="539">
        <f ca="1"/>
        <v>1495</v>
      </c>
      <c r="B1501" s="35" t="str">
        <f ca="1">IFERROR(__xludf.DUMMYFUNCTION("""COMPUTED_VALUE"""),"Tổ Hạ tầng Tân Ninh")</f>
        <v>Tổ Hạ tầng Tân Ninh</v>
      </c>
      <c r="C1501" s="35" t="str">
        <f ca="1">IFERROR(__xludf.DUMMYFUNCTION("""COMPUTED_VALUE"""),"Lê Thành Tài")</f>
        <v>Lê Thành Tài</v>
      </c>
      <c r="D1501" s="35">
        <f ca="1">IFERROR(__xludf.DUMMYFUNCTION("""COMPUTED_VALUE"""),918955485)</f>
        <v>918955485</v>
      </c>
      <c r="E1501" s="35" t="str">
        <f ca="1">IFERROR(__xludf.DUMMYFUNCTION("""COMPUTED_VALUE"""),"lttai.tnh@vnpt.vn")</f>
        <v>lttai.tnh@vnpt.vn</v>
      </c>
      <c r="F1501" s="540" t="str">
        <f ca="1">IFERROR(__xludf.DUMMYFUNCTION("""COMPUTED_VALUE"""),"Lần 7")</f>
        <v>Lần 7</v>
      </c>
      <c r="G1501" s="545"/>
      <c r="H1501" s="35"/>
      <c r="I1501" s="35"/>
      <c r="J1501" s="540"/>
      <c r="K1501" s="540"/>
      <c r="M1501" s="539">
        <f ca="1">IFERROR(__xludf.DUMMYFUNCTION("""COMPUTED_VALUE"""),0)</f>
        <v>0</v>
      </c>
      <c r="N1501" s="539">
        <f ca="1">IFERROR(__xludf.DUMMYFUNCTION("""COMPUTED_VALUE"""),0)</f>
        <v>0</v>
      </c>
      <c r="O1501" s="539">
        <f ca="1">IFERROR(__xludf.DUMMYFUNCTION("""COMPUTED_VALUE"""),0)</f>
        <v>0</v>
      </c>
    </row>
    <row r="1502" spans="1:15" ht="12.75">
      <c r="A1502" s="539">
        <f ca="1"/>
        <v>1496</v>
      </c>
      <c r="B1502" s="35" t="str">
        <f ca="1">IFERROR(__xludf.DUMMYFUNCTION("""COMPUTED_VALUE"""),"Tổ Hạ tầng Tân Ninh")</f>
        <v>Tổ Hạ tầng Tân Ninh</v>
      </c>
      <c r="C1502" s="35" t="str">
        <f ca="1">IFERROR(__xludf.DUMMYFUNCTION("""COMPUTED_VALUE"""),"Lê Thành Tài")</f>
        <v>Lê Thành Tài</v>
      </c>
      <c r="D1502" s="35">
        <f ca="1">IFERROR(__xludf.DUMMYFUNCTION("""COMPUTED_VALUE"""),918955485)</f>
        <v>918955485</v>
      </c>
      <c r="E1502" s="35" t="str">
        <f ca="1">IFERROR(__xludf.DUMMYFUNCTION("""COMPUTED_VALUE"""),"lttai.tnh@vnpt.vn")</f>
        <v>lttai.tnh@vnpt.vn</v>
      </c>
      <c r="F1502" s="540" t="str">
        <f ca="1">IFERROR(__xludf.DUMMYFUNCTION("""COMPUTED_VALUE"""),"Lần 8")</f>
        <v>Lần 8</v>
      </c>
      <c r="G1502" s="278"/>
      <c r="H1502" s="35"/>
      <c r="I1502" s="35"/>
      <c r="J1502" s="540"/>
      <c r="K1502" s="540"/>
      <c r="M1502" s="539">
        <f ca="1">IFERROR(__xludf.DUMMYFUNCTION("""COMPUTED_VALUE"""),0)</f>
        <v>0</v>
      </c>
      <c r="N1502" s="539">
        <f ca="1">IFERROR(__xludf.DUMMYFUNCTION("""COMPUTED_VALUE"""),0)</f>
        <v>0</v>
      </c>
      <c r="O1502" s="539">
        <f ca="1">IFERROR(__xludf.DUMMYFUNCTION("""COMPUTED_VALUE"""),0)</f>
        <v>0</v>
      </c>
    </row>
    <row r="1503" spans="1:15" ht="12.75">
      <c r="A1503" s="539">
        <f ca="1"/>
        <v>1497</v>
      </c>
      <c r="B1503" s="35" t="str">
        <f ca="1">IFERROR(__xludf.DUMMYFUNCTION("""COMPUTED_VALUE"""),"Tổ Hạ tầng Tân Ninh")</f>
        <v>Tổ Hạ tầng Tân Ninh</v>
      </c>
      <c r="C1503" s="35" t="str">
        <f ca="1">IFERROR(__xludf.DUMMYFUNCTION("""COMPUTED_VALUE"""),"Lê Thành Tài")</f>
        <v>Lê Thành Tài</v>
      </c>
      <c r="D1503" s="35">
        <f ca="1">IFERROR(__xludf.DUMMYFUNCTION("""COMPUTED_VALUE"""),918955485)</f>
        <v>918955485</v>
      </c>
      <c r="E1503" s="35" t="str">
        <f ca="1">IFERROR(__xludf.DUMMYFUNCTION("""COMPUTED_VALUE"""),"lttai.tnh@vnpt.vn")</f>
        <v>lttai.tnh@vnpt.vn</v>
      </c>
      <c r="F1503" s="540" t="str">
        <f ca="1">IFERROR(__xludf.DUMMYFUNCTION("""COMPUTED_VALUE"""),"Lần 9")</f>
        <v>Lần 9</v>
      </c>
      <c r="G1503" s="278"/>
      <c r="H1503" s="35"/>
      <c r="I1503" s="35"/>
      <c r="J1503" s="540"/>
      <c r="K1503" s="540"/>
      <c r="M1503" s="539">
        <f ca="1">IFERROR(__xludf.DUMMYFUNCTION("""COMPUTED_VALUE"""),0)</f>
        <v>0</v>
      </c>
      <c r="N1503" s="539">
        <f ca="1">IFERROR(__xludf.DUMMYFUNCTION("""COMPUTED_VALUE"""),0)</f>
        <v>0</v>
      </c>
      <c r="O1503" s="539">
        <f ca="1">IFERROR(__xludf.DUMMYFUNCTION("""COMPUTED_VALUE"""),0)</f>
        <v>0</v>
      </c>
    </row>
    <row r="1504" spans="1:15" ht="12.75">
      <c r="A1504" s="539">
        <f ca="1"/>
        <v>1498</v>
      </c>
      <c r="B1504" s="35" t="str">
        <f ca="1">IFERROR(__xludf.DUMMYFUNCTION("""COMPUTED_VALUE"""),"Tổ Hạ tầng Tân Ninh")</f>
        <v>Tổ Hạ tầng Tân Ninh</v>
      </c>
      <c r="C1504" s="35" t="str">
        <f ca="1">IFERROR(__xludf.DUMMYFUNCTION("""COMPUTED_VALUE"""),"Lê Thành Tài")</f>
        <v>Lê Thành Tài</v>
      </c>
      <c r="D1504" s="35">
        <f ca="1">IFERROR(__xludf.DUMMYFUNCTION("""COMPUTED_VALUE"""),918955485)</f>
        <v>918955485</v>
      </c>
      <c r="E1504" s="35" t="str">
        <f ca="1">IFERROR(__xludf.DUMMYFUNCTION("""COMPUTED_VALUE"""),"lttai.tnh@vnpt.vn")</f>
        <v>lttai.tnh@vnpt.vn</v>
      </c>
      <c r="F1504" s="540" t="str">
        <f ca="1">IFERROR(__xludf.DUMMYFUNCTION("""COMPUTED_VALUE"""),"Lần 10")</f>
        <v>Lần 10</v>
      </c>
      <c r="G1504" s="278"/>
      <c r="H1504" s="35"/>
      <c r="I1504" s="35"/>
      <c r="J1504" s="540"/>
      <c r="K1504" s="540"/>
      <c r="M1504" s="539">
        <f ca="1">IFERROR(__xludf.DUMMYFUNCTION("""COMPUTED_VALUE"""),0)</f>
        <v>0</v>
      </c>
      <c r="N1504" s="539">
        <f ca="1">IFERROR(__xludf.DUMMYFUNCTION("""COMPUTED_VALUE"""),0)</f>
        <v>0</v>
      </c>
      <c r="O1504" s="539">
        <f ca="1">IFERROR(__xludf.DUMMYFUNCTION("""COMPUTED_VALUE"""),0)</f>
        <v>0</v>
      </c>
    </row>
    <row r="1505" spans="1:15" ht="12.75">
      <c r="A1505" s="539">
        <f ca="1"/>
        <v>1499</v>
      </c>
      <c r="B1505" s="35" t="str">
        <f ca="1">IFERROR(__xludf.DUMMYFUNCTION("""COMPUTED_VALUE"""),"Tổ Hạ tầng Tân Ninh")</f>
        <v>Tổ Hạ tầng Tân Ninh</v>
      </c>
      <c r="C1505" s="35" t="str">
        <f ca="1">IFERROR(__xludf.DUMMYFUNCTION("""COMPUTED_VALUE"""),"Lê Thành Tài")</f>
        <v>Lê Thành Tài</v>
      </c>
      <c r="D1505" s="35">
        <f ca="1">IFERROR(__xludf.DUMMYFUNCTION("""COMPUTED_VALUE"""),918955485)</f>
        <v>918955485</v>
      </c>
      <c r="E1505" s="35" t="str">
        <f ca="1">IFERROR(__xludf.DUMMYFUNCTION("""COMPUTED_VALUE"""),"lttai.tnh@vnpt.vn")</f>
        <v>lttai.tnh@vnpt.vn</v>
      </c>
      <c r="F1505" s="540" t="str">
        <f ca="1">IFERROR(__xludf.DUMMYFUNCTION("""COMPUTED_VALUE"""),"Lần 11")</f>
        <v>Lần 11</v>
      </c>
      <c r="G1505" s="545"/>
      <c r="H1505" s="35"/>
      <c r="I1505" s="35"/>
      <c r="J1505" s="540"/>
      <c r="K1505" s="540"/>
      <c r="M1505" s="539">
        <f ca="1">IFERROR(__xludf.DUMMYFUNCTION("""COMPUTED_VALUE"""),0)</f>
        <v>0</v>
      </c>
      <c r="N1505" s="539">
        <f ca="1">IFERROR(__xludf.DUMMYFUNCTION("""COMPUTED_VALUE"""),0)</f>
        <v>0</v>
      </c>
      <c r="O1505" s="539">
        <f ca="1">IFERROR(__xludf.DUMMYFUNCTION("""COMPUTED_VALUE"""),0)</f>
        <v>0</v>
      </c>
    </row>
    <row r="1506" spans="1:15" ht="12.75">
      <c r="A1506" s="539">
        <f ca="1"/>
        <v>1500</v>
      </c>
      <c r="B1506" s="35" t="str">
        <f ca="1">IFERROR(__xludf.DUMMYFUNCTION("""COMPUTED_VALUE"""),"Tổ Hạ tầng Tân Ninh")</f>
        <v>Tổ Hạ tầng Tân Ninh</v>
      </c>
      <c r="C1506" s="35" t="str">
        <f ca="1">IFERROR(__xludf.DUMMYFUNCTION("""COMPUTED_VALUE"""),"Lê Thành Tài")</f>
        <v>Lê Thành Tài</v>
      </c>
      <c r="D1506" s="35">
        <f ca="1">IFERROR(__xludf.DUMMYFUNCTION("""COMPUTED_VALUE"""),918955485)</f>
        <v>918955485</v>
      </c>
      <c r="E1506" s="35" t="str">
        <f ca="1">IFERROR(__xludf.DUMMYFUNCTION("""COMPUTED_VALUE"""),"lttai.tnh@vnpt.vn")</f>
        <v>lttai.tnh@vnpt.vn</v>
      </c>
      <c r="F1506" s="540" t="str">
        <f ca="1">IFERROR(__xludf.DUMMYFUNCTION("""COMPUTED_VALUE"""),"Lần 12")</f>
        <v>Lần 12</v>
      </c>
      <c r="G1506" s="278"/>
      <c r="H1506" s="35"/>
      <c r="I1506" s="35"/>
      <c r="J1506" s="540"/>
      <c r="K1506" s="540"/>
      <c r="M1506" s="539">
        <f ca="1">IFERROR(__xludf.DUMMYFUNCTION("""COMPUTED_VALUE"""),0)</f>
        <v>0</v>
      </c>
      <c r="N1506" s="539">
        <f ca="1">IFERROR(__xludf.DUMMYFUNCTION("""COMPUTED_VALUE"""),0)</f>
        <v>0</v>
      </c>
      <c r="O1506" s="539">
        <f ca="1">IFERROR(__xludf.DUMMYFUNCTION("""COMPUTED_VALUE"""),0)</f>
        <v>0</v>
      </c>
    </row>
    <row r="1507" spans="1:15" ht="12.75">
      <c r="A1507" s="539">
        <f ca="1"/>
        <v>1501</v>
      </c>
      <c r="B1507" s="35" t="str">
        <f ca="1">IFERROR(__xludf.DUMMYFUNCTION("""COMPUTED_VALUE"""),"Tổ Hạ tầng Tân Ninh")</f>
        <v>Tổ Hạ tầng Tân Ninh</v>
      </c>
      <c r="C1507" s="35" t="str">
        <f ca="1">IFERROR(__xludf.DUMMYFUNCTION("""COMPUTED_VALUE"""),"Lê Thành Tài")</f>
        <v>Lê Thành Tài</v>
      </c>
      <c r="D1507" s="35">
        <f ca="1">IFERROR(__xludf.DUMMYFUNCTION("""COMPUTED_VALUE"""),918955485)</f>
        <v>918955485</v>
      </c>
      <c r="E1507" s="35" t="str">
        <f ca="1">IFERROR(__xludf.DUMMYFUNCTION("""COMPUTED_VALUE"""),"lttai.tnh@vnpt.vn")</f>
        <v>lttai.tnh@vnpt.vn</v>
      </c>
      <c r="F1507" s="540" t="str">
        <f ca="1">IFERROR(__xludf.DUMMYFUNCTION("""COMPUTED_VALUE"""),"Lần 13")</f>
        <v>Lần 13</v>
      </c>
      <c r="G1507" s="278"/>
      <c r="H1507" s="35"/>
      <c r="I1507" s="35"/>
      <c r="J1507" s="540"/>
      <c r="K1507" s="540"/>
      <c r="M1507" s="539">
        <f ca="1">IFERROR(__xludf.DUMMYFUNCTION("""COMPUTED_VALUE"""),0)</f>
        <v>0</v>
      </c>
      <c r="N1507" s="539">
        <f ca="1">IFERROR(__xludf.DUMMYFUNCTION("""COMPUTED_VALUE"""),0)</f>
        <v>0</v>
      </c>
      <c r="O1507" s="539">
        <f ca="1">IFERROR(__xludf.DUMMYFUNCTION("""COMPUTED_VALUE"""),0)</f>
        <v>0</v>
      </c>
    </row>
    <row r="1508" spans="1:15" ht="12.75">
      <c r="A1508" s="539">
        <f ca="1"/>
        <v>1502</v>
      </c>
      <c r="B1508" s="35" t="str">
        <f ca="1">IFERROR(__xludf.DUMMYFUNCTION("""COMPUTED_VALUE"""),"Tổ Hạ tầng Tân Ninh")</f>
        <v>Tổ Hạ tầng Tân Ninh</v>
      </c>
      <c r="C1508" s="35" t="str">
        <f ca="1">IFERROR(__xludf.DUMMYFUNCTION("""COMPUTED_VALUE"""),"Lê Thành Tài")</f>
        <v>Lê Thành Tài</v>
      </c>
      <c r="D1508" s="35">
        <f ca="1">IFERROR(__xludf.DUMMYFUNCTION("""COMPUTED_VALUE"""),918955485)</f>
        <v>918955485</v>
      </c>
      <c r="E1508" s="35" t="str">
        <f ca="1">IFERROR(__xludf.DUMMYFUNCTION("""COMPUTED_VALUE"""),"lttai.tnh@vnpt.vn")</f>
        <v>lttai.tnh@vnpt.vn</v>
      </c>
      <c r="F1508" s="540" t="str">
        <f ca="1">IFERROR(__xludf.DUMMYFUNCTION("""COMPUTED_VALUE"""),"Lần 14")</f>
        <v>Lần 14</v>
      </c>
      <c r="G1508" s="545"/>
      <c r="H1508" s="35"/>
      <c r="I1508" s="35"/>
      <c r="J1508" s="540"/>
      <c r="K1508" s="540"/>
      <c r="M1508" s="539">
        <f ca="1">IFERROR(__xludf.DUMMYFUNCTION("""COMPUTED_VALUE"""),0)</f>
        <v>0</v>
      </c>
      <c r="N1508" s="539">
        <f ca="1">IFERROR(__xludf.DUMMYFUNCTION("""COMPUTED_VALUE"""),0)</f>
        <v>0</v>
      </c>
      <c r="O1508" s="539">
        <f ca="1">IFERROR(__xludf.DUMMYFUNCTION("""COMPUTED_VALUE"""),0)</f>
        <v>0</v>
      </c>
    </row>
    <row r="1509" spans="1:15" ht="12.75">
      <c r="A1509" s="539">
        <f ca="1"/>
        <v>1503</v>
      </c>
      <c r="B1509" s="35" t="str">
        <f ca="1">IFERROR(__xludf.DUMMYFUNCTION("""COMPUTED_VALUE"""),"Tổ Hạ tầng Tân Ninh")</f>
        <v>Tổ Hạ tầng Tân Ninh</v>
      </c>
      <c r="C1509" s="35" t="str">
        <f ca="1">IFERROR(__xludf.DUMMYFUNCTION("""COMPUTED_VALUE"""),"Lê Thành Tài")</f>
        <v>Lê Thành Tài</v>
      </c>
      <c r="D1509" s="35">
        <f ca="1">IFERROR(__xludf.DUMMYFUNCTION("""COMPUTED_VALUE"""),918955485)</f>
        <v>918955485</v>
      </c>
      <c r="E1509" s="35" t="str">
        <f ca="1">IFERROR(__xludf.DUMMYFUNCTION("""COMPUTED_VALUE"""),"lttai.tnh@vnpt.vn")</f>
        <v>lttai.tnh@vnpt.vn</v>
      </c>
      <c r="F1509" s="540" t="str">
        <f ca="1">IFERROR(__xludf.DUMMYFUNCTION("""COMPUTED_VALUE"""),"Lần 15")</f>
        <v>Lần 15</v>
      </c>
      <c r="G1509" s="545"/>
      <c r="H1509" s="35"/>
      <c r="I1509" s="35"/>
      <c r="J1509" s="540"/>
      <c r="K1509" s="540"/>
      <c r="M1509" s="539">
        <f ca="1">IFERROR(__xludf.DUMMYFUNCTION("""COMPUTED_VALUE"""),0)</f>
        <v>0</v>
      </c>
      <c r="N1509" s="539">
        <f ca="1">IFERROR(__xludf.DUMMYFUNCTION("""COMPUTED_VALUE"""),0)</f>
        <v>0</v>
      </c>
      <c r="O1509" s="539">
        <f ca="1">IFERROR(__xludf.DUMMYFUNCTION("""COMPUTED_VALUE"""),0)</f>
        <v>0</v>
      </c>
    </row>
    <row r="1510" spans="1:15" ht="12.75">
      <c r="A1510" s="539">
        <f ca="1"/>
        <v>1504</v>
      </c>
      <c r="B1510" s="35" t="str">
        <f ca="1">IFERROR(__xludf.DUMMYFUNCTION("""COMPUTED_VALUE"""),"Tổ Hạ tầng Tân Ninh")</f>
        <v>Tổ Hạ tầng Tân Ninh</v>
      </c>
      <c r="C1510" s="35" t="str">
        <f ca="1">IFERROR(__xludf.DUMMYFUNCTION("""COMPUTED_VALUE"""),"Lê Thành Tài")</f>
        <v>Lê Thành Tài</v>
      </c>
      <c r="D1510" s="35">
        <f ca="1">IFERROR(__xludf.DUMMYFUNCTION("""COMPUTED_VALUE"""),918955485)</f>
        <v>918955485</v>
      </c>
      <c r="E1510" s="35" t="str">
        <f ca="1">IFERROR(__xludf.DUMMYFUNCTION("""COMPUTED_VALUE"""),"lttai.tnh@vnpt.vn")</f>
        <v>lttai.tnh@vnpt.vn</v>
      </c>
      <c r="F1510" s="540" t="str">
        <f ca="1">IFERROR(__xludf.DUMMYFUNCTION("""COMPUTED_VALUE"""),"Lần 16")</f>
        <v>Lần 16</v>
      </c>
      <c r="G1510" s="545"/>
      <c r="H1510" s="35"/>
      <c r="I1510" s="35"/>
      <c r="J1510" s="540"/>
      <c r="K1510" s="540"/>
      <c r="M1510" s="539">
        <f ca="1">IFERROR(__xludf.DUMMYFUNCTION("""COMPUTED_VALUE"""),0)</f>
        <v>0</v>
      </c>
      <c r="N1510" s="539">
        <f ca="1">IFERROR(__xludf.DUMMYFUNCTION("""COMPUTED_VALUE"""),0)</f>
        <v>0</v>
      </c>
      <c r="O1510" s="539">
        <f ca="1">IFERROR(__xludf.DUMMYFUNCTION("""COMPUTED_VALUE"""),0)</f>
        <v>0</v>
      </c>
    </row>
    <row r="1511" spans="1:15" ht="12.75">
      <c r="A1511" s="539">
        <f ca="1"/>
        <v>1505</v>
      </c>
      <c r="B1511" s="35" t="str">
        <f ca="1">IFERROR(__xludf.DUMMYFUNCTION("""COMPUTED_VALUE"""),"Tổ Hạ tầng Tân Ninh")</f>
        <v>Tổ Hạ tầng Tân Ninh</v>
      </c>
      <c r="C1511" s="35" t="str">
        <f ca="1">IFERROR(__xludf.DUMMYFUNCTION("""COMPUTED_VALUE"""),"Nguyễn Tấn Đạt")</f>
        <v>Nguyễn Tấn Đạt</v>
      </c>
      <c r="D1511" s="35">
        <f ca="1">IFERROR(__xludf.DUMMYFUNCTION("""COMPUTED_VALUE"""),913602796)</f>
        <v>913602796</v>
      </c>
      <c r="E1511" s="35" t="str">
        <f ca="1">IFERROR(__xludf.DUMMYFUNCTION("""COMPUTED_VALUE"""),"datnt.tnh@vnpt.vn")</f>
        <v>datnt.tnh@vnpt.vn</v>
      </c>
      <c r="F1511" s="540" t="str">
        <f ca="1">IFERROR(__xludf.DUMMYFUNCTION("""COMPUTED_VALUE"""),"Lần 1")</f>
        <v>Lần 1</v>
      </c>
      <c r="G1511" s="278"/>
      <c r="H1511" s="35"/>
      <c r="I1511" s="35"/>
      <c r="J1511" s="35"/>
      <c r="K1511" s="35"/>
      <c r="M1511" s="539">
        <f ca="1">IFERROR(__xludf.DUMMYFUNCTION("""COMPUTED_VALUE"""),0)</f>
        <v>0</v>
      </c>
      <c r="N1511" s="539">
        <f ca="1">IFERROR(__xludf.DUMMYFUNCTION("""COMPUTED_VALUE"""),0)</f>
        <v>0</v>
      </c>
      <c r="O1511" s="539">
        <f ca="1">IFERROR(__xludf.DUMMYFUNCTION("""COMPUTED_VALUE"""),0)</f>
        <v>0</v>
      </c>
    </row>
    <row r="1512" spans="1:15" ht="12.75">
      <c r="A1512" s="539">
        <f ca="1"/>
        <v>1506</v>
      </c>
      <c r="B1512" s="35" t="str">
        <f ca="1">IFERROR(__xludf.DUMMYFUNCTION("""COMPUTED_VALUE"""),"Tổ Hạ tầng Tân Ninh")</f>
        <v>Tổ Hạ tầng Tân Ninh</v>
      </c>
      <c r="C1512" s="35" t="str">
        <f ca="1">IFERROR(__xludf.DUMMYFUNCTION("""COMPUTED_VALUE"""),"Nguyễn Tấn Đạt")</f>
        <v>Nguyễn Tấn Đạt</v>
      </c>
      <c r="D1512" s="35">
        <f ca="1">IFERROR(__xludf.DUMMYFUNCTION("""COMPUTED_VALUE"""),913602796)</f>
        <v>913602796</v>
      </c>
      <c r="E1512" s="35" t="str">
        <f ca="1">IFERROR(__xludf.DUMMYFUNCTION("""COMPUTED_VALUE"""),"datnt.tnh@vnpt.vn")</f>
        <v>datnt.tnh@vnpt.vn</v>
      </c>
      <c r="F1512" s="540" t="str">
        <f ca="1">IFERROR(__xludf.DUMMYFUNCTION("""COMPUTED_VALUE"""),"Lần 2")</f>
        <v>Lần 2</v>
      </c>
      <c r="G1512" s="278"/>
      <c r="H1512" s="35"/>
      <c r="I1512" s="35"/>
      <c r="J1512" s="35"/>
      <c r="K1512" s="35"/>
      <c r="M1512" s="539">
        <f ca="1">IFERROR(__xludf.DUMMYFUNCTION("""COMPUTED_VALUE"""),0)</f>
        <v>0</v>
      </c>
      <c r="N1512" s="539">
        <f ca="1">IFERROR(__xludf.DUMMYFUNCTION("""COMPUTED_VALUE"""),0)</f>
        <v>0</v>
      </c>
      <c r="O1512" s="539">
        <f ca="1">IFERROR(__xludf.DUMMYFUNCTION("""COMPUTED_VALUE"""),0)</f>
        <v>0</v>
      </c>
    </row>
    <row r="1513" spans="1:15" ht="12.75">
      <c r="A1513" s="539">
        <f ca="1"/>
        <v>1507</v>
      </c>
      <c r="B1513" s="35" t="str">
        <f ca="1">IFERROR(__xludf.DUMMYFUNCTION("""COMPUTED_VALUE"""),"Tổ Hạ tầng Tân Ninh")</f>
        <v>Tổ Hạ tầng Tân Ninh</v>
      </c>
      <c r="C1513" s="35" t="str">
        <f ca="1">IFERROR(__xludf.DUMMYFUNCTION("""COMPUTED_VALUE"""),"Nguyễn Tấn Đạt")</f>
        <v>Nguyễn Tấn Đạt</v>
      </c>
      <c r="D1513" s="35">
        <f ca="1">IFERROR(__xludf.DUMMYFUNCTION("""COMPUTED_VALUE"""),913602796)</f>
        <v>913602796</v>
      </c>
      <c r="E1513" s="35" t="str">
        <f ca="1">IFERROR(__xludf.DUMMYFUNCTION("""COMPUTED_VALUE"""),"datnt.tnh@vnpt.vn")</f>
        <v>datnt.tnh@vnpt.vn</v>
      </c>
      <c r="F1513" s="540" t="str">
        <f ca="1">IFERROR(__xludf.DUMMYFUNCTION("""COMPUTED_VALUE"""),"Lần 3")</f>
        <v>Lần 3</v>
      </c>
      <c r="G1513" s="278"/>
      <c r="H1513" s="35"/>
      <c r="I1513" s="35"/>
      <c r="J1513" s="35"/>
      <c r="K1513" s="35"/>
      <c r="M1513" s="539">
        <f ca="1">IFERROR(__xludf.DUMMYFUNCTION("""COMPUTED_VALUE"""),0)</f>
        <v>0</v>
      </c>
      <c r="N1513" s="539">
        <f ca="1">IFERROR(__xludf.DUMMYFUNCTION("""COMPUTED_VALUE"""),0)</f>
        <v>0</v>
      </c>
      <c r="O1513" s="539">
        <f ca="1">IFERROR(__xludf.DUMMYFUNCTION("""COMPUTED_VALUE"""),0)</f>
        <v>0</v>
      </c>
    </row>
    <row r="1514" spans="1:15" ht="12.75">
      <c r="A1514" s="539">
        <f ca="1"/>
        <v>1508</v>
      </c>
      <c r="B1514" s="35" t="str">
        <f ca="1">IFERROR(__xludf.DUMMYFUNCTION("""COMPUTED_VALUE"""),"Tổ Hạ tầng Tân Ninh")</f>
        <v>Tổ Hạ tầng Tân Ninh</v>
      </c>
      <c r="C1514" s="35" t="str">
        <f ca="1">IFERROR(__xludf.DUMMYFUNCTION("""COMPUTED_VALUE"""),"Nguyễn Tấn Đạt")</f>
        <v>Nguyễn Tấn Đạt</v>
      </c>
      <c r="D1514" s="35">
        <f ca="1">IFERROR(__xludf.DUMMYFUNCTION("""COMPUTED_VALUE"""),913602796)</f>
        <v>913602796</v>
      </c>
      <c r="E1514" s="35" t="str">
        <f ca="1">IFERROR(__xludf.DUMMYFUNCTION("""COMPUTED_VALUE"""),"datnt.tnh@vnpt.vn")</f>
        <v>datnt.tnh@vnpt.vn</v>
      </c>
      <c r="F1514" s="540" t="str">
        <f ca="1">IFERROR(__xludf.DUMMYFUNCTION("""COMPUTED_VALUE"""),"Lần 4")</f>
        <v>Lần 4</v>
      </c>
      <c r="G1514" s="278"/>
      <c r="H1514" s="35"/>
      <c r="I1514" s="35"/>
      <c r="J1514" s="35"/>
      <c r="K1514" s="35"/>
      <c r="M1514" s="539">
        <f ca="1">IFERROR(__xludf.DUMMYFUNCTION("""COMPUTED_VALUE"""),0)</f>
        <v>0</v>
      </c>
      <c r="N1514" s="539">
        <f ca="1">IFERROR(__xludf.DUMMYFUNCTION("""COMPUTED_VALUE"""),0)</f>
        <v>0</v>
      </c>
      <c r="O1514" s="539">
        <f ca="1">IFERROR(__xludf.DUMMYFUNCTION("""COMPUTED_VALUE"""),0)</f>
        <v>0</v>
      </c>
    </row>
    <row r="1515" spans="1:15" ht="12.75">
      <c r="A1515" s="539">
        <f ca="1"/>
        <v>1509</v>
      </c>
      <c r="B1515" s="35" t="str">
        <f ca="1">IFERROR(__xludf.DUMMYFUNCTION("""COMPUTED_VALUE"""),"Tổ Hạ tầng Tân Ninh")</f>
        <v>Tổ Hạ tầng Tân Ninh</v>
      </c>
      <c r="C1515" s="35" t="str">
        <f ca="1">IFERROR(__xludf.DUMMYFUNCTION("""COMPUTED_VALUE"""),"Nguyễn Tấn Đạt")</f>
        <v>Nguyễn Tấn Đạt</v>
      </c>
      <c r="D1515" s="35">
        <f ca="1">IFERROR(__xludf.DUMMYFUNCTION("""COMPUTED_VALUE"""),913602796)</f>
        <v>913602796</v>
      </c>
      <c r="E1515" s="35" t="str">
        <f ca="1">IFERROR(__xludf.DUMMYFUNCTION("""COMPUTED_VALUE"""),"datnt.tnh@vnpt.vn")</f>
        <v>datnt.tnh@vnpt.vn</v>
      </c>
      <c r="F1515" s="540" t="str">
        <f ca="1">IFERROR(__xludf.DUMMYFUNCTION("""COMPUTED_VALUE"""),"Lần 5")</f>
        <v>Lần 5</v>
      </c>
      <c r="G1515" s="278"/>
      <c r="H1515" s="35"/>
      <c r="I1515" s="35"/>
      <c r="J1515" s="35"/>
      <c r="K1515" s="35"/>
      <c r="M1515" s="539">
        <f ca="1">IFERROR(__xludf.DUMMYFUNCTION("""COMPUTED_VALUE"""),0)</f>
        <v>0</v>
      </c>
      <c r="N1515" s="539">
        <f ca="1">IFERROR(__xludf.DUMMYFUNCTION("""COMPUTED_VALUE"""),0)</f>
        <v>0</v>
      </c>
      <c r="O1515" s="539">
        <f ca="1">IFERROR(__xludf.DUMMYFUNCTION("""COMPUTED_VALUE"""),0)</f>
        <v>0</v>
      </c>
    </row>
    <row r="1516" spans="1:15" ht="12.75">
      <c r="A1516" s="539">
        <f ca="1"/>
        <v>1510</v>
      </c>
      <c r="B1516" s="35" t="str">
        <f ca="1">IFERROR(__xludf.DUMMYFUNCTION("""COMPUTED_VALUE"""),"Tổ Hạ tầng Tân Ninh")</f>
        <v>Tổ Hạ tầng Tân Ninh</v>
      </c>
      <c r="C1516" s="35" t="str">
        <f ca="1">IFERROR(__xludf.DUMMYFUNCTION("""COMPUTED_VALUE"""),"Nguyễn Tấn Đạt")</f>
        <v>Nguyễn Tấn Đạt</v>
      </c>
      <c r="D1516" s="35">
        <f ca="1">IFERROR(__xludf.DUMMYFUNCTION("""COMPUTED_VALUE"""),913602796)</f>
        <v>913602796</v>
      </c>
      <c r="E1516" s="35" t="str">
        <f ca="1">IFERROR(__xludf.DUMMYFUNCTION("""COMPUTED_VALUE"""),"datnt.tnh@vnpt.vn")</f>
        <v>datnt.tnh@vnpt.vn</v>
      </c>
      <c r="F1516" s="540" t="str">
        <f ca="1">IFERROR(__xludf.DUMMYFUNCTION("""COMPUTED_VALUE"""),"Lần 6")</f>
        <v>Lần 6</v>
      </c>
      <c r="G1516" s="278"/>
      <c r="H1516" s="35"/>
      <c r="I1516" s="35"/>
      <c r="J1516" s="35"/>
      <c r="K1516" s="35"/>
      <c r="M1516" s="539">
        <f ca="1">IFERROR(__xludf.DUMMYFUNCTION("""COMPUTED_VALUE"""),0)</f>
        <v>0</v>
      </c>
      <c r="N1516" s="539">
        <f ca="1">IFERROR(__xludf.DUMMYFUNCTION("""COMPUTED_VALUE"""),0)</f>
        <v>0</v>
      </c>
      <c r="O1516" s="539">
        <f ca="1">IFERROR(__xludf.DUMMYFUNCTION("""COMPUTED_VALUE"""),0)</f>
        <v>0</v>
      </c>
    </row>
    <row r="1517" spans="1:15" ht="12.75">
      <c r="A1517" s="539">
        <f ca="1"/>
        <v>1511</v>
      </c>
      <c r="B1517" s="35" t="str">
        <f ca="1">IFERROR(__xludf.DUMMYFUNCTION("""COMPUTED_VALUE"""),"Tổ Hạ tầng Tân Ninh")</f>
        <v>Tổ Hạ tầng Tân Ninh</v>
      </c>
      <c r="C1517" s="35" t="str">
        <f ca="1">IFERROR(__xludf.DUMMYFUNCTION("""COMPUTED_VALUE"""),"Nguyễn Tấn Đạt")</f>
        <v>Nguyễn Tấn Đạt</v>
      </c>
      <c r="D1517" s="35">
        <f ca="1">IFERROR(__xludf.DUMMYFUNCTION("""COMPUTED_VALUE"""),913602796)</f>
        <v>913602796</v>
      </c>
      <c r="E1517" s="35" t="str">
        <f ca="1">IFERROR(__xludf.DUMMYFUNCTION("""COMPUTED_VALUE"""),"datnt.tnh@vnpt.vn")</f>
        <v>datnt.tnh@vnpt.vn</v>
      </c>
      <c r="F1517" s="540" t="str">
        <f ca="1">IFERROR(__xludf.DUMMYFUNCTION("""COMPUTED_VALUE"""),"Lần 7")</f>
        <v>Lần 7</v>
      </c>
      <c r="G1517" s="278"/>
      <c r="H1517" s="35"/>
      <c r="I1517" s="35"/>
      <c r="J1517" s="35"/>
      <c r="K1517" s="35"/>
      <c r="M1517" s="539">
        <f ca="1">IFERROR(__xludf.DUMMYFUNCTION("""COMPUTED_VALUE"""),0)</f>
        <v>0</v>
      </c>
      <c r="N1517" s="539">
        <f ca="1">IFERROR(__xludf.DUMMYFUNCTION("""COMPUTED_VALUE"""),0)</f>
        <v>0</v>
      </c>
      <c r="O1517" s="539">
        <f ca="1">IFERROR(__xludf.DUMMYFUNCTION("""COMPUTED_VALUE"""),0)</f>
        <v>0</v>
      </c>
    </row>
    <row r="1518" spans="1:15" ht="12.75">
      <c r="A1518" s="539">
        <f ca="1"/>
        <v>1512</v>
      </c>
      <c r="B1518" s="35" t="str">
        <f ca="1">IFERROR(__xludf.DUMMYFUNCTION("""COMPUTED_VALUE"""),"Tổ Hạ tầng Tân Ninh")</f>
        <v>Tổ Hạ tầng Tân Ninh</v>
      </c>
      <c r="C1518" s="35" t="str">
        <f ca="1">IFERROR(__xludf.DUMMYFUNCTION("""COMPUTED_VALUE"""),"Nguyễn Tấn Đạt")</f>
        <v>Nguyễn Tấn Đạt</v>
      </c>
      <c r="D1518" s="35">
        <f ca="1">IFERROR(__xludf.DUMMYFUNCTION("""COMPUTED_VALUE"""),913602796)</f>
        <v>913602796</v>
      </c>
      <c r="E1518" s="35" t="str">
        <f ca="1">IFERROR(__xludf.DUMMYFUNCTION("""COMPUTED_VALUE"""),"datnt.tnh@vnpt.vn")</f>
        <v>datnt.tnh@vnpt.vn</v>
      </c>
      <c r="F1518" s="540" t="str">
        <f ca="1">IFERROR(__xludf.DUMMYFUNCTION("""COMPUTED_VALUE"""),"Lần 8")</f>
        <v>Lần 8</v>
      </c>
      <c r="G1518" s="278"/>
      <c r="H1518" s="35"/>
      <c r="I1518" s="35"/>
      <c r="J1518" s="35"/>
      <c r="K1518" s="35"/>
      <c r="M1518" s="539">
        <f ca="1">IFERROR(__xludf.DUMMYFUNCTION("""COMPUTED_VALUE"""),0)</f>
        <v>0</v>
      </c>
      <c r="N1518" s="539">
        <f ca="1">IFERROR(__xludf.DUMMYFUNCTION("""COMPUTED_VALUE"""),0)</f>
        <v>0</v>
      </c>
      <c r="O1518" s="539">
        <f ca="1">IFERROR(__xludf.DUMMYFUNCTION("""COMPUTED_VALUE"""),0)</f>
        <v>0</v>
      </c>
    </row>
    <row r="1519" spans="1:15" ht="12.75">
      <c r="A1519" s="539">
        <f ca="1"/>
        <v>1513</v>
      </c>
      <c r="B1519" s="35" t="str">
        <f ca="1">IFERROR(__xludf.DUMMYFUNCTION("""COMPUTED_VALUE"""),"Tổ Hạ tầng Tân Ninh")</f>
        <v>Tổ Hạ tầng Tân Ninh</v>
      </c>
      <c r="C1519" s="35" t="str">
        <f ca="1">IFERROR(__xludf.DUMMYFUNCTION("""COMPUTED_VALUE"""),"Nguyễn Tấn Đạt")</f>
        <v>Nguyễn Tấn Đạt</v>
      </c>
      <c r="D1519" s="35">
        <f ca="1">IFERROR(__xludf.DUMMYFUNCTION("""COMPUTED_VALUE"""),913602796)</f>
        <v>913602796</v>
      </c>
      <c r="E1519" s="35" t="str">
        <f ca="1">IFERROR(__xludf.DUMMYFUNCTION("""COMPUTED_VALUE"""),"datnt.tnh@vnpt.vn")</f>
        <v>datnt.tnh@vnpt.vn</v>
      </c>
      <c r="F1519" s="540" t="str">
        <f ca="1">IFERROR(__xludf.DUMMYFUNCTION("""COMPUTED_VALUE"""),"Lần 9")</f>
        <v>Lần 9</v>
      </c>
      <c r="G1519" s="278"/>
      <c r="H1519" s="35"/>
      <c r="I1519" s="35"/>
      <c r="J1519" s="35"/>
      <c r="K1519" s="35"/>
      <c r="M1519" s="539">
        <f ca="1">IFERROR(__xludf.DUMMYFUNCTION("""COMPUTED_VALUE"""),0)</f>
        <v>0</v>
      </c>
      <c r="N1519" s="539">
        <f ca="1">IFERROR(__xludf.DUMMYFUNCTION("""COMPUTED_VALUE"""),0)</f>
        <v>0</v>
      </c>
      <c r="O1519" s="539">
        <f ca="1">IFERROR(__xludf.DUMMYFUNCTION("""COMPUTED_VALUE"""),0)</f>
        <v>0</v>
      </c>
    </row>
    <row r="1520" spans="1:15" ht="12.75">
      <c r="A1520" s="539">
        <f ca="1"/>
        <v>1514</v>
      </c>
      <c r="B1520" s="35" t="str">
        <f ca="1">IFERROR(__xludf.DUMMYFUNCTION("""COMPUTED_VALUE"""),"Tổ Hạ tầng Tân Ninh")</f>
        <v>Tổ Hạ tầng Tân Ninh</v>
      </c>
      <c r="C1520" s="35" t="str">
        <f ca="1">IFERROR(__xludf.DUMMYFUNCTION("""COMPUTED_VALUE"""),"Nguyễn Tấn Đạt")</f>
        <v>Nguyễn Tấn Đạt</v>
      </c>
      <c r="D1520" s="35">
        <f ca="1">IFERROR(__xludf.DUMMYFUNCTION("""COMPUTED_VALUE"""),913602796)</f>
        <v>913602796</v>
      </c>
      <c r="E1520" s="35" t="str">
        <f ca="1">IFERROR(__xludf.DUMMYFUNCTION("""COMPUTED_VALUE"""),"datnt.tnh@vnpt.vn")</f>
        <v>datnt.tnh@vnpt.vn</v>
      </c>
      <c r="F1520" s="540" t="str">
        <f ca="1">IFERROR(__xludf.DUMMYFUNCTION("""COMPUTED_VALUE"""),"Lần 10")</f>
        <v>Lần 10</v>
      </c>
      <c r="G1520" s="278"/>
      <c r="H1520" s="35"/>
      <c r="I1520" s="35"/>
      <c r="J1520" s="35"/>
      <c r="K1520" s="35"/>
      <c r="M1520" s="539">
        <f ca="1">IFERROR(__xludf.DUMMYFUNCTION("""COMPUTED_VALUE"""),0)</f>
        <v>0</v>
      </c>
      <c r="N1520" s="539">
        <f ca="1">IFERROR(__xludf.DUMMYFUNCTION("""COMPUTED_VALUE"""),0)</f>
        <v>0</v>
      </c>
      <c r="O1520" s="539">
        <f ca="1">IFERROR(__xludf.DUMMYFUNCTION("""COMPUTED_VALUE"""),0)</f>
        <v>0</v>
      </c>
    </row>
    <row r="1521" spans="1:15" ht="12.75">
      <c r="A1521" s="539">
        <f ca="1"/>
        <v>1515</v>
      </c>
      <c r="B1521" s="35" t="str">
        <f ca="1">IFERROR(__xludf.DUMMYFUNCTION("""COMPUTED_VALUE"""),"Tổ Hạ tầng Tân Ninh")</f>
        <v>Tổ Hạ tầng Tân Ninh</v>
      </c>
      <c r="C1521" s="35" t="str">
        <f ca="1">IFERROR(__xludf.DUMMYFUNCTION("""COMPUTED_VALUE"""),"Nguyễn Tấn Đạt")</f>
        <v>Nguyễn Tấn Đạt</v>
      </c>
      <c r="D1521" s="35">
        <f ca="1">IFERROR(__xludf.DUMMYFUNCTION("""COMPUTED_VALUE"""),913602796)</f>
        <v>913602796</v>
      </c>
      <c r="E1521" s="35" t="str">
        <f ca="1">IFERROR(__xludf.DUMMYFUNCTION("""COMPUTED_VALUE"""),"datnt.tnh@vnpt.vn")</f>
        <v>datnt.tnh@vnpt.vn</v>
      </c>
      <c r="F1521" s="540" t="str">
        <f ca="1">IFERROR(__xludf.DUMMYFUNCTION("""COMPUTED_VALUE"""),"Lần 11")</f>
        <v>Lần 11</v>
      </c>
      <c r="G1521" s="278"/>
      <c r="H1521" s="35"/>
      <c r="I1521" s="35"/>
      <c r="J1521" s="35"/>
      <c r="K1521" s="35"/>
      <c r="M1521" s="539">
        <f ca="1">IFERROR(__xludf.DUMMYFUNCTION("""COMPUTED_VALUE"""),0)</f>
        <v>0</v>
      </c>
      <c r="N1521" s="539">
        <f ca="1">IFERROR(__xludf.DUMMYFUNCTION("""COMPUTED_VALUE"""),0)</f>
        <v>0</v>
      </c>
      <c r="O1521" s="539">
        <f ca="1">IFERROR(__xludf.DUMMYFUNCTION("""COMPUTED_VALUE"""),0)</f>
        <v>0</v>
      </c>
    </row>
    <row r="1522" spans="1:15" ht="12.75">
      <c r="A1522" s="539">
        <f ca="1"/>
        <v>1516</v>
      </c>
      <c r="B1522" s="35" t="str">
        <f ca="1">IFERROR(__xludf.DUMMYFUNCTION("""COMPUTED_VALUE"""),"Tổ Hạ tầng Tân Ninh")</f>
        <v>Tổ Hạ tầng Tân Ninh</v>
      </c>
      <c r="C1522" s="35" t="str">
        <f ca="1">IFERROR(__xludf.DUMMYFUNCTION("""COMPUTED_VALUE"""),"Nguyễn Tấn Đạt")</f>
        <v>Nguyễn Tấn Đạt</v>
      </c>
      <c r="D1522" s="35">
        <f ca="1">IFERROR(__xludf.DUMMYFUNCTION("""COMPUTED_VALUE"""),913602796)</f>
        <v>913602796</v>
      </c>
      <c r="E1522" s="35" t="str">
        <f ca="1">IFERROR(__xludf.DUMMYFUNCTION("""COMPUTED_VALUE"""),"datnt.tnh@vnpt.vn")</f>
        <v>datnt.tnh@vnpt.vn</v>
      </c>
      <c r="F1522" s="540" t="str">
        <f ca="1">IFERROR(__xludf.DUMMYFUNCTION("""COMPUTED_VALUE"""),"Lần 12")</f>
        <v>Lần 12</v>
      </c>
      <c r="G1522" s="278"/>
      <c r="H1522" s="35"/>
      <c r="I1522" s="35"/>
      <c r="J1522" s="35"/>
      <c r="K1522" s="35"/>
      <c r="M1522" s="539">
        <f ca="1">IFERROR(__xludf.DUMMYFUNCTION("""COMPUTED_VALUE"""),0)</f>
        <v>0</v>
      </c>
      <c r="N1522" s="539">
        <f ca="1">IFERROR(__xludf.DUMMYFUNCTION("""COMPUTED_VALUE"""),0)</f>
        <v>0</v>
      </c>
      <c r="O1522" s="539">
        <f ca="1">IFERROR(__xludf.DUMMYFUNCTION("""COMPUTED_VALUE"""),0)</f>
        <v>0</v>
      </c>
    </row>
    <row r="1523" spans="1:15" ht="12.75">
      <c r="A1523" s="539">
        <f ca="1"/>
        <v>1517</v>
      </c>
      <c r="B1523" s="35" t="str">
        <f ca="1">IFERROR(__xludf.DUMMYFUNCTION("""COMPUTED_VALUE"""),"Tổ Hạ tầng Tân Ninh")</f>
        <v>Tổ Hạ tầng Tân Ninh</v>
      </c>
      <c r="C1523" s="35" t="str">
        <f ca="1">IFERROR(__xludf.DUMMYFUNCTION("""COMPUTED_VALUE"""),"Nguyễn Tấn Đạt")</f>
        <v>Nguyễn Tấn Đạt</v>
      </c>
      <c r="D1523" s="35">
        <f ca="1">IFERROR(__xludf.DUMMYFUNCTION("""COMPUTED_VALUE"""),913602796)</f>
        <v>913602796</v>
      </c>
      <c r="E1523" s="35" t="str">
        <f ca="1">IFERROR(__xludf.DUMMYFUNCTION("""COMPUTED_VALUE"""),"datnt.tnh@vnpt.vn")</f>
        <v>datnt.tnh@vnpt.vn</v>
      </c>
      <c r="F1523" s="540" t="str">
        <f ca="1">IFERROR(__xludf.DUMMYFUNCTION("""COMPUTED_VALUE"""),"Lần 13")</f>
        <v>Lần 13</v>
      </c>
      <c r="G1523" s="278"/>
      <c r="H1523" s="35"/>
      <c r="I1523" s="35"/>
      <c r="J1523" s="35"/>
      <c r="K1523" s="35"/>
      <c r="M1523" s="539">
        <f ca="1">IFERROR(__xludf.DUMMYFUNCTION("""COMPUTED_VALUE"""),0)</f>
        <v>0</v>
      </c>
      <c r="N1523" s="539">
        <f ca="1">IFERROR(__xludf.DUMMYFUNCTION("""COMPUTED_VALUE"""),0)</f>
        <v>0</v>
      </c>
      <c r="O1523" s="539">
        <f ca="1">IFERROR(__xludf.DUMMYFUNCTION("""COMPUTED_VALUE"""),0)</f>
        <v>0</v>
      </c>
    </row>
    <row r="1524" spans="1:15" ht="12.75">
      <c r="A1524" s="539">
        <f ca="1"/>
        <v>1518</v>
      </c>
      <c r="B1524" s="35" t="str">
        <f ca="1">IFERROR(__xludf.DUMMYFUNCTION("""COMPUTED_VALUE"""),"Tổ Hạ tầng Tân Ninh")</f>
        <v>Tổ Hạ tầng Tân Ninh</v>
      </c>
      <c r="C1524" s="35" t="str">
        <f ca="1">IFERROR(__xludf.DUMMYFUNCTION("""COMPUTED_VALUE"""),"Nguyễn Tấn Đạt")</f>
        <v>Nguyễn Tấn Đạt</v>
      </c>
      <c r="D1524" s="35">
        <f ca="1">IFERROR(__xludf.DUMMYFUNCTION("""COMPUTED_VALUE"""),913602796)</f>
        <v>913602796</v>
      </c>
      <c r="E1524" s="35" t="str">
        <f ca="1">IFERROR(__xludf.DUMMYFUNCTION("""COMPUTED_VALUE"""),"datnt.tnh@vnpt.vn")</f>
        <v>datnt.tnh@vnpt.vn</v>
      </c>
      <c r="F1524" s="540" t="str">
        <f ca="1">IFERROR(__xludf.DUMMYFUNCTION("""COMPUTED_VALUE"""),"Lần 14")</f>
        <v>Lần 14</v>
      </c>
      <c r="G1524" s="278"/>
      <c r="H1524" s="35"/>
      <c r="I1524" s="35"/>
      <c r="J1524" s="35"/>
      <c r="K1524" s="35"/>
      <c r="M1524" s="539">
        <f ca="1">IFERROR(__xludf.DUMMYFUNCTION("""COMPUTED_VALUE"""),0)</f>
        <v>0</v>
      </c>
      <c r="N1524" s="539">
        <f ca="1">IFERROR(__xludf.DUMMYFUNCTION("""COMPUTED_VALUE"""),0)</f>
        <v>0</v>
      </c>
      <c r="O1524" s="539">
        <f ca="1">IFERROR(__xludf.DUMMYFUNCTION("""COMPUTED_VALUE"""),0)</f>
        <v>0</v>
      </c>
    </row>
    <row r="1525" spans="1:15" ht="12.75">
      <c r="A1525" s="539">
        <f ca="1"/>
        <v>1519</v>
      </c>
      <c r="B1525" s="35" t="str">
        <f ca="1">IFERROR(__xludf.DUMMYFUNCTION("""COMPUTED_VALUE"""),"Tổ Hạ tầng Tân Ninh")</f>
        <v>Tổ Hạ tầng Tân Ninh</v>
      </c>
      <c r="C1525" s="35" t="str">
        <f ca="1">IFERROR(__xludf.DUMMYFUNCTION("""COMPUTED_VALUE"""),"Nguyễn Tấn Đạt")</f>
        <v>Nguyễn Tấn Đạt</v>
      </c>
      <c r="D1525" s="35">
        <f ca="1">IFERROR(__xludf.DUMMYFUNCTION("""COMPUTED_VALUE"""),913602796)</f>
        <v>913602796</v>
      </c>
      <c r="E1525" s="35" t="str">
        <f ca="1">IFERROR(__xludf.DUMMYFUNCTION("""COMPUTED_VALUE"""),"datnt.tnh@vnpt.vn")</f>
        <v>datnt.tnh@vnpt.vn</v>
      </c>
      <c r="F1525" s="540" t="str">
        <f ca="1">IFERROR(__xludf.DUMMYFUNCTION("""COMPUTED_VALUE"""),"Lần 15")</f>
        <v>Lần 15</v>
      </c>
      <c r="G1525" s="278"/>
      <c r="H1525" s="35"/>
      <c r="I1525" s="35"/>
      <c r="J1525" s="35"/>
      <c r="K1525" s="35"/>
      <c r="M1525" s="539">
        <f ca="1">IFERROR(__xludf.DUMMYFUNCTION("""COMPUTED_VALUE"""),0)</f>
        <v>0</v>
      </c>
      <c r="N1525" s="539">
        <f ca="1">IFERROR(__xludf.DUMMYFUNCTION("""COMPUTED_VALUE"""),0)</f>
        <v>0</v>
      </c>
      <c r="O1525" s="539">
        <f ca="1">IFERROR(__xludf.DUMMYFUNCTION("""COMPUTED_VALUE"""),0)</f>
        <v>0</v>
      </c>
    </row>
    <row r="1526" spans="1:15" ht="12.75">
      <c r="A1526" s="539">
        <f ca="1"/>
        <v>1520</v>
      </c>
      <c r="B1526" s="35" t="str">
        <f ca="1">IFERROR(__xludf.DUMMYFUNCTION("""COMPUTED_VALUE"""),"Tổ Hạ tầng Tân Ninh")</f>
        <v>Tổ Hạ tầng Tân Ninh</v>
      </c>
      <c r="C1526" s="35" t="str">
        <f ca="1">IFERROR(__xludf.DUMMYFUNCTION("""COMPUTED_VALUE"""),"Nguyễn Tấn Đạt")</f>
        <v>Nguyễn Tấn Đạt</v>
      </c>
      <c r="D1526" s="35">
        <f ca="1">IFERROR(__xludf.DUMMYFUNCTION("""COMPUTED_VALUE"""),913602796)</f>
        <v>913602796</v>
      </c>
      <c r="E1526" s="35" t="str">
        <f ca="1">IFERROR(__xludf.DUMMYFUNCTION("""COMPUTED_VALUE"""),"datnt.tnh@vnpt.vn")</f>
        <v>datnt.tnh@vnpt.vn</v>
      </c>
      <c r="F1526" s="540" t="str">
        <f ca="1">IFERROR(__xludf.DUMMYFUNCTION("""COMPUTED_VALUE"""),"Lần 16")</f>
        <v>Lần 16</v>
      </c>
      <c r="G1526" s="278"/>
      <c r="H1526" s="35"/>
      <c r="I1526" s="35"/>
      <c r="J1526" s="35"/>
      <c r="K1526" s="35"/>
      <c r="M1526" s="539">
        <f ca="1">IFERROR(__xludf.DUMMYFUNCTION("""COMPUTED_VALUE"""),0)</f>
        <v>0</v>
      </c>
      <c r="N1526" s="539">
        <f ca="1">IFERROR(__xludf.DUMMYFUNCTION("""COMPUTED_VALUE"""),0)</f>
        <v>0</v>
      </c>
      <c r="O1526" s="539">
        <f ca="1">IFERROR(__xludf.DUMMYFUNCTION("""COMPUTED_VALUE"""),0)</f>
        <v>0</v>
      </c>
    </row>
    <row r="1527" spans="1:15" ht="12.75">
      <c r="A1527" s="539">
        <f ca="1"/>
        <v>1521</v>
      </c>
      <c r="B1527" s="35" t="str">
        <f ca="1">IFERROR(__xludf.DUMMYFUNCTION("""COMPUTED_VALUE"""),"Tổ Hạ tầng Tân Ninh")</f>
        <v>Tổ Hạ tầng Tân Ninh</v>
      </c>
      <c r="C1527" s="35" t="str">
        <f ca="1">IFERROR(__xludf.DUMMYFUNCTION("""COMPUTED_VALUE"""),"Huỳnh Hạo Thiên")</f>
        <v>Huỳnh Hạo Thiên</v>
      </c>
      <c r="D1527" s="35">
        <f ca="1">IFERROR(__xludf.DUMMYFUNCTION("""COMPUTED_VALUE"""),943905906)</f>
        <v>943905906</v>
      </c>
      <c r="E1527" s="35" t="str">
        <f ca="1">IFERROR(__xludf.DUMMYFUNCTION("""COMPUTED_VALUE"""),"thienhh.tnh@vnpt.vn")</f>
        <v>thienhh.tnh@vnpt.vn</v>
      </c>
      <c r="F1527" s="540" t="str">
        <f ca="1">IFERROR(__xludf.DUMMYFUNCTION("""COMPUTED_VALUE"""),"Lần 1")</f>
        <v>Lần 1</v>
      </c>
      <c r="G1527" s="278">
        <f ca="1">IFERROR(__xludf.DUMMYFUNCTION("""COMPUTED_VALUE"""),46204)</f>
        <v>46204</v>
      </c>
      <c r="H1527" s="35">
        <f ca="1">IFERROR(__xludf.DUMMYFUNCTION("""COMPUTED_VALUE"""),346)</f>
        <v>346</v>
      </c>
      <c r="I1527" s="35">
        <f ca="1">IFERROR(__xludf.DUMMYFUNCTION("""COMPUTED_VALUE"""),89)</f>
        <v>89</v>
      </c>
      <c r="J1527" s="541">
        <f ca="1">IFERROR(__xludf.DUMMYFUNCTION("""COMPUTED_VALUE"""),289)</f>
        <v>289</v>
      </c>
      <c r="K1527" s="541">
        <f ca="1">IFERROR(__xludf.DUMMYFUNCTION("""COMPUTED_VALUE"""),76)</f>
        <v>76</v>
      </c>
      <c r="M1527" s="539">
        <f ca="1">IFERROR(__xludf.DUMMYFUNCTION("""COMPUTED_VALUE"""),1)</f>
        <v>1</v>
      </c>
      <c r="N1527" s="539">
        <f ca="1">IFERROR(__xludf.DUMMYFUNCTION("""COMPUTED_VALUE"""),1)</f>
        <v>1</v>
      </c>
      <c r="O1527" s="539">
        <f ca="1">IFERROR(__xludf.DUMMYFUNCTION("""COMPUTED_VALUE"""),1)</f>
        <v>1</v>
      </c>
    </row>
    <row r="1528" spans="1:15" ht="12.75">
      <c r="A1528" s="539">
        <f ca="1"/>
        <v>1522</v>
      </c>
      <c r="B1528" s="35" t="str">
        <f ca="1">IFERROR(__xludf.DUMMYFUNCTION("""COMPUTED_VALUE"""),"Tổ Hạ tầng Tân Ninh")</f>
        <v>Tổ Hạ tầng Tân Ninh</v>
      </c>
      <c r="C1528" s="35" t="str">
        <f ca="1">IFERROR(__xludf.DUMMYFUNCTION("""COMPUTED_VALUE"""),"Huỳnh Hạo Thiên")</f>
        <v>Huỳnh Hạo Thiên</v>
      </c>
      <c r="D1528" s="35">
        <f ca="1">IFERROR(__xludf.DUMMYFUNCTION("""COMPUTED_VALUE"""),943905906)</f>
        <v>943905906</v>
      </c>
      <c r="E1528" s="35" t="str">
        <f ca="1">IFERROR(__xludf.DUMMYFUNCTION("""COMPUTED_VALUE"""),"thienhh.tnh@vnpt.vn")</f>
        <v>thienhh.tnh@vnpt.vn</v>
      </c>
      <c r="F1528" s="540" t="str">
        <f ca="1">IFERROR(__xludf.DUMMYFUNCTION("""COMPUTED_VALUE"""),"Lần 2")</f>
        <v>Lần 2</v>
      </c>
      <c r="G1528" s="278">
        <f ca="1">IFERROR(__xludf.DUMMYFUNCTION("""COMPUTED_VALUE"""),46204)</f>
        <v>46204</v>
      </c>
      <c r="H1528" s="35">
        <f ca="1">IFERROR(__xludf.DUMMYFUNCTION("""COMPUTED_VALUE"""),354)</f>
        <v>354</v>
      </c>
      <c r="I1528" s="35">
        <f ca="1">IFERROR(__xludf.DUMMYFUNCTION("""COMPUTED_VALUE"""),88)</f>
        <v>88</v>
      </c>
      <c r="J1528" s="541">
        <f ca="1">IFERROR(__xludf.DUMMYFUNCTION("""COMPUTED_VALUE"""),276)</f>
        <v>276</v>
      </c>
      <c r="K1528" s="541">
        <f ca="1">IFERROR(__xludf.DUMMYFUNCTION("""COMPUTED_VALUE"""),67)</f>
        <v>67</v>
      </c>
      <c r="M1528" s="539">
        <f ca="1">IFERROR(__xludf.DUMMYFUNCTION("""COMPUTED_VALUE"""),1)</f>
        <v>1</v>
      </c>
      <c r="N1528" s="539">
        <f ca="1">IFERROR(__xludf.DUMMYFUNCTION("""COMPUTED_VALUE"""),1)</f>
        <v>1</v>
      </c>
      <c r="O1528" s="539">
        <f ca="1">IFERROR(__xludf.DUMMYFUNCTION("""COMPUTED_VALUE"""),1)</f>
        <v>1</v>
      </c>
    </row>
    <row r="1529" spans="1:15" ht="12.75">
      <c r="A1529" s="539">
        <f ca="1"/>
        <v>1523</v>
      </c>
      <c r="B1529" s="35" t="str">
        <f ca="1">IFERROR(__xludf.DUMMYFUNCTION("""COMPUTED_VALUE"""),"Tổ Hạ tầng Tân Ninh")</f>
        <v>Tổ Hạ tầng Tân Ninh</v>
      </c>
      <c r="C1529" s="35" t="str">
        <f ca="1">IFERROR(__xludf.DUMMYFUNCTION("""COMPUTED_VALUE"""),"Huỳnh Hạo Thiên")</f>
        <v>Huỳnh Hạo Thiên</v>
      </c>
      <c r="D1529" s="35">
        <f ca="1">IFERROR(__xludf.DUMMYFUNCTION("""COMPUTED_VALUE"""),943905906)</f>
        <v>943905906</v>
      </c>
      <c r="E1529" s="35" t="str">
        <f ca="1">IFERROR(__xludf.DUMMYFUNCTION("""COMPUTED_VALUE"""),"thienhh.tnh@vnpt.vn")</f>
        <v>thienhh.tnh@vnpt.vn</v>
      </c>
      <c r="F1529" s="540" t="str">
        <f ca="1">IFERROR(__xludf.DUMMYFUNCTION("""COMPUTED_VALUE"""),"Lần 3")</f>
        <v>Lần 3</v>
      </c>
      <c r="G1529" s="278">
        <f ca="1">IFERROR(__xludf.DUMMYFUNCTION("""COMPUTED_VALUE"""),46204)</f>
        <v>46204</v>
      </c>
      <c r="H1529" s="35">
        <f ca="1">IFERROR(__xludf.DUMMYFUNCTION("""COMPUTED_VALUE"""),367)</f>
        <v>367</v>
      </c>
      <c r="I1529" s="35">
        <f ca="1">IFERROR(__xludf.DUMMYFUNCTION("""COMPUTED_VALUE"""),78)</f>
        <v>78</v>
      </c>
      <c r="J1529" s="541">
        <f ca="1">IFERROR(__xludf.DUMMYFUNCTION("""COMPUTED_VALUE"""),301)</f>
        <v>301</v>
      </c>
      <c r="K1529" s="541">
        <f ca="1">IFERROR(__xludf.DUMMYFUNCTION("""COMPUTED_VALUE"""),65)</f>
        <v>65</v>
      </c>
      <c r="M1529" s="539">
        <f ca="1">IFERROR(__xludf.DUMMYFUNCTION("""COMPUTED_VALUE"""),1)</f>
        <v>1</v>
      </c>
      <c r="N1529" s="539">
        <f ca="1">IFERROR(__xludf.DUMMYFUNCTION("""COMPUTED_VALUE"""),1)</f>
        <v>1</v>
      </c>
      <c r="O1529" s="539">
        <f ca="1">IFERROR(__xludf.DUMMYFUNCTION("""COMPUTED_VALUE"""),1)</f>
        <v>1</v>
      </c>
    </row>
    <row r="1530" spans="1:15" ht="12.75">
      <c r="A1530" s="539">
        <f ca="1"/>
        <v>1524</v>
      </c>
      <c r="B1530" s="35" t="str">
        <f ca="1">IFERROR(__xludf.DUMMYFUNCTION("""COMPUTED_VALUE"""),"Tổ Hạ tầng Tân Ninh")</f>
        <v>Tổ Hạ tầng Tân Ninh</v>
      </c>
      <c r="C1530" s="35" t="str">
        <f ca="1">IFERROR(__xludf.DUMMYFUNCTION("""COMPUTED_VALUE"""),"Huỳnh Hạo Thiên")</f>
        <v>Huỳnh Hạo Thiên</v>
      </c>
      <c r="D1530" s="35">
        <f ca="1">IFERROR(__xludf.DUMMYFUNCTION("""COMPUTED_VALUE"""),943905906)</f>
        <v>943905906</v>
      </c>
      <c r="E1530" s="35" t="str">
        <f ca="1">IFERROR(__xludf.DUMMYFUNCTION("""COMPUTED_VALUE"""),"thienhh.tnh@vnpt.vn")</f>
        <v>thienhh.tnh@vnpt.vn</v>
      </c>
      <c r="F1530" s="540" t="str">
        <f ca="1">IFERROR(__xludf.DUMMYFUNCTION("""COMPUTED_VALUE"""),"Lần 4")</f>
        <v>Lần 4</v>
      </c>
      <c r="G1530" s="278">
        <f ca="1">IFERROR(__xludf.DUMMYFUNCTION("""COMPUTED_VALUE"""),46204)</f>
        <v>46204</v>
      </c>
      <c r="H1530" s="35">
        <f ca="1">IFERROR(__xludf.DUMMYFUNCTION("""COMPUTED_VALUE"""),432)</f>
        <v>432</v>
      </c>
      <c r="I1530" s="35">
        <f ca="1">IFERROR(__xludf.DUMMYFUNCTION("""COMPUTED_VALUE"""),65)</f>
        <v>65</v>
      </c>
      <c r="J1530" s="541">
        <f ca="1">IFERROR(__xludf.DUMMYFUNCTION("""COMPUTED_VALUE"""),343)</f>
        <v>343</v>
      </c>
      <c r="K1530" s="541">
        <f ca="1">IFERROR(__xludf.DUMMYFUNCTION("""COMPUTED_VALUE"""),59)</f>
        <v>59</v>
      </c>
      <c r="M1530" s="539">
        <f ca="1">IFERROR(__xludf.DUMMYFUNCTION("""COMPUTED_VALUE"""),1)</f>
        <v>1</v>
      </c>
      <c r="N1530" s="539">
        <f ca="1">IFERROR(__xludf.DUMMYFUNCTION("""COMPUTED_VALUE"""),1)</f>
        <v>1</v>
      </c>
      <c r="O1530" s="539">
        <f ca="1">IFERROR(__xludf.DUMMYFUNCTION("""COMPUTED_VALUE"""),1)</f>
        <v>1</v>
      </c>
    </row>
    <row r="1531" spans="1:15" ht="12.75">
      <c r="A1531" s="539">
        <f ca="1"/>
        <v>1525</v>
      </c>
      <c r="B1531" s="35" t="str">
        <f ca="1">IFERROR(__xludf.DUMMYFUNCTION("""COMPUTED_VALUE"""),"Tổ Hạ tầng Tân Ninh")</f>
        <v>Tổ Hạ tầng Tân Ninh</v>
      </c>
      <c r="C1531" s="35" t="str">
        <f ca="1">IFERROR(__xludf.DUMMYFUNCTION("""COMPUTED_VALUE"""),"Huỳnh Hạo Thiên")</f>
        <v>Huỳnh Hạo Thiên</v>
      </c>
      <c r="D1531" s="35">
        <f ca="1">IFERROR(__xludf.DUMMYFUNCTION("""COMPUTED_VALUE"""),943905906)</f>
        <v>943905906</v>
      </c>
      <c r="E1531" s="35" t="str">
        <f ca="1">IFERROR(__xludf.DUMMYFUNCTION("""COMPUTED_VALUE"""),"thienhh.tnh@vnpt.vn")</f>
        <v>thienhh.tnh@vnpt.vn</v>
      </c>
      <c r="F1531" s="540" t="str">
        <f ca="1">IFERROR(__xludf.DUMMYFUNCTION("""COMPUTED_VALUE"""),"Lần 5")</f>
        <v>Lần 5</v>
      </c>
      <c r="G1531" s="278">
        <f ca="1">IFERROR(__xludf.DUMMYFUNCTION("""COMPUTED_VALUE"""),46205)</f>
        <v>46205</v>
      </c>
      <c r="H1531" s="35">
        <f ca="1">IFERROR(__xludf.DUMMYFUNCTION("""COMPUTED_VALUE"""),545)</f>
        <v>545</v>
      </c>
      <c r="I1531" s="35">
        <f ca="1">IFERROR(__xludf.DUMMYFUNCTION("""COMPUTED_VALUE"""),63)</f>
        <v>63</v>
      </c>
      <c r="J1531" s="541">
        <f ca="1">IFERROR(__xludf.DUMMYFUNCTION("""COMPUTED_VALUE"""),435)</f>
        <v>435</v>
      </c>
      <c r="K1531" s="541">
        <f ca="1">IFERROR(__xludf.DUMMYFUNCTION("""COMPUTED_VALUE"""),54)</f>
        <v>54</v>
      </c>
      <c r="M1531" s="539">
        <f ca="1">IFERROR(__xludf.DUMMYFUNCTION("""COMPUTED_VALUE"""),1)</f>
        <v>1</v>
      </c>
      <c r="N1531" s="539">
        <f ca="1">IFERROR(__xludf.DUMMYFUNCTION("""COMPUTED_VALUE"""),1)</f>
        <v>1</v>
      </c>
      <c r="O1531" s="539">
        <f ca="1">IFERROR(__xludf.DUMMYFUNCTION("""COMPUTED_VALUE"""),1)</f>
        <v>1</v>
      </c>
    </row>
    <row r="1532" spans="1:15" ht="12.75">
      <c r="A1532" s="539">
        <f ca="1"/>
        <v>1526</v>
      </c>
      <c r="B1532" s="35" t="str">
        <f ca="1">IFERROR(__xludf.DUMMYFUNCTION("""COMPUTED_VALUE"""),"Tổ Hạ tầng Tân Ninh")</f>
        <v>Tổ Hạ tầng Tân Ninh</v>
      </c>
      <c r="C1532" s="35" t="str">
        <f ca="1">IFERROR(__xludf.DUMMYFUNCTION("""COMPUTED_VALUE"""),"Huỳnh Hạo Thiên")</f>
        <v>Huỳnh Hạo Thiên</v>
      </c>
      <c r="D1532" s="35">
        <f ca="1">IFERROR(__xludf.DUMMYFUNCTION("""COMPUTED_VALUE"""),943905906)</f>
        <v>943905906</v>
      </c>
      <c r="E1532" s="35" t="str">
        <f ca="1">IFERROR(__xludf.DUMMYFUNCTION("""COMPUTED_VALUE"""),"thienhh.tnh@vnpt.vn")</f>
        <v>thienhh.tnh@vnpt.vn</v>
      </c>
      <c r="F1532" s="540" t="str">
        <f ca="1">IFERROR(__xludf.DUMMYFUNCTION("""COMPUTED_VALUE"""),"Lần 6")</f>
        <v>Lần 6</v>
      </c>
      <c r="G1532" s="278">
        <f ca="1">IFERROR(__xludf.DUMMYFUNCTION("""COMPUTED_VALUE"""),46205)</f>
        <v>46205</v>
      </c>
      <c r="H1532" s="35">
        <f ca="1">IFERROR(__xludf.DUMMYFUNCTION("""COMPUTED_VALUE"""),467)</f>
        <v>467</v>
      </c>
      <c r="I1532" s="35">
        <f ca="1">IFERROR(__xludf.DUMMYFUNCTION("""COMPUTED_VALUE"""),69)</f>
        <v>69</v>
      </c>
      <c r="J1532" s="541">
        <f ca="1">IFERROR(__xludf.DUMMYFUNCTION("""COMPUTED_VALUE"""),367)</f>
        <v>367</v>
      </c>
      <c r="K1532" s="541">
        <f ca="1">IFERROR(__xludf.DUMMYFUNCTION("""COMPUTED_VALUE"""),53)</f>
        <v>53</v>
      </c>
      <c r="M1532" s="539">
        <f ca="1">IFERROR(__xludf.DUMMYFUNCTION("""COMPUTED_VALUE"""),1)</f>
        <v>1</v>
      </c>
      <c r="N1532" s="539">
        <f ca="1">IFERROR(__xludf.DUMMYFUNCTION("""COMPUTED_VALUE"""),1)</f>
        <v>1</v>
      </c>
      <c r="O1532" s="539">
        <f ca="1">IFERROR(__xludf.DUMMYFUNCTION("""COMPUTED_VALUE"""),1)</f>
        <v>1</v>
      </c>
    </row>
    <row r="1533" spans="1:15" ht="12.75">
      <c r="A1533" s="539">
        <f ca="1"/>
        <v>1527</v>
      </c>
      <c r="B1533" s="35" t="str">
        <f ca="1">IFERROR(__xludf.DUMMYFUNCTION("""COMPUTED_VALUE"""),"Tổ Hạ tầng Tân Ninh")</f>
        <v>Tổ Hạ tầng Tân Ninh</v>
      </c>
      <c r="C1533" s="35" t="str">
        <f ca="1">IFERROR(__xludf.DUMMYFUNCTION("""COMPUTED_VALUE"""),"Huỳnh Hạo Thiên")</f>
        <v>Huỳnh Hạo Thiên</v>
      </c>
      <c r="D1533" s="35">
        <f ca="1">IFERROR(__xludf.DUMMYFUNCTION("""COMPUTED_VALUE"""),943905906)</f>
        <v>943905906</v>
      </c>
      <c r="E1533" s="35" t="str">
        <f ca="1">IFERROR(__xludf.DUMMYFUNCTION("""COMPUTED_VALUE"""),"thienhh.tnh@vnpt.vn")</f>
        <v>thienhh.tnh@vnpt.vn</v>
      </c>
      <c r="F1533" s="540" t="str">
        <f ca="1">IFERROR(__xludf.DUMMYFUNCTION("""COMPUTED_VALUE"""),"Lần 7")</f>
        <v>Lần 7</v>
      </c>
      <c r="G1533" s="278">
        <f ca="1">IFERROR(__xludf.DUMMYFUNCTION("""COMPUTED_VALUE"""),46205)</f>
        <v>46205</v>
      </c>
      <c r="H1533" s="35">
        <f ca="1">IFERROR(__xludf.DUMMYFUNCTION("""COMPUTED_VALUE"""),354)</f>
        <v>354</v>
      </c>
      <c r="I1533" s="35">
        <f ca="1">IFERROR(__xludf.DUMMYFUNCTION("""COMPUTED_VALUE"""),78)</f>
        <v>78</v>
      </c>
      <c r="J1533" s="541">
        <f ca="1">IFERROR(__xludf.DUMMYFUNCTION("""COMPUTED_VALUE"""),298)</f>
        <v>298</v>
      </c>
      <c r="K1533" s="541">
        <f ca="1">IFERROR(__xludf.DUMMYFUNCTION("""COMPUTED_VALUE"""),65)</f>
        <v>65</v>
      </c>
      <c r="M1533" s="539">
        <f ca="1">IFERROR(__xludf.DUMMYFUNCTION("""COMPUTED_VALUE"""),1)</f>
        <v>1</v>
      </c>
      <c r="N1533" s="539">
        <f ca="1">IFERROR(__xludf.DUMMYFUNCTION("""COMPUTED_VALUE"""),1)</f>
        <v>1</v>
      </c>
      <c r="O1533" s="539">
        <f ca="1">IFERROR(__xludf.DUMMYFUNCTION("""COMPUTED_VALUE"""),1)</f>
        <v>1</v>
      </c>
    </row>
    <row r="1534" spans="1:15" ht="12.75">
      <c r="A1534" s="539">
        <f ca="1"/>
        <v>1528</v>
      </c>
      <c r="B1534" s="35" t="str">
        <f ca="1">IFERROR(__xludf.DUMMYFUNCTION("""COMPUTED_VALUE"""),"Tổ Hạ tầng Tân Ninh")</f>
        <v>Tổ Hạ tầng Tân Ninh</v>
      </c>
      <c r="C1534" s="35" t="str">
        <f ca="1">IFERROR(__xludf.DUMMYFUNCTION("""COMPUTED_VALUE"""),"Huỳnh Hạo Thiên")</f>
        <v>Huỳnh Hạo Thiên</v>
      </c>
      <c r="D1534" s="35">
        <f ca="1">IFERROR(__xludf.DUMMYFUNCTION("""COMPUTED_VALUE"""),943905906)</f>
        <v>943905906</v>
      </c>
      <c r="E1534" s="35" t="str">
        <f ca="1">IFERROR(__xludf.DUMMYFUNCTION("""COMPUTED_VALUE"""),"thienhh.tnh@vnpt.vn")</f>
        <v>thienhh.tnh@vnpt.vn</v>
      </c>
      <c r="F1534" s="540" t="str">
        <f ca="1">IFERROR(__xludf.DUMMYFUNCTION("""COMPUTED_VALUE"""),"Lần 8")</f>
        <v>Lần 8</v>
      </c>
      <c r="G1534" s="278">
        <f ca="1">IFERROR(__xludf.DUMMYFUNCTION("""COMPUTED_VALUE"""),46205)</f>
        <v>46205</v>
      </c>
      <c r="H1534" s="35">
        <f ca="1">IFERROR(__xludf.DUMMYFUNCTION("""COMPUTED_VALUE"""),389)</f>
        <v>389</v>
      </c>
      <c r="I1534" s="35">
        <f ca="1">IFERROR(__xludf.DUMMYFUNCTION("""COMPUTED_VALUE"""),87)</f>
        <v>87</v>
      </c>
      <c r="J1534" s="541">
        <f ca="1">IFERROR(__xludf.DUMMYFUNCTION("""COMPUTED_VALUE"""),289)</f>
        <v>289</v>
      </c>
      <c r="K1534" s="541">
        <f ca="1">IFERROR(__xludf.DUMMYFUNCTION("""COMPUTED_VALUE"""),67)</f>
        <v>67</v>
      </c>
      <c r="M1534" s="539">
        <f ca="1">IFERROR(__xludf.DUMMYFUNCTION("""COMPUTED_VALUE"""),1)</f>
        <v>1</v>
      </c>
      <c r="N1534" s="539">
        <f ca="1">IFERROR(__xludf.DUMMYFUNCTION("""COMPUTED_VALUE"""),1)</f>
        <v>1</v>
      </c>
      <c r="O1534" s="539">
        <f ca="1">IFERROR(__xludf.DUMMYFUNCTION("""COMPUTED_VALUE"""),1)</f>
        <v>1</v>
      </c>
    </row>
    <row r="1535" spans="1:15" ht="12.75">
      <c r="A1535" s="539">
        <f ca="1"/>
        <v>1529</v>
      </c>
      <c r="B1535" s="35" t="str">
        <f ca="1">IFERROR(__xludf.DUMMYFUNCTION("""COMPUTED_VALUE"""),"Tổ Hạ tầng Tân Ninh")</f>
        <v>Tổ Hạ tầng Tân Ninh</v>
      </c>
      <c r="C1535" s="35" t="str">
        <f ca="1">IFERROR(__xludf.DUMMYFUNCTION("""COMPUTED_VALUE"""),"Huỳnh Hạo Thiên")</f>
        <v>Huỳnh Hạo Thiên</v>
      </c>
      <c r="D1535" s="35">
        <f ca="1">IFERROR(__xludf.DUMMYFUNCTION("""COMPUTED_VALUE"""),943905906)</f>
        <v>943905906</v>
      </c>
      <c r="E1535" s="35" t="str">
        <f ca="1">IFERROR(__xludf.DUMMYFUNCTION("""COMPUTED_VALUE"""),"thienhh.tnh@vnpt.vn")</f>
        <v>thienhh.tnh@vnpt.vn</v>
      </c>
      <c r="F1535" s="540" t="str">
        <f ca="1">IFERROR(__xludf.DUMMYFUNCTION("""COMPUTED_VALUE"""),"Lần 9")</f>
        <v>Lần 9</v>
      </c>
      <c r="G1535" s="278">
        <f ca="1">IFERROR(__xludf.DUMMYFUNCTION("""COMPUTED_VALUE"""),46206)</f>
        <v>46206</v>
      </c>
      <c r="H1535" s="35">
        <f ca="1">IFERROR(__xludf.DUMMYFUNCTION("""COMPUTED_VALUE"""),465)</f>
        <v>465</v>
      </c>
      <c r="I1535" s="35">
        <f ca="1">IFERROR(__xludf.DUMMYFUNCTION("""COMPUTED_VALUE"""),68)</f>
        <v>68</v>
      </c>
      <c r="J1535" s="541">
        <f ca="1">IFERROR(__xludf.DUMMYFUNCTION("""COMPUTED_VALUE"""),378)</f>
        <v>378</v>
      </c>
      <c r="K1535" s="541">
        <f ca="1">IFERROR(__xludf.DUMMYFUNCTION("""COMPUTED_VALUE"""),59)</f>
        <v>59</v>
      </c>
      <c r="M1535" s="539">
        <f ca="1">IFERROR(__xludf.DUMMYFUNCTION("""COMPUTED_VALUE"""),1)</f>
        <v>1</v>
      </c>
      <c r="N1535" s="539">
        <f ca="1">IFERROR(__xludf.DUMMYFUNCTION("""COMPUTED_VALUE"""),1)</f>
        <v>1</v>
      </c>
      <c r="O1535" s="539">
        <f ca="1">IFERROR(__xludf.DUMMYFUNCTION("""COMPUTED_VALUE"""),1)</f>
        <v>1</v>
      </c>
    </row>
    <row r="1536" spans="1:15" ht="12.75">
      <c r="A1536" s="539">
        <f ca="1"/>
        <v>1530</v>
      </c>
      <c r="B1536" s="35" t="str">
        <f ca="1">IFERROR(__xludf.DUMMYFUNCTION("""COMPUTED_VALUE"""),"Tổ Hạ tầng Tân Ninh")</f>
        <v>Tổ Hạ tầng Tân Ninh</v>
      </c>
      <c r="C1536" s="35" t="str">
        <f ca="1">IFERROR(__xludf.DUMMYFUNCTION("""COMPUTED_VALUE"""),"Huỳnh Hạo Thiên")</f>
        <v>Huỳnh Hạo Thiên</v>
      </c>
      <c r="D1536" s="35">
        <f ca="1">IFERROR(__xludf.DUMMYFUNCTION("""COMPUTED_VALUE"""),943905906)</f>
        <v>943905906</v>
      </c>
      <c r="E1536" s="35" t="str">
        <f ca="1">IFERROR(__xludf.DUMMYFUNCTION("""COMPUTED_VALUE"""),"thienhh.tnh@vnpt.vn")</f>
        <v>thienhh.tnh@vnpt.vn</v>
      </c>
      <c r="F1536" s="540" t="str">
        <f ca="1">IFERROR(__xludf.DUMMYFUNCTION("""COMPUTED_VALUE"""),"Lần 10")</f>
        <v>Lần 10</v>
      </c>
      <c r="G1536" s="278">
        <f ca="1">IFERROR(__xludf.DUMMYFUNCTION("""COMPUTED_VALUE"""),46206)</f>
        <v>46206</v>
      </c>
      <c r="H1536" s="35">
        <f ca="1">IFERROR(__xludf.DUMMYFUNCTION("""COMPUTED_VALUE"""),487)</f>
        <v>487</v>
      </c>
      <c r="I1536" s="35">
        <f ca="1">IFERROR(__xludf.DUMMYFUNCTION("""COMPUTED_VALUE"""),65)</f>
        <v>65</v>
      </c>
      <c r="J1536" s="541">
        <f ca="1">IFERROR(__xludf.DUMMYFUNCTION("""COMPUTED_VALUE"""),378)</f>
        <v>378</v>
      </c>
      <c r="K1536" s="541">
        <f ca="1">IFERROR(__xludf.DUMMYFUNCTION("""COMPUTED_VALUE"""),58)</f>
        <v>58</v>
      </c>
      <c r="M1536" s="539">
        <f ca="1">IFERROR(__xludf.DUMMYFUNCTION("""COMPUTED_VALUE"""),1)</f>
        <v>1</v>
      </c>
      <c r="N1536" s="539">
        <f ca="1">IFERROR(__xludf.DUMMYFUNCTION("""COMPUTED_VALUE"""),1)</f>
        <v>1</v>
      </c>
      <c r="O1536" s="539">
        <f ca="1">IFERROR(__xludf.DUMMYFUNCTION("""COMPUTED_VALUE"""),1)</f>
        <v>1</v>
      </c>
    </row>
    <row r="1537" spans="1:15" ht="12.75">
      <c r="A1537" s="539">
        <f ca="1"/>
        <v>1531</v>
      </c>
      <c r="B1537" s="35" t="str">
        <f ca="1">IFERROR(__xludf.DUMMYFUNCTION("""COMPUTED_VALUE"""),"Tổ Hạ tầng Tân Ninh")</f>
        <v>Tổ Hạ tầng Tân Ninh</v>
      </c>
      <c r="C1537" s="35" t="str">
        <f ca="1">IFERROR(__xludf.DUMMYFUNCTION("""COMPUTED_VALUE"""),"Huỳnh Hạo Thiên")</f>
        <v>Huỳnh Hạo Thiên</v>
      </c>
      <c r="D1537" s="35">
        <f ca="1">IFERROR(__xludf.DUMMYFUNCTION("""COMPUTED_VALUE"""),943905906)</f>
        <v>943905906</v>
      </c>
      <c r="E1537" s="35" t="str">
        <f ca="1">IFERROR(__xludf.DUMMYFUNCTION("""COMPUTED_VALUE"""),"thienhh.tnh@vnpt.vn")</f>
        <v>thienhh.tnh@vnpt.vn</v>
      </c>
      <c r="F1537" s="540" t="str">
        <f ca="1">IFERROR(__xludf.DUMMYFUNCTION("""COMPUTED_VALUE"""),"Lần 11")</f>
        <v>Lần 11</v>
      </c>
      <c r="G1537" s="278">
        <f ca="1">IFERROR(__xludf.DUMMYFUNCTION("""COMPUTED_VALUE"""),46206)</f>
        <v>46206</v>
      </c>
      <c r="H1537" s="35">
        <f ca="1">IFERROR(__xludf.DUMMYFUNCTION("""COMPUTED_VALUE"""),365)</f>
        <v>365</v>
      </c>
      <c r="I1537" s="35">
        <f ca="1">IFERROR(__xludf.DUMMYFUNCTION("""COMPUTED_VALUE"""),73)</f>
        <v>73</v>
      </c>
      <c r="J1537" s="541">
        <f ca="1">IFERROR(__xludf.DUMMYFUNCTION("""COMPUTED_VALUE"""),302)</f>
        <v>302</v>
      </c>
      <c r="K1537" s="541">
        <f ca="1">IFERROR(__xludf.DUMMYFUNCTION("""COMPUTED_VALUE"""),64)</f>
        <v>64</v>
      </c>
      <c r="M1537" s="539">
        <f ca="1">IFERROR(__xludf.DUMMYFUNCTION("""COMPUTED_VALUE"""),1)</f>
        <v>1</v>
      </c>
      <c r="N1537" s="539">
        <f ca="1">IFERROR(__xludf.DUMMYFUNCTION("""COMPUTED_VALUE"""),1)</f>
        <v>1</v>
      </c>
      <c r="O1537" s="539">
        <f ca="1">IFERROR(__xludf.DUMMYFUNCTION("""COMPUTED_VALUE"""),1)</f>
        <v>1</v>
      </c>
    </row>
    <row r="1538" spans="1:15" ht="12.75">
      <c r="A1538" s="539">
        <f ca="1"/>
        <v>1532</v>
      </c>
      <c r="B1538" s="35" t="str">
        <f ca="1">IFERROR(__xludf.DUMMYFUNCTION("""COMPUTED_VALUE"""),"Tổ Hạ tầng Tân Ninh")</f>
        <v>Tổ Hạ tầng Tân Ninh</v>
      </c>
      <c r="C1538" s="35" t="str">
        <f ca="1">IFERROR(__xludf.DUMMYFUNCTION("""COMPUTED_VALUE"""),"Huỳnh Hạo Thiên")</f>
        <v>Huỳnh Hạo Thiên</v>
      </c>
      <c r="D1538" s="35">
        <f ca="1">IFERROR(__xludf.DUMMYFUNCTION("""COMPUTED_VALUE"""),943905906)</f>
        <v>943905906</v>
      </c>
      <c r="E1538" s="35" t="str">
        <f ca="1">IFERROR(__xludf.DUMMYFUNCTION("""COMPUTED_VALUE"""),"thienhh.tnh@vnpt.vn")</f>
        <v>thienhh.tnh@vnpt.vn</v>
      </c>
      <c r="F1538" s="540" t="str">
        <f ca="1">IFERROR(__xludf.DUMMYFUNCTION("""COMPUTED_VALUE"""),"Lần 12")</f>
        <v>Lần 12</v>
      </c>
      <c r="G1538" s="278">
        <f ca="1">IFERROR(__xludf.DUMMYFUNCTION("""COMPUTED_VALUE"""),46206)</f>
        <v>46206</v>
      </c>
      <c r="H1538" s="35">
        <f ca="1">IFERROR(__xludf.DUMMYFUNCTION("""COMPUTED_VALUE"""),389)</f>
        <v>389</v>
      </c>
      <c r="I1538" s="35">
        <f ca="1">IFERROR(__xludf.DUMMYFUNCTION("""COMPUTED_VALUE"""),62)</f>
        <v>62</v>
      </c>
      <c r="J1538" s="541">
        <f ca="1">IFERROR(__xludf.DUMMYFUNCTION("""COMPUTED_VALUE"""),311)</f>
        <v>311</v>
      </c>
      <c r="K1538" s="541">
        <f ca="1">IFERROR(__xludf.DUMMYFUNCTION("""COMPUTED_VALUE"""),53)</f>
        <v>53</v>
      </c>
      <c r="M1538" s="539">
        <f ca="1">IFERROR(__xludf.DUMMYFUNCTION("""COMPUTED_VALUE"""),1)</f>
        <v>1</v>
      </c>
      <c r="N1538" s="539">
        <f ca="1">IFERROR(__xludf.DUMMYFUNCTION("""COMPUTED_VALUE"""),1)</f>
        <v>1</v>
      </c>
      <c r="O1538" s="539">
        <f ca="1">IFERROR(__xludf.DUMMYFUNCTION("""COMPUTED_VALUE"""),1)</f>
        <v>1</v>
      </c>
    </row>
    <row r="1539" spans="1:15" ht="12.75">
      <c r="A1539" s="539">
        <f ca="1"/>
        <v>1533</v>
      </c>
      <c r="B1539" s="35" t="str">
        <f ca="1">IFERROR(__xludf.DUMMYFUNCTION("""COMPUTED_VALUE"""),"Tổ Hạ tầng Tân Ninh")</f>
        <v>Tổ Hạ tầng Tân Ninh</v>
      </c>
      <c r="C1539" s="35" t="str">
        <f ca="1">IFERROR(__xludf.DUMMYFUNCTION("""COMPUTED_VALUE"""),"Huỳnh Hạo Thiên")</f>
        <v>Huỳnh Hạo Thiên</v>
      </c>
      <c r="D1539" s="35">
        <f ca="1">IFERROR(__xludf.DUMMYFUNCTION("""COMPUTED_VALUE"""),943905906)</f>
        <v>943905906</v>
      </c>
      <c r="E1539" s="35" t="str">
        <f ca="1">IFERROR(__xludf.DUMMYFUNCTION("""COMPUTED_VALUE"""),"thienhh.tnh@vnpt.vn")</f>
        <v>thienhh.tnh@vnpt.vn</v>
      </c>
      <c r="F1539" s="540" t="str">
        <f ca="1">IFERROR(__xludf.DUMMYFUNCTION("""COMPUTED_VALUE"""),"Lần 13")</f>
        <v>Lần 13</v>
      </c>
      <c r="G1539" s="278">
        <f ca="1">IFERROR(__xludf.DUMMYFUNCTION("""COMPUTED_VALUE"""),46212)</f>
        <v>46212</v>
      </c>
      <c r="H1539" s="35">
        <f ca="1">IFERROR(__xludf.DUMMYFUNCTION("""COMPUTED_VALUE"""),223)</f>
        <v>223</v>
      </c>
      <c r="I1539" s="35">
        <f ca="1">IFERROR(__xludf.DUMMYFUNCTION("""COMPUTED_VALUE"""),56)</f>
        <v>56</v>
      </c>
      <c r="J1539" s="541">
        <f ca="1">IFERROR(__xludf.DUMMYFUNCTION("""COMPUTED_VALUE"""),335)</f>
        <v>335</v>
      </c>
      <c r="K1539" s="541">
        <f ca="1">IFERROR(__xludf.DUMMYFUNCTION("""COMPUTED_VALUE"""),89)</f>
        <v>89</v>
      </c>
      <c r="M1539" s="539">
        <f ca="1">IFERROR(__xludf.DUMMYFUNCTION("""COMPUTED_VALUE"""),1)</f>
        <v>1</v>
      </c>
      <c r="N1539" s="539">
        <f ca="1">IFERROR(__xludf.DUMMYFUNCTION("""COMPUTED_VALUE"""),1)</f>
        <v>1</v>
      </c>
      <c r="O1539" s="539">
        <f ca="1">IFERROR(__xludf.DUMMYFUNCTION("""COMPUTED_VALUE"""),1)</f>
        <v>1</v>
      </c>
    </row>
    <row r="1540" spans="1:15" ht="12.75">
      <c r="A1540" s="539">
        <f ca="1"/>
        <v>1534</v>
      </c>
      <c r="B1540" s="35" t="str">
        <f ca="1">IFERROR(__xludf.DUMMYFUNCTION("""COMPUTED_VALUE"""),"Tổ Hạ tầng Tân Ninh")</f>
        <v>Tổ Hạ tầng Tân Ninh</v>
      </c>
      <c r="C1540" s="35" t="str">
        <f ca="1">IFERROR(__xludf.DUMMYFUNCTION("""COMPUTED_VALUE"""),"Huỳnh Hạo Thiên")</f>
        <v>Huỳnh Hạo Thiên</v>
      </c>
      <c r="D1540" s="35">
        <f ca="1">IFERROR(__xludf.DUMMYFUNCTION("""COMPUTED_VALUE"""),943905906)</f>
        <v>943905906</v>
      </c>
      <c r="E1540" s="35" t="str">
        <f ca="1">IFERROR(__xludf.DUMMYFUNCTION("""COMPUTED_VALUE"""),"thienhh.tnh@vnpt.vn")</f>
        <v>thienhh.tnh@vnpt.vn</v>
      </c>
      <c r="F1540" s="540" t="str">
        <f ca="1">IFERROR(__xludf.DUMMYFUNCTION("""COMPUTED_VALUE"""),"Lần 14")</f>
        <v>Lần 14</v>
      </c>
      <c r="G1540" s="278">
        <f ca="1">IFERROR(__xludf.DUMMYFUNCTION("""COMPUTED_VALUE"""),46212)</f>
        <v>46212</v>
      </c>
      <c r="H1540" s="35">
        <f ca="1">IFERROR(__xludf.DUMMYFUNCTION("""COMPUTED_VALUE"""),242)</f>
        <v>242</v>
      </c>
      <c r="I1540" s="35">
        <f ca="1">IFERROR(__xludf.DUMMYFUNCTION("""COMPUTED_VALUE"""),56)</f>
        <v>56</v>
      </c>
      <c r="J1540" s="541">
        <f ca="1">IFERROR(__xludf.DUMMYFUNCTION("""COMPUTED_VALUE"""),335)</f>
        <v>335</v>
      </c>
      <c r="K1540" s="541">
        <f ca="1">IFERROR(__xludf.DUMMYFUNCTION("""COMPUTED_VALUE"""),87)</f>
        <v>87</v>
      </c>
      <c r="M1540" s="539">
        <f ca="1">IFERROR(__xludf.DUMMYFUNCTION("""COMPUTED_VALUE"""),1)</f>
        <v>1</v>
      </c>
      <c r="N1540" s="539">
        <f ca="1">IFERROR(__xludf.DUMMYFUNCTION("""COMPUTED_VALUE"""),1)</f>
        <v>1</v>
      </c>
      <c r="O1540" s="539">
        <f ca="1">IFERROR(__xludf.DUMMYFUNCTION("""COMPUTED_VALUE"""),1)</f>
        <v>1</v>
      </c>
    </row>
    <row r="1541" spans="1:15" ht="12.75">
      <c r="A1541" s="539">
        <f ca="1"/>
        <v>1535</v>
      </c>
      <c r="B1541" s="35" t="str">
        <f ca="1">IFERROR(__xludf.DUMMYFUNCTION("""COMPUTED_VALUE"""),"Tổ Hạ tầng Tân Ninh")</f>
        <v>Tổ Hạ tầng Tân Ninh</v>
      </c>
      <c r="C1541" s="35" t="str">
        <f ca="1">IFERROR(__xludf.DUMMYFUNCTION("""COMPUTED_VALUE"""),"Huỳnh Hạo Thiên")</f>
        <v>Huỳnh Hạo Thiên</v>
      </c>
      <c r="D1541" s="35">
        <f ca="1">IFERROR(__xludf.DUMMYFUNCTION("""COMPUTED_VALUE"""),943905906)</f>
        <v>943905906</v>
      </c>
      <c r="E1541" s="35" t="str">
        <f ca="1">IFERROR(__xludf.DUMMYFUNCTION("""COMPUTED_VALUE"""),"thienhh.tnh@vnpt.vn")</f>
        <v>thienhh.tnh@vnpt.vn</v>
      </c>
      <c r="F1541" s="540" t="str">
        <f ca="1">IFERROR(__xludf.DUMMYFUNCTION("""COMPUTED_VALUE"""),"Lần 15")</f>
        <v>Lần 15</v>
      </c>
      <c r="G1541" s="278">
        <f ca="1">IFERROR(__xludf.DUMMYFUNCTION("""COMPUTED_VALUE"""),46212)</f>
        <v>46212</v>
      </c>
      <c r="H1541" s="35">
        <f ca="1">IFERROR(__xludf.DUMMYFUNCTION("""COMPUTED_VALUE"""),234)</f>
        <v>234</v>
      </c>
      <c r="I1541" s="35">
        <f ca="1">IFERROR(__xludf.DUMMYFUNCTION("""COMPUTED_VALUE"""),57)</f>
        <v>57</v>
      </c>
      <c r="J1541" s="35">
        <f ca="1">IFERROR(__xludf.DUMMYFUNCTION("""COMPUTED_VALUE"""),354)</f>
        <v>354</v>
      </c>
      <c r="K1541" s="35">
        <f ca="1">IFERROR(__xludf.DUMMYFUNCTION("""COMPUTED_VALUE"""),76)</f>
        <v>76</v>
      </c>
      <c r="M1541" s="539">
        <f ca="1">IFERROR(__xludf.DUMMYFUNCTION("""COMPUTED_VALUE"""),1)</f>
        <v>1</v>
      </c>
      <c r="N1541" s="539">
        <f ca="1">IFERROR(__xludf.DUMMYFUNCTION("""COMPUTED_VALUE"""),1)</f>
        <v>1</v>
      </c>
      <c r="O1541" s="539">
        <f ca="1">IFERROR(__xludf.DUMMYFUNCTION("""COMPUTED_VALUE"""),1)</f>
        <v>1</v>
      </c>
    </row>
    <row r="1542" spans="1:15" ht="12.75">
      <c r="A1542" s="539">
        <f ca="1"/>
        <v>1536</v>
      </c>
      <c r="B1542" s="35" t="str">
        <f ca="1">IFERROR(__xludf.DUMMYFUNCTION("""COMPUTED_VALUE"""),"Tổ Hạ tầng Tân Ninh")</f>
        <v>Tổ Hạ tầng Tân Ninh</v>
      </c>
      <c r="C1542" s="35" t="str">
        <f ca="1">IFERROR(__xludf.DUMMYFUNCTION("""COMPUTED_VALUE"""),"Huỳnh Hạo Thiên")</f>
        <v>Huỳnh Hạo Thiên</v>
      </c>
      <c r="D1542" s="35">
        <f ca="1">IFERROR(__xludf.DUMMYFUNCTION("""COMPUTED_VALUE"""),943905906)</f>
        <v>943905906</v>
      </c>
      <c r="E1542" s="35" t="str">
        <f ca="1">IFERROR(__xludf.DUMMYFUNCTION("""COMPUTED_VALUE"""),"thienhh.tnh@vnpt.vn")</f>
        <v>thienhh.tnh@vnpt.vn</v>
      </c>
      <c r="F1542" s="540" t="str">
        <f ca="1">IFERROR(__xludf.DUMMYFUNCTION("""COMPUTED_VALUE"""),"Lần 16")</f>
        <v>Lần 16</v>
      </c>
      <c r="G1542" s="278">
        <f ca="1">IFERROR(__xludf.DUMMYFUNCTION("""COMPUTED_VALUE"""),46212)</f>
        <v>46212</v>
      </c>
      <c r="H1542" s="35">
        <f ca="1">IFERROR(__xludf.DUMMYFUNCTION("""COMPUTED_VALUE"""),245)</f>
        <v>245</v>
      </c>
      <c r="I1542" s="35">
        <f ca="1">IFERROR(__xludf.DUMMYFUNCTION("""COMPUTED_VALUE"""),56)</f>
        <v>56</v>
      </c>
      <c r="J1542" s="35">
        <f ca="1">IFERROR(__xludf.DUMMYFUNCTION("""COMPUTED_VALUE"""),367)</f>
        <v>367</v>
      </c>
      <c r="K1542" s="35">
        <f ca="1">IFERROR(__xludf.DUMMYFUNCTION("""COMPUTED_VALUE"""),78)</f>
        <v>78</v>
      </c>
      <c r="M1542" s="539">
        <f ca="1">IFERROR(__xludf.DUMMYFUNCTION("""COMPUTED_VALUE"""),1)</f>
        <v>1</v>
      </c>
      <c r="N1542" s="539">
        <f ca="1">IFERROR(__xludf.DUMMYFUNCTION("""COMPUTED_VALUE"""),1)</f>
        <v>1</v>
      </c>
      <c r="O1542" s="539">
        <f ca="1">IFERROR(__xludf.DUMMYFUNCTION("""COMPUTED_VALUE"""),1)</f>
        <v>1</v>
      </c>
    </row>
    <row r="1543" spans="1:15" ht="12.75">
      <c r="A1543" s="539">
        <f ca="1"/>
        <v>1537</v>
      </c>
      <c r="B1543" s="35" t="str">
        <f ca="1">IFERROR(__xludf.DUMMYFUNCTION("""COMPUTED_VALUE"""),"Tổ Hạ tầng Tân Ninh")</f>
        <v>Tổ Hạ tầng Tân Ninh</v>
      </c>
      <c r="C1543" s="35" t="str">
        <f ca="1">IFERROR(__xludf.DUMMYFUNCTION("""COMPUTED_VALUE"""),"Trương Đình Lợi")</f>
        <v>Trương Đình Lợi</v>
      </c>
      <c r="D1543" s="35">
        <f ca="1">IFERROR(__xludf.DUMMYFUNCTION("""COMPUTED_VALUE"""),948737488)</f>
        <v>948737488</v>
      </c>
      <c r="E1543" s="35" t="str">
        <f ca="1">IFERROR(__xludf.DUMMYFUNCTION("""COMPUTED_VALUE"""),"loitd.tnh@vnpt.vn")</f>
        <v>loitd.tnh@vnpt.vn</v>
      </c>
      <c r="F1543" s="540" t="str">
        <f ca="1">IFERROR(__xludf.DUMMYFUNCTION("""COMPUTED_VALUE"""),"Lần 1")</f>
        <v>Lần 1</v>
      </c>
      <c r="G1543" s="278"/>
      <c r="H1543" s="35"/>
      <c r="I1543" s="35"/>
      <c r="J1543" s="35"/>
      <c r="K1543" s="35"/>
      <c r="M1543" s="539">
        <f ca="1">IFERROR(__xludf.DUMMYFUNCTION("""COMPUTED_VALUE"""),0)</f>
        <v>0</v>
      </c>
      <c r="N1543" s="539">
        <f ca="1">IFERROR(__xludf.DUMMYFUNCTION("""COMPUTED_VALUE"""),0)</f>
        <v>0</v>
      </c>
      <c r="O1543" s="539">
        <f ca="1">IFERROR(__xludf.DUMMYFUNCTION("""COMPUTED_VALUE"""),0)</f>
        <v>0</v>
      </c>
    </row>
    <row r="1544" spans="1:15" ht="12.75">
      <c r="A1544" s="539">
        <f ca="1"/>
        <v>1538</v>
      </c>
      <c r="B1544" s="35" t="str">
        <f ca="1">IFERROR(__xludf.DUMMYFUNCTION("""COMPUTED_VALUE"""),"Tổ Hạ tầng Tân Ninh")</f>
        <v>Tổ Hạ tầng Tân Ninh</v>
      </c>
      <c r="C1544" s="35" t="str">
        <f ca="1">IFERROR(__xludf.DUMMYFUNCTION("""COMPUTED_VALUE"""),"Trương Đình Lợi")</f>
        <v>Trương Đình Lợi</v>
      </c>
      <c r="D1544" s="35">
        <f ca="1">IFERROR(__xludf.DUMMYFUNCTION("""COMPUTED_VALUE"""),948737488)</f>
        <v>948737488</v>
      </c>
      <c r="E1544" s="35" t="str">
        <f ca="1">IFERROR(__xludf.DUMMYFUNCTION("""COMPUTED_VALUE"""),"loitd.tnh@vnpt.vn")</f>
        <v>loitd.tnh@vnpt.vn</v>
      </c>
      <c r="F1544" s="540" t="str">
        <f ca="1">IFERROR(__xludf.DUMMYFUNCTION("""COMPUTED_VALUE"""),"Lần 2")</f>
        <v>Lần 2</v>
      </c>
      <c r="G1544" s="278"/>
      <c r="H1544" s="35"/>
      <c r="I1544" s="35"/>
      <c r="J1544" s="35"/>
      <c r="K1544" s="35"/>
      <c r="M1544" s="539">
        <f ca="1">IFERROR(__xludf.DUMMYFUNCTION("""COMPUTED_VALUE"""),0)</f>
        <v>0</v>
      </c>
      <c r="N1544" s="539">
        <f ca="1">IFERROR(__xludf.DUMMYFUNCTION("""COMPUTED_VALUE"""),0)</f>
        <v>0</v>
      </c>
      <c r="O1544" s="539">
        <f ca="1">IFERROR(__xludf.DUMMYFUNCTION("""COMPUTED_VALUE"""),0)</f>
        <v>0</v>
      </c>
    </row>
    <row r="1545" spans="1:15" ht="12.75">
      <c r="A1545" s="539">
        <f ca="1"/>
        <v>1539</v>
      </c>
      <c r="B1545" s="35" t="str">
        <f ca="1">IFERROR(__xludf.DUMMYFUNCTION("""COMPUTED_VALUE"""),"Tổ Hạ tầng Tân Ninh")</f>
        <v>Tổ Hạ tầng Tân Ninh</v>
      </c>
      <c r="C1545" s="35" t="str">
        <f ca="1">IFERROR(__xludf.DUMMYFUNCTION("""COMPUTED_VALUE"""),"Trương Đình Lợi")</f>
        <v>Trương Đình Lợi</v>
      </c>
      <c r="D1545" s="35">
        <f ca="1">IFERROR(__xludf.DUMMYFUNCTION("""COMPUTED_VALUE"""),948737488)</f>
        <v>948737488</v>
      </c>
      <c r="E1545" s="35" t="str">
        <f ca="1">IFERROR(__xludf.DUMMYFUNCTION("""COMPUTED_VALUE"""),"loitd.tnh@vnpt.vn")</f>
        <v>loitd.tnh@vnpt.vn</v>
      </c>
      <c r="F1545" s="540" t="str">
        <f ca="1">IFERROR(__xludf.DUMMYFUNCTION("""COMPUTED_VALUE"""),"Lần 3")</f>
        <v>Lần 3</v>
      </c>
      <c r="G1545" s="278"/>
      <c r="H1545" s="35"/>
      <c r="I1545" s="35"/>
      <c r="J1545" s="35"/>
      <c r="K1545" s="35"/>
      <c r="M1545" s="539">
        <f ca="1">IFERROR(__xludf.DUMMYFUNCTION("""COMPUTED_VALUE"""),0)</f>
        <v>0</v>
      </c>
      <c r="N1545" s="539">
        <f ca="1">IFERROR(__xludf.DUMMYFUNCTION("""COMPUTED_VALUE"""),0)</f>
        <v>0</v>
      </c>
      <c r="O1545" s="539">
        <f ca="1">IFERROR(__xludf.DUMMYFUNCTION("""COMPUTED_VALUE"""),0)</f>
        <v>0</v>
      </c>
    </row>
    <row r="1546" spans="1:15" ht="12.75">
      <c r="A1546" s="539">
        <f ca="1"/>
        <v>1540</v>
      </c>
      <c r="B1546" s="35" t="str">
        <f ca="1">IFERROR(__xludf.DUMMYFUNCTION("""COMPUTED_VALUE"""),"Tổ Hạ tầng Tân Ninh")</f>
        <v>Tổ Hạ tầng Tân Ninh</v>
      </c>
      <c r="C1546" s="35" t="str">
        <f ca="1">IFERROR(__xludf.DUMMYFUNCTION("""COMPUTED_VALUE"""),"Trương Đình Lợi")</f>
        <v>Trương Đình Lợi</v>
      </c>
      <c r="D1546" s="35">
        <f ca="1">IFERROR(__xludf.DUMMYFUNCTION("""COMPUTED_VALUE"""),948737488)</f>
        <v>948737488</v>
      </c>
      <c r="E1546" s="35" t="str">
        <f ca="1">IFERROR(__xludf.DUMMYFUNCTION("""COMPUTED_VALUE"""),"loitd.tnh@vnpt.vn")</f>
        <v>loitd.tnh@vnpt.vn</v>
      </c>
      <c r="F1546" s="540" t="str">
        <f ca="1">IFERROR(__xludf.DUMMYFUNCTION("""COMPUTED_VALUE"""),"Lần 4")</f>
        <v>Lần 4</v>
      </c>
      <c r="G1546" s="278"/>
      <c r="H1546" s="35"/>
      <c r="I1546" s="35"/>
      <c r="J1546" s="541"/>
      <c r="K1546" s="541"/>
      <c r="M1546" s="539">
        <f ca="1">IFERROR(__xludf.DUMMYFUNCTION("""COMPUTED_VALUE"""),0)</f>
        <v>0</v>
      </c>
      <c r="N1546" s="539">
        <f ca="1">IFERROR(__xludf.DUMMYFUNCTION("""COMPUTED_VALUE"""),0)</f>
        <v>0</v>
      </c>
      <c r="O1546" s="539">
        <f ca="1">IFERROR(__xludf.DUMMYFUNCTION("""COMPUTED_VALUE"""),0)</f>
        <v>0</v>
      </c>
    </row>
    <row r="1547" spans="1:15" ht="12.75">
      <c r="A1547" s="539">
        <f ca="1"/>
        <v>1541</v>
      </c>
      <c r="B1547" s="35" t="str">
        <f ca="1">IFERROR(__xludf.DUMMYFUNCTION("""COMPUTED_VALUE"""),"Tổ Hạ tầng Tân Ninh")</f>
        <v>Tổ Hạ tầng Tân Ninh</v>
      </c>
      <c r="C1547" s="35" t="str">
        <f ca="1">IFERROR(__xludf.DUMMYFUNCTION("""COMPUTED_VALUE"""),"Trương Đình Lợi")</f>
        <v>Trương Đình Lợi</v>
      </c>
      <c r="D1547" s="35">
        <f ca="1">IFERROR(__xludf.DUMMYFUNCTION("""COMPUTED_VALUE"""),948737488)</f>
        <v>948737488</v>
      </c>
      <c r="E1547" s="35" t="str">
        <f ca="1">IFERROR(__xludf.DUMMYFUNCTION("""COMPUTED_VALUE"""),"loitd.tnh@vnpt.vn")</f>
        <v>loitd.tnh@vnpt.vn</v>
      </c>
      <c r="F1547" s="540" t="str">
        <f ca="1">IFERROR(__xludf.DUMMYFUNCTION("""COMPUTED_VALUE"""),"Lần 5")</f>
        <v>Lần 5</v>
      </c>
      <c r="G1547" s="278"/>
      <c r="H1547" s="35"/>
      <c r="I1547" s="35"/>
      <c r="J1547" s="541"/>
      <c r="K1547" s="541"/>
      <c r="M1547" s="539">
        <f ca="1">IFERROR(__xludf.DUMMYFUNCTION("""COMPUTED_VALUE"""),0)</f>
        <v>0</v>
      </c>
      <c r="N1547" s="539">
        <f ca="1">IFERROR(__xludf.DUMMYFUNCTION("""COMPUTED_VALUE"""),0)</f>
        <v>0</v>
      </c>
      <c r="O1547" s="539">
        <f ca="1">IFERROR(__xludf.DUMMYFUNCTION("""COMPUTED_VALUE"""),0)</f>
        <v>0</v>
      </c>
    </row>
    <row r="1548" spans="1:15" ht="12.75">
      <c r="A1548" s="539">
        <f ca="1"/>
        <v>1542</v>
      </c>
      <c r="B1548" s="35" t="str">
        <f ca="1">IFERROR(__xludf.DUMMYFUNCTION("""COMPUTED_VALUE"""),"Tổ Hạ tầng Tân Ninh")</f>
        <v>Tổ Hạ tầng Tân Ninh</v>
      </c>
      <c r="C1548" s="35" t="str">
        <f ca="1">IFERROR(__xludf.DUMMYFUNCTION("""COMPUTED_VALUE"""),"Trương Đình Lợi")</f>
        <v>Trương Đình Lợi</v>
      </c>
      <c r="D1548" s="35">
        <f ca="1">IFERROR(__xludf.DUMMYFUNCTION("""COMPUTED_VALUE"""),948737488)</f>
        <v>948737488</v>
      </c>
      <c r="E1548" s="35" t="str">
        <f ca="1">IFERROR(__xludf.DUMMYFUNCTION("""COMPUTED_VALUE"""),"loitd.tnh@vnpt.vn")</f>
        <v>loitd.tnh@vnpt.vn</v>
      </c>
      <c r="F1548" s="540" t="str">
        <f ca="1">IFERROR(__xludf.DUMMYFUNCTION("""COMPUTED_VALUE"""),"Lần 6")</f>
        <v>Lần 6</v>
      </c>
      <c r="G1548" s="278"/>
      <c r="H1548" s="35"/>
      <c r="I1548" s="35"/>
      <c r="J1548" s="541"/>
      <c r="K1548" s="541"/>
      <c r="M1548" s="539">
        <f ca="1">IFERROR(__xludf.DUMMYFUNCTION("""COMPUTED_VALUE"""),0)</f>
        <v>0</v>
      </c>
      <c r="N1548" s="539">
        <f ca="1">IFERROR(__xludf.DUMMYFUNCTION("""COMPUTED_VALUE"""),0)</f>
        <v>0</v>
      </c>
      <c r="O1548" s="539">
        <f ca="1">IFERROR(__xludf.DUMMYFUNCTION("""COMPUTED_VALUE"""),0)</f>
        <v>0</v>
      </c>
    </row>
    <row r="1549" spans="1:15" ht="12.75">
      <c r="A1549" s="539">
        <f ca="1"/>
        <v>1543</v>
      </c>
      <c r="B1549" s="35" t="str">
        <f ca="1">IFERROR(__xludf.DUMMYFUNCTION("""COMPUTED_VALUE"""),"Tổ Hạ tầng Tân Ninh")</f>
        <v>Tổ Hạ tầng Tân Ninh</v>
      </c>
      <c r="C1549" s="35" t="str">
        <f ca="1">IFERROR(__xludf.DUMMYFUNCTION("""COMPUTED_VALUE"""),"Trương Đình Lợi")</f>
        <v>Trương Đình Lợi</v>
      </c>
      <c r="D1549" s="35">
        <f ca="1">IFERROR(__xludf.DUMMYFUNCTION("""COMPUTED_VALUE"""),948737488)</f>
        <v>948737488</v>
      </c>
      <c r="E1549" s="35" t="str">
        <f ca="1">IFERROR(__xludf.DUMMYFUNCTION("""COMPUTED_VALUE"""),"loitd.tnh@vnpt.vn")</f>
        <v>loitd.tnh@vnpt.vn</v>
      </c>
      <c r="F1549" s="540" t="str">
        <f ca="1">IFERROR(__xludf.DUMMYFUNCTION("""COMPUTED_VALUE"""),"Lần 7")</f>
        <v>Lần 7</v>
      </c>
      <c r="G1549" s="278"/>
      <c r="H1549" s="35"/>
      <c r="I1549" s="35"/>
      <c r="J1549" s="541"/>
      <c r="K1549" s="541"/>
      <c r="M1549" s="539">
        <f ca="1">IFERROR(__xludf.DUMMYFUNCTION("""COMPUTED_VALUE"""),0)</f>
        <v>0</v>
      </c>
      <c r="N1549" s="539">
        <f ca="1">IFERROR(__xludf.DUMMYFUNCTION("""COMPUTED_VALUE"""),0)</f>
        <v>0</v>
      </c>
      <c r="O1549" s="539">
        <f ca="1">IFERROR(__xludf.DUMMYFUNCTION("""COMPUTED_VALUE"""),0)</f>
        <v>0</v>
      </c>
    </row>
    <row r="1550" spans="1:15" ht="12.75">
      <c r="A1550" s="539">
        <f ca="1"/>
        <v>1544</v>
      </c>
      <c r="B1550" s="35" t="str">
        <f ca="1">IFERROR(__xludf.DUMMYFUNCTION("""COMPUTED_VALUE"""),"Tổ Hạ tầng Tân Ninh")</f>
        <v>Tổ Hạ tầng Tân Ninh</v>
      </c>
      <c r="C1550" s="35" t="str">
        <f ca="1">IFERROR(__xludf.DUMMYFUNCTION("""COMPUTED_VALUE"""),"Trương Đình Lợi")</f>
        <v>Trương Đình Lợi</v>
      </c>
      <c r="D1550" s="35">
        <f ca="1">IFERROR(__xludf.DUMMYFUNCTION("""COMPUTED_VALUE"""),948737488)</f>
        <v>948737488</v>
      </c>
      <c r="E1550" s="35" t="str">
        <f ca="1">IFERROR(__xludf.DUMMYFUNCTION("""COMPUTED_VALUE"""),"loitd.tnh@vnpt.vn")</f>
        <v>loitd.tnh@vnpt.vn</v>
      </c>
      <c r="F1550" s="540" t="str">
        <f ca="1">IFERROR(__xludf.DUMMYFUNCTION("""COMPUTED_VALUE"""),"Lần 8")</f>
        <v>Lần 8</v>
      </c>
      <c r="G1550" s="278"/>
      <c r="H1550" s="35"/>
      <c r="I1550" s="35"/>
      <c r="J1550" s="541"/>
      <c r="K1550" s="541"/>
      <c r="M1550" s="539">
        <f ca="1">IFERROR(__xludf.DUMMYFUNCTION("""COMPUTED_VALUE"""),0)</f>
        <v>0</v>
      </c>
      <c r="N1550" s="539">
        <f ca="1">IFERROR(__xludf.DUMMYFUNCTION("""COMPUTED_VALUE"""),0)</f>
        <v>0</v>
      </c>
      <c r="O1550" s="539">
        <f ca="1">IFERROR(__xludf.DUMMYFUNCTION("""COMPUTED_VALUE"""),0)</f>
        <v>0</v>
      </c>
    </row>
    <row r="1551" spans="1:15" ht="12.75">
      <c r="A1551" s="539">
        <f ca="1"/>
        <v>1545</v>
      </c>
      <c r="B1551" s="35" t="str">
        <f ca="1">IFERROR(__xludf.DUMMYFUNCTION("""COMPUTED_VALUE"""),"Tổ Hạ tầng Tân Ninh")</f>
        <v>Tổ Hạ tầng Tân Ninh</v>
      </c>
      <c r="C1551" s="35" t="str">
        <f ca="1">IFERROR(__xludf.DUMMYFUNCTION("""COMPUTED_VALUE"""),"Trương Đình Lợi")</f>
        <v>Trương Đình Lợi</v>
      </c>
      <c r="D1551" s="35">
        <f ca="1">IFERROR(__xludf.DUMMYFUNCTION("""COMPUTED_VALUE"""),948737488)</f>
        <v>948737488</v>
      </c>
      <c r="E1551" s="35" t="str">
        <f ca="1">IFERROR(__xludf.DUMMYFUNCTION("""COMPUTED_VALUE"""),"loitd.tnh@vnpt.vn")</f>
        <v>loitd.tnh@vnpt.vn</v>
      </c>
      <c r="F1551" s="540" t="str">
        <f ca="1">IFERROR(__xludf.DUMMYFUNCTION("""COMPUTED_VALUE"""),"Lần 9")</f>
        <v>Lần 9</v>
      </c>
      <c r="G1551" s="278"/>
      <c r="H1551" s="35"/>
      <c r="I1551" s="35"/>
      <c r="J1551" s="541"/>
      <c r="K1551" s="541"/>
      <c r="M1551" s="539">
        <f ca="1">IFERROR(__xludf.DUMMYFUNCTION("""COMPUTED_VALUE"""),0)</f>
        <v>0</v>
      </c>
      <c r="N1551" s="539">
        <f ca="1">IFERROR(__xludf.DUMMYFUNCTION("""COMPUTED_VALUE"""),0)</f>
        <v>0</v>
      </c>
      <c r="O1551" s="539">
        <f ca="1">IFERROR(__xludf.DUMMYFUNCTION("""COMPUTED_VALUE"""),0)</f>
        <v>0</v>
      </c>
    </row>
    <row r="1552" spans="1:15" ht="12.75">
      <c r="A1552" s="539">
        <f ca="1"/>
        <v>1546</v>
      </c>
      <c r="B1552" s="35" t="str">
        <f ca="1">IFERROR(__xludf.DUMMYFUNCTION("""COMPUTED_VALUE"""),"Tổ Hạ tầng Tân Ninh")</f>
        <v>Tổ Hạ tầng Tân Ninh</v>
      </c>
      <c r="C1552" s="35" t="str">
        <f ca="1">IFERROR(__xludf.DUMMYFUNCTION("""COMPUTED_VALUE"""),"Trương Đình Lợi")</f>
        <v>Trương Đình Lợi</v>
      </c>
      <c r="D1552" s="35">
        <f ca="1">IFERROR(__xludf.DUMMYFUNCTION("""COMPUTED_VALUE"""),948737488)</f>
        <v>948737488</v>
      </c>
      <c r="E1552" s="35" t="str">
        <f ca="1">IFERROR(__xludf.DUMMYFUNCTION("""COMPUTED_VALUE"""),"loitd.tnh@vnpt.vn")</f>
        <v>loitd.tnh@vnpt.vn</v>
      </c>
      <c r="F1552" s="540" t="str">
        <f ca="1">IFERROR(__xludf.DUMMYFUNCTION("""COMPUTED_VALUE"""),"Lần 10")</f>
        <v>Lần 10</v>
      </c>
      <c r="G1552" s="278"/>
      <c r="H1552" s="35"/>
      <c r="I1552" s="35"/>
      <c r="J1552" s="541"/>
      <c r="K1552" s="541"/>
      <c r="M1552" s="539">
        <f ca="1">IFERROR(__xludf.DUMMYFUNCTION("""COMPUTED_VALUE"""),0)</f>
        <v>0</v>
      </c>
      <c r="N1552" s="539">
        <f ca="1">IFERROR(__xludf.DUMMYFUNCTION("""COMPUTED_VALUE"""),0)</f>
        <v>0</v>
      </c>
      <c r="O1552" s="539">
        <f ca="1">IFERROR(__xludf.DUMMYFUNCTION("""COMPUTED_VALUE"""),0)</f>
        <v>0</v>
      </c>
    </row>
    <row r="1553" spans="1:15" ht="12.75">
      <c r="A1553" s="539">
        <f ca="1"/>
        <v>1547</v>
      </c>
      <c r="B1553" s="35" t="str">
        <f ca="1">IFERROR(__xludf.DUMMYFUNCTION("""COMPUTED_VALUE"""),"Tổ Hạ tầng Tân Ninh")</f>
        <v>Tổ Hạ tầng Tân Ninh</v>
      </c>
      <c r="C1553" s="35" t="str">
        <f ca="1">IFERROR(__xludf.DUMMYFUNCTION("""COMPUTED_VALUE"""),"Trương Đình Lợi")</f>
        <v>Trương Đình Lợi</v>
      </c>
      <c r="D1553" s="35">
        <f ca="1">IFERROR(__xludf.DUMMYFUNCTION("""COMPUTED_VALUE"""),948737488)</f>
        <v>948737488</v>
      </c>
      <c r="E1553" s="35" t="str">
        <f ca="1">IFERROR(__xludf.DUMMYFUNCTION("""COMPUTED_VALUE"""),"loitd.tnh@vnpt.vn")</f>
        <v>loitd.tnh@vnpt.vn</v>
      </c>
      <c r="F1553" s="540" t="str">
        <f ca="1">IFERROR(__xludf.DUMMYFUNCTION("""COMPUTED_VALUE"""),"Lần 11")</f>
        <v>Lần 11</v>
      </c>
      <c r="G1553" s="278"/>
      <c r="H1553" s="35"/>
      <c r="I1553" s="35"/>
      <c r="J1553" s="541"/>
      <c r="K1553" s="541"/>
      <c r="M1553" s="539">
        <f ca="1">IFERROR(__xludf.DUMMYFUNCTION("""COMPUTED_VALUE"""),0)</f>
        <v>0</v>
      </c>
      <c r="N1553" s="539">
        <f ca="1">IFERROR(__xludf.DUMMYFUNCTION("""COMPUTED_VALUE"""),0)</f>
        <v>0</v>
      </c>
      <c r="O1553" s="539">
        <f ca="1">IFERROR(__xludf.DUMMYFUNCTION("""COMPUTED_VALUE"""),0)</f>
        <v>0</v>
      </c>
    </row>
    <row r="1554" spans="1:15" ht="12.75">
      <c r="A1554" s="539">
        <f ca="1"/>
        <v>1548</v>
      </c>
      <c r="B1554" s="35" t="str">
        <f ca="1">IFERROR(__xludf.DUMMYFUNCTION("""COMPUTED_VALUE"""),"Tổ Hạ tầng Tân Ninh")</f>
        <v>Tổ Hạ tầng Tân Ninh</v>
      </c>
      <c r="C1554" s="35" t="str">
        <f ca="1">IFERROR(__xludf.DUMMYFUNCTION("""COMPUTED_VALUE"""),"Trương Đình Lợi")</f>
        <v>Trương Đình Lợi</v>
      </c>
      <c r="D1554" s="35">
        <f ca="1">IFERROR(__xludf.DUMMYFUNCTION("""COMPUTED_VALUE"""),948737488)</f>
        <v>948737488</v>
      </c>
      <c r="E1554" s="35" t="str">
        <f ca="1">IFERROR(__xludf.DUMMYFUNCTION("""COMPUTED_VALUE"""),"loitd.tnh@vnpt.vn")</f>
        <v>loitd.tnh@vnpt.vn</v>
      </c>
      <c r="F1554" s="540" t="str">
        <f ca="1">IFERROR(__xludf.DUMMYFUNCTION("""COMPUTED_VALUE"""),"Lần 12")</f>
        <v>Lần 12</v>
      </c>
      <c r="G1554" s="278"/>
      <c r="H1554" s="35"/>
      <c r="I1554" s="35"/>
      <c r="J1554" s="541"/>
      <c r="K1554" s="542"/>
      <c r="M1554" s="539">
        <f ca="1">IFERROR(__xludf.DUMMYFUNCTION("""COMPUTED_VALUE"""),0)</f>
        <v>0</v>
      </c>
      <c r="N1554" s="539">
        <f ca="1">IFERROR(__xludf.DUMMYFUNCTION("""COMPUTED_VALUE"""),0)</f>
        <v>0</v>
      </c>
      <c r="O1554" s="539">
        <f ca="1">IFERROR(__xludf.DUMMYFUNCTION("""COMPUTED_VALUE"""),0)</f>
        <v>0</v>
      </c>
    </row>
    <row r="1555" spans="1:15" ht="12.75">
      <c r="A1555" s="539">
        <f ca="1"/>
        <v>1549</v>
      </c>
      <c r="B1555" s="35" t="str">
        <f ca="1">IFERROR(__xludf.DUMMYFUNCTION("""COMPUTED_VALUE"""),"Tổ Hạ tầng Tân Ninh")</f>
        <v>Tổ Hạ tầng Tân Ninh</v>
      </c>
      <c r="C1555" s="35" t="str">
        <f ca="1">IFERROR(__xludf.DUMMYFUNCTION("""COMPUTED_VALUE"""),"Trương Đình Lợi")</f>
        <v>Trương Đình Lợi</v>
      </c>
      <c r="D1555" s="35">
        <f ca="1">IFERROR(__xludf.DUMMYFUNCTION("""COMPUTED_VALUE"""),948737488)</f>
        <v>948737488</v>
      </c>
      <c r="E1555" s="35" t="str">
        <f ca="1">IFERROR(__xludf.DUMMYFUNCTION("""COMPUTED_VALUE"""),"loitd.tnh@vnpt.vn")</f>
        <v>loitd.tnh@vnpt.vn</v>
      </c>
      <c r="F1555" s="540" t="str">
        <f ca="1">IFERROR(__xludf.DUMMYFUNCTION("""COMPUTED_VALUE"""),"Lần 13")</f>
        <v>Lần 13</v>
      </c>
      <c r="G1555" s="278"/>
      <c r="H1555" s="35"/>
      <c r="I1555" s="35"/>
      <c r="J1555" s="541"/>
      <c r="K1555" s="542"/>
      <c r="M1555" s="539">
        <f ca="1">IFERROR(__xludf.DUMMYFUNCTION("""COMPUTED_VALUE"""),0)</f>
        <v>0</v>
      </c>
      <c r="N1555" s="539">
        <f ca="1">IFERROR(__xludf.DUMMYFUNCTION("""COMPUTED_VALUE"""),0)</f>
        <v>0</v>
      </c>
      <c r="O1555" s="539">
        <f ca="1">IFERROR(__xludf.DUMMYFUNCTION("""COMPUTED_VALUE"""),0)</f>
        <v>0</v>
      </c>
    </row>
    <row r="1556" spans="1:15" ht="12.75">
      <c r="A1556" s="539">
        <f ca="1"/>
        <v>1550</v>
      </c>
      <c r="B1556" s="35" t="str">
        <f ca="1">IFERROR(__xludf.DUMMYFUNCTION("""COMPUTED_VALUE"""),"Tổ Hạ tầng Tân Ninh")</f>
        <v>Tổ Hạ tầng Tân Ninh</v>
      </c>
      <c r="C1556" s="35" t="str">
        <f ca="1">IFERROR(__xludf.DUMMYFUNCTION("""COMPUTED_VALUE"""),"Trương Đình Lợi")</f>
        <v>Trương Đình Lợi</v>
      </c>
      <c r="D1556" s="35">
        <f ca="1">IFERROR(__xludf.DUMMYFUNCTION("""COMPUTED_VALUE"""),948737488)</f>
        <v>948737488</v>
      </c>
      <c r="E1556" s="35" t="str">
        <f ca="1">IFERROR(__xludf.DUMMYFUNCTION("""COMPUTED_VALUE"""),"loitd.tnh@vnpt.vn")</f>
        <v>loitd.tnh@vnpt.vn</v>
      </c>
      <c r="F1556" s="540" t="str">
        <f ca="1">IFERROR(__xludf.DUMMYFUNCTION("""COMPUTED_VALUE"""),"Lần 14")</f>
        <v>Lần 14</v>
      </c>
      <c r="G1556" s="278"/>
      <c r="H1556" s="35"/>
      <c r="I1556" s="35"/>
      <c r="J1556" s="541"/>
      <c r="K1556" s="542"/>
      <c r="M1556" s="539">
        <f ca="1">IFERROR(__xludf.DUMMYFUNCTION("""COMPUTED_VALUE"""),0)</f>
        <v>0</v>
      </c>
      <c r="N1556" s="539">
        <f ca="1">IFERROR(__xludf.DUMMYFUNCTION("""COMPUTED_VALUE"""),0)</f>
        <v>0</v>
      </c>
      <c r="O1556" s="539">
        <f ca="1">IFERROR(__xludf.DUMMYFUNCTION("""COMPUTED_VALUE"""),0)</f>
        <v>0</v>
      </c>
    </row>
    <row r="1557" spans="1:15" ht="12.75">
      <c r="A1557" s="539">
        <f ca="1"/>
        <v>1551</v>
      </c>
      <c r="B1557" s="35" t="str">
        <f ca="1">IFERROR(__xludf.DUMMYFUNCTION("""COMPUTED_VALUE"""),"Tổ Hạ tầng Tân Ninh")</f>
        <v>Tổ Hạ tầng Tân Ninh</v>
      </c>
      <c r="C1557" s="35" t="str">
        <f ca="1">IFERROR(__xludf.DUMMYFUNCTION("""COMPUTED_VALUE"""),"Trương Đình Lợi")</f>
        <v>Trương Đình Lợi</v>
      </c>
      <c r="D1557" s="35">
        <f ca="1">IFERROR(__xludf.DUMMYFUNCTION("""COMPUTED_VALUE"""),948737488)</f>
        <v>948737488</v>
      </c>
      <c r="E1557" s="35" t="str">
        <f ca="1">IFERROR(__xludf.DUMMYFUNCTION("""COMPUTED_VALUE"""),"loitd.tnh@vnpt.vn")</f>
        <v>loitd.tnh@vnpt.vn</v>
      </c>
      <c r="F1557" s="540" t="str">
        <f ca="1">IFERROR(__xludf.DUMMYFUNCTION("""COMPUTED_VALUE"""),"Lần 15")</f>
        <v>Lần 15</v>
      </c>
      <c r="G1557" s="278"/>
      <c r="H1557" s="35"/>
      <c r="I1557" s="35"/>
      <c r="J1557" s="541"/>
      <c r="K1557" s="542"/>
      <c r="M1557" s="539">
        <f ca="1">IFERROR(__xludf.DUMMYFUNCTION("""COMPUTED_VALUE"""),0)</f>
        <v>0</v>
      </c>
      <c r="N1557" s="539">
        <f ca="1">IFERROR(__xludf.DUMMYFUNCTION("""COMPUTED_VALUE"""),0)</f>
        <v>0</v>
      </c>
      <c r="O1557" s="539">
        <f ca="1">IFERROR(__xludf.DUMMYFUNCTION("""COMPUTED_VALUE"""),0)</f>
        <v>0</v>
      </c>
    </row>
    <row r="1558" spans="1:15" ht="12.75">
      <c r="A1558" s="539">
        <f ca="1"/>
        <v>1552</v>
      </c>
      <c r="B1558" s="35" t="str">
        <f ca="1">IFERROR(__xludf.DUMMYFUNCTION("""COMPUTED_VALUE"""),"Tổ Hạ tầng Tân Ninh")</f>
        <v>Tổ Hạ tầng Tân Ninh</v>
      </c>
      <c r="C1558" s="35" t="str">
        <f ca="1">IFERROR(__xludf.DUMMYFUNCTION("""COMPUTED_VALUE"""),"Trương Đình Lợi")</f>
        <v>Trương Đình Lợi</v>
      </c>
      <c r="D1558" s="35">
        <f ca="1">IFERROR(__xludf.DUMMYFUNCTION("""COMPUTED_VALUE"""),948737488)</f>
        <v>948737488</v>
      </c>
      <c r="E1558" s="35" t="str">
        <f ca="1">IFERROR(__xludf.DUMMYFUNCTION("""COMPUTED_VALUE"""),"loitd.tnh@vnpt.vn")</f>
        <v>loitd.tnh@vnpt.vn</v>
      </c>
      <c r="F1558" s="540" t="str">
        <f ca="1">IFERROR(__xludf.DUMMYFUNCTION("""COMPUTED_VALUE"""),"Lần 16")</f>
        <v>Lần 16</v>
      </c>
      <c r="G1558" s="278"/>
      <c r="H1558" s="35"/>
      <c r="I1558" s="35"/>
      <c r="J1558" s="541"/>
      <c r="K1558" s="541"/>
      <c r="M1558" s="539">
        <f ca="1">IFERROR(__xludf.DUMMYFUNCTION("""COMPUTED_VALUE"""),0)</f>
        <v>0</v>
      </c>
      <c r="N1558" s="539">
        <f ca="1">IFERROR(__xludf.DUMMYFUNCTION("""COMPUTED_VALUE"""),0)</f>
        <v>0</v>
      </c>
      <c r="O1558" s="539">
        <f ca="1">IFERROR(__xludf.DUMMYFUNCTION("""COMPUTED_VALUE"""),0)</f>
        <v>0</v>
      </c>
    </row>
    <row r="1559" spans="1:15" ht="12.75">
      <c r="A1559" s="539">
        <f ca="1"/>
        <v>1553</v>
      </c>
      <c r="B1559" s="35" t="str">
        <f ca="1">IFERROR(__xludf.DUMMYFUNCTION("""COMPUTED_VALUE"""),"Tổ Hạ tầng Tân Ninh")</f>
        <v>Tổ Hạ tầng Tân Ninh</v>
      </c>
      <c r="C1559" s="35" t="str">
        <f ca="1">IFERROR(__xludf.DUMMYFUNCTION("""COMPUTED_VALUE"""),"Trương Vũ Hải")</f>
        <v>Trương Vũ Hải</v>
      </c>
      <c r="D1559" s="35">
        <f ca="1">IFERROR(__xludf.DUMMYFUNCTION("""COMPUTED_VALUE"""),911039328)</f>
        <v>911039328</v>
      </c>
      <c r="E1559" s="35" t="str">
        <f ca="1">IFERROR(__xludf.DUMMYFUNCTION("""COMPUTED_VALUE"""),"tvhai.tnh@vnpt.vn")</f>
        <v>tvhai.tnh@vnpt.vn</v>
      </c>
      <c r="F1559" s="540" t="str">
        <f ca="1">IFERROR(__xludf.DUMMYFUNCTION("""COMPUTED_VALUE"""),"Lần 1")</f>
        <v>Lần 1</v>
      </c>
      <c r="G1559" s="545"/>
      <c r="H1559" s="540"/>
      <c r="I1559" s="35"/>
      <c r="J1559" s="541"/>
      <c r="K1559" s="541"/>
      <c r="M1559" s="539">
        <f ca="1">IFERROR(__xludf.DUMMYFUNCTION("""COMPUTED_VALUE"""),0)</f>
        <v>0</v>
      </c>
      <c r="N1559" s="539">
        <f ca="1">IFERROR(__xludf.DUMMYFUNCTION("""COMPUTED_VALUE"""),0)</f>
        <v>0</v>
      </c>
      <c r="O1559" s="539">
        <f ca="1">IFERROR(__xludf.DUMMYFUNCTION("""COMPUTED_VALUE"""),0)</f>
        <v>0</v>
      </c>
    </row>
    <row r="1560" spans="1:15" ht="12.75">
      <c r="A1560" s="539">
        <f ca="1"/>
        <v>1554</v>
      </c>
      <c r="B1560" s="35" t="str">
        <f ca="1">IFERROR(__xludf.DUMMYFUNCTION("""COMPUTED_VALUE"""),"Tổ Hạ tầng Tân Ninh")</f>
        <v>Tổ Hạ tầng Tân Ninh</v>
      </c>
      <c r="C1560" s="35" t="str">
        <f ca="1">IFERROR(__xludf.DUMMYFUNCTION("""COMPUTED_VALUE"""),"Trương Vũ Hải")</f>
        <v>Trương Vũ Hải</v>
      </c>
      <c r="D1560" s="35">
        <f ca="1">IFERROR(__xludf.DUMMYFUNCTION("""COMPUTED_VALUE"""),911039328)</f>
        <v>911039328</v>
      </c>
      <c r="E1560" s="35" t="str">
        <f ca="1">IFERROR(__xludf.DUMMYFUNCTION("""COMPUTED_VALUE"""),"tvhai.tnh@vnpt.vn")</f>
        <v>tvhai.tnh@vnpt.vn</v>
      </c>
      <c r="F1560" s="540" t="str">
        <f ca="1">IFERROR(__xludf.DUMMYFUNCTION("""COMPUTED_VALUE"""),"Lần 2")</f>
        <v>Lần 2</v>
      </c>
      <c r="G1560" s="545"/>
      <c r="H1560" s="540"/>
      <c r="I1560" s="35"/>
      <c r="J1560" s="541"/>
      <c r="K1560" s="541"/>
      <c r="M1560" s="539">
        <f ca="1">IFERROR(__xludf.DUMMYFUNCTION("""COMPUTED_VALUE"""),0)</f>
        <v>0</v>
      </c>
      <c r="N1560" s="539">
        <f ca="1">IFERROR(__xludf.DUMMYFUNCTION("""COMPUTED_VALUE"""),0)</f>
        <v>0</v>
      </c>
      <c r="O1560" s="539">
        <f ca="1">IFERROR(__xludf.DUMMYFUNCTION("""COMPUTED_VALUE"""),0)</f>
        <v>0</v>
      </c>
    </row>
    <row r="1561" spans="1:15" ht="12.75">
      <c r="A1561" s="539">
        <f ca="1"/>
        <v>1555</v>
      </c>
      <c r="B1561" s="35" t="str">
        <f ca="1">IFERROR(__xludf.DUMMYFUNCTION("""COMPUTED_VALUE"""),"Tổ Hạ tầng Tân Ninh")</f>
        <v>Tổ Hạ tầng Tân Ninh</v>
      </c>
      <c r="C1561" s="35" t="str">
        <f ca="1">IFERROR(__xludf.DUMMYFUNCTION("""COMPUTED_VALUE"""),"Trương Vũ Hải")</f>
        <v>Trương Vũ Hải</v>
      </c>
      <c r="D1561" s="35">
        <f ca="1">IFERROR(__xludf.DUMMYFUNCTION("""COMPUTED_VALUE"""),911039328)</f>
        <v>911039328</v>
      </c>
      <c r="E1561" s="35" t="str">
        <f ca="1">IFERROR(__xludf.DUMMYFUNCTION("""COMPUTED_VALUE"""),"tvhai.tnh@vnpt.vn")</f>
        <v>tvhai.tnh@vnpt.vn</v>
      </c>
      <c r="F1561" s="540" t="str">
        <f ca="1">IFERROR(__xludf.DUMMYFUNCTION("""COMPUTED_VALUE"""),"Lần 3")</f>
        <v>Lần 3</v>
      </c>
      <c r="G1561" s="545"/>
      <c r="H1561" s="540"/>
      <c r="I1561" s="35"/>
      <c r="J1561" s="541"/>
      <c r="K1561" s="541"/>
      <c r="M1561" s="539">
        <f ca="1">IFERROR(__xludf.DUMMYFUNCTION("""COMPUTED_VALUE"""),0)</f>
        <v>0</v>
      </c>
      <c r="N1561" s="539">
        <f ca="1">IFERROR(__xludf.DUMMYFUNCTION("""COMPUTED_VALUE"""),0)</f>
        <v>0</v>
      </c>
      <c r="O1561" s="539">
        <f ca="1">IFERROR(__xludf.DUMMYFUNCTION("""COMPUTED_VALUE"""),0)</f>
        <v>0</v>
      </c>
    </row>
    <row r="1562" spans="1:15" ht="12.75">
      <c r="A1562" s="539">
        <f ca="1"/>
        <v>1556</v>
      </c>
      <c r="B1562" s="35" t="str">
        <f ca="1">IFERROR(__xludf.DUMMYFUNCTION("""COMPUTED_VALUE"""),"Tổ Hạ tầng Tân Ninh")</f>
        <v>Tổ Hạ tầng Tân Ninh</v>
      </c>
      <c r="C1562" s="35" t="str">
        <f ca="1">IFERROR(__xludf.DUMMYFUNCTION("""COMPUTED_VALUE"""),"Trương Vũ Hải")</f>
        <v>Trương Vũ Hải</v>
      </c>
      <c r="D1562" s="35">
        <f ca="1">IFERROR(__xludf.DUMMYFUNCTION("""COMPUTED_VALUE"""),911039328)</f>
        <v>911039328</v>
      </c>
      <c r="E1562" s="35" t="str">
        <f ca="1">IFERROR(__xludf.DUMMYFUNCTION("""COMPUTED_VALUE"""),"tvhai.tnh@vnpt.vn")</f>
        <v>tvhai.tnh@vnpt.vn</v>
      </c>
      <c r="F1562" s="540" t="str">
        <f ca="1">IFERROR(__xludf.DUMMYFUNCTION("""COMPUTED_VALUE"""),"Lần 4")</f>
        <v>Lần 4</v>
      </c>
      <c r="G1562" s="545"/>
      <c r="H1562" s="540"/>
      <c r="I1562" s="540"/>
      <c r="J1562" s="541"/>
      <c r="K1562" s="541"/>
      <c r="M1562" s="539">
        <f ca="1">IFERROR(__xludf.DUMMYFUNCTION("""COMPUTED_VALUE"""),0)</f>
        <v>0</v>
      </c>
      <c r="N1562" s="539">
        <f ca="1">IFERROR(__xludf.DUMMYFUNCTION("""COMPUTED_VALUE"""),0)</f>
        <v>0</v>
      </c>
      <c r="O1562" s="539">
        <f ca="1">IFERROR(__xludf.DUMMYFUNCTION("""COMPUTED_VALUE"""),0)</f>
        <v>0</v>
      </c>
    </row>
    <row r="1563" spans="1:15" ht="12.75">
      <c r="A1563" s="539">
        <f ca="1"/>
        <v>1557</v>
      </c>
      <c r="B1563" s="35" t="str">
        <f ca="1">IFERROR(__xludf.DUMMYFUNCTION("""COMPUTED_VALUE"""),"Tổ Hạ tầng Tân Ninh")</f>
        <v>Tổ Hạ tầng Tân Ninh</v>
      </c>
      <c r="C1563" s="35" t="str">
        <f ca="1">IFERROR(__xludf.DUMMYFUNCTION("""COMPUTED_VALUE"""),"Trương Vũ Hải")</f>
        <v>Trương Vũ Hải</v>
      </c>
      <c r="D1563" s="35">
        <f ca="1">IFERROR(__xludf.DUMMYFUNCTION("""COMPUTED_VALUE"""),911039328)</f>
        <v>911039328</v>
      </c>
      <c r="E1563" s="35" t="str">
        <f ca="1">IFERROR(__xludf.DUMMYFUNCTION("""COMPUTED_VALUE"""),"tvhai.tnh@vnpt.vn")</f>
        <v>tvhai.tnh@vnpt.vn</v>
      </c>
      <c r="F1563" s="540" t="str">
        <f ca="1">IFERROR(__xludf.DUMMYFUNCTION("""COMPUTED_VALUE"""),"Lần 5")</f>
        <v>Lần 5</v>
      </c>
      <c r="G1563" s="545"/>
      <c r="H1563" s="540"/>
      <c r="I1563" s="35"/>
      <c r="J1563" s="541"/>
      <c r="K1563" s="541"/>
      <c r="M1563" s="539">
        <f ca="1">IFERROR(__xludf.DUMMYFUNCTION("""COMPUTED_VALUE"""),0)</f>
        <v>0</v>
      </c>
      <c r="N1563" s="539">
        <f ca="1">IFERROR(__xludf.DUMMYFUNCTION("""COMPUTED_VALUE"""),0)</f>
        <v>0</v>
      </c>
      <c r="O1563" s="539">
        <f ca="1">IFERROR(__xludf.DUMMYFUNCTION("""COMPUTED_VALUE"""),0)</f>
        <v>0</v>
      </c>
    </row>
    <row r="1564" spans="1:15" ht="12.75">
      <c r="A1564" s="539">
        <f ca="1"/>
        <v>1558</v>
      </c>
      <c r="B1564" s="35" t="str">
        <f ca="1">IFERROR(__xludf.DUMMYFUNCTION("""COMPUTED_VALUE"""),"Tổ Hạ tầng Tân Ninh")</f>
        <v>Tổ Hạ tầng Tân Ninh</v>
      </c>
      <c r="C1564" s="35" t="str">
        <f ca="1">IFERROR(__xludf.DUMMYFUNCTION("""COMPUTED_VALUE"""),"Trương Vũ Hải")</f>
        <v>Trương Vũ Hải</v>
      </c>
      <c r="D1564" s="35">
        <f ca="1">IFERROR(__xludf.DUMMYFUNCTION("""COMPUTED_VALUE"""),911039328)</f>
        <v>911039328</v>
      </c>
      <c r="E1564" s="35" t="str">
        <f ca="1">IFERROR(__xludf.DUMMYFUNCTION("""COMPUTED_VALUE"""),"tvhai.tnh@vnpt.vn")</f>
        <v>tvhai.tnh@vnpt.vn</v>
      </c>
      <c r="F1564" s="540" t="str">
        <f ca="1">IFERROR(__xludf.DUMMYFUNCTION("""COMPUTED_VALUE"""),"Lần 6")</f>
        <v>Lần 6</v>
      </c>
      <c r="G1564" s="545"/>
      <c r="H1564" s="540"/>
      <c r="I1564" s="540"/>
      <c r="J1564" s="541"/>
      <c r="K1564" s="541"/>
      <c r="M1564" s="539">
        <f ca="1">IFERROR(__xludf.DUMMYFUNCTION("""COMPUTED_VALUE"""),0)</f>
        <v>0</v>
      </c>
      <c r="N1564" s="539">
        <f ca="1">IFERROR(__xludf.DUMMYFUNCTION("""COMPUTED_VALUE"""),0)</f>
        <v>0</v>
      </c>
      <c r="O1564" s="539">
        <f ca="1">IFERROR(__xludf.DUMMYFUNCTION("""COMPUTED_VALUE"""),0)</f>
        <v>0</v>
      </c>
    </row>
    <row r="1565" spans="1:15" ht="12.75">
      <c r="A1565" s="539">
        <f ca="1"/>
        <v>1559</v>
      </c>
      <c r="B1565" s="35" t="str">
        <f ca="1">IFERROR(__xludf.DUMMYFUNCTION("""COMPUTED_VALUE"""),"Tổ Hạ tầng Tân Ninh")</f>
        <v>Tổ Hạ tầng Tân Ninh</v>
      </c>
      <c r="C1565" s="35" t="str">
        <f ca="1">IFERROR(__xludf.DUMMYFUNCTION("""COMPUTED_VALUE"""),"Trương Vũ Hải")</f>
        <v>Trương Vũ Hải</v>
      </c>
      <c r="D1565" s="35">
        <f ca="1">IFERROR(__xludf.DUMMYFUNCTION("""COMPUTED_VALUE"""),911039328)</f>
        <v>911039328</v>
      </c>
      <c r="E1565" s="35" t="str">
        <f ca="1">IFERROR(__xludf.DUMMYFUNCTION("""COMPUTED_VALUE"""),"tvhai.tnh@vnpt.vn")</f>
        <v>tvhai.tnh@vnpt.vn</v>
      </c>
      <c r="F1565" s="540" t="str">
        <f ca="1">IFERROR(__xludf.DUMMYFUNCTION("""COMPUTED_VALUE"""),"Lần 7")</f>
        <v>Lần 7</v>
      </c>
      <c r="G1565" s="545"/>
      <c r="H1565" s="540"/>
      <c r="I1565" s="540"/>
      <c r="J1565" s="541"/>
      <c r="K1565" s="541"/>
      <c r="M1565" s="539">
        <f ca="1">IFERROR(__xludf.DUMMYFUNCTION("""COMPUTED_VALUE"""),0)</f>
        <v>0</v>
      </c>
      <c r="N1565" s="539">
        <f ca="1">IFERROR(__xludf.DUMMYFUNCTION("""COMPUTED_VALUE"""),0)</f>
        <v>0</v>
      </c>
      <c r="O1565" s="539">
        <f ca="1">IFERROR(__xludf.DUMMYFUNCTION("""COMPUTED_VALUE"""),0)</f>
        <v>0</v>
      </c>
    </row>
    <row r="1566" spans="1:15" ht="12.75">
      <c r="A1566" s="539">
        <f ca="1"/>
        <v>1560</v>
      </c>
      <c r="B1566" s="35" t="str">
        <f ca="1">IFERROR(__xludf.DUMMYFUNCTION("""COMPUTED_VALUE"""),"Tổ Hạ tầng Tân Ninh")</f>
        <v>Tổ Hạ tầng Tân Ninh</v>
      </c>
      <c r="C1566" s="35" t="str">
        <f ca="1">IFERROR(__xludf.DUMMYFUNCTION("""COMPUTED_VALUE"""),"Trương Vũ Hải")</f>
        <v>Trương Vũ Hải</v>
      </c>
      <c r="D1566" s="35">
        <f ca="1">IFERROR(__xludf.DUMMYFUNCTION("""COMPUTED_VALUE"""),911039328)</f>
        <v>911039328</v>
      </c>
      <c r="E1566" s="35" t="str">
        <f ca="1">IFERROR(__xludf.DUMMYFUNCTION("""COMPUTED_VALUE"""),"tvhai.tnh@vnpt.vn")</f>
        <v>tvhai.tnh@vnpt.vn</v>
      </c>
      <c r="F1566" s="540" t="str">
        <f ca="1">IFERROR(__xludf.DUMMYFUNCTION("""COMPUTED_VALUE"""),"Lần 8")</f>
        <v>Lần 8</v>
      </c>
      <c r="G1566" s="545"/>
      <c r="H1566" s="540"/>
      <c r="I1566" s="35"/>
      <c r="J1566" s="541"/>
      <c r="K1566" s="541"/>
      <c r="M1566" s="539">
        <f ca="1">IFERROR(__xludf.DUMMYFUNCTION("""COMPUTED_VALUE"""),0)</f>
        <v>0</v>
      </c>
      <c r="N1566" s="539">
        <f ca="1">IFERROR(__xludf.DUMMYFUNCTION("""COMPUTED_VALUE"""),0)</f>
        <v>0</v>
      </c>
      <c r="O1566" s="539">
        <f ca="1">IFERROR(__xludf.DUMMYFUNCTION("""COMPUTED_VALUE"""),0)</f>
        <v>0</v>
      </c>
    </row>
    <row r="1567" spans="1:15" ht="12.75">
      <c r="A1567" s="539">
        <f ca="1"/>
        <v>1561</v>
      </c>
      <c r="B1567" s="35" t="str">
        <f ca="1">IFERROR(__xludf.DUMMYFUNCTION("""COMPUTED_VALUE"""),"Tổ Hạ tầng Tân Ninh")</f>
        <v>Tổ Hạ tầng Tân Ninh</v>
      </c>
      <c r="C1567" s="35" t="str">
        <f ca="1">IFERROR(__xludf.DUMMYFUNCTION("""COMPUTED_VALUE"""),"Trương Vũ Hải")</f>
        <v>Trương Vũ Hải</v>
      </c>
      <c r="D1567" s="35">
        <f ca="1">IFERROR(__xludf.DUMMYFUNCTION("""COMPUTED_VALUE"""),911039328)</f>
        <v>911039328</v>
      </c>
      <c r="E1567" s="35" t="str">
        <f ca="1">IFERROR(__xludf.DUMMYFUNCTION("""COMPUTED_VALUE"""),"tvhai.tnh@vnpt.vn")</f>
        <v>tvhai.tnh@vnpt.vn</v>
      </c>
      <c r="F1567" s="540" t="str">
        <f ca="1">IFERROR(__xludf.DUMMYFUNCTION("""COMPUTED_VALUE"""),"Lần 9")</f>
        <v>Lần 9</v>
      </c>
      <c r="G1567" s="545"/>
      <c r="H1567" s="35"/>
      <c r="I1567" s="540"/>
      <c r="J1567" s="541"/>
      <c r="K1567" s="541"/>
      <c r="M1567" s="539">
        <f ca="1">IFERROR(__xludf.DUMMYFUNCTION("""COMPUTED_VALUE"""),0)</f>
        <v>0</v>
      </c>
      <c r="N1567" s="539">
        <f ca="1">IFERROR(__xludf.DUMMYFUNCTION("""COMPUTED_VALUE"""),0)</f>
        <v>0</v>
      </c>
      <c r="O1567" s="539">
        <f ca="1">IFERROR(__xludf.DUMMYFUNCTION("""COMPUTED_VALUE"""),0)</f>
        <v>0</v>
      </c>
    </row>
    <row r="1568" spans="1:15" ht="12.75">
      <c r="A1568" s="539">
        <f ca="1"/>
        <v>1562</v>
      </c>
      <c r="B1568" s="35" t="str">
        <f ca="1">IFERROR(__xludf.DUMMYFUNCTION("""COMPUTED_VALUE"""),"Tổ Hạ tầng Tân Ninh")</f>
        <v>Tổ Hạ tầng Tân Ninh</v>
      </c>
      <c r="C1568" s="35" t="str">
        <f ca="1">IFERROR(__xludf.DUMMYFUNCTION("""COMPUTED_VALUE"""),"Trương Vũ Hải")</f>
        <v>Trương Vũ Hải</v>
      </c>
      <c r="D1568" s="35">
        <f ca="1">IFERROR(__xludf.DUMMYFUNCTION("""COMPUTED_VALUE"""),911039328)</f>
        <v>911039328</v>
      </c>
      <c r="E1568" s="35" t="str">
        <f ca="1">IFERROR(__xludf.DUMMYFUNCTION("""COMPUTED_VALUE"""),"tvhai.tnh@vnpt.vn")</f>
        <v>tvhai.tnh@vnpt.vn</v>
      </c>
      <c r="F1568" s="540" t="str">
        <f ca="1">IFERROR(__xludf.DUMMYFUNCTION("""COMPUTED_VALUE"""),"Lần 10")</f>
        <v>Lần 10</v>
      </c>
      <c r="G1568" s="545"/>
      <c r="H1568" s="35"/>
      <c r="I1568" s="540"/>
      <c r="J1568" s="541"/>
      <c r="K1568" s="541"/>
      <c r="M1568" s="539">
        <f ca="1">IFERROR(__xludf.DUMMYFUNCTION("""COMPUTED_VALUE"""),0)</f>
        <v>0</v>
      </c>
      <c r="N1568" s="539">
        <f ca="1">IFERROR(__xludf.DUMMYFUNCTION("""COMPUTED_VALUE"""),0)</f>
        <v>0</v>
      </c>
      <c r="O1568" s="539">
        <f ca="1">IFERROR(__xludf.DUMMYFUNCTION("""COMPUTED_VALUE"""),0)</f>
        <v>0</v>
      </c>
    </row>
    <row r="1569" spans="1:15" ht="12.75">
      <c r="A1569" s="539">
        <f ca="1"/>
        <v>1563</v>
      </c>
      <c r="B1569" s="35" t="str">
        <f ca="1">IFERROR(__xludf.DUMMYFUNCTION("""COMPUTED_VALUE"""),"Tổ Hạ tầng Tân Ninh")</f>
        <v>Tổ Hạ tầng Tân Ninh</v>
      </c>
      <c r="C1569" s="35" t="str">
        <f ca="1">IFERROR(__xludf.DUMMYFUNCTION("""COMPUTED_VALUE"""),"Trương Vũ Hải")</f>
        <v>Trương Vũ Hải</v>
      </c>
      <c r="D1569" s="35">
        <f ca="1">IFERROR(__xludf.DUMMYFUNCTION("""COMPUTED_VALUE"""),911039328)</f>
        <v>911039328</v>
      </c>
      <c r="E1569" s="35" t="str">
        <f ca="1">IFERROR(__xludf.DUMMYFUNCTION("""COMPUTED_VALUE"""),"tvhai.tnh@vnpt.vn")</f>
        <v>tvhai.tnh@vnpt.vn</v>
      </c>
      <c r="F1569" s="540" t="str">
        <f ca="1">IFERROR(__xludf.DUMMYFUNCTION("""COMPUTED_VALUE"""),"Lần 11")</f>
        <v>Lần 11</v>
      </c>
      <c r="G1569" s="545"/>
      <c r="H1569" s="540"/>
      <c r="I1569" s="540"/>
      <c r="J1569" s="541"/>
      <c r="K1569" s="541"/>
      <c r="M1569" s="539">
        <f ca="1">IFERROR(__xludf.DUMMYFUNCTION("""COMPUTED_VALUE"""),0)</f>
        <v>0</v>
      </c>
      <c r="N1569" s="539">
        <f ca="1">IFERROR(__xludf.DUMMYFUNCTION("""COMPUTED_VALUE"""),0)</f>
        <v>0</v>
      </c>
      <c r="O1569" s="539">
        <f ca="1">IFERROR(__xludf.DUMMYFUNCTION("""COMPUTED_VALUE"""),0)</f>
        <v>0</v>
      </c>
    </row>
    <row r="1570" spans="1:15" ht="12.75">
      <c r="A1570" s="539">
        <f ca="1"/>
        <v>1564</v>
      </c>
      <c r="B1570" s="35" t="str">
        <f ca="1">IFERROR(__xludf.DUMMYFUNCTION("""COMPUTED_VALUE"""),"Tổ Hạ tầng Tân Ninh")</f>
        <v>Tổ Hạ tầng Tân Ninh</v>
      </c>
      <c r="C1570" s="35" t="str">
        <f ca="1">IFERROR(__xludf.DUMMYFUNCTION("""COMPUTED_VALUE"""),"Trương Vũ Hải")</f>
        <v>Trương Vũ Hải</v>
      </c>
      <c r="D1570" s="35">
        <f ca="1">IFERROR(__xludf.DUMMYFUNCTION("""COMPUTED_VALUE"""),911039328)</f>
        <v>911039328</v>
      </c>
      <c r="E1570" s="35" t="str">
        <f ca="1">IFERROR(__xludf.DUMMYFUNCTION("""COMPUTED_VALUE"""),"tvhai.tnh@vnpt.vn")</f>
        <v>tvhai.tnh@vnpt.vn</v>
      </c>
      <c r="F1570" s="540" t="str">
        <f ca="1">IFERROR(__xludf.DUMMYFUNCTION("""COMPUTED_VALUE"""),"Lần 12")</f>
        <v>Lần 12</v>
      </c>
      <c r="G1570" s="545"/>
      <c r="H1570" s="35"/>
      <c r="I1570" s="540"/>
      <c r="J1570" s="541"/>
      <c r="K1570" s="541"/>
      <c r="M1570" s="539">
        <f ca="1">IFERROR(__xludf.DUMMYFUNCTION("""COMPUTED_VALUE"""),0)</f>
        <v>0</v>
      </c>
      <c r="N1570" s="539">
        <f ca="1">IFERROR(__xludf.DUMMYFUNCTION("""COMPUTED_VALUE"""),0)</f>
        <v>0</v>
      </c>
      <c r="O1570" s="539">
        <f ca="1">IFERROR(__xludf.DUMMYFUNCTION("""COMPUTED_VALUE"""),0)</f>
        <v>0</v>
      </c>
    </row>
    <row r="1571" spans="1:15" ht="12.75">
      <c r="A1571" s="539">
        <f ca="1"/>
        <v>1565</v>
      </c>
      <c r="B1571" s="35" t="str">
        <f ca="1">IFERROR(__xludf.DUMMYFUNCTION("""COMPUTED_VALUE"""),"Tổ Hạ tầng Tân Ninh")</f>
        <v>Tổ Hạ tầng Tân Ninh</v>
      </c>
      <c r="C1571" s="35" t="str">
        <f ca="1">IFERROR(__xludf.DUMMYFUNCTION("""COMPUTED_VALUE"""),"Trương Vũ Hải")</f>
        <v>Trương Vũ Hải</v>
      </c>
      <c r="D1571" s="35">
        <f ca="1">IFERROR(__xludf.DUMMYFUNCTION("""COMPUTED_VALUE"""),911039328)</f>
        <v>911039328</v>
      </c>
      <c r="E1571" s="35" t="str">
        <f ca="1">IFERROR(__xludf.DUMMYFUNCTION("""COMPUTED_VALUE"""),"tvhai.tnh@vnpt.vn")</f>
        <v>tvhai.tnh@vnpt.vn</v>
      </c>
      <c r="F1571" s="540" t="str">
        <f ca="1">IFERROR(__xludf.DUMMYFUNCTION("""COMPUTED_VALUE"""),"Lần 13")</f>
        <v>Lần 13</v>
      </c>
      <c r="G1571" s="545"/>
      <c r="H1571" s="540"/>
      <c r="I1571" s="540"/>
      <c r="J1571" s="541"/>
      <c r="K1571" s="541"/>
      <c r="M1571" s="539">
        <f ca="1">IFERROR(__xludf.DUMMYFUNCTION("""COMPUTED_VALUE"""),0)</f>
        <v>0</v>
      </c>
      <c r="N1571" s="539">
        <f ca="1">IFERROR(__xludf.DUMMYFUNCTION("""COMPUTED_VALUE"""),0)</f>
        <v>0</v>
      </c>
      <c r="O1571" s="539">
        <f ca="1">IFERROR(__xludf.DUMMYFUNCTION("""COMPUTED_VALUE"""),0)</f>
        <v>0</v>
      </c>
    </row>
    <row r="1572" spans="1:15" ht="12.75">
      <c r="A1572" s="539">
        <f ca="1"/>
        <v>1566</v>
      </c>
      <c r="B1572" s="35" t="str">
        <f ca="1">IFERROR(__xludf.DUMMYFUNCTION("""COMPUTED_VALUE"""),"Tổ Hạ tầng Tân Ninh")</f>
        <v>Tổ Hạ tầng Tân Ninh</v>
      </c>
      <c r="C1572" s="35" t="str">
        <f ca="1">IFERROR(__xludf.DUMMYFUNCTION("""COMPUTED_VALUE"""),"Trương Vũ Hải")</f>
        <v>Trương Vũ Hải</v>
      </c>
      <c r="D1572" s="35">
        <f ca="1">IFERROR(__xludf.DUMMYFUNCTION("""COMPUTED_VALUE"""),911039328)</f>
        <v>911039328</v>
      </c>
      <c r="E1572" s="35" t="str">
        <f ca="1">IFERROR(__xludf.DUMMYFUNCTION("""COMPUTED_VALUE"""),"tvhai.tnh@vnpt.vn")</f>
        <v>tvhai.tnh@vnpt.vn</v>
      </c>
      <c r="F1572" s="540" t="str">
        <f ca="1">IFERROR(__xludf.DUMMYFUNCTION("""COMPUTED_VALUE"""),"Lần 14")</f>
        <v>Lần 14</v>
      </c>
      <c r="G1572" s="545"/>
      <c r="H1572" s="35"/>
      <c r="I1572" s="35"/>
      <c r="J1572" s="541"/>
      <c r="K1572" s="541"/>
      <c r="M1572" s="539">
        <f ca="1">IFERROR(__xludf.DUMMYFUNCTION("""COMPUTED_VALUE"""),0)</f>
        <v>0</v>
      </c>
      <c r="N1572" s="539">
        <f ca="1">IFERROR(__xludf.DUMMYFUNCTION("""COMPUTED_VALUE"""),0)</f>
        <v>0</v>
      </c>
      <c r="O1572" s="539">
        <f ca="1">IFERROR(__xludf.DUMMYFUNCTION("""COMPUTED_VALUE"""),0)</f>
        <v>0</v>
      </c>
    </row>
    <row r="1573" spans="1:15" ht="12.75">
      <c r="A1573" s="539">
        <f ca="1"/>
        <v>1567</v>
      </c>
      <c r="B1573" s="35" t="str">
        <f ca="1">IFERROR(__xludf.DUMMYFUNCTION("""COMPUTED_VALUE"""),"Tổ Hạ tầng Tân Ninh")</f>
        <v>Tổ Hạ tầng Tân Ninh</v>
      </c>
      <c r="C1573" s="35" t="str">
        <f ca="1">IFERROR(__xludf.DUMMYFUNCTION("""COMPUTED_VALUE"""),"Trương Vũ Hải")</f>
        <v>Trương Vũ Hải</v>
      </c>
      <c r="D1573" s="35">
        <f ca="1">IFERROR(__xludf.DUMMYFUNCTION("""COMPUTED_VALUE"""),911039328)</f>
        <v>911039328</v>
      </c>
      <c r="E1573" s="35" t="str">
        <f ca="1">IFERROR(__xludf.DUMMYFUNCTION("""COMPUTED_VALUE"""),"tvhai.tnh@vnpt.vn")</f>
        <v>tvhai.tnh@vnpt.vn</v>
      </c>
      <c r="F1573" s="540" t="str">
        <f ca="1">IFERROR(__xludf.DUMMYFUNCTION("""COMPUTED_VALUE"""),"Lần 15")</f>
        <v>Lần 15</v>
      </c>
      <c r="G1573" s="545"/>
      <c r="H1573" s="540"/>
      <c r="I1573" s="540"/>
      <c r="J1573" s="541"/>
      <c r="K1573" s="541"/>
      <c r="M1573" s="539">
        <f ca="1">IFERROR(__xludf.DUMMYFUNCTION("""COMPUTED_VALUE"""),0)</f>
        <v>0</v>
      </c>
      <c r="N1573" s="539">
        <f ca="1">IFERROR(__xludf.DUMMYFUNCTION("""COMPUTED_VALUE"""),0)</f>
        <v>0</v>
      </c>
      <c r="O1573" s="539">
        <f ca="1">IFERROR(__xludf.DUMMYFUNCTION("""COMPUTED_VALUE"""),0)</f>
        <v>0</v>
      </c>
    </row>
    <row r="1574" spans="1:15" ht="12.75">
      <c r="A1574" s="539">
        <f ca="1"/>
        <v>1568</v>
      </c>
      <c r="B1574" s="35" t="str">
        <f ca="1">IFERROR(__xludf.DUMMYFUNCTION("""COMPUTED_VALUE"""),"Tổ Hạ tầng Tân Ninh")</f>
        <v>Tổ Hạ tầng Tân Ninh</v>
      </c>
      <c r="C1574" s="35" t="str">
        <f ca="1">IFERROR(__xludf.DUMMYFUNCTION("""COMPUTED_VALUE"""),"Trương Vũ Hải")</f>
        <v>Trương Vũ Hải</v>
      </c>
      <c r="D1574" s="35">
        <f ca="1">IFERROR(__xludf.DUMMYFUNCTION("""COMPUTED_VALUE"""),911039328)</f>
        <v>911039328</v>
      </c>
      <c r="E1574" s="35" t="str">
        <f ca="1">IFERROR(__xludf.DUMMYFUNCTION("""COMPUTED_VALUE"""),"tvhai.tnh@vnpt.vn")</f>
        <v>tvhai.tnh@vnpt.vn</v>
      </c>
      <c r="F1574" s="540" t="str">
        <f ca="1">IFERROR(__xludf.DUMMYFUNCTION("""COMPUTED_VALUE"""),"Lần 16")</f>
        <v>Lần 16</v>
      </c>
      <c r="G1574" s="545"/>
      <c r="H1574" s="540"/>
      <c r="I1574" s="540"/>
      <c r="J1574" s="541"/>
      <c r="K1574" s="541"/>
      <c r="M1574" s="539">
        <f ca="1">IFERROR(__xludf.DUMMYFUNCTION("""COMPUTED_VALUE"""),0)</f>
        <v>0</v>
      </c>
      <c r="N1574" s="539">
        <f ca="1">IFERROR(__xludf.DUMMYFUNCTION("""COMPUTED_VALUE"""),0)</f>
        <v>0</v>
      </c>
      <c r="O1574" s="539">
        <f ca="1">IFERROR(__xludf.DUMMYFUNCTION("""COMPUTED_VALUE"""),0)</f>
        <v>0</v>
      </c>
    </row>
    <row r="1575" spans="1:15" ht="12.75">
      <c r="A1575" s="539">
        <f ca="1"/>
        <v>1569</v>
      </c>
      <c r="B1575" s="35" t="str">
        <f ca="1">IFERROR(__xludf.DUMMYFUNCTION("""COMPUTED_VALUE"""),"Tổ Hạ tầng Tân Ninh")</f>
        <v>Tổ Hạ tầng Tân Ninh</v>
      </c>
      <c r="C1575" s="35" t="str">
        <f ca="1">IFERROR(__xludf.DUMMYFUNCTION("""COMPUTED_VALUE"""),"Nguyễn Hoàng Đạt")</f>
        <v>Nguyễn Hoàng Đạt</v>
      </c>
      <c r="D1575" s="35">
        <f ca="1">IFERROR(__xludf.DUMMYFUNCTION("""COMPUTED_VALUE"""),833823127)</f>
        <v>833823127</v>
      </c>
      <c r="E1575" s="35" t="str">
        <f ca="1">IFERROR(__xludf.DUMMYFUNCTION("""COMPUTED_VALUE"""),"datnh.tnh@vnpt.vn")</f>
        <v>datnh.tnh@vnpt.vn</v>
      </c>
      <c r="F1575" s="540" t="str">
        <f ca="1">IFERROR(__xludf.DUMMYFUNCTION("""COMPUTED_VALUE"""),"Lần 1")</f>
        <v>Lần 1</v>
      </c>
      <c r="G1575" s="278">
        <f ca="1">IFERROR(__xludf.DUMMYFUNCTION("""COMPUTED_VALUE"""),46204)</f>
        <v>46204</v>
      </c>
      <c r="H1575" s="543" t="str">
        <f ca="1">IFERROR(__xludf.DUMMYFUNCTION("""COMPUTED_VALUE"""),"257")</f>
        <v>257</v>
      </c>
      <c r="I1575" s="543" t="str">
        <f ca="1">IFERROR(__xludf.DUMMYFUNCTION("""COMPUTED_VALUE"""),"103")</f>
        <v>103</v>
      </c>
      <c r="J1575" s="543" t="str">
        <f ca="1">IFERROR(__xludf.DUMMYFUNCTION("""COMPUTED_VALUE"""),"312")</f>
        <v>312</v>
      </c>
      <c r="K1575" s="543" t="str">
        <f ca="1">IFERROR(__xludf.DUMMYFUNCTION("""COMPUTED_VALUE"""),"56")</f>
        <v>56</v>
      </c>
      <c r="M1575" s="539">
        <f ca="1">IFERROR(__xludf.DUMMYFUNCTION("""COMPUTED_VALUE"""),1)</f>
        <v>1</v>
      </c>
      <c r="N1575" s="539">
        <f ca="1">IFERROR(__xludf.DUMMYFUNCTION("""COMPUTED_VALUE"""),1)</f>
        <v>1</v>
      </c>
      <c r="O1575" s="539">
        <f ca="1">IFERROR(__xludf.DUMMYFUNCTION("""COMPUTED_VALUE"""),1)</f>
        <v>1</v>
      </c>
    </row>
    <row r="1576" spans="1:15" ht="12.75">
      <c r="A1576" s="539">
        <f ca="1"/>
        <v>1570</v>
      </c>
      <c r="B1576" s="35" t="str">
        <f ca="1">IFERROR(__xludf.DUMMYFUNCTION("""COMPUTED_VALUE"""),"Tổ Hạ tầng Tân Ninh")</f>
        <v>Tổ Hạ tầng Tân Ninh</v>
      </c>
      <c r="C1576" s="35" t="str">
        <f ca="1">IFERROR(__xludf.DUMMYFUNCTION("""COMPUTED_VALUE"""),"Nguyễn Hoàng Đạt")</f>
        <v>Nguyễn Hoàng Đạt</v>
      </c>
      <c r="D1576" s="35">
        <f ca="1">IFERROR(__xludf.DUMMYFUNCTION("""COMPUTED_VALUE"""),833823127)</f>
        <v>833823127</v>
      </c>
      <c r="E1576" s="35" t="str">
        <f ca="1">IFERROR(__xludf.DUMMYFUNCTION("""COMPUTED_VALUE"""),"datnh.tnh@vnpt.vn")</f>
        <v>datnh.tnh@vnpt.vn</v>
      </c>
      <c r="F1576" s="540" t="str">
        <f ca="1">IFERROR(__xludf.DUMMYFUNCTION("""COMPUTED_VALUE"""),"Lần 2")</f>
        <v>Lần 2</v>
      </c>
      <c r="G1576" s="278">
        <f ca="1">IFERROR(__xludf.DUMMYFUNCTION("""COMPUTED_VALUE"""),46204)</f>
        <v>46204</v>
      </c>
      <c r="H1576" s="543" t="str">
        <f ca="1">IFERROR(__xludf.DUMMYFUNCTION("""COMPUTED_VALUE"""),"255")</f>
        <v>255</v>
      </c>
      <c r="I1576" s="543" t="str">
        <f ca="1">IFERROR(__xludf.DUMMYFUNCTION("""COMPUTED_VALUE"""),"101")</f>
        <v>101</v>
      </c>
      <c r="J1576" s="543" t="str">
        <f ca="1">IFERROR(__xludf.DUMMYFUNCTION("""COMPUTED_VALUE"""),"210")</f>
        <v>210</v>
      </c>
      <c r="K1576" s="543" t="str">
        <f ca="1">IFERROR(__xludf.DUMMYFUNCTION("""COMPUTED_VALUE"""),"47")</f>
        <v>47</v>
      </c>
      <c r="M1576" s="539">
        <f ca="1">IFERROR(__xludf.DUMMYFUNCTION("""COMPUTED_VALUE"""),1)</f>
        <v>1</v>
      </c>
      <c r="N1576" s="539">
        <f ca="1">IFERROR(__xludf.DUMMYFUNCTION("""COMPUTED_VALUE"""),1)</f>
        <v>1</v>
      </c>
      <c r="O1576" s="539">
        <f ca="1">IFERROR(__xludf.DUMMYFUNCTION("""COMPUTED_VALUE"""),1)</f>
        <v>1</v>
      </c>
    </row>
    <row r="1577" spans="1:15" ht="12.75">
      <c r="A1577" s="539">
        <f ca="1"/>
        <v>1571</v>
      </c>
      <c r="B1577" s="35" t="str">
        <f ca="1">IFERROR(__xludf.DUMMYFUNCTION("""COMPUTED_VALUE"""),"Tổ Hạ tầng Tân Ninh")</f>
        <v>Tổ Hạ tầng Tân Ninh</v>
      </c>
      <c r="C1577" s="35" t="str">
        <f ca="1">IFERROR(__xludf.DUMMYFUNCTION("""COMPUTED_VALUE"""),"Nguyễn Hoàng Đạt")</f>
        <v>Nguyễn Hoàng Đạt</v>
      </c>
      <c r="D1577" s="35">
        <f ca="1">IFERROR(__xludf.DUMMYFUNCTION("""COMPUTED_VALUE"""),833823127)</f>
        <v>833823127</v>
      </c>
      <c r="E1577" s="35" t="str">
        <f ca="1">IFERROR(__xludf.DUMMYFUNCTION("""COMPUTED_VALUE"""),"datnh.tnh@vnpt.vn")</f>
        <v>datnh.tnh@vnpt.vn</v>
      </c>
      <c r="F1577" s="540" t="str">
        <f ca="1">IFERROR(__xludf.DUMMYFUNCTION("""COMPUTED_VALUE"""),"Lần 3")</f>
        <v>Lần 3</v>
      </c>
      <c r="G1577" s="278">
        <f ca="1">IFERROR(__xludf.DUMMYFUNCTION("""COMPUTED_VALUE"""),46204)</f>
        <v>46204</v>
      </c>
      <c r="H1577" s="543" t="str">
        <f ca="1">IFERROR(__xludf.DUMMYFUNCTION("""COMPUTED_VALUE"""),"267")</f>
        <v>267</v>
      </c>
      <c r="I1577" s="543" t="str">
        <f ca="1">IFERROR(__xludf.DUMMYFUNCTION("""COMPUTED_VALUE"""),"130")</f>
        <v>130</v>
      </c>
      <c r="J1577" s="543" t="str">
        <f ca="1">IFERROR(__xludf.DUMMYFUNCTION("""COMPUTED_VALUE"""),"496")</f>
        <v>496</v>
      </c>
      <c r="K1577" s="543" t="str">
        <f ca="1">IFERROR(__xludf.DUMMYFUNCTION("""COMPUTED_VALUE"""),"104")</f>
        <v>104</v>
      </c>
      <c r="M1577" s="539">
        <f ca="1">IFERROR(__xludf.DUMMYFUNCTION("""COMPUTED_VALUE"""),1)</f>
        <v>1</v>
      </c>
      <c r="N1577" s="539">
        <f ca="1">IFERROR(__xludf.DUMMYFUNCTION("""COMPUTED_VALUE"""),1)</f>
        <v>1</v>
      </c>
      <c r="O1577" s="539">
        <f ca="1">IFERROR(__xludf.DUMMYFUNCTION("""COMPUTED_VALUE"""),1)</f>
        <v>1</v>
      </c>
    </row>
    <row r="1578" spans="1:15" ht="12.75">
      <c r="A1578" s="539">
        <f ca="1"/>
        <v>1572</v>
      </c>
      <c r="B1578" s="35" t="str">
        <f ca="1">IFERROR(__xludf.DUMMYFUNCTION("""COMPUTED_VALUE"""),"Tổ Hạ tầng Tân Ninh")</f>
        <v>Tổ Hạ tầng Tân Ninh</v>
      </c>
      <c r="C1578" s="35" t="str">
        <f ca="1">IFERROR(__xludf.DUMMYFUNCTION("""COMPUTED_VALUE"""),"Nguyễn Hoàng Đạt")</f>
        <v>Nguyễn Hoàng Đạt</v>
      </c>
      <c r="D1578" s="35">
        <f ca="1">IFERROR(__xludf.DUMMYFUNCTION("""COMPUTED_VALUE"""),833823127)</f>
        <v>833823127</v>
      </c>
      <c r="E1578" s="35" t="str">
        <f ca="1">IFERROR(__xludf.DUMMYFUNCTION("""COMPUTED_VALUE"""),"datnh.tnh@vnpt.vn")</f>
        <v>datnh.tnh@vnpt.vn</v>
      </c>
      <c r="F1578" s="540" t="str">
        <f ca="1">IFERROR(__xludf.DUMMYFUNCTION("""COMPUTED_VALUE"""),"Lần 4")</f>
        <v>Lần 4</v>
      </c>
      <c r="G1578" s="278">
        <f ca="1">IFERROR(__xludf.DUMMYFUNCTION("""COMPUTED_VALUE"""),46204)</f>
        <v>46204</v>
      </c>
      <c r="H1578" s="543" t="str">
        <f ca="1">IFERROR(__xludf.DUMMYFUNCTION("""COMPUTED_VALUE"""),"254")</f>
        <v>254</v>
      </c>
      <c r="I1578" s="543" t="str">
        <f ca="1">IFERROR(__xludf.DUMMYFUNCTION("""COMPUTED_VALUE"""),"103")</f>
        <v>103</v>
      </c>
      <c r="J1578" s="543" t="str">
        <f ca="1">IFERROR(__xludf.DUMMYFUNCTION("""COMPUTED_VALUE"""),"467")</f>
        <v>467</v>
      </c>
      <c r="K1578" s="543" t="str">
        <f ca="1">IFERROR(__xludf.DUMMYFUNCTION("""COMPUTED_VALUE"""),"103")</f>
        <v>103</v>
      </c>
      <c r="M1578" s="539">
        <f ca="1">IFERROR(__xludf.DUMMYFUNCTION("""COMPUTED_VALUE"""),1)</f>
        <v>1</v>
      </c>
      <c r="N1578" s="539">
        <f ca="1">IFERROR(__xludf.DUMMYFUNCTION("""COMPUTED_VALUE"""),1)</f>
        <v>1</v>
      </c>
      <c r="O1578" s="539">
        <f ca="1">IFERROR(__xludf.DUMMYFUNCTION("""COMPUTED_VALUE"""),1)</f>
        <v>1</v>
      </c>
    </row>
    <row r="1579" spans="1:15" ht="12.75">
      <c r="A1579" s="539">
        <f ca="1"/>
        <v>1573</v>
      </c>
      <c r="B1579" s="35" t="str">
        <f ca="1">IFERROR(__xludf.DUMMYFUNCTION("""COMPUTED_VALUE"""),"Tổ Hạ tầng Tân Ninh")</f>
        <v>Tổ Hạ tầng Tân Ninh</v>
      </c>
      <c r="C1579" s="35" t="str">
        <f ca="1">IFERROR(__xludf.DUMMYFUNCTION("""COMPUTED_VALUE"""),"Nguyễn Hoàng Đạt")</f>
        <v>Nguyễn Hoàng Đạt</v>
      </c>
      <c r="D1579" s="35">
        <f ca="1">IFERROR(__xludf.DUMMYFUNCTION("""COMPUTED_VALUE"""),833823127)</f>
        <v>833823127</v>
      </c>
      <c r="E1579" s="35" t="str">
        <f ca="1">IFERROR(__xludf.DUMMYFUNCTION("""COMPUTED_VALUE"""),"datnh.tnh@vnpt.vn")</f>
        <v>datnh.tnh@vnpt.vn</v>
      </c>
      <c r="F1579" s="540" t="str">
        <f ca="1">IFERROR(__xludf.DUMMYFUNCTION("""COMPUTED_VALUE"""),"Lần 5")</f>
        <v>Lần 5</v>
      </c>
      <c r="G1579" s="278">
        <f ca="1">IFERROR(__xludf.DUMMYFUNCTION("""COMPUTED_VALUE"""),46204)</f>
        <v>46204</v>
      </c>
      <c r="H1579" s="543" t="str">
        <f ca="1">IFERROR(__xludf.DUMMYFUNCTION("""COMPUTED_VALUE"""),"264")</f>
        <v>264</v>
      </c>
      <c r="I1579" s="543" t="str">
        <f ca="1">IFERROR(__xludf.DUMMYFUNCTION("""COMPUTED_VALUE"""),"104")</f>
        <v>104</v>
      </c>
      <c r="J1579" s="543" t="str">
        <f ca="1">IFERROR(__xludf.DUMMYFUNCTION("""COMPUTED_VALUE"""),"457")</f>
        <v>457</v>
      </c>
      <c r="K1579" s="543" t="str">
        <f ca="1">IFERROR(__xludf.DUMMYFUNCTION("""COMPUTED_VALUE"""),"117")</f>
        <v>117</v>
      </c>
      <c r="M1579" s="539">
        <f ca="1">IFERROR(__xludf.DUMMYFUNCTION("""COMPUTED_VALUE"""),1)</f>
        <v>1</v>
      </c>
      <c r="N1579" s="539">
        <f ca="1">IFERROR(__xludf.DUMMYFUNCTION("""COMPUTED_VALUE"""),1)</f>
        <v>1</v>
      </c>
      <c r="O1579" s="539">
        <f ca="1">IFERROR(__xludf.DUMMYFUNCTION("""COMPUTED_VALUE"""),1)</f>
        <v>1</v>
      </c>
    </row>
    <row r="1580" spans="1:15" ht="12.75">
      <c r="A1580" s="539">
        <f ca="1"/>
        <v>1574</v>
      </c>
      <c r="B1580" s="35" t="str">
        <f ca="1">IFERROR(__xludf.DUMMYFUNCTION("""COMPUTED_VALUE"""),"Tổ Hạ tầng Tân Ninh")</f>
        <v>Tổ Hạ tầng Tân Ninh</v>
      </c>
      <c r="C1580" s="35" t="str">
        <f ca="1">IFERROR(__xludf.DUMMYFUNCTION("""COMPUTED_VALUE"""),"Nguyễn Hoàng Đạt")</f>
        <v>Nguyễn Hoàng Đạt</v>
      </c>
      <c r="D1580" s="35">
        <f ca="1">IFERROR(__xludf.DUMMYFUNCTION("""COMPUTED_VALUE"""),833823127)</f>
        <v>833823127</v>
      </c>
      <c r="E1580" s="35" t="str">
        <f ca="1">IFERROR(__xludf.DUMMYFUNCTION("""COMPUTED_VALUE"""),"datnh.tnh@vnpt.vn")</f>
        <v>datnh.tnh@vnpt.vn</v>
      </c>
      <c r="F1580" s="540" t="str">
        <f ca="1">IFERROR(__xludf.DUMMYFUNCTION("""COMPUTED_VALUE"""),"Lần 6")</f>
        <v>Lần 6</v>
      </c>
      <c r="G1580" s="278">
        <f ca="1">IFERROR(__xludf.DUMMYFUNCTION("""COMPUTED_VALUE"""),46204)</f>
        <v>46204</v>
      </c>
      <c r="H1580" s="543" t="str">
        <f ca="1">IFERROR(__xludf.DUMMYFUNCTION("""COMPUTED_VALUE"""),"275")</f>
        <v>275</v>
      </c>
      <c r="I1580" s="543" t="str">
        <f ca="1">IFERROR(__xludf.DUMMYFUNCTION("""COMPUTED_VALUE"""),"102")</f>
        <v>102</v>
      </c>
      <c r="J1580" s="543" t="str">
        <f ca="1">IFERROR(__xludf.DUMMYFUNCTION("""COMPUTED_VALUE"""),"480")</f>
        <v>480</v>
      </c>
      <c r="K1580" s="543" t="str">
        <f ca="1">IFERROR(__xludf.DUMMYFUNCTION("""COMPUTED_VALUE"""),"135")</f>
        <v>135</v>
      </c>
      <c r="M1580" s="539">
        <f ca="1">IFERROR(__xludf.DUMMYFUNCTION("""COMPUTED_VALUE"""),1)</f>
        <v>1</v>
      </c>
      <c r="N1580" s="539">
        <f ca="1">IFERROR(__xludf.DUMMYFUNCTION("""COMPUTED_VALUE"""),1)</f>
        <v>1</v>
      </c>
      <c r="O1580" s="539">
        <f ca="1">IFERROR(__xludf.DUMMYFUNCTION("""COMPUTED_VALUE"""),1)</f>
        <v>1</v>
      </c>
    </row>
    <row r="1581" spans="1:15" ht="12.75">
      <c r="A1581" s="539">
        <f ca="1"/>
        <v>1575</v>
      </c>
      <c r="B1581" s="35" t="str">
        <f ca="1">IFERROR(__xludf.DUMMYFUNCTION("""COMPUTED_VALUE"""),"Tổ Hạ tầng Tân Ninh")</f>
        <v>Tổ Hạ tầng Tân Ninh</v>
      </c>
      <c r="C1581" s="35" t="str">
        <f ca="1">IFERROR(__xludf.DUMMYFUNCTION("""COMPUTED_VALUE"""),"Nguyễn Hoàng Đạt")</f>
        <v>Nguyễn Hoàng Đạt</v>
      </c>
      <c r="D1581" s="35">
        <f ca="1">IFERROR(__xludf.DUMMYFUNCTION("""COMPUTED_VALUE"""),833823127)</f>
        <v>833823127</v>
      </c>
      <c r="E1581" s="35" t="str">
        <f ca="1">IFERROR(__xludf.DUMMYFUNCTION("""COMPUTED_VALUE"""),"datnh.tnh@vnpt.vn")</f>
        <v>datnh.tnh@vnpt.vn</v>
      </c>
      <c r="F1581" s="540" t="str">
        <f ca="1">IFERROR(__xludf.DUMMYFUNCTION("""COMPUTED_VALUE"""),"Lần 7")</f>
        <v>Lần 7</v>
      </c>
      <c r="G1581" s="278">
        <f ca="1">IFERROR(__xludf.DUMMYFUNCTION("""COMPUTED_VALUE"""),46204)</f>
        <v>46204</v>
      </c>
      <c r="H1581" s="543" t="str">
        <f ca="1">IFERROR(__xludf.DUMMYFUNCTION("""COMPUTED_VALUE"""),"225")</f>
        <v>225</v>
      </c>
      <c r="I1581" s="543" t="str">
        <f ca="1">IFERROR(__xludf.DUMMYFUNCTION("""COMPUTED_VALUE"""),"101")</f>
        <v>101</v>
      </c>
      <c r="J1581" s="543" t="str">
        <f ca="1">IFERROR(__xludf.DUMMYFUNCTION("""COMPUTED_VALUE"""),"444")</f>
        <v>444</v>
      </c>
      <c r="K1581" s="543" t="str">
        <f ca="1">IFERROR(__xludf.DUMMYFUNCTION("""COMPUTED_VALUE"""),"80")</f>
        <v>80</v>
      </c>
      <c r="M1581" s="539">
        <f ca="1">IFERROR(__xludf.DUMMYFUNCTION("""COMPUTED_VALUE"""),1)</f>
        <v>1</v>
      </c>
      <c r="N1581" s="539">
        <f ca="1">IFERROR(__xludf.DUMMYFUNCTION("""COMPUTED_VALUE"""),1)</f>
        <v>1</v>
      </c>
      <c r="O1581" s="539">
        <f ca="1">IFERROR(__xludf.DUMMYFUNCTION("""COMPUTED_VALUE"""),1)</f>
        <v>1</v>
      </c>
    </row>
    <row r="1582" spans="1:15" ht="12.75">
      <c r="A1582" s="539">
        <f ca="1"/>
        <v>1576</v>
      </c>
      <c r="B1582" s="35" t="str">
        <f ca="1">IFERROR(__xludf.DUMMYFUNCTION("""COMPUTED_VALUE"""),"Tổ Hạ tầng Tân Ninh")</f>
        <v>Tổ Hạ tầng Tân Ninh</v>
      </c>
      <c r="C1582" s="35" t="str">
        <f ca="1">IFERROR(__xludf.DUMMYFUNCTION("""COMPUTED_VALUE"""),"Nguyễn Hoàng Đạt")</f>
        <v>Nguyễn Hoàng Đạt</v>
      </c>
      <c r="D1582" s="35">
        <f ca="1">IFERROR(__xludf.DUMMYFUNCTION("""COMPUTED_VALUE"""),833823127)</f>
        <v>833823127</v>
      </c>
      <c r="E1582" s="35" t="str">
        <f ca="1">IFERROR(__xludf.DUMMYFUNCTION("""COMPUTED_VALUE"""),"datnh.tnh@vnpt.vn")</f>
        <v>datnh.tnh@vnpt.vn</v>
      </c>
      <c r="F1582" s="540" t="str">
        <f ca="1">IFERROR(__xludf.DUMMYFUNCTION("""COMPUTED_VALUE"""),"Lần 8")</f>
        <v>Lần 8</v>
      </c>
      <c r="G1582" s="278">
        <f ca="1">IFERROR(__xludf.DUMMYFUNCTION("""COMPUTED_VALUE"""),46205)</f>
        <v>46205</v>
      </c>
      <c r="H1582" s="543" t="str">
        <f ca="1">IFERROR(__xludf.DUMMYFUNCTION("""COMPUTED_VALUE"""),"231")</f>
        <v>231</v>
      </c>
      <c r="I1582" s="543" t="str">
        <f ca="1">IFERROR(__xludf.DUMMYFUNCTION("""COMPUTED_VALUE"""),"49")</f>
        <v>49</v>
      </c>
      <c r="J1582" s="543" t="str">
        <f ca="1">IFERROR(__xludf.DUMMYFUNCTION("""COMPUTED_VALUE"""),"495")</f>
        <v>495</v>
      </c>
      <c r="K1582" s="543" t="str">
        <f ca="1">IFERROR(__xludf.DUMMYFUNCTION("""COMPUTED_VALUE"""),"50")</f>
        <v>50</v>
      </c>
      <c r="M1582" s="539">
        <f ca="1">IFERROR(__xludf.DUMMYFUNCTION("""COMPUTED_VALUE"""),1)</f>
        <v>1</v>
      </c>
      <c r="N1582" s="539">
        <f ca="1">IFERROR(__xludf.DUMMYFUNCTION("""COMPUTED_VALUE"""),1)</f>
        <v>1</v>
      </c>
      <c r="O1582" s="539">
        <f ca="1">IFERROR(__xludf.DUMMYFUNCTION("""COMPUTED_VALUE"""),1)</f>
        <v>1</v>
      </c>
    </row>
    <row r="1583" spans="1:15" ht="12.75">
      <c r="A1583" s="539">
        <f ca="1"/>
        <v>1577</v>
      </c>
      <c r="B1583" s="35" t="str">
        <f ca="1">IFERROR(__xludf.DUMMYFUNCTION("""COMPUTED_VALUE"""),"Tổ Hạ tầng Tân Ninh")</f>
        <v>Tổ Hạ tầng Tân Ninh</v>
      </c>
      <c r="C1583" s="35" t="str">
        <f ca="1">IFERROR(__xludf.DUMMYFUNCTION("""COMPUTED_VALUE"""),"Nguyễn Hoàng Đạt")</f>
        <v>Nguyễn Hoàng Đạt</v>
      </c>
      <c r="D1583" s="35">
        <f ca="1">IFERROR(__xludf.DUMMYFUNCTION("""COMPUTED_VALUE"""),833823127)</f>
        <v>833823127</v>
      </c>
      <c r="E1583" s="35" t="str">
        <f ca="1">IFERROR(__xludf.DUMMYFUNCTION("""COMPUTED_VALUE"""),"datnh.tnh@vnpt.vn")</f>
        <v>datnh.tnh@vnpt.vn</v>
      </c>
      <c r="F1583" s="540" t="str">
        <f ca="1">IFERROR(__xludf.DUMMYFUNCTION("""COMPUTED_VALUE"""),"Lần 9")</f>
        <v>Lần 9</v>
      </c>
      <c r="G1583" s="278">
        <f ca="1">IFERROR(__xludf.DUMMYFUNCTION("""COMPUTED_VALUE"""),46205)</f>
        <v>46205</v>
      </c>
      <c r="H1583" s="543" t="str">
        <f ca="1">IFERROR(__xludf.DUMMYFUNCTION("""COMPUTED_VALUE"""),"235")</f>
        <v>235</v>
      </c>
      <c r="I1583" s="543" t="str">
        <f ca="1">IFERROR(__xludf.DUMMYFUNCTION("""COMPUTED_VALUE"""),"66")</f>
        <v>66</v>
      </c>
      <c r="J1583" s="543" t="str">
        <f ca="1">IFERROR(__xludf.DUMMYFUNCTION("""COMPUTED_VALUE"""),"460")</f>
        <v>460</v>
      </c>
      <c r="K1583" s="543" t="str">
        <f ca="1">IFERROR(__xludf.DUMMYFUNCTION("""COMPUTED_VALUE"""),"42")</f>
        <v>42</v>
      </c>
      <c r="M1583" s="539">
        <f ca="1">IFERROR(__xludf.DUMMYFUNCTION("""COMPUTED_VALUE"""),1)</f>
        <v>1</v>
      </c>
      <c r="N1583" s="539">
        <f ca="1">IFERROR(__xludf.DUMMYFUNCTION("""COMPUTED_VALUE"""),1)</f>
        <v>1</v>
      </c>
      <c r="O1583" s="539">
        <f ca="1">IFERROR(__xludf.DUMMYFUNCTION("""COMPUTED_VALUE"""),1)</f>
        <v>1</v>
      </c>
    </row>
    <row r="1584" spans="1:15" ht="12.75">
      <c r="A1584" s="539">
        <f ca="1"/>
        <v>1578</v>
      </c>
      <c r="B1584" s="35" t="str">
        <f ca="1">IFERROR(__xludf.DUMMYFUNCTION("""COMPUTED_VALUE"""),"Tổ Hạ tầng Tân Ninh")</f>
        <v>Tổ Hạ tầng Tân Ninh</v>
      </c>
      <c r="C1584" s="35" t="str">
        <f ca="1">IFERROR(__xludf.DUMMYFUNCTION("""COMPUTED_VALUE"""),"Nguyễn Hoàng Đạt")</f>
        <v>Nguyễn Hoàng Đạt</v>
      </c>
      <c r="D1584" s="35">
        <f ca="1">IFERROR(__xludf.DUMMYFUNCTION("""COMPUTED_VALUE"""),833823127)</f>
        <v>833823127</v>
      </c>
      <c r="E1584" s="35" t="str">
        <f ca="1">IFERROR(__xludf.DUMMYFUNCTION("""COMPUTED_VALUE"""),"datnh.tnh@vnpt.vn")</f>
        <v>datnh.tnh@vnpt.vn</v>
      </c>
      <c r="F1584" s="540" t="str">
        <f ca="1">IFERROR(__xludf.DUMMYFUNCTION("""COMPUTED_VALUE"""),"Lần 10")</f>
        <v>Lần 10</v>
      </c>
      <c r="G1584" s="278">
        <f ca="1">IFERROR(__xludf.DUMMYFUNCTION("""COMPUTED_VALUE"""),46205)</f>
        <v>46205</v>
      </c>
      <c r="H1584" s="543" t="str">
        <f ca="1">IFERROR(__xludf.DUMMYFUNCTION("""COMPUTED_VALUE"""),"257")</f>
        <v>257</v>
      </c>
      <c r="I1584" s="543" t="str">
        <f ca="1">IFERROR(__xludf.DUMMYFUNCTION("""COMPUTED_VALUE"""),"80")</f>
        <v>80</v>
      </c>
      <c r="J1584" s="543" t="str">
        <f ca="1">IFERROR(__xludf.DUMMYFUNCTION("""COMPUTED_VALUE"""),"485")</f>
        <v>485</v>
      </c>
      <c r="K1584" s="543" t="str">
        <f ca="1">IFERROR(__xludf.DUMMYFUNCTION("""COMPUTED_VALUE"""),"56")</f>
        <v>56</v>
      </c>
      <c r="M1584" s="539">
        <f ca="1">IFERROR(__xludf.DUMMYFUNCTION("""COMPUTED_VALUE"""),1)</f>
        <v>1</v>
      </c>
      <c r="N1584" s="539">
        <f ca="1">IFERROR(__xludf.DUMMYFUNCTION("""COMPUTED_VALUE"""),1)</f>
        <v>1</v>
      </c>
      <c r="O1584" s="539">
        <f ca="1">IFERROR(__xludf.DUMMYFUNCTION("""COMPUTED_VALUE"""),1)</f>
        <v>1</v>
      </c>
    </row>
    <row r="1585" spans="1:15" ht="12.75">
      <c r="A1585" s="539">
        <f ca="1"/>
        <v>1579</v>
      </c>
      <c r="B1585" s="35" t="str">
        <f ca="1">IFERROR(__xludf.DUMMYFUNCTION("""COMPUTED_VALUE"""),"Tổ Hạ tầng Tân Ninh")</f>
        <v>Tổ Hạ tầng Tân Ninh</v>
      </c>
      <c r="C1585" s="35" t="str">
        <f ca="1">IFERROR(__xludf.DUMMYFUNCTION("""COMPUTED_VALUE"""),"Nguyễn Hoàng Đạt")</f>
        <v>Nguyễn Hoàng Đạt</v>
      </c>
      <c r="D1585" s="35">
        <f ca="1">IFERROR(__xludf.DUMMYFUNCTION("""COMPUTED_VALUE"""),833823127)</f>
        <v>833823127</v>
      </c>
      <c r="E1585" s="35" t="str">
        <f ca="1">IFERROR(__xludf.DUMMYFUNCTION("""COMPUTED_VALUE"""),"datnh.tnh@vnpt.vn")</f>
        <v>datnh.tnh@vnpt.vn</v>
      </c>
      <c r="F1585" s="540" t="str">
        <f ca="1">IFERROR(__xludf.DUMMYFUNCTION("""COMPUTED_VALUE"""),"Lần 11")</f>
        <v>Lần 11</v>
      </c>
      <c r="G1585" s="278">
        <f ca="1">IFERROR(__xludf.DUMMYFUNCTION("""COMPUTED_VALUE"""),46205)</f>
        <v>46205</v>
      </c>
      <c r="H1585" s="543" t="str">
        <f ca="1">IFERROR(__xludf.DUMMYFUNCTION("""COMPUTED_VALUE"""),"234")</f>
        <v>234</v>
      </c>
      <c r="I1585" s="543" t="str">
        <f ca="1">IFERROR(__xludf.DUMMYFUNCTION("""COMPUTED_VALUE"""),"67")</f>
        <v>67</v>
      </c>
      <c r="J1585" s="543" t="str">
        <f ca="1">IFERROR(__xludf.DUMMYFUNCTION("""COMPUTED_VALUE"""),"495")</f>
        <v>495</v>
      </c>
      <c r="K1585" s="543" t="str">
        <f ca="1">IFERROR(__xludf.DUMMYFUNCTION("""COMPUTED_VALUE"""),"50")</f>
        <v>50</v>
      </c>
      <c r="M1585" s="539">
        <f ca="1">IFERROR(__xludf.DUMMYFUNCTION("""COMPUTED_VALUE"""),1)</f>
        <v>1</v>
      </c>
      <c r="N1585" s="539">
        <f ca="1">IFERROR(__xludf.DUMMYFUNCTION("""COMPUTED_VALUE"""),1)</f>
        <v>1</v>
      </c>
      <c r="O1585" s="539">
        <f ca="1">IFERROR(__xludf.DUMMYFUNCTION("""COMPUTED_VALUE"""),1)</f>
        <v>1</v>
      </c>
    </row>
    <row r="1586" spans="1:15" ht="12.75">
      <c r="A1586" s="539">
        <f ca="1"/>
        <v>1580</v>
      </c>
      <c r="B1586" s="35" t="str">
        <f ca="1">IFERROR(__xludf.DUMMYFUNCTION("""COMPUTED_VALUE"""),"Tổ Hạ tầng Tân Ninh")</f>
        <v>Tổ Hạ tầng Tân Ninh</v>
      </c>
      <c r="C1586" s="35" t="str">
        <f ca="1">IFERROR(__xludf.DUMMYFUNCTION("""COMPUTED_VALUE"""),"Nguyễn Hoàng Đạt")</f>
        <v>Nguyễn Hoàng Đạt</v>
      </c>
      <c r="D1586" s="35">
        <f ca="1">IFERROR(__xludf.DUMMYFUNCTION("""COMPUTED_VALUE"""),833823127)</f>
        <v>833823127</v>
      </c>
      <c r="E1586" s="35" t="str">
        <f ca="1">IFERROR(__xludf.DUMMYFUNCTION("""COMPUTED_VALUE"""),"datnh.tnh@vnpt.vn")</f>
        <v>datnh.tnh@vnpt.vn</v>
      </c>
      <c r="F1586" s="540" t="str">
        <f ca="1">IFERROR(__xludf.DUMMYFUNCTION("""COMPUTED_VALUE"""),"Lần 12")</f>
        <v>Lần 12</v>
      </c>
      <c r="G1586" s="278">
        <f ca="1">IFERROR(__xludf.DUMMYFUNCTION("""COMPUTED_VALUE"""),46205)</f>
        <v>46205</v>
      </c>
      <c r="H1586" s="543" t="str">
        <f ca="1">IFERROR(__xludf.DUMMYFUNCTION("""COMPUTED_VALUE"""),"211")</f>
        <v>211</v>
      </c>
      <c r="I1586" s="543" t="str">
        <f ca="1">IFERROR(__xludf.DUMMYFUNCTION("""COMPUTED_VALUE"""),"65")</f>
        <v>65</v>
      </c>
      <c r="J1586" s="543" t="str">
        <f ca="1">IFERROR(__xludf.DUMMYFUNCTION("""COMPUTED_VALUE"""),"460")</f>
        <v>460</v>
      </c>
      <c r="K1586" s="543" t="str">
        <f ca="1">IFERROR(__xludf.DUMMYFUNCTION("""COMPUTED_VALUE"""),"42")</f>
        <v>42</v>
      </c>
      <c r="M1586" s="539">
        <f ca="1">IFERROR(__xludf.DUMMYFUNCTION("""COMPUTED_VALUE"""),1)</f>
        <v>1</v>
      </c>
      <c r="N1586" s="539">
        <f ca="1">IFERROR(__xludf.DUMMYFUNCTION("""COMPUTED_VALUE"""),1)</f>
        <v>1</v>
      </c>
      <c r="O1586" s="539">
        <f ca="1">IFERROR(__xludf.DUMMYFUNCTION("""COMPUTED_VALUE"""),1)</f>
        <v>1</v>
      </c>
    </row>
    <row r="1587" spans="1:15" ht="12.75">
      <c r="A1587" s="539">
        <f ca="1"/>
        <v>1581</v>
      </c>
      <c r="B1587" s="35" t="str">
        <f ca="1">IFERROR(__xludf.DUMMYFUNCTION("""COMPUTED_VALUE"""),"Tổ Hạ tầng Tân Ninh")</f>
        <v>Tổ Hạ tầng Tân Ninh</v>
      </c>
      <c r="C1587" s="35" t="str">
        <f ca="1">IFERROR(__xludf.DUMMYFUNCTION("""COMPUTED_VALUE"""),"Nguyễn Hoàng Đạt")</f>
        <v>Nguyễn Hoàng Đạt</v>
      </c>
      <c r="D1587" s="35">
        <f ca="1">IFERROR(__xludf.DUMMYFUNCTION("""COMPUTED_VALUE"""),833823127)</f>
        <v>833823127</v>
      </c>
      <c r="E1587" s="35" t="str">
        <f ca="1">IFERROR(__xludf.DUMMYFUNCTION("""COMPUTED_VALUE"""),"datnh.tnh@vnpt.vn")</f>
        <v>datnh.tnh@vnpt.vn</v>
      </c>
      <c r="F1587" s="540" t="str">
        <f ca="1">IFERROR(__xludf.DUMMYFUNCTION("""COMPUTED_VALUE"""),"Lần 13")</f>
        <v>Lần 13</v>
      </c>
      <c r="G1587" s="278">
        <f ca="1">IFERROR(__xludf.DUMMYFUNCTION("""COMPUTED_VALUE"""),46206)</f>
        <v>46206</v>
      </c>
      <c r="H1587" s="543" t="str">
        <f ca="1">IFERROR(__xludf.DUMMYFUNCTION("""COMPUTED_VALUE"""),"142")</f>
        <v>142</v>
      </c>
      <c r="I1587" s="543" t="str">
        <f ca="1">IFERROR(__xludf.DUMMYFUNCTION("""COMPUTED_VALUE"""),"30")</f>
        <v>30</v>
      </c>
      <c r="J1587" s="543" t="str">
        <f ca="1">IFERROR(__xludf.DUMMYFUNCTION("""COMPUTED_VALUE"""),"485")</f>
        <v>485</v>
      </c>
      <c r="K1587" s="543" t="str">
        <f ca="1">IFERROR(__xludf.DUMMYFUNCTION("""COMPUTED_VALUE"""),"56")</f>
        <v>56</v>
      </c>
      <c r="M1587" s="539">
        <f ca="1">IFERROR(__xludf.DUMMYFUNCTION("""COMPUTED_VALUE"""),1)</f>
        <v>1</v>
      </c>
      <c r="N1587" s="539">
        <f ca="1">IFERROR(__xludf.DUMMYFUNCTION("""COMPUTED_VALUE"""),1)</f>
        <v>1</v>
      </c>
      <c r="O1587" s="539">
        <f ca="1">IFERROR(__xludf.DUMMYFUNCTION("""COMPUTED_VALUE"""),1)</f>
        <v>1</v>
      </c>
    </row>
    <row r="1588" spans="1:15" ht="12.75">
      <c r="A1588" s="539">
        <f ca="1"/>
        <v>1582</v>
      </c>
      <c r="B1588" s="35" t="str">
        <f ca="1">IFERROR(__xludf.DUMMYFUNCTION("""COMPUTED_VALUE"""),"Tổ Hạ tầng Tân Ninh")</f>
        <v>Tổ Hạ tầng Tân Ninh</v>
      </c>
      <c r="C1588" s="35" t="str">
        <f ca="1">IFERROR(__xludf.DUMMYFUNCTION("""COMPUTED_VALUE"""),"Nguyễn Hoàng Đạt")</f>
        <v>Nguyễn Hoàng Đạt</v>
      </c>
      <c r="D1588" s="35">
        <f ca="1">IFERROR(__xludf.DUMMYFUNCTION("""COMPUTED_VALUE"""),833823127)</f>
        <v>833823127</v>
      </c>
      <c r="E1588" s="35" t="str">
        <f ca="1">IFERROR(__xludf.DUMMYFUNCTION("""COMPUTED_VALUE"""),"datnh.tnh@vnpt.vn")</f>
        <v>datnh.tnh@vnpt.vn</v>
      </c>
      <c r="F1588" s="540" t="str">
        <f ca="1">IFERROR(__xludf.DUMMYFUNCTION("""COMPUTED_VALUE"""),"Lần 14")</f>
        <v>Lần 14</v>
      </c>
      <c r="G1588" s="278">
        <f ca="1">IFERROR(__xludf.DUMMYFUNCTION("""COMPUTED_VALUE"""),46206)</f>
        <v>46206</v>
      </c>
      <c r="H1588" s="543" t="str">
        <f ca="1">IFERROR(__xludf.DUMMYFUNCTION("""COMPUTED_VALUE"""),"163")</f>
        <v>163</v>
      </c>
      <c r="I1588" s="543" t="str">
        <f ca="1">IFERROR(__xludf.DUMMYFUNCTION("""COMPUTED_VALUE"""),"45")</f>
        <v>45</v>
      </c>
      <c r="J1588" s="543" t="str">
        <f ca="1">IFERROR(__xludf.DUMMYFUNCTION("""COMPUTED_VALUE"""),"495")</f>
        <v>495</v>
      </c>
      <c r="K1588" s="543" t="str">
        <f ca="1">IFERROR(__xludf.DUMMYFUNCTION("""COMPUTED_VALUE"""),"50")</f>
        <v>50</v>
      </c>
      <c r="M1588" s="539">
        <f ca="1">IFERROR(__xludf.DUMMYFUNCTION("""COMPUTED_VALUE"""),1)</f>
        <v>1</v>
      </c>
      <c r="N1588" s="539">
        <f ca="1">IFERROR(__xludf.DUMMYFUNCTION("""COMPUTED_VALUE"""),1)</f>
        <v>1</v>
      </c>
      <c r="O1588" s="539">
        <f ca="1">IFERROR(__xludf.DUMMYFUNCTION("""COMPUTED_VALUE"""),1)</f>
        <v>1</v>
      </c>
    </row>
    <row r="1589" spans="1:15" ht="12.75">
      <c r="A1589" s="539">
        <f ca="1"/>
        <v>1583</v>
      </c>
      <c r="B1589" s="35" t="str">
        <f ca="1">IFERROR(__xludf.DUMMYFUNCTION("""COMPUTED_VALUE"""),"Tổ Hạ tầng Tân Ninh")</f>
        <v>Tổ Hạ tầng Tân Ninh</v>
      </c>
      <c r="C1589" s="35" t="str">
        <f ca="1">IFERROR(__xludf.DUMMYFUNCTION("""COMPUTED_VALUE"""),"Nguyễn Hoàng Đạt")</f>
        <v>Nguyễn Hoàng Đạt</v>
      </c>
      <c r="D1589" s="35">
        <f ca="1">IFERROR(__xludf.DUMMYFUNCTION("""COMPUTED_VALUE"""),833823127)</f>
        <v>833823127</v>
      </c>
      <c r="E1589" s="35" t="str">
        <f ca="1">IFERROR(__xludf.DUMMYFUNCTION("""COMPUTED_VALUE"""),"datnh.tnh@vnpt.vn")</f>
        <v>datnh.tnh@vnpt.vn</v>
      </c>
      <c r="F1589" s="540" t="str">
        <f ca="1">IFERROR(__xludf.DUMMYFUNCTION("""COMPUTED_VALUE"""),"Lần 15")</f>
        <v>Lần 15</v>
      </c>
      <c r="G1589" s="278">
        <f ca="1">IFERROR(__xludf.DUMMYFUNCTION("""COMPUTED_VALUE"""),46206)</f>
        <v>46206</v>
      </c>
      <c r="H1589" s="543" t="str">
        <f ca="1">IFERROR(__xludf.DUMMYFUNCTION("""COMPUTED_VALUE"""),"105")</f>
        <v>105</v>
      </c>
      <c r="I1589" s="543" t="str">
        <f ca="1">IFERROR(__xludf.DUMMYFUNCTION("""COMPUTED_VALUE"""),"33")</f>
        <v>33</v>
      </c>
      <c r="J1589" s="543" t="str">
        <f ca="1">IFERROR(__xludf.DUMMYFUNCTION("""COMPUTED_VALUE"""),"460")</f>
        <v>460</v>
      </c>
      <c r="K1589" s="543" t="str">
        <f ca="1">IFERROR(__xludf.DUMMYFUNCTION("""COMPUTED_VALUE"""),"42")</f>
        <v>42</v>
      </c>
      <c r="M1589" s="539">
        <f ca="1">IFERROR(__xludf.DUMMYFUNCTION("""COMPUTED_VALUE"""),1)</f>
        <v>1</v>
      </c>
      <c r="N1589" s="539">
        <f ca="1">IFERROR(__xludf.DUMMYFUNCTION("""COMPUTED_VALUE"""),1)</f>
        <v>1</v>
      </c>
      <c r="O1589" s="539">
        <f ca="1">IFERROR(__xludf.DUMMYFUNCTION("""COMPUTED_VALUE"""),1)</f>
        <v>1</v>
      </c>
    </row>
    <row r="1590" spans="1:15" ht="12.75">
      <c r="A1590" s="539">
        <f ca="1"/>
        <v>1584</v>
      </c>
      <c r="B1590" s="35" t="str">
        <f ca="1">IFERROR(__xludf.DUMMYFUNCTION("""COMPUTED_VALUE"""),"Tổ Hạ tầng Tân Ninh")</f>
        <v>Tổ Hạ tầng Tân Ninh</v>
      </c>
      <c r="C1590" s="35" t="str">
        <f ca="1">IFERROR(__xludf.DUMMYFUNCTION("""COMPUTED_VALUE"""),"Nguyễn Hoàng Đạt")</f>
        <v>Nguyễn Hoàng Đạt</v>
      </c>
      <c r="D1590" s="35">
        <f ca="1">IFERROR(__xludf.DUMMYFUNCTION("""COMPUTED_VALUE"""),833823127)</f>
        <v>833823127</v>
      </c>
      <c r="E1590" s="35" t="str">
        <f ca="1">IFERROR(__xludf.DUMMYFUNCTION("""COMPUTED_VALUE"""),"datnh.tnh@vnpt.vn")</f>
        <v>datnh.tnh@vnpt.vn</v>
      </c>
      <c r="F1590" s="540" t="str">
        <f ca="1">IFERROR(__xludf.DUMMYFUNCTION("""COMPUTED_VALUE"""),"Lần 16")</f>
        <v>Lần 16</v>
      </c>
      <c r="G1590" s="278">
        <f ca="1">IFERROR(__xludf.DUMMYFUNCTION("""COMPUTED_VALUE"""),46206)</f>
        <v>46206</v>
      </c>
      <c r="H1590" s="543" t="str">
        <f ca="1">IFERROR(__xludf.DUMMYFUNCTION("""COMPUTED_VALUE"""),"105")</f>
        <v>105</v>
      </c>
      <c r="I1590" s="543" t="str">
        <f ca="1">IFERROR(__xludf.DUMMYFUNCTION("""COMPUTED_VALUE"""),"30")</f>
        <v>30</v>
      </c>
      <c r="J1590" s="543" t="str">
        <f ca="1">IFERROR(__xludf.DUMMYFUNCTION("""COMPUTED_VALUE"""),"485")</f>
        <v>485</v>
      </c>
      <c r="K1590" s="543" t="str">
        <f ca="1">IFERROR(__xludf.DUMMYFUNCTION("""COMPUTED_VALUE"""),"56")</f>
        <v>56</v>
      </c>
      <c r="M1590" s="539">
        <f ca="1">IFERROR(__xludf.DUMMYFUNCTION("""COMPUTED_VALUE"""),1)</f>
        <v>1</v>
      </c>
      <c r="N1590" s="539">
        <f ca="1">IFERROR(__xludf.DUMMYFUNCTION("""COMPUTED_VALUE"""),1)</f>
        <v>1</v>
      </c>
      <c r="O1590" s="539">
        <f ca="1">IFERROR(__xludf.DUMMYFUNCTION("""COMPUTED_VALUE"""),1)</f>
        <v>1</v>
      </c>
    </row>
    <row r="1591" spans="1:15" ht="12.75">
      <c r="A1591" s="539">
        <f ca="1"/>
        <v>1585</v>
      </c>
      <c r="B1591" s="35" t="str">
        <f ca="1">IFERROR(__xludf.DUMMYFUNCTION("""COMPUTED_VALUE"""),"Tổ Hạ tầng Tân Ninh")</f>
        <v>Tổ Hạ tầng Tân Ninh</v>
      </c>
      <c r="C1591" s="35" t="str">
        <f ca="1">IFERROR(__xludf.DUMMYFUNCTION("""COMPUTED_VALUE"""),"Lê Quốc Trung Thông")</f>
        <v>Lê Quốc Trung Thông</v>
      </c>
      <c r="D1591" s="35">
        <f ca="1">IFERROR(__xludf.DUMMYFUNCTION("""COMPUTED_VALUE"""),949939268)</f>
        <v>949939268</v>
      </c>
      <c r="E1591" s="35" t="str">
        <f ca="1">IFERROR(__xludf.DUMMYFUNCTION("""COMPUTED_VALUE"""),"thonglqt.tnh@vnpt.vn")</f>
        <v>thonglqt.tnh@vnpt.vn</v>
      </c>
      <c r="F1591" s="540" t="str">
        <f ca="1">IFERROR(__xludf.DUMMYFUNCTION("""COMPUTED_VALUE"""),"Lần 1")</f>
        <v>Lần 1</v>
      </c>
      <c r="G1591" s="278">
        <f ca="1">IFERROR(__xludf.DUMMYFUNCTION("""COMPUTED_VALUE"""),46206)</f>
        <v>46206</v>
      </c>
      <c r="H1591" s="543" t="str">
        <f ca="1">IFERROR(__xludf.DUMMYFUNCTION("""COMPUTED_VALUE"""),"142")</f>
        <v>142</v>
      </c>
      <c r="I1591" s="543" t="str">
        <f ca="1">IFERROR(__xludf.DUMMYFUNCTION("""COMPUTED_VALUE"""),"30")</f>
        <v>30</v>
      </c>
      <c r="J1591" s="543" t="str">
        <f ca="1">IFERROR(__xludf.DUMMYFUNCTION("""COMPUTED_VALUE"""),"485")</f>
        <v>485</v>
      </c>
      <c r="K1591" s="543" t="str">
        <f ca="1">IFERROR(__xludf.DUMMYFUNCTION("""COMPUTED_VALUE"""),"56")</f>
        <v>56</v>
      </c>
      <c r="M1591" s="539">
        <f ca="1">IFERROR(__xludf.DUMMYFUNCTION("""COMPUTED_VALUE"""),1)</f>
        <v>1</v>
      </c>
      <c r="N1591" s="539">
        <f ca="1">IFERROR(__xludf.DUMMYFUNCTION("""COMPUTED_VALUE"""),1)</f>
        <v>1</v>
      </c>
      <c r="O1591" s="539">
        <f ca="1">IFERROR(__xludf.DUMMYFUNCTION("""COMPUTED_VALUE"""),1)</f>
        <v>1</v>
      </c>
    </row>
    <row r="1592" spans="1:15" ht="12.75">
      <c r="A1592" s="539">
        <f ca="1"/>
        <v>1586</v>
      </c>
      <c r="B1592" s="35" t="str">
        <f ca="1">IFERROR(__xludf.DUMMYFUNCTION("""COMPUTED_VALUE"""),"Tổ Hạ tầng Tân Ninh")</f>
        <v>Tổ Hạ tầng Tân Ninh</v>
      </c>
      <c r="C1592" s="35" t="str">
        <f ca="1">IFERROR(__xludf.DUMMYFUNCTION("""COMPUTED_VALUE"""),"Lê Quốc Trung Thông")</f>
        <v>Lê Quốc Trung Thông</v>
      </c>
      <c r="D1592" s="35">
        <f ca="1">IFERROR(__xludf.DUMMYFUNCTION("""COMPUTED_VALUE"""),949939268)</f>
        <v>949939268</v>
      </c>
      <c r="E1592" s="35" t="str">
        <f ca="1">IFERROR(__xludf.DUMMYFUNCTION("""COMPUTED_VALUE"""),"thonglqt.tnh@vnpt.vn")</f>
        <v>thonglqt.tnh@vnpt.vn</v>
      </c>
      <c r="F1592" s="540" t="str">
        <f ca="1">IFERROR(__xludf.DUMMYFUNCTION("""COMPUTED_VALUE"""),"Lần 2")</f>
        <v>Lần 2</v>
      </c>
      <c r="G1592" s="278">
        <f ca="1">IFERROR(__xludf.DUMMYFUNCTION("""COMPUTED_VALUE"""),46206)</f>
        <v>46206</v>
      </c>
      <c r="H1592" s="543" t="str">
        <f ca="1">IFERROR(__xludf.DUMMYFUNCTION("""COMPUTED_VALUE"""),"163")</f>
        <v>163</v>
      </c>
      <c r="I1592" s="543" t="str">
        <f ca="1">IFERROR(__xludf.DUMMYFUNCTION("""COMPUTED_VALUE"""),"45")</f>
        <v>45</v>
      </c>
      <c r="J1592" s="543" t="str">
        <f ca="1">IFERROR(__xludf.DUMMYFUNCTION("""COMPUTED_VALUE"""),"495")</f>
        <v>495</v>
      </c>
      <c r="K1592" s="543" t="str">
        <f ca="1">IFERROR(__xludf.DUMMYFUNCTION("""COMPUTED_VALUE"""),"50")</f>
        <v>50</v>
      </c>
      <c r="M1592" s="539">
        <f ca="1">IFERROR(__xludf.DUMMYFUNCTION("""COMPUTED_VALUE"""),1)</f>
        <v>1</v>
      </c>
      <c r="N1592" s="539">
        <f ca="1">IFERROR(__xludf.DUMMYFUNCTION("""COMPUTED_VALUE"""),1)</f>
        <v>1</v>
      </c>
      <c r="O1592" s="539">
        <f ca="1">IFERROR(__xludf.DUMMYFUNCTION("""COMPUTED_VALUE"""),1)</f>
        <v>1</v>
      </c>
    </row>
    <row r="1593" spans="1:15" ht="12.75">
      <c r="A1593" s="539">
        <f ca="1"/>
        <v>1587</v>
      </c>
      <c r="B1593" s="35" t="str">
        <f ca="1">IFERROR(__xludf.DUMMYFUNCTION("""COMPUTED_VALUE"""),"Tổ Hạ tầng Tân Ninh")</f>
        <v>Tổ Hạ tầng Tân Ninh</v>
      </c>
      <c r="C1593" s="35" t="str">
        <f ca="1">IFERROR(__xludf.DUMMYFUNCTION("""COMPUTED_VALUE"""),"Lê Quốc Trung Thông")</f>
        <v>Lê Quốc Trung Thông</v>
      </c>
      <c r="D1593" s="35">
        <f ca="1">IFERROR(__xludf.DUMMYFUNCTION("""COMPUTED_VALUE"""),949939268)</f>
        <v>949939268</v>
      </c>
      <c r="E1593" s="35" t="str">
        <f ca="1">IFERROR(__xludf.DUMMYFUNCTION("""COMPUTED_VALUE"""),"thonglqt.tnh@vnpt.vn")</f>
        <v>thonglqt.tnh@vnpt.vn</v>
      </c>
      <c r="F1593" s="540" t="str">
        <f ca="1">IFERROR(__xludf.DUMMYFUNCTION("""COMPUTED_VALUE"""),"Lần 3")</f>
        <v>Lần 3</v>
      </c>
      <c r="G1593" s="278">
        <f ca="1">IFERROR(__xludf.DUMMYFUNCTION("""COMPUTED_VALUE"""),46206)</f>
        <v>46206</v>
      </c>
      <c r="H1593" s="543" t="str">
        <f ca="1">IFERROR(__xludf.DUMMYFUNCTION("""COMPUTED_VALUE"""),"105")</f>
        <v>105</v>
      </c>
      <c r="I1593" s="543" t="str">
        <f ca="1">IFERROR(__xludf.DUMMYFUNCTION("""COMPUTED_VALUE"""),"33")</f>
        <v>33</v>
      </c>
      <c r="J1593" s="543" t="str">
        <f ca="1">IFERROR(__xludf.DUMMYFUNCTION("""COMPUTED_VALUE"""),"460")</f>
        <v>460</v>
      </c>
      <c r="K1593" s="543" t="str">
        <f ca="1">IFERROR(__xludf.DUMMYFUNCTION("""COMPUTED_VALUE"""),"42")</f>
        <v>42</v>
      </c>
      <c r="M1593" s="539">
        <f ca="1">IFERROR(__xludf.DUMMYFUNCTION("""COMPUTED_VALUE"""),1)</f>
        <v>1</v>
      </c>
      <c r="N1593" s="539">
        <f ca="1">IFERROR(__xludf.DUMMYFUNCTION("""COMPUTED_VALUE"""),1)</f>
        <v>1</v>
      </c>
      <c r="O1593" s="539">
        <f ca="1">IFERROR(__xludf.DUMMYFUNCTION("""COMPUTED_VALUE"""),1)</f>
        <v>1</v>
      </c>
    </row>
    <row r="1594" spans="1:15" ht="12.75">
      <c r="A1594" s="539">
        <f ca="1"/>
        <v>1588</v>
      </c>
      <c r="B1594" s="35" t="str">
        <f ca="1">IFERROR(__xludf.DUMMYFUNCTION("""COMPUTED_VALUE"""),"Tổ Hạ tầng Tân Ninh")</f>
        <v>Tổ Hạ tầng Tân Ninh</v>
      </c>
      <c r="C1594" s="35" t="str">
        <f ca="1">IFERROR(__xludf.DUMMYFUNCTION("""COMPUTED_VALUE"""),"Lê Quốc Trung Thông")</f>
        <v>Lê Quốc Trung Thông</v>
      </c>
      <c r="D1594" s="35">
        <f ca="1">IFERROR(__xludf.DUMMYFUNCTION("""COMPUTED_VALUE"""),949939268)</f>
        <v>949939268</v>
      </c>
      <c r="E1594" s="35" t="str">
        <f ca="1">IFERROR(__xludf.DUMMYFUNCTION("""COMPUTED_VALUE"""),"thonglqt.tnh@vnpt.vn")</f>
        <v>thonglqt.tnh@vnpt.vn</v>
      </c>
      <c r="F1594" s="540" t="str">
        <f ca="1">IFERROR(__xludf.DUMMYFUNCTION("""COMPUTED_VALUE"""),"Lần 4")</f>
        <v>Lần 4</v>
      </c>
      <c r="G1594" s="278">
        <f ca="1">IFERROR(__xludf.DUMMYFUNCTION("""COMPUTED_VALUE"""),46214)</f>
        <v>46214</v>
      </c>
      <c r="H1594" s="543" t="str">
        <f ca="1">IFERROR(__xludf.DUMMYFUNCTION("""COMPUTED_VALUE"""),"199")</f>
        <v>199</v>
      </c>
      <c r="I1594" s="543" t="str">
        <f ca="1">IFERROR(__xludf.DUMMYFUNCTION("""COMPUTED_VALUE"""),"61")</f>
        <v>61</v>
      </c>
      <c r="J1594" s="543" t="str">
        <f ca="1">IFERROR(__xludf.DUMMYFUNCTION("""COMPUTED_VALUE"""),"750")</f>
        <v>750</v>
      </c>
      <c r="K1594" s="543" t="str">
        <f ca="1">IFERROR(__xludf.DUMMYFUNCTION("""COMPUTED_VALUE"""),"86")</f>
        <v>86</v>
      </c>
      <c r="M1594" s="539">
        <f ca="1">IFERROR(__xludf.DUMMYFUNCTION("""COMPUTED_VALUE"""),1)</f>
        <v>1</v>
      </c>
      <c r="N1594" s="539">
        <f ca="1">IFERROR(__xludf.DUMMYFUNCTION("""COMPUTED_VALUE"""),1)</f>
        <v>1</v>
      </c>
      <c r="O1594" s="539">
        <f ca="1">IFERROR(__xludf.DUMMYFUNCTION("""COMPUTED_VALUE"""),1)</f>
        <v>1</v>
      </c>
    </row>
    <row r="1595" spans="1:15" ht="12.75">
      <c r="A1595" s="539">
        <f ca="1"/>
        <v>1589</v>
      </c>
      <c r="B1595" s="35" t="str">
        <f ca="1">IFERROR(__xludf.DUMMYFUNCTION("""COMPUTED_VALUE"""),"Tổ Hạ tầng Tân Ninh")</f>
        <v>Tổ Hạ tầng Tân Ninh</v>
      </c>
      <c r="C1595" s="35" t="str">
        <f ca="1">IFERROR(__xludf.DUMMYFUNCTION("""COMPUTED_VALUE"""),"Lê Quốc Trung Thông")</f>
        <v>Lê Quốc Trung Thông</v>
      </c>
      <c r="D1595" s="35">
        <f ca="1">IFERROR(__xludf.DUMMYFUNCTION("""COMPUTED_VALUE"""),949939268)</f>
        <v>949939268</v>
      </c>
      <c r="E1595" s="35" t="str">
        <f ca="1">IFERROR(__xludf.DUMMYFUNCTION("""COMPUTED_VALUE"""),"thonglqt.tnh@vnpt.vn")</f>
        <v>thonglqt.tnh@vnpt.vn</v>
      </c>
      <c r="F1595" s="540" t="str">
        <f ca="1">IFERROR(__xludf.DUMMYFUNCTION("""COMPUTED_VALUE"""),"Lần 5")</f>
        <v>Lần 5</v>
      </c>
      <c r="G1595" s="278">
        <f ca="1">IFERROR(__xludf.DUMMYFUNCTION("""COMPUTED_VALUE"""),46214)</f>
        <v>46214</v>
      </c>
      <c r="H1595" s="543" t="str">
        <f ca="1">IFERROR(__xludf.DUMMYFUNCTION("""COMPUTED_VALUE"""),"234")</f>
        <v>234</v>
      </c>
      <c r="I1595" s="543" t="str">
        <f ca="1">IFERROR(__xludf.DUMMYFUNCTION("""COMPUTED_VALUE"""),"66")</f>
        <v>66</v>
      </c>
      <c r="J1595" s="543" t="str">
        <f ca="1">IFERROR(__xludf.DUMMYFUNCTION("""COMPUTED_VALUE"""),"744")</f>
        <v>744</v>
      </c>
      <c r="K1595" s="543" t="str">
        <f ca="1">IFERROR(__xludf.DUMMYFUNCTION("""COMPUTED_VALUE"""),"59")</f>
        <v>59</v>
      </c>
      <c r="M1595" s="539">
        <f ca="1">IFERROR(__xludf.DUMMYFUNCTION("""COMPUTED_VALUE"""),1)</f>
        <v>1</v>
      </c>
      <c r="N1595" s="539">
        <f ca="1">IFERROR(__xludf.DUMMYFUNCTION("""COMPUTED_VALUE"""),1)</f>
        <v>1</v>
      </c>
      <c r="O1595" s="539">
        <f ca="1">IFERROR(__xludf.DUMMYFUNCTION("""COMPUTED_VALUE"""),1)</f>
        <v>1</v>
      </c>
    </row>
    <row r="1596" spans="1:15" ht="12.75">
      <c r="A1596" s="539">
        <f ca="1"/>
        <v>1590</v>
      </c>
      <c r="B1596" s="35" t="str">
        <f ca="1">IFERROR(__xludf.DUMMYFUNCTION("""COMPUTED_VALUE"""),"Tổ Hạ tầng Tân Ninh")</f>
        <v>Tổ Hạ tầng Tân Ninh</v>
      </c>
      <c r="C1596" s="35" t="str">
        <f ca="1">IFERROR(__xludf.DUMMYFUNCTION("""COMPUTED_VALUE"""),"Lê Quốc Trung Thông")</f>
        <v>Lê Quốc Trung Thông</v>
      </c>
      <c r="D1596" s="35">
        <f ca="1">IFERROR(__xludf.DUMMYFUNCTION("""COMPUTED_VALUE"""),949939268)</f>
        <v>949939268</v>
      </c>
      <c r="E1596" s="35" t="str">
        <f ca="1">IFERROR(__xludf.DUMMYFUNCTION("""COMPUTED_VALUE"""),"thonglqt.tnh@vnpt.vn")</f>
        <v>thonglqt.tnh@vnpt.vn</v>
      </c>
      <c r="F1596" s="540" t="str">
        <f ca="1">IFERROR(__xludf.DUMMYFUNCTION("""COMPUTED_VALUE"""),"Lần 6")</f>
        <v>Lần 6</v>
      </c>
      <c r="G1596" s="278">
        <f ca="1">IFERROR(__xludf.DUMMYFUNCTION("""COMPUTED_VALUE"""),46214)</f>
        <v>46214</v>
      </c>
      <c r="H1596" s="543" t="str">
        <f ca="1">IFERROR(__xludf.DUMMYFUNCTION("""COMPUTED_VALUE"""),"150")</f>
        <v>150</v>
      </c>
      <c r="I1596" s="543" t="str">
        <f ca="1">IFERROR(__xludf.DUMMYFUNCTION("""COMPUTED_VALUE"""),"56")</f>
        <v>56</v>
      </c>
      <c r="J1596" s="543" t="str">
        <f ca="1">IFERROR(__xludf.DUMMYFUNCTION("""COMPUTED_VALUE"""),"775")</f>
        <v>775</v>
      </c>
      <c r="K1596" s="543" t="str">
        <f ca="1">IFERROR(__xludf.DUMMYFUNCTION("""COMPUTED_VALUE"""),"65")</f>
        <v>65</v>
      </c>
      <c r="M1596" s="539">
        <f ca="1">IFERROR(__xludf.DUMMYFUNCTION("""COMPUTED_VALUE"""),1)</f>
        <v>1</v>
      </c>
      <c r="N1596" s="539">
        <f ca="1">IFERROR(__xludf.DUMMYFUNCTION("""COMPUTED_VALUE"""),1)</f>
        <v>1</v>
      </c>
      <c r="O1596" s="539">
        <f ca="1">IFERROR(__xludf.DUMMYFUNCTION("""COMPUTED_VALUE"""),1)</f>
        <v>1</v>
      </c>
    </row>
    <row r="1597" spans="1:15" ht="12.75">
      <c r="A1597" s="539">
        <f ca="1"/>
        <v>1591</v>
      </c>
      <c r="B1597" s="35" t="str">
        <f ca="1">IFERROR(__xludf.DUMMYFUNCTION("""COMPUTED_VALUE"""),"Tổ Hạ tầng Tân Ninh")</f>
        <v>Tổ Hạ tầng Tân Ninh</v>
      </c>
      <c r="C1597" s="35" t="str">
        <f ca="1">IFERROR(__xludf.DUMMYFUNCTION("""COMPUTED_VALUE"""),"Lê Quốc Trung Thông")</f>
        <v>Lê Quốc Trung Thông</v>
      </c>
      <c r="D1597" s="35">
        <f ca="1">IFERROR(__xludf.DUMMYFUNCTION("""COMPUTED_VALUE"""),949939268)</f>
        <v>949939268</v>
      </c>
      <c r="E1597" s="35" t="str">
        <f ca="1">IFERROR(__xludf.DUMMYFUNCTION("""COMPUTED_VALUE"""),"thonglqt.tnh@vnpt.vn")</f>
        <v>thonglqt.tnh@vnpt.vn</v>
      </c>
      <c r="F1597" s="540" t="str">
        <f ca="1">IFERROR(__xludf.DUMMYFUNCTION("""COMPUTED_VALUE"""),"Lần 7")</f>
        <v>Lần 7</v>
      </c>
      <c r="G1597" s="278">
        <f ca="1">IFERROR(__xludf.DUMMYFUNCTION("""COMPUTED_VALUE"""),46214)</f>
        <v>46214</v>
      </c>
      <c r="H1597" s="543" t="str">
        <f ca="1">IFERROR(__xludf.DUMMYFUNCTION("""COMPUTED_VALUE"""),"207")</f>
        <v>207</v>
      </c>
      <c r="I1597" s="543" t="str">
        <f ca="1">IFERROR(__xludf.DUMMYFUNCTION("""COMPUTED_VALUE"""),"69")</f>
        <v>69</v>
      </c>
      <c r="J1597" s="543" t="str">
        <f ca="1">IFERROR(__xludf.DUMMYFUNCTION("""COMPUTED_VALUE"""),"708")</f>
        <v>708</v>
      </c>
      <c r="K1597" s="543" t="str">
        <f ca="1">IFERROR(__xludf.DUMMYFUNCTION("""COMPUTED_VALUE"""),"68")</f>
        <v>68</v>
      </c>
      <c r="M1597" s="539">
        <f ca="1">IFERROR(__xludf.DUMMYFUNCTION("""COMPUTED_VALUE"""),1)</f>
        <v>1</v>
      </c>
      <c r="N1597" s="539">
        <f ca="1">IFERROR(__xludf.DUMMYFUNCTION("""COMPUTED_VALUE"""),1)</f>
        <v>1</v>
      </c>
      <c r="O1597" s="539">
        <f ca="1">IFERROR(__xludf.DUMMYFUNCTION("""COMPUTED_VALUE"""),1)</f>
        <v>1</v>
      </c>
    </row>
    <row r="1598" spans="1:15" ht="12.75">
      <c r="A1598" s="539">
        <f ca="1"/>
        <v>1592</v>
      </c>
      <c r="B1598" s="35" t="str">
        <f ca="1">IFERROR(__xludf.DUMMYFUNCTION("""COMPUTED_VALUE"""),"Tổ Hạ tầng Tân Ninh")</f>
        <v>Tổ Hạ tầng Tân Ninh</v>
      </c>
      <c r="C1598" s="35" t="str">
        <f ca="1">IFERROR(__xludf.DUMMYFUNCTION("""COMPUTED_VALUE"""),"Lê Quốc Trung Thông")</f>
        <v>Lê Quốc Trung Thông</v>
      </c>
      <c r="D1598" s="35">
        <f ca="1">IFERROR(__xludf.DUMMYFUNCTION("""COMPUTED_VALUE"""),949939268)</f>
        <v>949939268</v>
      </c>
      <c r="E1598" s="35" t="str">
        <f ca="1">IFERROR(__xludf.DUMMYFUNCTION("""COMPUTED_VALUE"""),"thonglqt.tnh@vnpt.vn")</f>
        <v>thonglqt.tnh@vnpt.vn</v>
      </c>
      <c r="F1598" s="540" t="str">
        <f ca="1">IFERROR(__xludf.DUMMYFUNCTION("""COMPUTED_VALUE"""),"Lần 8")</f>
        <v>Lần 8</v>
      </c>
      <c r="G1598" s="278">
        <f ca="1">IFERROR(__xludf.DUMMYFUNCTION("""COMPUTED_VALUE"""),46214)</f>
        <v>46214</v>
      </c>
      <c r="H1598" s="543" t="str">
        <f ca="1">IFERROR(__xludf.DUMMYFUNCTION("""COMPUTED_VALUE"""),"218")</f>
        <v>218</v>
      </c>
      <c r="I1598" s="543" t="str">
        <f ca="1">IFERROR(__xludf.DUMMYFUNCTION("""COMPUTED_VALUE"""),"58")</f>
        <v>58</v>
      </c>
      <c r="J1598" s="543" t="str">
        <f ca="1">IFERROR(__xludf.DUMMYFUNCTION("""COMPUTED_VALUE"""),"720")</f>
        <v>720</v>
      </c>
      <c r="K1598" s="543" t="str">
        <f ca="1">IFERROR(__xludf.DUMMYFUNCTION("""COMPUTED_VALUE"""),"64")</f>
        <v>64</v>
      </c>
      <c r="M1598" s="539">
        <f ca="1">IFERROR(__xludf.DUMMYFUNCTION("""COMPUTED_VALUE"""),1)</f>
        <v>1</v>
      </c>
      <c r="N1598" s="539">
        <f ca="1">IFERROR(__xludf.DUMMYFUNCTION("""COMPUTED_VALUE"""),1)</f>
        <v>1</v>
      </c>
      <c r="O1598" s="539">
        <f ca="1">IFERROR(__xludf.DUMMYFUNCTION("""COMPUTED_VALUE"""),1)</f>
        <v>1</v>
      </c>
    </row>
    <row r="1599" spans="1:15" ht="12.75">
      <c r="A1599" s="539">
        <f ca="1"/>
        <v>1593</v>
      </c>
      <c r="B1599" s="35" t="str">
        <f ca="1">IFERROR(__xludf.DUMMYFUNCTION("""COMPUTED_VALUE"""),"Tổ Hạ tầng Tân Ninh")</f>
        <v>Tổ Hạ tầng Tân Ninh</v>
      </c>
      <c r="C1599" s="35" t="str">
        <f ca="1">IFERROR(__xludf.DUMMYFUNCTION("""COMPUTED_VALUE"""),"Lê Quốc Trung Thông")</f>
        <v>Lê Quốc Trung Thông</v>
      </c>
      <c r="D1599" s="35">
        <f ca="1">IFERROR(__xludf.DUMMYFUNCTION("""COMPUTED_VALUE"""),949939268)</f>
        <v>949939268</v>
      </c>
      <c r="E1599" s="35" t="str">
        <f ca="1">IFERROR(__xludf.DUMMYFUNCTION("""COMPUTED_VALUE"""),"thonglqt.tnh@vnpt.vn")</f>
        <v>thonglqt.tnh@vnpt.vn</v>
      </c>
      <c r="F1599" s="540" t="str">
        <f ca="1">IFERROR(__xludf.DUMMYFUNCTION("""COMPUTED_VALUE"""),"Lần 9")</f>
        <v>Lần 9</v>
      </c>
      <c r="G1599" s="278"/>
      <c r="H1599" s="543"/>
      <c r="I1599" s="543"/>
      <c r="J1599" s="543"/>
      <c r="K1599" s="543"/>
      <c r="M1599" s="539">
        <f ca="1">IFERROR(__xludf.DUMMYFUNCTION("""COMPUTED_VALUE"""),0)</f>
        <v>0</v>
      </c>
      <c r="N1599" s="539">
        <f ca="1">IFERROR(__xludf.DUMMYFUNCTION("""COMPUTED_VALUE"""),0)</f>
        <v>0</v>
      </c>
      <c r="O1599" s="539">
        <f ca="1">IFERROR(__xludf.DUMMYFUNCTION("""COMPUTED_VALUE"""),0)</f>
        <v>0</v>
      </c>
    </row>
    <row r="1600" spans="1:15" ht="12.75">
      <c r="A1600" s="539">
        <f ca="1"/>
        <v>1594</v>
      </c>
      <c r="B1600" s="35" t="str">
        <f ca="1">IFERROR(__xludf.DUMMYFUNCTION("""COMPUTED_VALUE"""),"Tổ Hạ tầng Tân Ninh")</f>
        <v>Tổ Hạ tầng Tân Ninh</v>
      </c>
      <c r="C1600" s="35" t="str">
        <f ca="1">IFERROR(__xludf.DUMMYFUNCTION("""COMPUTED_VALUE"""),"Lê Quốc Trung Thông")</f>
        <v>Lê Quốc Trung Thông</v>
      </c>
      <c r="D1600" s="35">
        <f ca="1">IFERROR(__xludf.DUMMYFUNCTION("""COMPUTED_VALUE"""),949939268)</f>
        <v>949939268</v>
      </c>
      <c r="E1600" s="35" t="str">
        <f ca="1">IFERROR(__xludf.DUMMYFUNCTION("""COMPUTED_VALUE"""),"thonglqt.tnh@vnpt.vn")</f>
        <v>thonglqt.tnh@vnpt.vn</v>
      </c>
      <c r="F1600" s="540" t="str">
        <f ca="1">IFERROR(__xludf.DUMMYFUNCTION("""COMPUTED_VALUE"""),"Lần 10")</f>
        <v>Lần 10</v>
      </c>
      <c r="G1600" s="278"/>
      <c r="H1600" s="543"/>
      <c r="I1600" s="543"/>
      <c r="J1600" s="543"/>
      <c r="K1600" s="543"/>
      <c r="M1600" s="539">
        <f ca="1">IFERROR(__xludf.DUMMYFUNCTION("""COMPUTED_VALUE"""),0)</f>
        <v>0</v>
      </c>
      <c r="N1600" s="539">
        <f ca="1">IFERROR(__xludf.DUMMYFUNCTION("""COMPUTED_VALUE"""),0)</f>
        <v>0</v>
      </c>
      <c r="O1600" s="539">
        <f ca="1">IFERROR(__xludf.DUMMYFUNCTION("""COMPUTED_VALUE"""),0)</f>
        <v>0</v>
      </c>
    </row>
    <row r="1601" spans="1:15" ht="12.75">
      <c r="A1601" s="539">
        <f ca="1"/>
        <v>1595</v>
      </c>
      <c r="B1601" s="35" t="str">
        <f ca="1">IFERROR(__xludf.DUMMYFUNCTION("""COMPUTED_VALUE"""),"Tổ Hạ tầng Tân Ninh")</f>
        <v>Tổ Hạ tầng Tân Ninh</v>
      </c>
      <c r="C1601" s="35" t="str">
        <f ca="1">IFERROR(__xludf.DUMMYFUNCTION("""COMPUTED_VALUE"""),"Lê Quốc Trung Thông")</f>
        <v>Lê Quốc Trung Thông</v>
      </c>
      <c r="D1601" s="35">
        <f ca="1">IFERROR(__xludf.DUMMYFUNCTION("""COMPUTED_VALUE"""),949939268)</f>
        <v>949939268</v>
      </c>
      <c r="E1601" s="35" t="str">
        <f ca="1">IFERROR(__xludf.DUMMYFUNCTION("""COMPUTED_VALUE"""),"thonglqt.tnh@vnpt.vn")</f>
        <v>thonglqt.tnh@vnpt.vn</v>
      </c>
      <c r="F1601" s="540" t="str">
        <f ca="1">IFERROR(__xludf.DUMMYFUNCTION("""COMPUTED_VALUE"""),"Lần 11")</f>
        <v>Lần 11</v>
      </c>
      <c r="G1601" s="278"/>
      <c r="H1601" s="543"/>
      <c r="I1601" s="543"/>
      <c r="J1601" s="543"/>
      <c r="K1601" s="543"/>
      <c r="M1601" s="539">
        <f ca="1">IFERROR(__xludf.DUMMYFUNCTION("""COMPUTED_VALUE"""),0)</f>
        <v>0</v>
      </c>
      <c r="N1601" s="539">
        <f ca="1">IFERROR(__xludf.DUMMYFUNCTION("""COMPUTED_VALUE"""),0)</f>
        <v>0</v>
      </c>
      <c r="O1601" s="539">
        <f ca="1">IFERROR(__xludf.DUMMYFUNCTION("""COMPUTED_VALUE"""),0)</f>
        <v>0</v>
      </c>
    </row>
    <row r="1602" spans="1:15" ht="12.75">
      <c r="A1602" s="539">
        <f ca="1"/>
        <v>1596</v>
      </c>
      <c r="B1602" s="35" t="str">
        <f ca="1">IFERROR(__xludf.DUMMYFUNCTION("""COMPUTED_VALUE"""),"Tổ Hạ tầng Tân Ninh")</f>
        <v>Tổ Hạ tầng Tân Ninh</v>
      </c>
      <c r="C1602" s="35" t="str">
        <f ca="1">IFERROR(__xludf.DUMMYFUNCTION("""COMPUTED_VALUE"""),"Lê Quốc Trung Thông")</f>
        <v>Lê Quốc Trung Thông</v>
      </c>
      <c r="D1602" s="35">
        <f ca="1">IFERROR(__xludf.DUMMYFUNCTION("""COMPUTED_VALUE"""),949939268)</f>
        <v>949939268</v>
      </c>
      <c r="E1602" s="35" t="str">
        <f ca="1">IFERROR(__xludf.DUMMYFUNCTION("""COMPUTED_VALUE"""),"thonglqt.tnh@vnpt.vn")</f>
        <v>thonglqt.tnh@vnpt.vn</v>
      </c>
      <c r="F1602" s="540" t="str">
        <f ca="1">IFERROR(__xludf.DUMMYFUNCTION("""COMPUTED_VALUE"""),"Lần 12")</f>
        <v>Lần 12</v>
      </c>
      <c r="G1602" s="278"/>
      <c r="H1602" s="543"/>
      <c r="I1602" s="543"/>
      <c r="J1602" s="543"/>
      <c r="K1602" s="543"/>
      <c r="M1602" s="539">
        <f ca="1">IFERROR(__xludf.DUMMYFUNCTION("""COMPUTED_VALUE"""),0)</f>
        <v>0</v>
      </c>
      <c r="N1602" s="539">
        <f ca="1">IFERROR(__xludf.DUMMYFUNCTION("""COMPUTED_VALUE"""),0)</f>
        <v>0</v>
      </c>
      <c r="O1602" s="539">
        <f ca="1">IFERROR(__xludf.DUMMYFUNCTION("""COMPUTED_VALUE"""),0)</f>
        <v>0</v>
      </c>
    </row>
    <row r="1603" spans="1:15" ht="12.75">
      <c r="A1603" s="539">
        <f ca="1"/>
        <v>1597</v>
      </c>
      <c r="B1603" s="35" t="str">
        <f ca="1">IFERROR(__xludf.DUMMYFUNCTION("""COMPUTED_VALUE"""),"Tổ Hạ tầng Tân Ninh")</f>
        <v>Tổ Hạ tầng Tân Ninh</v>
      </c>
      <c r="C1603" s="35" t="str">
        <f ca="1">IFERROR(__xludf.DUMMYFUNCTION("""COMPUTED_VALUE"""),"Lê Quốc Trung Thông")</f>
        <v>Lê Quốc Trung Thông</v>
      </c>
      <c r="D1603" s="35">
        <f ca="1">IFERROR(__xludf.DUMMYFUNCTION("""COMPUTED_VALUE"""),949939268)</f>
        <v>949939268</v>
      </c>
      <c r="E1603" s="35" t="str">
        <f ca="1">IFERROR(__xludf.DUMMYFUNCTION("""COMPUTED_VALUE"""),"thonglqt.tnh@vnpt.vn")</f>
        <v>thonglqt.tnh@vnpt.vn</v>
      </c>
      <c r="F1603" s="540" t="str">
        <f ca="1">IFERROR(__xludf.DUMMYFUNCTION("""COMPUTED_VALUE"""),"Lần 13")</f>
        <v>Lần 13</v>
      </c>
      <c r="G1603" s="278"/>
      <c r="H1603" s="543"/>
      <c r="I1603" s="543"/>
      <c r="J1603" s="543"/>
      <c r="K1603" s="543"/>
      <c r="M1603" s="539">
        <f ca="1">IFERROR(__xludf.DUMMYFUNCTION("""COMPUTED_VALUE"""),0)</f>
        <v>0</v>
      </c>
      <c r="N1603" s="539">
        <f ca="1">IFERROR(__xludf.DUMMYFUNCTION("""COMPUTED_VALUE"""),0)</f>
        <v>0</v>
      </c>
      <c r="O1603" s="539">
        <f ca="1">IFERROR(__xludf.DUMMYFUNCTION("""COMPUTED_VALUE"""),0)</f>
        <v>0</v>
      </c>
    </row>
    <row r="1604" spans="1:15" ht="12.75">
      <c r="A1604" s="539">
        <f ca="1"/>
        <v>1598</v>
      </c>
      <c r="B1604" s="35" t="str">
        <f ca="1">IFERROR(__xludf.DUMMYFUNCTION("""COMPUTED_VALUE"""),"Tổ Hạ tầng Tân Ninh")</f>
        <v>Tổ Hạ tầng Tân Ninh</v>
      </c>
      <c r="C1604" s="35" t="str">
        <f ca="1">IFERROR(__xludf.DUMMYFUNCTION("""COMPUTED_VALUE"""),"Lê Quốc Trung Thông")</f>
        <v>Lê Quốc Trung Thông</v>
      </c>
      <c r="D1604" s="35">
        <f ca="1">IFERROR(__xludf.DUMMYFUNCTION("""COMPUTED_VALUE"""),949939268)</f>
        <v>949939268</v>
      </c>
      <c r="E1604" s="35" t="str">
        <f ca="1">IFERROR(__xludf.DUMMYFUNCTION("""COMPUTED_VALUE"""),"thonglqt.tnh@vnpt.vn")</f>
        <v>thonglqt.tnh@vnpt.vn</v>
      </c>
      <c r="F1604" s="540" t="str">
        <f ca="1">IFERROR(__xludf.DUMMYFUNCTION("""COMPUTED_VALUE"""),"Lần 14")</f>
        <v>Lần 14</v>
      </c>
      <c r="G1604" s="278"/>
      <c r="H1604" s="543"/>
      <c r="I1604" s="543"/>
      <c r="J1604" s="543"/>
      <c r="K1604" s="543"/>
      <c r="M1604" s="539">
        <f ca="1">IFERROR(__xludf.DUMMYFUNCTION("""COMPUTED_VALUE"""),0)</f>
        <v>0</v>
      </c>
      <c r="N1604" s="539">
        <f ca="1">IFERROR(__xludf.DUMMYFUNCTION("""COMPUTED_VALUE"""),0)</f>
        <v>0</v>
      </c>
      <c r="O1604" s="539">
        <f ca="1">IFERROR(__xludf.DUMMYFUNCTION("""COMPUTED_VALUE"""),0)</f>
        <v>0</v>
      </c>
    </row>
    <row r="1605" spans="1:15" ht="12.75">
      <c r="A1605" s="539">
        <f ca="1"/>
        <v>1599</v>
      </c>
      <c r="B1605" s="35" t="str">
        <f ca="1">IFERROR(__xludf.DUMMYFUNCTION("""COMPUTED_VALUE"""),"Tổ Hạ tầng Tân Ninh")</f>
        <v>Tổ Hạ tầng Tân Ninh</v>
      </c>
      <c r="C1605" s="35" t="str">
        <f ca="1">IFERROR(__xludf.DUMMYFUNCTION("""COMPUTED_VALUE"""),"Lê Quốc Trung Thông")</f>
        <v>Lê Quốc Trung Thông</v>
      </c>
      <c r="D1605" s="35">
        <f ca="1">IFERROR(__xludf.DUMMYFUNCTION("""COMPUTED_VALUE"""),949939268)</f>
        <v>949939268</v>
      </c>
      <c r="E1605" s="35" t="str">
        <f ca="1">IFERROR(__xludf.DUMMYFUNCTION("""COMPUTED_VALUE"""),"thonglqt.tnh@vnpt.vn")</f>
        <v>thonglqt.tnh@vnpt.vn</v>
      </c>
      <c r="F1605" s="540" t="str">
        <f ca="1">IFERROR(__xludf.DUMMYFUNCTION("""COMPUTED_VALUE"""),"Lần 15")</f>
        <v>Lần 15</v>
      </c>
      <c r="G1605" s="278"/>
      <c r="H1605" s="543"/>
      <c r="I1605" s="543"/>
      <c r="J1605" s="543"/>
      <c r="K1605" s="543"/>
      <c r="M1605" s="539">
        <f ca="1">IFERROR(__xludf.DUMMYFUNCTION("""COMPUTED_VALUE"""),0)</f>
        <v>0</v>
      </c>
      <c r="N1605" s="539">
        <f ca="1">IFERROR(__xludf.DUMMYFUNCTION("""COMPUTED_VALUE"""),0)</f>
        <v>0</v>
      </c>
      <c r="O1605" s="539">
        <f ca="1">IFERROR(__xludf.DUMMYFUNCTION("""COMPUTED_VALUE"""),0)</f>
        <v>0</v>
      </c>
    </row>
    <row r="1606" spans="1:15" ht="12.75">
      <c r="A1606" s="539">
        <f ca="1"/>
        <v>1600</v>
      </c>
      <c r="B1606" s="35" t="str">
        <f ca="1">IFERROR(__xludf.DUMMYFUNCTION("""COMPUTED_VALUE"""),"Tổ Hạ tầng Tân Ninh")</f>
        <v>Tổ Hạ tầng Tân Ninh</v>
      </c>
      <c r="C1606" s="35" t="str">
        <f ca="1">IFERROR(__xludf.DUMMYFUNCTION("""COMPUTED_VALUE"""),"Lê Quốc Trung Thông")</f>
        <v>Lê Quốc Trung Thông</v>
      </c>
      <c r="D1606" s="35">
        <f ca="1">IFERROR(__xludf.DUMMYFUNCTION("""COMPUTED_VALUE"""),949939268)</f>
        <v>949939268</v>
      </c>
      <c r="E1606" s="35" t="str">
        <f ca="1">IFERROR(__xludf.DUMMYFUNCTION("""COMPUTED_VALUE"""),"thonglqt.tnh@vnpt.vn")</f>
        <v>thonglqt.tnh@vnpt.vn</v>
      </c>
      <c r="F1606" s="540" t="str">
        <f ca="1">IFERROR(__xludf.DUMMYFUNCTION("""COMPUTED_VALUE"""),"Lần 16")</f>
        <v>Lần 16</v>
      </c>
      <c r="G1606" s="278"/>
      <c r="H1606" s="543"/>
      <c r="I1606" s="543"/>
      <c r="J1606" s="543"/>
      <c r="K1606" s="543"/>
      <c r="M1606" s="539">
        <f ca="1">IFERROR(__xludf.DUMMYFUNCTION("""COMPUTED_VALUE"""),0)</f>
        <v>0</v>
      </c>
      <c r="N1606" s="539">
        <f ca="1">IFERROR(__xludf.DUMMYFUNCTION("""COMPUTED_VALUE"""),0)</f>
        <v>0</v>
      </c>
      <c r="O1606" s="539">
        <f ca="1">IFERROR(__xludf.DUMMYFUNCTION("""COMPUTED_VALUE"""),0)</f>
        <v>0</v>
      </c>
    </row>
    <row r="1607" spans="1:15" ht="12.75">
      <c r="A1607" s="539">
        <f ca="1"/>
        <v>1601</v>
      </c>
      <c r="B1607" s="35" t="str">
        <f ca="1">IFERROR(__xludf.DUMMYFUNCTION("""COMPUTED_VALUE"""),"Tổ Hạ tầng Tân Ninh")</f>
        <v>Tổ Hạ tầng Tân Ninh</v>
      </c>
      <c r="C1607" s="35" t="str">
        <f ca="1">IFERROR(__xludf.DUMMYFUNCTION("""COMPUTED_VALUE"""),"Trần Thái Hòa")</f>
        <v>Trần Thái Hòa</v>
      </c>
      <c r="D1607" s="35">
        <f ca="1">IFERROR(__xludf.DUMMYFUNCTION("""COMPUTED_VALUE"""),917052852)</f>
        <v>917052852</v>
      </c>
      <c r="E1607" s="35" t="str">
        <f ca="1">IFERROR(__xludf.DUMMYFUNCTION("""COMPUTED_VALUE"""),"hoatt.tnh@vnpt.vn")</f>
        <v>hoatt.tnh@vnpt.vn</v>
      </c>
      <c r="F1607" s="540" t="str">
        <f ca="1">IFERROR(__xludf.DUMMYFUNCTION("""COMPUTED_VALUE"""),"Lần 1")</f>
        <v>Lần 1</v>
      </c>
      <c r="G1607" s="278">
        <f ca="1">IFERROR(__xludf.DUMMYFUNCTION("""COMPUTED_VALUE"""),46209)</f>
        <v>46209</v>
      </c>
      <c r="H1607" s="35">
        <f ca="1">IFERROR(__xludf.DUMMYFUNCTION("""COMPUTED_VALUE"""),416.13)</f>
        <v>416.13</v>
      </c>
      <c r="I1607" s="35">
        <f ca="1">IFERROR(__xludf.DUMMYFUNCTION("""COMPUTED_VALUE"""),44.28)</f>
        <v>44.28</v>
      </c>
      <c r="J1607" s="541">
        <f ca="1">IFERROR(__xludf.DUMMYFUNCTION("""COMPUTED_VALUE"""),612)</f>
        <v>612</v>
      </c>
      <c r="K1607" s="541">
        <f ca="1">IFERROR(__xludf.DUMMYFUNCTION("""COMPUTED_VALUE"""),73.5)</f>
        <v>73.5</v>
      </c>
      <c r="M1607" s="539">
        <f ca="1">IFERROR(__xludf.DUMMYFUNCTION("""COMPUTED_VALUE"""),1)</f>
        <v>1</v>
      </c>
      <c r="N1607" s="539">
        <f ca="1">IFERROR(__xludf.DUMMYFUNCTION("""COMPUTED_VALUE"""),1)</f>
        <v>1</v>
      </c>
      <c r="O1607" s="539">
        <f ca="1">IFERROR(__xludf.DUMMYFUNCTION("""COMPUTED_VALUE"""),1)</f>
        <v>1</v>
      </c>
    </row>
    <row r="1608" spans="1:15" ht="12.75">
      <c r="A1608" s="539">
        <f ca="1"/>
        <v>1602</v>
      </c>
      <c r="B1608" s="35" t="str">
        <f ca="1">IFERROR(__xludf.DUMMYFUNCTION("""COMPUTED_VALUE"""),"Tổ Hạ tầng Tân Ninh")</f>
        <v>Tổ Hạ tầng Tân Ninh</v>
      </c>
      <c r="C1608" s="35" t="str">
        <f ca="1">IFERROR(__xludf.DUMMYFUNCTION("""COMPUTED_VALUE"""),"Trần Thái Hòa")</f>
        <v>Trần Thái Hòa</v>
      </c>
      <c r="D1608" s="35">
        <f ca="1">IFERROR(__xludf.DUMMYFUNCTION("""COMPUTED_VALUE"""),917052852)</f>
        <v>917052852</v>
      </c>
      <c r="E1608" s="35" t="str">
        <f ca="1">IFERROR(__xludf.DUMMYFUNCTION("""COMPUTED_VALUE"""),"hoatt.tnh@vnpt.vn")</f>
        <v>hoatt.tnh@vnpt.vn</v>
      </c>
      <c r="F1608" s="540" t="str">
        <f ca="1">IFERROR(__xludf.DUMMYFUNCTION("""COMPUTED_VALUE"""),"Lần 2")</f>
        <v>Lần 2</v>
      </c>
      <c r="G1608" s="278">
        <f ca="1">IFERROR(__xludf.DUMMYFUNCTION("""COMPUTED_VALUE"""),46209)</f>
        <v>46209</v>
      </c>
      <c r="H1608" s="35">
        <f ca="1">IFERROR(__xludf.DUMMYFUNCTION("""COMPUTED_VALUE"""),395.17)</f>
        <v>395.17</v>
      </c>
      <c r="I1608" s="35">
        <f ca="1">IFERROR(__xludf.DUMMYFUNCTION("""COMPUTED_VALUE"""),41.93)</f>
        <v>41.93</v>
      </c>
      <c r="J1608" s="541">
        <f ca="1">IFERROR(__xludf.DUMMYFUNCTION("""COMPUTED_VALUE"""),583)</f>
        <v>583</v>
      </c>
      <c r="K1608" s="541">
        <f ca="1">IFERROR(__xludf.DUMMYFUNCTION("""COMPUTED_VALUE"""),84.9)</f>
        <v>84.9</v>
      </c>
      <c r="M1608" s="539">
        <f ca="1">IFERROR(__xludf.DUMMYFUNCTION("""COMPUTED_VALUE"""),1)</f>
        <v>1</v>
      </c>
      <c r="N1608" s="539">
        <f ca="1">IFERROR(__xludf.DUMMYFUNCTION("""COMPUTED_VALUE"""),1)</f>
        <v>1</v>
      </c>
      <c r="O1608" s="539">
        <f ca="1">IFERROR(__xludf.DUMMYFUNCTION("""COMPUTED_VALUE"""),1)</f>
        <v>1</v>
      </c>
    </row>
    <row r="1609" spans="1:15" ht="12.75">
      <c r="A1609" s="539">
        <f ca="1"/>
        <v>1603</v>
      </c>
      <c r="B1609" s="35" t="str">
        <f ca="1">IFERROR(__xludf.DUMMYFUNCTION("""COMPUTED_VALUE"""),"Tổ Hạ tầng Tân Ninh")</f>
        <v>Tổ Hạ tầng Tân Ninh</v>
      </c>
      <c r="C1609" s="35" t="str">
        <f ca="1">IFERROR(__xludf.DUMMYFUNCTION("""COMPUTED_VALUE"""),"Trần Thái Hòa")</f>
        <v>Trần Thái Hòa</v>
      </c>
      <c r="D1609" s="35">
        <f ca="1">IFERROR(__xludf.DUMMYFUNCTION("""COMPUTED_VALUE"""),917052852)</f>
        <v>917052852</v>
      </c>
      <c r="E1609" s="35" t="str">
        <f ca="1">IFERROR(__xludf.DUMMYFUNCTION("""COMPUTED_VALUE"""),"hoatt.tnh@vnpt.vn")</f>
        <v>hoatt.tnh@vnpt.vn</v>
      </c>
      <c r="F1609" s="540" t="str">
        <f ca="1">IFERROR(__xludf.DUMMYFUNCTION("""COMPUTED_VALUE"""),"Lần 3")</f>
        <v>Lần 3</v>
      </c>
      <c r="G1609" s="278">
        <f ca="1">IFERROR(__xludf.DUMMYFUNCTION("""COMPUTED_VALUE"""),46209)</f>
        <v>46209</v>
      </c>
      <c r="H1609" s="35">
        <f ca="1">IFERROR(__xludf.DUMMYFUNCTION("""COMPUTED_VALUE"""),436.96)</f>
        <v>436.96</v>
      </c>
      <c r="I1609" s="35">
        <f ca="1">IFERROR(__xludf.DUMMYFUNCTION("""COMPUTED_VALUE"""),48)</f>
        <v>48</v>
      </c>
      <c r="J1609" s="541">
        <f ca="1">IFERROR(__xludf.DUMMYFUNCTION("""COMPUTED_VALUE"""),555)</f>
        <v>555</v>
      </c>
      <c r="K1609" s="541">
        <f ca="1">IFERROR(__xludf.DUMMYFUNCTION("""COMPUTED_VALUE"""),94.6)</f>
        <v>94.6</v>
      </c>
      <c r="M1609" s="539">
        <f ca="1">IFERROR(__xludf.DUMMYFUNCTION("""COMPUTED_VALUE"""),1)</f>
        <v>1</v>
      </c>
      <c r="N1609" s="539">
        <f ca="1">IFERROR(__xludf.DUMMYFUNCTION("""COMPUTED_VALUE"""),1)</f>
        <v>1</v>
      </c>
      <c r="O1609" s="539">
        <f ca="1">IFERROR(__xludf.DUMMYFUNCTION("""COMPUTED_VALUE"""),1)</f>
        <v>1</v>
      </c>
    </row>
    <row r="1610" spans="1:15" ht="12.75">
      <c r="A1610" s="539">
        <f ca="1"/>
        <v>1604</v>
      </c>
      <c r="B1610" s="35" t="str">
        <f ca="1">IFERROR(__xludf.DUMMYFUNCTION("""COMPUTED_VALUE"""),"Tổ Hạ tầng Tân Ninh")</f>
        <v>Tổ Hạ tầng Tân Ninh</v>
      </c>
      <c r="C1610" s="35" t="str">
        <f ca="1">IFERROR(__xludf.DUMMYFUNCTION("""COMPUTED_VALUE"""),"Trần Thái Hòa")</f>
        <v>Trần Thái Hòa</v>
      </c>
      <c r="D1610" s="35">
        <f ca="1">IFERROR(__xludf.DUMMYFUNCTION("""COMPUTED_VALUE"""),917052852)</f>
        <v>917052852</v>
      </c>
      <c r="E1610" s="35" t="str">
        <f ca="1">IFERROR(__xludf.DUMMYFUNCTION("""COMPUTED_VALUE"""),"hoatt.tnh@vnpt.vn")</f>
        <v>hoatt.tnh@vnpt.vn</v>
      </c>
      <c r="F1610" s="540" t="str">
        <f ca="1">IFERROR(__xludf.DUMMYFUNCTION("""COMPUTED_VALUE"""),"Lần 4")</f>
        <v>Lần 4</v>
      </c>
      <c r="G1610" s="278">
        <f ca="1">IFERROR(__xludf.DUMMYFUNCTION("""COMPUTED_VALUE"""),46209)</f>
        <v>46209</v>
      </c>
      <c r="H1610" s="35">
        <f ca="1">IFERROR(__xludf.DUMMYFUNCTION("""COMPUTED_VALUE"""),425.73)</f>
        <v>425.73</v>
      </c>
      <c r="I1610" s="35">
        <f ca="1">IFERROR(__xludf.DUMMYFUNCTION("""COMPUTED_VALUE"""),47.72)</f>
        <v>47.72</v>
      </c>
      <c r="J1610" s="541">
        <f ca="1">IFERROR(__xludf.DUMMYFUNCTION("""COMPUTED_VALUE"""),577)</f>
        <v>577</v>
      </c>
      <c r="K1610" s="541">
        <f ca="1">IFERROR(__xludf.DUMMYFUNCTION("""COMPUTED_VALUE"""),101)</f>
        <v>101</v>
      </c>
      <c r="M1610" s="539">
        <f ca="1">IFERROR(__xludf.DUMMYFUNCTION("""COMPUTED_VALUE"""),1)</f>
        <v>1</v>
      </c>
      <c r="N1610" s="539">
        <f ca="1">IFERROR(__xludf.DUMMYFUNCTION("""COMPUTED_VALUE"""),1)</f>
        <v>1</v>
      </c>
      <c r="O1610" s="539">
        <f ca="1">IFERROR(__xludf.DUMMYFUNCTION("""COMPUTED_VALUE"""),1)</f>
        <v>1</v>
      </c>
    </row>
    <row r="1611" spans="1:15" ht="12.75">
      <c r="A1611" s="539">
        <f ca="1"/>
        <v>1605</v>
      </c>
      <c r="B1611" s="35" t="str">
        <f ca="1">IFERROR(__xludf.DUMMYFUNCTION("""COMPUTED_VALUE"""),"Tổ Hạ tầng Tân Ninh")</f>
        <v>Tổ Hạ tầng Tân Ninh</v>
      </c>
      <c r="C1611" s="35" t="str">
        <f ca="1">IFERROR(__xludf.DUMMYFUNCTION("""COMPUTED_VALUE"""),"Trần Thái Hòa")</f>
        <v>Trần Thái Hòa</v>
      </c>
      <c r="D1611" s="35">
        <f ca="1">IFERROR(__xludf.DUMMYFUNCTION("""COMPUTED_VALUE"""),917052852)</f>
        <v>917052852</v>
      </c>
      <c r="E1611" s="35" t="str">
        <f ca="1">IFERROR(__xludf.DUMMYFUNCTION("""COMPUTED_VALUE"""),"hoatt.tnh@vnpt.vn")</f>
        <v>hoatt.tnh@vnpt.vn</v>
      </c>
      <c r="F1611" s="540" t="str">
        <f ca="1">IFERROR(__xludf.DUMMYFUNCTION("""COMPUTED_VALUE"""),"Lần 5")</f>
        <v>Lần 5</v>
      </c>
      <c r="G1611" s="278">
        <f ca="1">IFERROR(__xludf.DUMMYFUNCTION("""COMPUTED_VALUE"""),46209)</f>
        <v>46209</v>
      </c>
      <c r="H1611" s="35">
        <f ca="1">IFERROR(__xludf.DUMMYFUNCTION("""COMPUTED_VALUE"""),423.03)</f>
        <v>423.03</v>
      </c>
      <c r="I1611" s="35">
        <f ca="1">IFERROR(__xludf.DUMMYFUNCTION("""COMPUTED_VALUE"""),48.56)</f>
        <v>48.56</v>
      </c>
      <c r="J1611" s="541">
        <f ca="1">IFERROR(__xludf.DUMMYFUNCTION("""COMPUTED_VALUE"""),546)</f>
        <v>546</v>
      </c>
      <c r="K1611" s="541">
        <f ca="1">IFERROR(__xludf.DUMMYFUNCTION("""COMPUTED_VALUE"""),97)</f>
        <v>97</v>
      </c>
      <c r="M1611" s="539">
        <f ca="1">IFERROR(__xludf.DUMMYFUNCTION("""COMPUTED_VALUE"""),1)</f>
        <v>1</v>
      </c>
      <c r="N1611" s="539">
        <f ca="1">IFERROR(__xludf.DUMMYFUNCTION("""COMPUTED_VALUE"""),1)</f>
        <v>1</v>
      </c>
      <c r="O1611" s="539">
        <f ca="1">IFERROR(__xludf.DUMMYFUNCTION("""COMPUTED_VALUE"""),1)</f>
        <v>1</v>
      </c>
    </row>
    <row r="1612" spans="1:15" ht="12.75">
      <c r="A1612" s="539">
        <f ca="1"/>
        <v>1606</v>
      </c>
      <c r="B1612" s="35" t="str">
        <f ca="1">IFERROR(__xludf.DUMMYFUNCTION("""COMPUTED_VALUE"""),"Tổ Hạ tầng Tân Ninh")</f>
        <v>Tổ Hạ tầng Tân Ninh</v>
      </c>
      <c r="C1612" s="35" t="str">
        <f ca="1">IFERROR(__xludf.DUMMYFUNCTION("""COMPUTED_VALUE"""),"Trần Thái Hòa")</f>
        <v>Trần Thái Hòa</v>
      </c>
      <c r="D1612" s="35">
        <f ca="1">IFERROR(__xludf.DUMMYFUNCTION("""COMPUTED_VALUE"""),917052852)</f>
        <v>917052852</v>
      </c>
      <c r="E1612" s="35" t="str">
        <f ca="1">IFERROR(__xludf.DUMMYFUNCTION("""COMPUTED_VALUE"""),"hoatt.tnh@vnpt.vn")</f>
        <v>hoatt.tnh@vnpt.vn</v>
      </c>
      <c r="F1612" s="540" t="str">
        <f ca="1">IFERROR(__xludf.DUMMYFUNCTION("""COMPUTED_VALUE"""),"Lần 6")</f>
        <v>Lần 6</v>
      </c>
      <c r="G1612" s="278">
        <f ca="1">IFERROR(__xludf.DUMMYFUNCTION("""COMPUTED_VALUE"""),46209)</f>
        <v>46209</v>
      </c>
      <c r="H1612" s="35">
        <f ca="1">IFERROR(__xludf.DUMMYFUNCTION("""COMPUTED_VALUE"""),452.71)</f>
        <v>452.71</v>
      </c>
      <c r="I1612" s="35">
        <f ca="1">IFERROR(__xludf.DUMMYFUNCTION("""COMPUTED_VALUE"""),46.48)</f>
        <v>46.48</v>
      </c>
      <c r="J1612" s="541">
        <f ca="1">IFERROR(__xludf.DUMMYFUNCTION("""COMPUTED_VALUE"""),573)</f>
        <v>573</v>
      </c>
      <c r="K1612" s="541">
        <f ca="1">IFERROR(__xludf.DUMMYFUNCTION("""COMPUTED_VALUE"""),88)</f>
        <v>88</v>
      </c>
      <c r="M1612" s="539">
        <f ca="1">IFERROR(__xludf.DUMMYFUNCTION("""COMPUTED_VALUE"""),1)</f>
        <v>1</v>
      </c>
      <c r="N1612" s="539">
        <f ca="1">IFERROR(__xludf.DUMMYFUNCTION("""COMPUTED_VALUE"""),1)</f>
        <v>1</v>
      </c>
      <c r="O1612" s="539">
        <f ca="1">IFERROR(__xludf.DUMMYFUNCTION("""COMPUTED_VALUE"""),1)</f>
        <v>1</v>
      </c>
    </row>
    <row r="1613" spans="1:15" ht="12.75">
      <c r="A1613" s="539">
        <f ca="1"/>
        <v>1607</v>
      </c>
      <c r="B1613" s="35" t="str">
        <f ca="1">IFERROR(__xludf.DUMMYFUNCTION("""COMPUTED_VALUE"""),"Tổ Hạ tầng Tân Ninh")</f>
        <v>Tổ Hạ tầng Tân Ninh</v>
      </c>
      <c r="C1613" s="35" t="str">
        <f ca="1">IFERROR(__xludf.DUMMYFUNCTION("""COMPUTED_VALUE"""),"Trần Thái Hòa")</f>
        <v>Trần Thái Hòa</v>
      </c>
      <c r="D1613" s="35">
        <f ca="1">IFERROR(__xludf.DUMMYFUNCTION("""COMPUTED_VALUE"""),917052852)</f>
        <v>917052852</v>
      </c>
      <c r="E1613" s="35" t="str">
        <f ca="1">IFERROR(__xludf.DUMMYFUNCTION("""COMPUTED_VALUE"""),"hoatt.tnh@vnpt.vn")</f>
        <v>hoatt.tnh@vnpt.vn</v>
      </c>
      <c r="F1613" s="540" t="str">
        <f ca="1">IFERROR(__xludf.DUMMYFUNCTION("""COMPUTED_VALUE"""),"Lần 7")</f>
        <v>Lần 7</v>
      </c>
      <c r="G1613" s="278">
        <f ca="1">IFERROR(__xludf.DUMMYFUNCTION("""COMPUTED_VALUE"""),46209)</f>
        <v>46209</v>
      </c>
      <c r="H1613" s="35">
        <f ca="1">IFERROR(__xludf.DUMMYFUNCTION("""COMPUTED_VALUE"""),420.92)</f>
        <v>420.92</v>
      </c>
      <c r="I1613" s="35">
        <f ca="1">IFERROR(__xludf.DUMMYFUNCTION("""COMPUTED_VALUE"""),48.22)</f>
        <v>48.22</v>
      </c>
      <c r="J1613" s="541">
        <f ca="1">IFERROR(__xludf.DUMMYFUNCTION("""COMPUTED_VALUE"""),594)</f>
        <v>594</v>
      </c>
      <c r="K1613" s="541">
        <f ca="1">IFERROR(__xludf.DUMMYFUNCTION("""COMPUTED_VALUE"""),98.3)</f>
        <v>98.3</v>
      </c>
      <c r="M1613" s="539">
        <f ca="1">IFERROR(__xludf.DUMMYFUNCTION("""COMPUTED_VALUE"""),1)</f>
        <v>1</v>
      </c>
      <c r="N1613" s="539">
        <f ca="1">IFERROR(__xludf.DUMMYFUNCTION("""COMPUTED_VALUE"""),1)</f>
        <v>1</v>
      </c>
      <c r="O1613" s="539">
        <f ca="1">IFERROR(__xludf.DUMMYFUNCTION("""COMPUTED_VALUE"""),1)</f>
        <v>1</v>
      </c>
    </row>
    <row r="1614" spans="1:15" ht="12.75">
      <c r="A1614" s="539">
        <f ca="1"/>
        <v>1608</v>
      </c>
      <c r="B1614" s="35" t="str">
        <f ca="1">IFERROR(__xludf.DUMMYFUNCTION("""COMPUTED_VALUE"""),"Tổ Hạ tầng Tân Ninh")</f>
        <v>Tổ Hạ tầng Tân Ninh</v>
      </c>
      <c r="C1614" s="35" t="str">
        <f ca="1">IFERROR(__xludf.DUMMYFUNCTION("""COMPUTED_VALUE"""),"Trần Thái Hòa")</f>
        <v>Trần Thái Hòa</v>
      </c>
      <c r="D1614" s="35">
        <f ca="1">IFERROR(__xludf.DUMMYFUNCTION("""COMPUTED_VALUE"""),917052852)</f>
        <v>917052852</v>
      </c>
      <c r="E1614" s="35" t="str">
        <f ca="1">IFERROR(__xludf.DUMMYFUNCTION("""COMPUTED_VALUE"""),"hoatt.tnh@vnpt.vn")</f>
        <v>hoatt.tnh@vnpt.vn</v>
      </c>
      <c r="F1614" s="540" t="str">
        <f ca="1">IFERROR(__xludf.DUMMYFUNCTION("""COMPUTED_VALUE"""),"Lần 8")</f>
        <v>Lần 8</v>
      </c>
      <c r="G1614" s="278">
        <f ca="1">IFERROR(__xludf.DUMMYFUNCTION("""COMPUTED_VALUE"""),46209)</f>
        <v>46209</v>
      </c>
      <c r="H1614" s="35">
        <f ca="1">IFERROR(__xludf.DUMMYFUNCTION("""COMPUTED_VALUE"""),442.63)</f>
        <v>442.63</v>
      </c>
      <c r="I1614" s="35">
        <f ca="1">IFERROR(__xludf.DUMMYFUNCTION("""COMPUTED_VALUE"""),50.41)</f>
        <v>50.41</v>
      </c>
      <c r="J1614" s="541">
        <f ca="1">IFERROR(__xludf.DUMMYFUNCTION("""COMPUTED_VALUE"""),546)</f>
        <v>546</v>
      </c>
      <c r="K1614" s="541">
        <f ca="1">IFERROR(__xludf.DUMMYFUNCTION("""COMPUTED_VALUE"""),96.6)</f>
        <v>96.6</v>
      </c>
      <c r="M1614" s="539">
        <f ca="1">IFERROR(__xludf.DUMMYFUNCTION("""COMPUTED_VALUE"""),1)</f>
        <v>1</v>
      </c>
      <c r="N1614" s="539">
        <f ca="1">IFERROR(__xludf.DUMMYFUNCTION("""COMPUTED_VALUE"""),1)</f>
        <v>1</v>
      </c>
      <c r="O1614" s="539">
        <f ca="1">IFERROR(__xludf.DUMMYFUNCTION("""COMPUTED_VALUE"""),1)</f>
        <v>1</v>
      </c>
    </row>
    <row r="1615" spans="1:15" ht="12.75">
      <c r="A1615" s="539">
        <f ca="1"/>
        <v>1609</v>
      </c>
      <c r="B1615" s="35" t="str">
        <f ca="1">IFERROR(__xludf.DUMMYFUNCTION("""COMPUTED_VALUE"""),"Tổ Hạ tầng Tân Ninh")</f>
        <v>Tổ Hạ tầng Tân Ninh</v>
      </c>
      <c r="C1615" s="35" t="str">
        <f ca="1">IFERROR(__xludf.DUMMYFUNCTION("""COMPUTED_VALUE"""),"Trần Thái Hòa")</f>
        <v>Trần Thái Hòa</v>
      </c>
      <c r="D1615" s="35">
        <f ca="1">IFERROR(__xludf.DUMMYFUNCTION("""COMPUTED_VALUE"""),917052852)</f>
        <v>917052852</v>
      </c>
      <c r="E1615" s="35" t="str">
        <f ca="1">IFERROR(__xludf.DUMMYFUNCTION("""COMPUTED_VALUE"""),"hoatt.tnh@vnpt.vn")</f>
        <v>hoatt.tnh@vnpt.vn</v>
      </c>
      <c r="F1615" s="540" t="str">
        <f ca="1">IFERROR(__xludf.DUMMYFUNCTION("""COMPUTED_VALUE"""),"Lần 9")</f>
        <v>Lần 9</v>
      </c>
      <c r="G1615" s="278">
        <f ca="1">IFERROR(__xludf.DUMMYFUNCTION("""COMPUTED_VALUE"""),46209)</f>
        <v>46209</v>
      </c>
      <c r="H1615" s="35">
        <f ca="1">IFERROR(__xludf.DUMMYFUNCTION("""COMPUTED_VALUE"""),421.56)</f>
        <v>421.56</v>
      </c>
      <c r="I1615" s="35">
        <f ca="1">IFERROR(__xludf.DUMMYFUNCTION("""COMPUTED_VALUE"""),49.41)</f>
        <v>49.41</v>
      </c>
      <c r="J1615" s="541">
        <f ca="1">IFERROR(__xludf.DUMMYFUNCTION("""COMPUTED_VALUE"""),599)</f>
        <v>599</v>
      </c>
      <c r="K1615" s="541">
        <f ca="1">IFERROR(__xludf.DUMMYFUNCTION("""COMPUTED_VALUE"""),113)</f>
        <v>113</v>
      </c>
      <c r="M1615" s="539">
        <f ca="1">IFERROR(__xludf.DUMMYFUNCTION("""COMPUTED_VALUE"""),1)</f>
        <v>1</v>
      </c>
      <c r="N1615" s="539">
        <f ca="1">IFERROR(__xludf.DUMMYFUNCTION("""COMPUTED_VALUE"""),1)</f>
        <v>1</v>
      </c>
      <c r="O1615" s="539">
        <f ca="1">IFERROR(__xludf.DUMMYFUNCTION("""COMPUTED_VALUE"""),1)</f>
        <v>1</v>
      </c>
    </row>
    <row r="1616" spans="1:15" ht="12.75">
      <c r="A1616" s="539">
        <f ca="1"/>
        <v>1610</v>
      </c>
      <c r="B1616" s="35" t="str">
        <f ca="1">IFERROR(__xludf.DUMMYFUNCTION("""COMPUTED_VALUE"""),"Tổ Hạ tầng Tân Ninh")</f>
        <v>Tổ Hạ tầng Tân Ninh</v>
      </c>
      <c r="C1616" s="35" t="str">
        <f ca="1">IFERROR(__xludf.DUMMYFUNCTION("""COMPUTED_VALUE"""),"Trần Thái Hòa")</f>
        <v>Trần Thái Hòa</v>
      </c>
      <c r="D1616" s="35">
        <f ca="1">IFERROR(__xludf.DUMMYFUNCTION("""COMPUTED_VALUE"""),917052852)</f>
        <v>917052852</v>
      </c>
      <c r="E1616" s="35" t="str">
        <f ca="1">IFERROR(__xludf.DUMMYFUNCTION("""COMPUTED_VALUE"""),"hoatt.tnh@vnpt.vn")</f>
        <v>hoatt.tnh@vnpt.vn</v>
      </c>
      <c r="F1616" s="540" t="str">
        <f ca="1">IFERROR(__xludf.DUMMYFUNCTION("""COMPUTED_VALUE"""),"Lần 10")</f>
        <v>Lần 10</v>
      </c>
      <c r="G1616" s="278">
        <f ca="1">IFERROR(__xludf.DUMMYFUNCTION("""COMPUTED_VALUE"""),46209)</f>
        <v>46209</v>
      </c>
      <c r="H1616" s="35">
        <f ca="1">IFERROR(__xludf.DUMMYFUNCTION("""COMPUTED_VALUE"""),442.13)</f>
        <v>442.13</v>
      </c>
      <c r="I1616" s="35">
        <f ca="1">IFERROR(__xludf.DUMMYFUNCTION("""COMPUTED_VALUE"""),47.69)</f>
        <v>47.69</v>
      </c>
      <c r="J1616" s="541">
        <f ca="1">IFERROR(__xludf.DUMMYFUNCTION("""COMPUTED_VALUE"""),650)</f>
        <v>650</v>
      </c>
      <c r="K1616" s="541">
        <f ca="1">IFERROR(__xludf.DUMMYFUNCTION("""COMPUTED_VALUE"""),116)</f>
        <v>116</v>
      </c>
      <c r="M1616" s="539">
        <f ca="1">IFERROR(__xludf.DUMMYFUNCTION("""COMPUTED_VALUE"""),1)</f>
        <v>1</v>
      </c>
      <c r="N1616" s="539">
        <f ca="1">IFERROR(__xludf.DUMMYFUNCTION("""COMPUTED_VALUE"""),1)</f>
        <v>1</v>
      </c>
      <c r="O1616" s="539">
        <f ca="1">IFERROR(__xludf.DUMMYFUNCTION("""COMPUTED_VALUE"""),1)</f>
        <v>1</v>
      </c>
    </row>
    <row r="1617" spans="1:15" ht="12.75">
      <c r="A1617" s="539">
        <f ca="1"/>
        <v>1611</v>
      </c>
      <c r="B1617" s="35" t="str">
        <f ca="1">IFERROR(__xludf.DUMMYFUNCTION("""COMPUTED_VALUE"""),"Tổ Hạ tầng Tân Ninh")</f>
        <v>Tổ Hạ tầng Tân Ninh</v>
      </c>
      <c r="C1617" s="35" t="str">
        <f ca="1">IFERROR(__xludf.DUMMYFUNCTION("""COMPUTED_VALUE"""),"Trần Thái Hòa")</f>
        <v>Trần Thái Hòa</v>
      </c>
      <c r="D1617" s="35">
        <f ca="1">IFERROR(__xludf.DUMMYFUNCTION("""COMPUTED_VALUE"""),917052852)</f>
        <v>917052852</v>
      </c>
      <c r="E1617" s="35" t="str">
        <f ca="1">IFERROR(__xludf.DUMMYFUNCTION("""COMPUTED_VALUE"""),"hoatt.tnh@vnpt.vn")</f>
        <v>hoatt.tnh@vnpt.vn</v>
      </c>
      <c r="F1617" s="540" t="str">
        <f ca="1">IFERROR(__xludf.DUMMYFUNCTION("""COMPUTED_VALUE"""),"Lần 11")</f>
        <v>Lần 11</v>
      </c>
      <c r="G1617" s="278">
        <f ca="1">IFERROR(__xludf.DUMMYFUNCTION("""COMPUTED_VALUE"""),46209)</f>
        <v>46209</v>
      </c>
      <c r="H1617" s="35">
        <f ca="1">IFERROR(__xludf.DUMMYFUNCTION("""COMPUTED_VALUE"""),417.95)</f>
        <v>417.95</v>
      </c>
      <c r="I1617" s="35">
        <f ca="1">IFERROR(__xludf.DUMMYFUNCTION("""COMPUTED_VALUE"""),48.21)</f>
        <v>48.21</v>
      </c>
      <c r="J1617" s="541">
        <f ca="1">IFERROR(__xludf.DUMMYFUNCTION("""COMPUTED_VALUE"""),661)</f>
        <v>661</v>
      </c>
      <c r="K1617" s="541">
        <f ca="1">IFERROR(__xludf.DUMMYFUNCTION("""COMPUTED_VALUE"""),91.1)</f>
        <v>91.1</v>
      </c>
      <c r="M1617" s="539">
        <f ca="1">IFERROR(__xludf.DUMMYFUNCTION("""COMPUTED_VALUE"""),1)</f>
        <v>1</v>
      </c>
      <c r="N1617" s="539">
        <f ca="1">IFERROR(__xludf.DUMMYFUNCTION("""COMPUTED_VALUE"""),1)</f>
        <v>1</v>
      </c>
      <c r="O1617" s="539">
        <f ca="1">IFERROR(__xludf.DUMMYFUNCTION("""COMPUTED_VALUE"""),1)</f>
        <v>1</v>
      </c>
    </row>
    <row r="1618" spans="1:15" ht="12.75">
      <c r="A1618" s="539">
        <f ca="1"/>
        <v>1612</v>
      </c>
      <c r="B1618" s="35" t="str">
        <f ca="1">IFERROR(__xludf.DUMMYFUNCTION("""COMPUTED_VALUE"""),"Tổ Hạ tầng Tân Ninh")</f>
        <v>Tổ Hạ tầng Tân Ninh</v>
      </c>
      <c r="C1618" s="35" t="str">
        <f ca="1">IFERROR(__xludf.DUMMYFUNCTION("""COMPUTED_VALUE"""),"Trần Thái Hòa")</f>
        <v>Trần Thái Hòa</v>
      </c>
      <c r="D1618" s="35">
        <f ca="1">IFERROR(__xludf.DUMMYFUNCTION("""COMPUTED_VALUE"""),917052852)</f>
        <v>917052852</v>
      </c>
      <c r="E1618" s="35" t="str">
        <f ca="1">IFERROR(__xludf.DUMMYFUNCTION("""COMPUTED_VALUE"""),"hoatt.tnh@vnpt.vn")</f>
        <v>hoatt.tnh@vnpt.vn</v>
      </c>
      <c r="F1618" s="540" t="str">
        <f ca="1">IFERROR(__xludf.DUMMYFUNCTION("""COMPUTED_VALUE"""),"Lần 12")</f>
        <v>Lần 12</v>
      </c>
      <c r="G1618" s="278">
        <f ca="1">IFERROR(__xludf.DUMMYFUNCTION("""COMPUTED_VALUE"""),46209)</f>
        <v>46209</v>
      </c>
      <c r="H1618" s="35">
        <f ca="1">IFERROR(__xludf.DUMMYFUNCTION("""COMPUTED_VALUE"""),437.17)</f>
        <v>437.17</v>
      </c>
      <c r="I1618" s="35">
        <f ca="1">IFERROR(__xludf.DUMMYFUNCTION("""COMPUTED_VALUE"""),45.5)</f>
        <v>45.5</v>
      </c>
      <c r="J1618" s="541">
        <f ca="1">IFERROR(__xludf.DUMMYFUNCTION("""COMPUTED_VALUE"""),630)</f>
        <v>630</v>
      </c>
      <c r="K1618" s="541">
        <f ca="1">IFERROR(__xludf.DUMMYFUNCTION("""COMPUTED_VALUE"""),109)</f>
        <v>109</v>
      </c>
      <c r="M1618" s="539">
        <f ca="1">IFERROR(__xludf.DUMMYFUNCTION("""COMPUTED_VALUE"""),1)</f>
        <v>1</v>
      </c>
      <c r="N1618" s="539">
        <f ca="1">IFERROR(__xludf.DUMMYFUNCTION("""COMPUTED_VALUE"""),1)</f>
        <v>1</v>
      </c>
      <c r="O1618" s="539">
        <f ca="1">IFERROR(__xludf.DUMMYFUNCTION("""COMPUTED_VALUE"""),1)</f>
        <v>1</v>
      </c>
    </row>
    <row r="1619" spans="1:15" ht="12.75">
      <c r="A1619" s="539">
        <f ca="1"/>
        <v>1613</v>
      </c>
      <c r="B1619" s="35" t="str">
        <f ca="1">IFERROR(__xludf.DUMMYFUNCTION("""COMPUTED_VALUE"""),"Tổ Hạ tầng Tân Ninh")</f>
        <v>Tổ Hạ tầng Tân Ninh</v>
      </c>
      <c r="C1619" s="35" t="str">
        <f ca="1">IFERROR(__xludf.DUMMYFUNCTION("""COMPUTED_VALUE"""),"Trần Thái Hòa")</f>
        <v>Trần Thái Hòa</v>
      </c>
      <c r="D1619" s="35">
        <f ca="1">IFERROR(__xludf.DUMMYFUNCTION("""COMPUTED_VALUE"""),917052852)</f>
        <v>917052852</v>
      </c>
      <c r="E1619" s="35" t="str">
        <f ca="1">IFERROR(__xludf.DUMMYFUNCTION("""COMPUTED_VALUE"""),"hoatt.tnh@vnpt.vn")</f>
        <v>hoatt.tnh@vnpt.vn</v>
      </c>
      <c r="F1619" s="540" t="str">
        <f ca="1">IFERROR(__xludf.DUMMYFUNCTION("""COMPUTED_VALUE"""),"Lần 13")</f>
        <v>Lần 13</v>
      </c>
      <c r="G1619" s="278">
        <f ca="1">IFERROR(__xludf.DUMMYFUNCTION("""COMPUTED_VALUE"""),46209)</f>
        <v>46209</v>
      </c>
      <c r="H1619" s="35">
        <f ca="1">IFERROR(__xludf.DUMMYFUNCTION("""COMPUTED_VALUE"""),413.61)</f>
        <v>413.61</v>
      </c>
      <c r="I1619" s="35">
        <f ca="1">IFERROR(__xludf.DUMMYFUNCTION("""COMPUTED_VALUE"""),44.38)</f>
        <v>44.38</v>
      </c>
      <c r="J1619" s="541">
        <f ca="1">IFERROR(__xludf.DUMMYFUNCTION("""COMPUTED_VALUE"""),640)</f>
        <v>640</v>
      </c>
      <c r="K1619" s="541">
        <f ca="1">IFERROR(__xludf.DUMMYFUNCTION("""COMPUTED_VALUE"""),78.5)</f>
        <v>78.5</v>
      </c>
      <c r="M1619" s="539">
        <f ca="1">IFERROR(__xludf.DUMMYFUNCTION("""COMPUTED_VALUE"""),1)</f>
        <v>1</v>
      </c>
      <c r="N1619" s="539">
        <f ca="1">IFERROR(__xludf.DUMMYFUNCTION("""COMPUTED_VALUE"""),1)</f>
        <v>1</v>
      </c>
      <c r="O1619" s="539">
        <f ca="1">IFERROR(__xludf.DUMMYFUNCTION("""COMPUTED_VALUE"""),1)</f>
        <v>1</v>
      </c>
    </row>
    <row r="1620" spans="1:15" ht="12.75">
      <c r="A1620" s="539">
        <f ca="1"/>
        <v>1614</v>
      </c>
      <c r="B1620" s="35" t="str">
        <f ca="1">IFERROR(__xludf.DUMMYFUNCTION("""COMPUTED_VALUE"""),"Tổ Hạ tầng Tân Ninh")</f>
        <v>Tổ Hạ tầng Tân Ninh</v>
      </c>
      <c r="C1620" s="35" t="str">
        <f ca="1">IFERROR(__xludf.DUMMYFUNCTION("""COMPUTED_VALUE"""),"Trần Thái Hòa")</f>
        <v>Trần Thái Hòa</v>
      </c>
      <c r="D1620" s="35">
        <f ca="1">IFERROR(__xludf.DUMMYFUNCTION("""COMPUTED_VALUE"""),917052852)</f>
        <v>917052852</v>
      </c>
      <c r="E1620" s="35" t="str">
        <f ca="1">IFERROR(__xludf.DUMMYFUNCTION("""COMPUTED_VALUE"""),"hoatt.tnh@vnpt.vn")</f>
        <v>hoatt.tnh@vnpt.vn</v>
      </c>
      <c r="F1620" s="540" t="str">
        <f ca="1">IFERROR(__xludf.DUMMYFUNCTION("""COMPUTED_VALUE"""),"Lần 14")</f>
        <v>Lần 14</v>
      </c>
      <c r="G1620" s="278">
        <f ca="1">IFERROR(__xludf.DUMMYFUNCTION("""COMPUTED_VALUE"""),46209)</f>
        <v>46209</v>
      </c>
      <c r="H1620" s="35">
        <f ca="1">IFERROR(__xludf.DUMMYFUNCTION("""COMPUTED_VALUE"""),456.96)</f>
        <v>456.96</v>
      </c>
      <c r="I1620" s="35">
        <f ca="1">IFERROR(__xludf.DUMMYFUNCTION("""COMPUTED_VALUE"""),44.46)</f>
        <v>44.46</v>
      </c>
      <c r="J1620" s="541">
        <f ca="1">IFERROR(__xludf.DUMMYFUNCTION("""COMPUTED_VALUE"""),579)</f>
        <v>579</v>
      </c>
      <c r="K1620" s="541">
        <f ca="1">IFERROR(__xludf.DUMMYFUNCTION("""COMPUTED_VALUE"""),65.7)</f>
        <v>65.7</v>
      </c>
      <c r="M1620" s="539">
        <f ca="1">IFERROR(__xludf.DUMMYFUNCTION("""COMPUTED_VALUE"""),1)</f>
        <v>1</v>
      </c>
      <c r="N1620" s="539">
        <f ca="1">IFERROR(__xludf.DUMMYFUNCTION("""COMPUTED_VALUE"""),1)</f>
        <v>1</v>
      </c>
      <c r="O1620" s="539">
        <f ca="1">IFERROR(__xludf.DUMMYFUNCTION("""COMPUTED_VALUE"""),1)</f>
        <v>1</v>
      </c>
    </row>
    <row r="1621" spans="1:15" ht="12.75">
      <c r="A1621" s="539">
        <f ca="1"/>
        <v>1615</v>
      </c>
      <c r="B1621" s="35" t="str">
        <f ca="1">IFERROR(__xludf.DUMMYFUNCTION("""COMPUTED_VALUE"""),"Tổ Hạ tầng Tân Ninh")</f>
        <v>Tổ Hạ tầng Tân Ninh</v>
      </c>
      <c r="C1621" s="35" t="str">
        <f ca="1">IFERROR(__xludf.DUMMYFUNCTION("""COMPUTED_VALUE"""),"Trần Thái Hòa")</f>
        <v>Trần Thái Hòa</v>
      </c>
      <c r="D1621" s="35">
        <f ca="1">IFERROR(__xludf.DUMMYFUNCTION("""COMPUTED_VALUE"""),917052852)</f>
        <v>917052852</v>
      </c>
      <c r="E1621" s="35" t="str">
        <f ca="1">IFERROR(__xludf.DUMMYFUNCTION("""COMPUTED_VALUE"""),"hoatt.tnh@vnpt.vn")</f>
        <v>hoatt.tnh@vnpt.vn</v>
      </c>
      <c r="F1621" s="540" t="str">
        <f ca="1">IFERROR(__xludf.DUMMYFUNCTION("""COMPUTED_VALUE"""),"Lần 15")</f>
        <v>Lần 15</v>
      </c>
      <c r="G1621" s="278">
        <f ca="1">IFERROR(__xludf.DUMMYFUNCTION("""COMPUTED_VALUE"""),46209)</f>
        <v>46209</v>
      </c>
      <c r="H1621" s="35">
        <f ca="1">IFERROR(__xludf.DUMMYFUNCTION("""COMPUTED_VALUE"""),410.54)</f>
        <v>410.54</v>
      </c>
      <c r="I1621" s="35">
        <f ca="1">IFERROR(__xludf.DUMMYFUNCTION("""COMPUTED_VALUE"""),44.05)</f>
        <v>44.05</v>
      </c>
      <c r="J1621" s="541">
        <f ca="1">IFERROR(__xludf.DUMMYFUNCTION("""COMPUTED_VALUE"""),571)</f>
        <v>571</v>
      </c>
      <c r="K1621" s="541">
        <f ca="1">IFERROR(__xludf.DUMMYFUNCTION("""COMPUTED_VALUE"""),40.7)</f>
        <v>40.700000000000003</v>
      </c>
      <c r="M1621" s="539">
        <f ca="1">IFERROR(__xludf.DUMMYFUNCTION("""COMPUTED_VALUE"""),1)</f>
        <v>1</v>
      </c>
      <c r="N1621" s="539">
        <f ca="1">IFERROR(__xludf.DUMMYFUNCTION("""COMPUTED_VALUE"""),1)</f>
        <v>1</v>
      </c>
      <c r="O1621" s="539">
        <f ca="1">IFERROR(__xludf.DUMMYFUNCTION("""COMPUTED_VALUE"""),1)</f>
        <v>1</v>
      </c>
    </row>
    <row r="1622" spans="1:15" ht="12.75">
      <c r="A1622" s="539">
        <f ca="1"/>
        <v>1616</v>
      </c>
      <c r="B1622" s="35" t="str">
        <f ca="1">IFERROR(__xludf.DUMMYFUNCTION("""COMPUTED_VALUE"""),"Tổ Hạ tầng Tân Ninh")</f>
        <v>Tổ Hạ tầng Tân Ninh</v>
      </c>
      <c r="C1622" s="35" t="str">
        <f ca="1">IFERROR(__xludf.DUMMYFUNCTION("""COMPUTED_VALUE"""),"Trần Thái Hòa")</f>
        <v>Trần Thái Hòa</v>
      </c>
      <c r="D1622" s="35">
        <f ca="1">IFERROR(__xludf.DUMMYFUNCTION("""COMPUTED_VALUE"""),917052852)</f>
        <v>917052852</v>
      </c>
      <c r="E1622" s="35" t="str">
        <f ca="1">IFERROR(__xludf.DUMMYFUNCTION("""COMPUTED_VALUE"""),"hoatt.tnh@vnpt.vn")</f>
        <v>hoatt.tnh@vnpt.vn</v>
      </c>
      <c r="F1622" s="540" t="str">
        <f ca="1">IFERROR(__xludf.DUMMYFUNCTION("""COMPUTED_VALUE"""),"Lần 16")</f>
        <v>Lần 16</v>
      </c>
      <c r="G1622" s="278">
        <f ca="1">IFERROR(__xludf.DUMMYFUNCTION("""COMPUTED_VALUE"""),46209)</f>
        <v>46209</v>
      </c>
      <c r="H1622" s="35">
        <f ca="1">IFERROR(__xludf.DUMMYFUNCTION("""COMPUTED_VALUE"""),449.59)</f>
        <v>449.59</v>
      </c>
      <c r="I1622" s="35">
        <f ca="1">IFERROR(__xludf.DUMMYFUNCTION("""COMPUTED_VALUE"""),43.98)</f>
        <v>43.98</v>
      </c>
      <c r="J1622" s="541">
        <f ca="1">IFERROR(__xludf.DUMMYFUNCTION("""COMPUTED_VALUE"""),525)</f>
        <v>525</v>
      </c>
      <c r="K1622" s="541">
        <f ca="1">IFERROR(__xludf.DUMMYFUNCTION("""COMPUTED_VALUE"""),45.5)</f>
        <v>45.5</v>
      </c>
      <c r="M1622" s="539">
        <f ca="1">IFERROR(__xludf.DUMMYFUNCTION("""COMPUTED_VALUE"""),1)</f>
        <v>1</v>
      </c>
      <c r="N1622" s="539">
        <f ca="1">IFERROR(__xludf.DUMMYFUNCTION("""COMPUTED_VALUE"""),1)</f>
        <v>1</v>
      </c>
      <c r="O1622" s="539">
        <f ca="1">IFERROR(__xludf.DUMMYFUNCTION("""COMPUTED_VALUE"""),1)</f>
        <v>1</v>
      </c>
    </row>
    <row r="1623" spans="1:15" ht="12.75">
      <c r="A1623" s="539">
        <f ca="1"/>
        <v>1617</v>
      </c>
      <c r="B1623" s="35" t="str">
        <f ca="1">IFERROR(__xludf.DUMMYFUNCTION("""COMPUTED_VALUE"""),"Tổ Hạ tầng Tân Ninh")</f>
        <v>Tổ Hạ tầng Tân Ninh</v>
      </c>
      <c r="C1623" s="35" t="str">
        <f ca="1">IFERROR(__xludf.DUMMYFUNCTION("""COMPUTED_VALUE"""),"Ngô Trung Hiếu")</f>
        <v>Ngô Trung Hiếu</v>
      </c>
      <c r="D1623" s="35">
        <f ca="1">IFERROR(__xludf.DUMMYFUNCTION("""COMPUTED_VALUE"""),834241286)</f>
        <v>834241286</v>
      </c>
      <c r="E1623" s="35" t="str">
        <f ca="1">IFERROR(__xludf.DUMMYFUNCTION("""COMPUTED_VALUE"""),"hieunt.tnh@vnpt.vn")</f>
        <v>hieunt.tnh@vnpt.vn</v>
      </c>
      <c r="F1623" s="540" t="str">
        <f ca="1">IFERROR(__xludf.DUMMYFUNCTION("""COMPUTED_VALUE"""),"Lần 1")</f>
        <v>Lần 1</v>
      </c>
      <c r="G1623" s="543"/>
      <c r="H1623" s="35"/>
      <c r="I1623" s="35"/>
      <c r="J1623" s="543"/>
      <c r="K1623" s="543"/>
      <c r="M1623" s="539">
        <f ca="1">IFERROR(__xludf.DUMMYFUNCTION("""COMPUTED_VALUE"""),0)</f>
        <v>0</v>
      </c>
      <c r="N1623" s="539">
        <f ca="1">IFERROR(__xludf.DUMMYFUNCTION("""COMPUTED_VALUE"""),0)</f>
        <v>0</v>
      </c>
      <c r="O1623" s="539">
        <f ca="1">IFERROR(__xludf.DUMMYFUNCTION("""COMPUTED_VALUE"""),0)</f>
        <v>0</v>
      </c>
    </row>
    <row r="1624" spans="1:15" ht="12.75">
      <c r="A1624" s="539">
        <f ca="1"/>
        <v>1618</v>
      </c>
      <c r="B1624" s="35" t="str">
        <f ca="1">IFERROR(__xludf.DUMMYFUNCTION("""COMPUTED_VALUE"""),"Tổ Hạ tầng Tân Ninh")</f>
        <v>Tổ Hạ tầng Tân Ninh</v>
      </c>
      <c r="C1624" s="35" t="str">
        <f ca="1">IFERROR(__xludf.DUMMYFUNCTION("""COMPUTED_VALUE"""),"Ngô Trung Hiếu")</f>
        <v>Ngô Trung Hiếu</v>
      </c>
      <c r="D1624" s="35">
        <f ca="1">IFERROR(__xludf.DUMMYFUNCTION("""COMPUTED_VALUE"""),834241286)</f>
        <v>834241286</v>
      </c>
      <c r="E1624" s="35" t="str">
        <f ca="1">IFERROR(__xludf.DUMMYFUNCTION("""COMPUTED_VALUE"""),"hieunt.tnh@vnpt.vn")</f>
        <v>hieunt.tnh@vnpt.vn</v>
      </c>
      <c r="F1624" s="540" t="str">
        <f ca="1">IFERROR(__xludf.DUMMYFUNCTION("""COMPUTED_VALUE"""),"Lần 2")</f>
        <v>Lần 2</v>
      </c>
      <c r="G1624" s="543"/>
      <c r="H1624" s="35"/>
      <c r="I1624" s="35"/>
      <c r="J1624" s="543"/>
      <c r="K1624" s="543"/>
      <c r="M1624" s="539">
        <f ca="1">IFERROR(__xludf.DUMMYFUNCTION("""COMPUTED_VALUE"""),0)</f>
        <v>0</v>
      </c>
      <c r="N1624" s="539">
        <f ca="1">IFERROR(__xludf.DUMMYFUNCTION("""COMPUTED_VALUE"""),0)</f>
        <v>0</v>
      </c>
      <c r="O1624" s="539">
        <f ca="1">IFERROR(__xludf.DUMMYFUNCTION("""COMPUTED_VALUE"""),0)</f>
        <v>0</v>
      </c>
    </row>
    <row r="1625" spans="1:15" ht="12.75">
      <c r="A1625" s="539">
        <f ca="1"/>
        <v>1619</v>
      </c>
      <c r="B1625" s="35" t="str">
        <f ca="1">IFERROR(__xludf.DUMMYFUNCTION("""COMPUTED_VALUE"""),"Tổ Hạ tầng Tân Ninh")</f>
        <v>Tổ Hạ tầng Tân Ninh</v>
      </c>
      <c r="C1625" s="35" t="str">
        <f ca="1">IFERROR(__xludf.DUMMYFUNCTION("""COMPUTED_VALUE"""),"Ngô Trung Hiếu")</f>
        <v>Ngô Trung Hiếu</v>
      </c>
      <c r="D1625" s="35">
        <f ca="1">IFERROR(__xludf.DUMMYFUNCTION("""COMPUTED_VALUE"""),834241286)</f>
        <v>834241286</v>
      </c>
      <c r="E1625" s="35" t="str">
        <f ca="1">IFERROR(__xludf.DUMMYFUNCTION("""COMPUTED_VALUE"""),"hieunt.tnh@vnpt.vn")</f>
        <v>hieunt.tnh@vnpt.vn</v>
      </c>
      <c r="F1625" s="540" t="str">
        <f ca="1">IFERROR(__xludf.DUMMYFUNCTION("""COMPUTED_VALUE"""),"Lần 3")</f>
        <v>Lần 3</v>
      </c>
      <c r="G1625" s="543"/>
      <c r="H1625" s="35"/>
      <c r="I1625" s="35"/>
      <c r="J1625" s="543"/>
      <c r="K1625" s="543"/>
      <c r="M1625" s="539">
        <f ca="1">IFERROR(__xludf.DUMMYFUNCTION("""COMPUTED_VALUE"""),0)</f>
        <v>0</v>
      </c>
      <c r="N1625" s="539">
        <f ca="1">IFERROR(__xludf.DUMMYFUNCTION("""COMPUTED_VALUE"""),0)</f>
        <v>0</v>
      </c>
      <c r="O1625" s="539">
        <f ca="1">IFERROR(__xludf.DUMMYFUNCTION("""COMPUTED_VALUE"""),0)</f>
        <v>0</v>
      </c>
    </row>
    <row r="1626" spans="1:15" ht="12.75">
      <c r="A1626" s="539">
        <f ca="1"/>
        <v>1620</v>
      </c>
      <c r="B1626" s="35" t="str">
        <f ca="1">IFERROR(__xludf.DUMMYFUNCTION("""COMPUTED_VALUE"""),"Tổ Hạ tầng Tân Ninh")</f>
        <v>Tổ Hạ tầng Tân Ninh</v>
      </c>
      <c r="C1626" s="35" t="str">
        <f ca="1">IFERROR(__xludf.DUMMYFUNCTION("""COMPUTED_VALUE"""),"Ngô Trung Hiếu")</f>
        <v>Ngô Trung Hiếu</v>
      </c>
      <c r="D1626" s="35">
        <f ca="1">IFERROR(__xludf.DUMMYFUNCTION("""COMPUTED_VALUE"""),834241286)</f>
        <v>834241286</v>
      </c>
      <c r="E1626" s="35" t="str">
        <f ca="1">IFERROR(__xludf.DUMMYFUNCTION("""COMPUTED_VALUE"""),"hieunt.tnh@vnpt.vn")</f>
        <v>hieunt.tnh@vnpt.vn</v>
      </c>
      <c r="F1626" s="540" t="str">
        <f ca="1">IFERROR(__xludf.DUMMYFUNCTION("""COMPUTED_VALUE"""),"Lần 4")</f>
        <v>Lần 4</v>
      </c>
      <c r="G1626" s="543"/>
      <c r="H1626" s="35"/>
      <c r="I1626" s="35"/>
      <c r="J1626" s="543"/>
      <c r="K1626" s="543"/>
      <c r="M1626" s="539">
        <f ca="1">IFERROR(__xludf.DUMMYFUNCTION("""COMPUTED_VALUE"""),0)</f>
        <v>0</v>
      </c>
      <c r="N1626" s="539">
        <f ca="1">IFERROR(__xludf.DUMMYFUNCTION("""COMPUTED_VALUE"""),0)</f>
        <v>0</v>
      </c>
      <c r="O1626" s="539">
        <f ca="1">IFERROR(__xludf.DUMMYFUNCTION("""COMPUTED_VALUE"""),0)</f>
        <v>0</v>
      </c>
    </row>
    <row r="1627" spans="1:15" ht="12.75">
      <c r="A1627" s="539">
        <f ca="1"/>
        <v>1621</v>
      </c>
      <c r="B1627" s="35" t="str">
        <f ca="1">IFERROR(__xludf.DUMMYFUNCTION("""COMPUTED_VALUE"""),"Tổ Hạ tầng Tân Ninh")</f>
        <v>Tổ Hạ tầng Tân Ninh</v>
      </c>
      <c r="C1627" s="35" t="str">
        <f ca="1">IFERROR(__xludf.DUMMYFUNCTION("""COMPUTED_VALUE"""),"Ngô Trung Hiếu")</f>
        <v>Ngô Trung Hiếu</v>
      </c>
      <c r="D1627" s="35">
        <f ca="1">IFERROR(__xludf.DUMMYFUNCTION("""COMPUTED_VALUE"""),834241286)</f>
        <v>834241286</v>
      </c>
      <c r="E1627" s="35" t="str">
        <f ca="1">IFERROR(__xludf.DUMMYFUNCTION("""COMPUTED_VALUE"""),"hieunt.tnh@vnpt.vn")</f>
        <v>hieunt.tnh@vnpt.vn</v>
      </c>
      <c r="F1627" s="540" t="str">
        <f ca="1">IFERROR(__xludf.DUMMYFUNCTION("""COMPUTED_VALUE"""),"Lần 5")</f>
        <v>Lần 5</v>
      </c>
      <c r="G1627" s="543"/>
      <c r="H1627" s="35"/>
      <c r="I1627" s="35"/>
      <c r="J1627" s="543"/>
      <c r="K1627" s="543"/>
      <c r="M1627" s="539">
        <f ca="1">IFERROR(__xludf.DUMMYFUNCTION("""COMPUTED_VALUE"""),0)</f>
        <v>0</v>
      </c>
      <c r="N1627" s="539">
        <f ca="1">IFERROR(__xludf.DUMMYFUNCTION("""COMPUTED_VALUE"""),0)</f>
        <v>0</v>
      </c>
      <c r="O1627" s="539">
        <f ca="1">IFERROR(__xludf.DUMMYFUNCTION("""COMPUTED_VALUE"""),0)</f>
        <v>0</v>
      </c>
    </row>
    <row r="1628" spans="1:15" ht="12.75">
      <c r="A1628" s="539">
        <f ca="1"/>
        <v>1622</v>
      </c>
      <c r="B1628" s="35" t="str">
        <f ca="1">IFERROR(__xludf.DUMMYFUNCTION("""COMPUTED_VALUE"""),"Tổ Hạ tầng Tân Ninh")</f>
        <v>Tổ Hạ tầng Tân Ninh</v>
      </c>
      <c r="C1628" s="35" t="str">
        <f ca="1">IFERROR(__xludf.DUMMYFUNCTION("""COMPUTED_VALUE"""),"Ngô Trung Hiếu")</f>
        <v>Ngô Trung Hiếu</v>
      </c>
      <c r="D1628" s="35">
        <f ca="1">IFERROR(__xludf.DUMMYFUNCTION("""COMPUTED_VALUE"""),834241286)</f>
        <v>834241286</v>
      </c>
      <c r="E1628" s="35" t="str">
        <f ca="1">IFERROR(__xludf.DUMMYFUNCTION("""COMPUTED_VALUE"""),"hieunt.tnh@vnpt.vn")</f>
        <v>hieunt.tnh@vnpt.vn</v>
      </c>
      <c r="F1628" s="540" t="str">
        <f ca="1">IFERROR(__xludf.DUMMYFUNCTION("""COMPUTED_VALUE"""),"Lần 6")</f>
        <v>Lần 6</v>
      </c>
      <c r="G1628" s="543"/>
      <c r="H1628" s="35"/>
      <c r="I1628" s="35"/>
      <c r="J1628" s="543"/>
      <c r="K1628" s="543"/>
      <c r="M1628" s="539">
        <f ca="1">IFERROR(__xludf.DUMMYFUNCTION("""COMPUTED_VALUE"""),0)</f>
        <v>0</v>
      </c>
      <c r="N1628" s="539">
        <f ca="1">IFERROR(__xludf.DUMMYFUNCTION("""COMPUTED_VALUE"""),0)</f>
        <v>0</v>
      </c>
      <c r="O1628" s="539">
        <f ca="1">IFERROR(__xludf.DUMMYFUNCTION("""COMPUTED_VALUE"""),0)</f>
        <v>0</v>
      </c>
    </row>
    <row r="1629" spans="1:15" ht="12.75">
      <c r="A1629" s="539">
        <f ca="1"/>
        <v>1623</v>
      </c>
      <c r="B1629" s="35" t="str">
        <f ca="1">IFERROR(__xludf.DUMMYFUNCTION("""COMPUTED_VALUE"""),"Tổ Hạ tầng Tân Ninh")</f>
        <v>Tổ Hạ tầng Tân Ninh</v>
      </c>
      <c r="C1629" s="35" t="str">
        <f ca="1">IFERROR(__xludf.DUMMYFUNCTION("""COMPUTED_VALUE"""),"Ngô Trung Hiếu")</f>
        <v>Ngô Trung Hiếu</v>
      </c>
      <c r="D1629" s="35">
        <f ca="1">IFERROR(__xludf.DUMMYFUNCTION("""COMPUTED_VALUE"""),834241286)</f>
        <v>834241286</v>
      </c>
      <c r="E1629" s="35" t="str">
        <f ca="1">IFERROR(__xludf.DUMMYFUNCTION("""COMPUTED_VALUE"""),"hieunt.tnh@vnpt.vn")</f>
        <v>hieunt.tnh@vnpt.vn</v>
      </c>
      <c r="F1629" s="540" t="str">
        <f ca="1">IFERROR(__xludf.DUMMYFUNCTION("""COMPUTED_VALUE"""),"Lần 7")</f>
        <v>Lần 7</v>
      </c>
      <c r="G1629" s="543"/>
      <c r="H1629" s="35"/>
      <c r="I1629" s="35"/>
      <c r="J1629" s="543"/>
      <c r="K1629" s="543"/>
      <c r="M1629" s="539">
        <f ca="1">IFERROR(__xludf.DUMMYFUNCTION("""COMPUTED_VALUE"""),0)</f>
        <v>0</v>
      </c>
      <c r="N1629" s="539">
        <f ca="1">IFERROR(__xludf.DUMMYFUNCTION("""COMPUTED_VALUE"""),0)</f>
        <v>0</v>
      </c>
      <c r="O1629" s="539">
        <f ca="1">IFERROR(__xludf.DUMMYFUNCTION("""COMPUTED_VALUE"""),0)</f>
        <v>0</v>
      </c>
    </row>
    <row r="1630" spans="1:15" ht="12.75">
      <c r="A1630" s="539">
        <f ca="1"/>
        <v>1624</v>
      </c>
      <c r="B1630" s="35" t="str">
        <f ca="1">IFERROR(__xludf.DUMMYFUNCTION("""COMPUTED_VALUE"""),"Tổ Hạ tầng Tân Ninh")</f>
        <v>Tổ Hạ tầng Tân Ninh</v>
      </c>
      <c r="C1630" s="35" t="str">
        <f ca="1">IFERROR(__xludf.DUMMYFUNCTION("""COMPUTED_VALUE"""),"Ngô Trung Hiếu")</f>
        <v>Ngô Trung Hiếu</v>
      </c>
      <c r="D1630" s="35">
        <f ca="1">IFERROR(__xludf.DUMMYFUNCTION("""COMPUTED_VALUE"""),834241286)</f>
        <v>834241286</v>
      </c>
      <c r="E1630" s="35" t="str">
        <f ca="1">IFERROR(__xludf.DUMMYFUNCTION("""COMPUTED_VALUE"""),"hieunt.tnh@vnpt.vn")</f>
        <v>hieunt.tnh@vnpt.vn</v>
      </c>
      <c r="F1630" s="540" t="str">
        <f ca="1">IFERROR(__xludf.DUMMYFUNCTION("""COMPUTED_VALUE"""),"Lần 8")</f>
        <v>Lần 8</v>
      </c>
      <c r="G1630" s="543"/>
      <c r="H1630" s="35"/>
      <c r="I1630" s="35"/>
      <c r="J1630" s="543"/>
      <c r="K1630" s="543"/>
      <c r="M1630" s="539">
        <f ca="1">IFERROR(__xludf.DUMMYFUNCTION("""COMPUTED_VALUE"""),0)</f>
        <v>0</v>
      </c>
      <c r="N1630" s="539">
        <f ca="1">IFERROR(__xludf.DUMMYFUNCTION("""COMPUTED_VALUE"""),0)</f>
        <v>0</v>
      </c>
      <c r="O1630" s="539">
        <f ca="1">IFERROR(__xludf.DUMMYFUNCTION("""COMPUTED_VALUE"""),0)</f>
        <v>0</v>
      </c>
    </row>
    <row r="1631" spans="1:15" ht="12.75">
      <c r="A1631" s="539">
        <f ca="1"/>
        <v>1625</v>
      </c>
      <c r="B1631" s="35" t="str">
        <f ca="1">IFERROR(__xludf.DUMMYFUNCTION("""COMPUTED_VALUE"""),"Tổ Hạ tầng Tân Ninh")</f>
        <v>Tổ Hạ tầng Tân Ninh</v>
      </c>
      <c r="C1631" s="35" t="str">
        <f ca="1">IFERROR(__xludf.DUMMYFUNCTION("""COMPUTED_VALUE"""),"Ngô Trung Hiếu")</f>
        <v>Ngô Trung Hiếu</v>
      </c>
      <c r="D1631" s="35">
        <f ca="1">IFERROR(__xludf.DUMMYFUNCTION("""COMPUTED_VALUE"""),834241286)</f>
        <v>834241286</v>
      </c>
      <c r="E1631" s="35" t="str">
        <f ca="1">IFERROR(__xludf.DUMMYFUNCTION("""COMPUTED_VALUE"""),"hieunt.tnh@vnpt.vn")</f>
        <v>hieunt.tnh@vnpt.vn</v>
      </c>
      <c r="F1631" s="540" t="str">
        <f ca="1">IFERROR(__xludf.DUMMYFUNCTION("""COMPUTED_VALUE"""),"Lần 9")</f>
        <v>Lần 9</v>
      </c>
      <c r="G1631" s="543"/>
      <c r="H1631" s="35"/>
      <c r="I1631" s="35"/>
      <c r="J1631" s="543"/>
      <c r="K1631" s="543"/>
      <c r="M1631" s="539">
        <f ca="1">IFERROR(__xludf.DUMMYFUNCTION("""COMPUTED_VALUE"""),0)</f>
        <v>0</v>
      </c>
      <c r="N1631" s="539">
        <f ca="1">IFERROR(__xludf.DUMMYFUNCTION("""COMPUTED_VALUE"""),0)</f>
        <v>0</v>
      </c>
      <c r="O1631" s="539">
        <f ca="1">IFERROR(__xludf.DUMMYFUNCTION("""COMPUTED_VALUE"""),0)</f>
        <v>0</v>
      </c>
    </row>
    <row r="1632" spans="1:15" ht="12.75">
      <c r="A1632" s="539">
        <f ca="1"/>
        <v>1626</v>
      </c>
      <c r="B1632" s="35" t="str">
        <f ca="1">IFERROR(__xludf.DUMMYFUNCTION("""COMPUTED_VALUE"""),"Tổ Hạ tầng Tân Ninh")</f>
        <v>Tổ Hạ tầng Tân Ninh</v>
      </c>
      <c r="C1632" s="35" t="str">
        <f ca="1">IFERROR(__xludf.DUMMYFUNCTION("""COMPUTED_VALUE"""),"Ngô Trung Hiếu")</f>
        <v>Ngô Trung Hiếu</v>
      </c>
      <c r="D1632" s="35">
        <f ca="1">IFERROR(__xludf.DUMMYFUNCTION("""COMPUTED_VALUE"""),834241286)</f>
        <v>834241286</v>
      </c>
      <c r="E1632" s="35" t="str">
        <f ca="1">IFERROR(__xludf.DUMMYFUNCTION("""COMPUTED_VALUE"""),"hieunt.tnh@vnpt.vn")</f>
        <v>hieunt.tnh@vnpt.vn</v>
      </c>
      <c r="F1632" s="540" t="str">
        <f ca="1">IFERROR(__xludf.DUMMYFUNCTION("""COMPUTED_VALUE"""),"Lần 10")</f>
        <v>Lần 10</v>
      </c>
      <c r="G1632" s="543"/>
      <c r="H1632" s="35"/>
      <c r="I1632" s="35"/>
      <c r="J1632" s="543"/>
      <c r="K1632" s="543"/>
      <c r="M1632" s="539">
        <f ca="1">IFERROR(__xludf.DUMMYFUNCTION("""COMPUTED_VALUE"""),0)</f>
        <v>0</v>
      </c>
      <c r="N1632" s="539">
        <f ca="1">IFERROR(__xludf.DUMMYFUNCTION("""COMPUTED_VALUE"""),0)</f>
        <v>0</v>
      </c>
      <c r="O1632" s="539">
        <f ca="1">IFERROR(__xludf.DUMMYFUNCTION("""COMPUTED_VALUE"""),0)</f>
        <v>0</v>
      </c>
    </row>
    <row r="1633" spans="1:15" ht="12.75">
      <c r="A1633" s="539">
        <f ca="1"/>
        <v>1627</v>
      </c>
      <c r="B1633" s="35" t="str">
        <f ca="1">IFERROR(__xludf.DUMMYFUNCTION("""COMPUTED_VALUE"""),"Tổ Hạ tầng Tân Ninh")</f>
        <v>Tổ Hạ tầng Tân Ninh</v>
      </c>
      <c r="C1633" s="35" t="str">
        <f ca="1">IFERROR(__xludf.DUMMYFUNCTION("""COMPUTED_VALUE"""),"Ngô Trung Hiếu")</f>
        <v>Ngô Trung Hiếu</v>
      </c>
      <c r="D1633" s="35">
        <f ca="1">IFERROR(__xludf.DUMMYFUNCTION("""COMPUTED_VALUE"""),834241286)</f>
        <v>834241286</v>
      </c>
      <c r="E1633" s="35" t="str">
        <f ca="1">IFERROR(__xludf.DUMMYFUNCTION("""COMPUTED_VALUE"""),"hieunt.tnh@vnpt.vn")</f>
        <v>hieunt.tnh@vnpt.vn</v>
      </c>
      <c r="F1633" s="540" t="str">
        <f ca="1">IFERROR(__xludf.DUMMYFUNCTION("""COMPUTED_VALUE"""),"Lần 11")</f>
        <v>Lần 11</v>
      </c>
      <c r="G1633" s="543"/>
      <c r="H1633" s="35"/>
      <c r="I1633" s="35"/>
      <c r="J1633" s="543"/>
      <c r="K1633" s="543"/>
      <c r="M1633" s="539">
        <f ca="1">IFERROR(__xludf.DUMMYFUNCTION("""COMPUTED_VALUE"""),0)</f>
        <v>0</v>
      </c>
      <c r="N1633" s="539">
        <f ca="1">IFERROR(__xludf.DUMMYFUNCTION("""COMPUTED_VALUE"""),0)</f>
        <v>0</v>
      </c>
      <c r="O1633" s="539">
        <f ca="1">IFERROR(__xludf.DUMMYFUNCTION("""COMPUTED_VALUE"""),0)</f>
        <v>0</v>
      </c>
    </row>
    <row r="1634" spans="1:15" ht="12.75">
      <c r="A1634" s="539">
        <f ca="1"/>
        <v>1628</v>
      </c>
      <c r="B1634" s="35" t="str">
        <f ca="1">IFERROR(__xludf.DUMMYFUNCTION("""COMPUTED_VALUE"""),"Tổ Hạ tầng Tân Ninh")</f>
        <v>Tổ Hạ tầng Tân Ninh</v>
      </c>
      <c r="C1634" s="35" t="str">
        <f ca="1">IFERROR(__xludf.DUMMYFUNCTION("""COMPUTED_VALUE"""),"Ngô Trung Hiếu")</f>
        <v>Ngô Trung Hiếu</v>
      </c>
      <c r="D1634" s="35">
        <f ca="1">IFERROR(__xludf.DUMMYFUNCTION("""COMPUTED_VALUE"""),834241286)</f>
        <v>834241286</v>
      </c>
      <c r="E1634" s="35" t="str">
        <f ca="1">IFERROR(__xludf.DUMMYFUNCTION("""COMPUTED_VALUE"""),"hieunt.tnh@vnpt.vn")</f>
        <v>hieunt.tnh@vnpt.vn</v>
      </c>
      <c r="F1634" s="540" t="str">
        <f ca="1">IFERROR(__xludf.DUMMYFUNCTION("""COMPUTED_VALUE"""),"Lần 12")</f>
        <v>Lần 12</v>
      </c>
      <c r="G1634" s="543"/>
      <c r="H1634" s="35"/>
      <c r="I1634" s="35"/>
      <c r="J1634" s="543"/>
      <c r="K1634" s="543"/>
      <c r="M1634" s="539">
        <f ca="1">IFERROR(__xludf.DUMMYFUNCTION("""COMPUTED_VALUE"""),0)</f>
        <v>0</v>
      </c>
      <c r="N1634" s="539">
        <f ca="1">IFERROR(__xludf.DUMMYFUNCTION("""COMPUTED_VALUE"""),0)</f>
        <v>0</v>
      </c>
      <c r="O1634" s="539">
        <f ca="1">IFERROR(__xludf.DUMMYFUNCTION("""COMPUTED_VALUE"""),0)</f>
        <v>0</v>
      </c>
    </row>
    <row r="1635" spans="1:15" ht="12.75">
      <c r="A1635" s="539">
        <f ca="1"/>
        <v>1629</v>
      </c>
      <c r="B1635" s="35" t="str">
        <f ca="1">IFERROR(__xludf.DUMMYFUNCTION("""COMPUTED_VALUE"""),"Tổ Hạ tầng Tân Ninh")</f>
        <v>Tổ Hạ tầng Tân Ninh</v>
      </c>
      <c r="C1635" s="35" t="str">
        <f ca="1">IFERROR(__xludf.DUMMYFUNCTION("""COMPUTED_VALUE"""),"Ngô Trung Hiếu")</f>
        <v>Ngô Trung Hiếu</v>
      </c>
      <c r="D1635" s="35">
        <f ca="1">IFERROR(__xludf.DUMMYFUNCTION("""COMPUTED_VALUE"""),834241286)</f>
        <v>834241286</v>
      </c>
      <c r="E1635" s="35" t="str">
        <f ca="1">IFERROR(__xludf.DUMMYFUNCTION("""COMPUTED_VALUE"""),"hieunt.tnh@vnpt.vn")</f>
        <v>hieunt.tnh@vnpt.vn</v>
      </c>
      <c r="F1635" s="540" t="str">
        <f ca="1">IFERROR(__xludf.DUMMYFUNCTION("""COMPUTED_VALUE"""),"Lần 13")</f>
        <v>Lần 13</v>
      </c>
      <c r="G1635" s="543"/>
      <c r="H1635" s="35"/>
      <c r="I1635" s="35"/>
      <c r="J1635" s="543"/>
      <c r="K1635" s="543"/>
      <c r="M1635" s="539">
        <f ca="1">IFERROR(__xludf.DUMMYFUNCTION("""COMPUTED_VALUE"""),0)</f>
        <v>0</v>
      </c>
      <c r="N1635" s="539">
        <f ca="1">IFERROR(__xludf.DUMMYFUNCTION("""COMPUTED_VALUE"""),0)</f>
        <v>0</v>
      </c>
      <c r="O1635" s="539">
        <f ca="1">IFERROR(__xludf.DUMMYFUNCTION("""COMPUTED_VALUE"""),0)</f>
        <v>0</v>
      </c>
    </row>
    <row r="1636" spans="1:15" ht="12.75">
      <c r="A1636" s="539">
        <f ca="1"/>
        <v>1630</v>
      </c>
      <c r="B1636" s="35" t="str">
        <f ca="1">IFERROR(__xludf.DUMMYFUNCTION("""COMPUTED_VALUE"""),"Tổ Hạ tầng Tân Ninh")</f>
        <v>Tổ Hạ tầng Tân Ninh</v>
      </c>
      <c r="C1636" s="35" t="str">
        <f ca="1">IFERROR(__xludf.DUMMYFUNCTION("""COMPUTED_VALUE"""),"Ngô Trung Hiếu")</f>
        <v>Ngô Trung Hiếu</v>
      </c>
      <c r="D1636" s="35">
        <f ca="1">IFERROR(__xludf.DUMMYFUNCTION("""COMPUTED_VALUE"""),834241286)</f>
        <v>834241286</v>
      </c>
      <c r="E1636" s="35" t="str">
        <f ca="1">IFERROR(__xludf.DUMMYFUNCTION("""COMPUTED_VALUE"""),"hieunt.tnh@vnpt.vn")</f>
        <v>hieunt.tnh@vnpt.vn</v>
      </c>
      <c r="F1636" s="540" t="str">
        <f ca="1">IFERROR(__xludf.DUMMYFUNCTION("""COMPUTED_VALUE"""),"Lần 14")</f>
        <v>Lần 14</v>
      </c>
      <c r="G1636" s="543"/>
      <c r="H1636" s="35"/>
      <c r="I1636" s="35"/>
      <c r="J1636" s="543"/>
      <c r="K1636" s="543"/>
      <c r="M1636" s="539">
        <f ca="1">IFERROR(__xludf.DUMMYFUNCTION("""COMPUTED_VALUE"""),0)</f>
        <v>0</v>
      </c>
      <c r="N1636" s="539">
        <f ca="1">IFERROR(__xludf.DUMMYFUNCTION("""COMPUTED_VALUE"""),0)</f>
        <v>0</v>
      </c>
      <c r="O1636" s="539">
        <f ca="1">IFERROR(__xludf.DUMMYFUNCTION("""COMPUTED_VALUE"""),0)</f>
        <v>0</v>
      </c>
    </row>
    <row r="1637" spans="1:15" ht="12.75">
      <c r="A1637" s="539">
        <f ca="1"/>
        <v>1631</v>
      </c>
      <c r="B1637" s="35" t="str">
        <f ca="1">IFERROR(__xludf.DUMMYFUNCTION("""COMPUTED_VALUE"""),"Tổ Hạ tầng Tân Ninh")</f>
        <v>Tổ Hạ tầng Tân Ninh</v>
      </c>
      <c r="C1637" s="35" t="str">
        <f ca="1">IFERROR(__xludf.DUMMYFUNCTION("""COMPUTED_VALUE"""),"Ngô Trung Hiếu")</f>
        <v>Ngô Trung Hiếu</v>
      </c>
      <c r="D1637" s="35">
        <f ca="1">IFERROR(__xludf.DUMMYFUNCTION("""COMPUTED_VALUE"""),834241286)</f>
        <v>834241286</v>
      </c>
      <c r="E1637" s="35" t="str">
        <f ca="1">IFERROR(__xludf.DUMMYFUNCTION("""COMPUTED_VALUE"""),"hieunt.tnh@vnpt.vn")</f>
        <v>hieunt.tnh@vnpt.vn</v>
      </c>
      <c r="F1637" s="540" t="str">
        <f ca="1">IFERROR(__xludf.DUMMYFUNCTION("""COMPUTED_VALUE"""),"Lần 15")</f>
        <v>Lần 15</v>
      </c>
      <c r="G1637" s="543"/>
      <c r="H1637" s="35"/>
      <c r="I1637" s="35"/>
      <c r="J1637" s="543"/>
      <c r="K1637" s="543"/>
      <c r="M1637" s="539">
        <f ca="1">IFERROR(__xludf.DUMMYFUNCTION("""COMPUTED_VALUE"""),0)</f>
        <v>0</v>
      </c>
      <c r="N1637" s="539">
        <f ca="1">IFERROR(__xludf.DUMMYFUNCTION("""COMPUTED_VALUE"""),0)</f>
        <v>0</v>
      </c>
      <c r="O1637" s="539">
        <f ca="1">IFERROR(__xludf.DUMMYFUNCTION("""COMPUTED_VALUE"""),0)</f>
        <v>0</v>
      </c>
    </row>
    <row r="1638" spans="1:15" ht="12.75">
      <c r="A1638" s="539">
        <f ca="1"/>
        <v>1632</v>
      </c>
      <c r="B1638" s="35" t="str">
        <f ca="1">IFERROR(__xludf.DUMMYFUNCTION("""COMPUTED_VALUE"""),"Tổ Hạ tầng Tân Ninh")</f>
        <v>Tổ Hạ tầng Tân Ninh</v>
      </c>
      <c r="C1638" s="35" t="str">
        <f ca="1">IFERROR(__xludf.DUMMYFUNCTION("""COMPUTED_VALUE"""),"Ngô Trung Hiếu")</f>
        <v>Ngô Trung Hiếu</v>
      </c>
      <c r="D1638" s="35">
        <f ca="1">IFERROR(__xludf.DUMMYFUNCTION("""COMPUTED_VALUE"""),834241286)</f>
        <v>834241286</v>
      </c>
      <c r="E1638" s="35" t="str">
        <f ca="1">IFERROR(__xludf.DUMMYFUNCTION("""COMPUTED_VALUE"""),"hieunt.tnh@vnpt.vn")</f>
        <v>hieunt.tnh@vnpt.vn</v>
      </c>
      <c r="F1638" s="540" t="str">
        <f ca="1">IFERROR(__xludf.DUMMYFUNCTION("""COMPUTED_VALUE"""),"Lần 16")</f>
        <v>Lần 16</v>
      </c>
      <c r="G1638" s="543"/>
      <c r="H1638" s="35"/>
      <c r="I1638" s="35"/>
      <c r="J1638" s="543"/>
      <c r="K1638" s="543"/>
      <c r="M1638" s="539">
        <f ca="1">IFERROR(__xludf.DUMMYFUNCTION("""COMPUTED_VALUE"""),0)</f>
        <v>0</v>
      </c>
      <c r="N1638" s="539">
        <f ca="1">IFERROR(__xludf.DUMMYFUNCTION("""COMPUTED_VALUE"""),0)</f>
        <v>0</v>
      </c>
      <c r="O1638" s="539">
        <f ca="1">IFERROR(__xludf.DUMMYFUNCTION("""COMPUTED_VALUE"""),0)</f>
        <v>0</v>
      </c>
    </row>
    <row r="1639" spans="1:15" ht="12.75">
      <c r="A1639" s="539">
        <f ca="1"/>
        <v>1633</v>
      </c>
      <c r="B1639" s="35" t="str">
        <f ca="1">IFERROR(__xludf.DUMMYFUNCTION("""COMPUTED_VALUE"""),"Tổ Hạ tầng Tân Ninh")</f>
        <v>Tổ Hạ tầng Tân Ninh</v>
      </c>
      <c r="C1639" s="35" t="str">
        <f ca="1">IFERROR(__xludf.DUMMYFUNCTION("""COMPUTED_VALUE"""),"Lâm Bình Chi")</f>
        <v>Lâm Bình Chi</v>
      </c>
      <c r="D1639" s="35">
        <f ca="1">IFERROR(__xludf.DUMMYFUNCTION("""COMPUTED_VALUE"""),913955468)</f>
        <v>913955468</v>
      </c>
      <c r="E1639" s="35" t="str">
        <f ca="1">IFERROR(__xludf.DUMMYFUNCTION("""COMPUTED_VALUE"""),"chiib.tnh@vnpt.vn")</f>
        <v>chiib.tnh@vnpt.vn</v>
      </c>
      <c r="F1639" s="540" t="str">
        <f ca="1">IFERROR(__xludf.DUMMYFUNCTION("""COMPUTED_VALUE"""),"Lần 1")</f>
        <v>Lần 1</v>
      </c>
      <c r="G1639" s="278"/>
      <c r="H1639" s="35">
        <f ca="1">IFERROR(__xludf.DUMMYFUNCTION("""COMPUTED_VALUE"""),83.8)</f>
        <v>83.8</v>
      </c>
      <c r="I1639" s="35">
        <f ca="1">IFERROR(__xludf.DUMMYFUNCTION("""COMPUTED_VALUE"""),45.2)</f>
        <v>45.2</v>
      </c>
      <c r="J1639" s="541">
        <f ca="1">IFERROR(__xludf.DUMMYFUNCTION("""COMPUTED_VALUE"""),101)</f>
        <v>101</v>
      </c>
      <c r="K1639" s="541">
        <f ca="1">IFERROR(__xludf.DUMMYFUNCTION("""COMPUTED_VALUE"""),54.8)</f>
        <v>54.8</v>
      </c>
      <c r="M1639" s="539">
        <f ca="1">IFERROR(__xludf.DUMMYFUNCTION("""COMPUTED_VALUE"""),0)</f>
        <v>0</v>
      </c>
      <c r="N1639" s="539">
        <f ca="1">IFERROR(__xludf.DUMMYFUNCTION("""COMPUTED_VALUE"""),0)</f>
        <v>0</v>
      </c>
      <c r="O1639" s="539">
        <f ca="1">IFERROR(__xludf.DUMMYFUNCTION("""COMPUTED_VALUE"""),0)</f>
        <v>0</v>
      </c>
    </row>
    <row r="1640" spans="1:15" ht="12.75">
      <c r="A1640" s="539">
        <f ca="1"/>
        <v>1634</v>
      </c>
      <c r="B1640" s="35" t="str">
        <f ca="1">IFERROR(__xludf.DUMMYFUNCTION("""COMPUTED_VALUE"""),"Tổ Hạ tầng Tân Ninh")</f>
        <v>Tổ Hạ tầng Tân Ninh</v>
      </c>
      <c r="C1640" s="35" t="str">
        <f ca="1">IFERROR(__xludf.DUMMYFUNCTION("""COMPUTED_VALUE"""),"Lâm Bình Chi")</f>
        <v>Lâm Bình Chi</v>
      </c>
      <c r="D1640" s="35">
        <f ca="1">IFERROR(__xludf.DUMMYFUNCTION("""COMPUTED_VALUE"""),913955468)</f>
        <v>913955468</v>
      </c>
      <c r="E1640" s="35" t="str">
        <f ca="1">IFERROR(__xludf.DUMMYFUNCTION("""COMPUTED_VALUE"""),"chiib.tnh@vnpt.vn")</f>
        <v>chiib.tnh@vnpt.vn</v>
      </c>
      <c r="F1640" s="540" t="str">
        <f ca="1">IFERROR(__xludf.DUMMYFUNCTION("""COMPUTED_VALUE"""),"Lần 2")</f>
        <v>Lần 2</v>
      </c>
      <c r="G1640" s="278"/>
      <c r="H1640" s="35">
        <f ca="1">IFERROR(__xludf.DUMMYFUNCTION("""COMPUTED_VALUE"""),80.1)</f>
        <v>80.099999999999994</v>
      </c>
      <c r="I1640" s="35">
        <f ca="1">IFERROR(__xludf.DUMMYFUNCTION("""COMPUTED_VALUE"""),42.1)</f>
        <v>42.1</v>
      </c>
      <c r="J1640" s="541">
        <f ca="1">IFERROR(__xludf.DUMMYFUNCTION("""COMPUTED_VALUE"""),116)</f>
        <v>116</v>
      </c>
      <c r="K1640" s="541">
        <f ca="1">IFERROR(__xludf.DUMMYFUNCTION("""COMPUTED_VALUE"""),55.3)</f>
        <v>55.3</v>
      </c>
      <c r="M1640" s="539">
        <f ca="1">IFERROR(__xludf.DUMMYFUNCTION("""COMPUTED_VALUE"""),0)</f>
        <v>0</v>
      </c>
      <c r="N1640" s="539">
        <f ca="1">IFERROR(__xludf.DUMMYFUNCTION("""COMPUTED_VALUE"""),0)</f>
        <v>0</v>
      </c>
      <c r="O1640" s="539">
        <f ca="1">IFERROR(__xludf.DUMMYFUNCTION("""COMPUTED_VALUE"""),0)</f>
        <v>0</v>
      </c>
    </row>
    <row r="1641" spans="1:15" ht="12.75">
      <c r="A1641" s="539">
        <f ca="1"/>
        <v>1635</v>
      </c>
      <c r="B1641" s="35" t="str">
        <f ca="1">IFERROR(__xludf.DUMMYFUNCTION("""COMPUTED_VALUE"""),"Tổ Hạ tầng Tân Ninh")</f>
        <v>Tổ Hạ tầng Tân Ninh</v>
      </c>
      <c r="C1641" s="35" t="str">
        <f ca="1">IFERROR(__xludf.DUMMYFUNCTION("""COMPUTED_VALUE"""),"Lâm Bình Chi")</f>
        <v>Lâm Bình Chi</v>
      </c>
      <c r="D1641" s="35">
        <f ca="1">IFERROR(__xludf.DUMMYFUNCTION("""COMPUTED_VALUE"""),913955468)</f>
        <v>913955468</v>
      </c>
      <c r="E1641" s="35" t="str">
        <f ca="1">IFERROR(__xludf.DUMMYFUNCTION("""COMPUTED_VALUE"""),"chiib.tnh@vnpt.vn")</f>
        <v>chiib.tnh@vnpt.vn</v>
      </c>
      <c r="F1641" s="540" t="str">
        <f ca="1">IFERROR(__xludf.DUMMYFUNCTION("""COMPUTED_VALUE"""),"Lần 3")</f>
        <v>Lần 3</v>
      </c>
      <c r="G1641" s="278"/>
      <c r="H1641" s="35">
        <f ca="1">IFERROR(__xludf.DUMMYFUNCTION("""COMPUTED_VALUE"""),115)</f>
        <v>115</v>
      </c>
      <c r="I1641" s="35">
        <f ca="1">IFERROR(__xludf.DUMMYFUNCTION("""COMPUTED_VALUE"""),11.1)</f>
        <v>11.1</v>
      </c>
      <c r="J1641" s="541">
        <f ca="1">IFERROR(__xludf.DUMMYFUNCTION("""COMPUTED_VALUE"""),102)</f>
        <v>102</v>
      </c>
      <c r="K1641" s="541">
        <f ca="1">IFERROR(__xludf.DUMMYFUNCTION("""COMPUTED_VALUE"""),57.6)</f>
        <v>57.6</v>
      </c>
      <c r="M1641" s="539">
        <f ca="1">IFERROR(__xludf.DUMMYFUNCTION("""COMPUTED_VALUE"""),0)</f>
        <v>0</v>
      </c>
      <c r="N1641" s="539">
        <f ca="1">IFERROR(__xludf.DUMMYFUNCTION("""COMPUTED_VALUE"""),0)</f>
        <v>0</v>
      </c>
      <c r="O1641" s="539">
        <f ca="1">IFERROR(__xludf.DUMMYFUNCTION("""COMPUTED_VALUE"""),0)</f>
        <v>0</v>
      </c>
    </row>
    <row r="1642" spans="1:15" ht="12.75">
      <c r="A1642" s="539">
        <f ca="1"/>
        <v>1636</v>
      </c>
      <c r="B1642" s="35" t="str">
        <f ca="1">IFERROR(__xludf.DUMMYFUNCTION("""COMPUTED_VALUE"""),"Tổ Hạ tầng Tân Ninh")</f>
        <v>Tổ Hạ tầng Tân Ninh</v>
      </c>
      <c r="C1642" s="35" t="str">
        <f ca="1">IFERROR(__xludf.DUMMYFUNCTION("""COMPUTED_VALUE"""),"Lâm Bình Chi")</f>
        <v>Lâm Bình Chi</v>
      </c>
      <c r="D1642" s="35">
        <f ca="1">IFERROR(__xludf.DUMMYFUNCTION("""COMPUTED_VALUE"""),913955468)</f>
        <v>913955468</v>
      </c>
      <c r="E1642" s="35" t="str">
        <f ca="1">IFERROR(__xludf.DUMMYFUNCTION("""COMPUTED_VALUE"""),"chiib.tnh@vnpt.vn")</f>
        <v>chiib.tnh@vnpt.vn</v>
      </c>
      <c r="F1642" s="540" t="str">
        <f ca="1">IFERROR(__xludf.DUMMYFUNCTION("""COMPUTED_VALUE"""),"Lần 4")</f>
        <v>Lần 4</v>
      </c>
      <c r="G1642" s="278"/>
      <c r="H1642" s="35">
        <f ca="1">IFERROR(__xludf.DUMMYFUNCTION("""COMPUTED_VALUE"""),95.6)</f>
        <v>95.6</v>
      </c>
      <c r="I1642" s="35">
        <f ca="1">IFERROR(__xludf.DUMMYFUNCTION("""COMPUTED_VALUE"""),46.9)</f>
        <v>46.9</v>
      </c>
      <c r="J1642" s="541">
        <f ca="1">IFERROR(__xludf.DUMMYFUNCTION("""COMPUTED_VALUE"""),117)</f>
        <v>117</v>
      </c>
      <c r="K1642" s="541">
        <f ca="1">IFERROR(__xludf.DUMMYFUNCTION("""COMPUTED_VALUE"""),58)</f>
        <v>58</v>
      </c>
      <c r="M1642" s="539">
        <f ca="1">IFERROR(__xludf.DUMMYFUNCTION("""COMPUTED_VALUE"""),0)</f>
        <v>0</v>
      </c>
      <c r="N1642" s="539">
        <f ca="1">IFERROR(__xludf.DUMMYFUNCTION("""COMPUTED_VALUE"""),0)</f>
        <v>0</v>
      </c>
      <c r="O1642" s="539">
        <f ca="1">IFERROR(__xludf.DUMMYFUNCTION("""COMPUTED_VALUE"""),0)</f>
        <v>0</v>
      </c>
    </row>
    <row r="1643" spans="1:15" ht="12.75">
      <c r="A1643" s="539">
        <f ca="1"/>
        <v>1637</v>
      </c>
      <c r="B1643" s="35" t="str">
        <f ca="1">IFERROR(__xludf.DUMMYFUNCTION("""COMPUTED_VALUE"""),"Tổ Hạ tầng Tân Ninh")</f>
        <v>Tổ Hạ tầng Tân Ninh</v>
      </c>
      <c r="C1643" s="35" t="str">
        <f ca="1">IFERROR(__xludf.DUMMYFUNCTION("""COMPUTED_VALUE"""),"Lâm Bình Chi")</f>
        <v>Lâm Bình Chi</v>
      </c>
      <c r="D1643" s="35">
        <f ca="1">IFERROR(__xludf.DUMMYFUNCTION("""COMPUTED_VALUE"""),913955468)</f>
        <v>913955468</v>
      </c>
      <c r="E1643" s="35" t="str">
        <f ca="1">IFERROR(__xludf.DUMMYFUNCTION("""COMPUTED_VALUE"""),"chiib.tnh@vnpt.vn")</f>
        <v>chiib.tnh@vnpt.vn</v>
      </c>
      <c r="F1643" s="540" t="str">
        <f ca="1">IFERROR(__xludf.DUMMYFUNCTION("""COMPUTED_VALUE"""),"Lần 5")</f>
        <v>Lần 5</v>
      </c>
      <c r="G1643" s="278"/>
      <c r="H1643" s="35">
        <f ca="1">IFERROR(__xludf.DUMMYFUNCTION("""COMPUTED_VALUE"""),116)</f>
        <v>116</v>
      </c>
      <c r="I1643" s="35">
        <f ca="1">IFERROR(__xludf.DUMMYFUNCTION("""COMPUTED_VALUE"""),50)</f>
        <v>50</v>
      </c>
      <c r="J1643" s="541">
        <f ca="1">IFERROR(__xludf.DUMMYFUNCTION("""COMPUTED_VALUE"""),90.6)</f>
        <v>90.6</v>
      </c>
      <c r="K1643" s="541">
        <f ca="1">IFERROR(__xludf.DUMMYFUNCTION("""COMPUTED_VALUE"""),55)</f>
        <v>55</v>
      </c>
      <c r="M1643" s="539">
        <f ca="1">IFERROR(__xludf.DUMMYFUNCTION("""COMPUTED_VALUE"""),0)</f>
        <v>0</v>
      </c>
      <c r="N1643" s="539">
        <f ca="1">IFERROR(__xludf.DUMMYFUNCTION("""COMPUTED_VALUE"""),0)</f>
        <v>0</v>
      </c>
      <c r="O1643" s="539">
        <f ca="1">IFERROR(__xludf.DUMMYFUNCTION("""COMPUTED_VALUE"""),0)</f>
        <v>0</v>
      </c>
    </row>
    <row r="1644" spans="1:15" ht="12.75">
      <c r="A1644" s="539">
        <f ca="1"/>
        <v>1638</v>
      </c>
      <c r="B1644" s="35" t="str">
        <f ca="1">IFERROR(__xludf.DUMMYFUNCTION("""COMPUTED_VALUE"""),"Tổ Hạ tầng Tân Ninh")</f>
        <v>Tổ Hạ tầng Tân Ninh</v>
      </c>
      <c r="C1644" s="35" t="str">
        <f ca="1">IFERROR(__xludf.DUMMYFUNCTION("""COMPUTED_VALUE"""),"Lâm Bình Chi")</f>
        <v>Lâm Bình Chi</v>
      </c>
      <c r="D1644" s="35">
        <f ca="1">IFERROR(__xludf.DUMMYFUNCTION("""COMPUTED_VALUE"""),913955468)</f>
        <v>913955468</v>
      </c>
      <c r="E1644" s="35" t="str">
        <f ca="1">IFERROR(__xludf.DUMMYFUNCTION("""COMPUTED_VALUE"""),"chiib.tnh@vnpt.vn")</f>
        <v>chiib.tnh@vnpt.vn</v>
      </c>
      <c r="F1644" s="540" t="str">
        <f ca="1">IFERROR(__xludf.DUMMYFUNCTION("""COMPUTED_VALUE"""),"Lần 6")</f>
        <v>Lần 6</v>
      </c>
      <c r="G1644" s="278"/>
      <c r="H1644" s="35">
        <f ca="1">IFERROR(__xludf.DUMMYFUNCTION("""COMPUTED_VALUE"""),103)</f>
        <v>103</v>
      </c>
      <c r="I1644" s="35">
        <f ca="1">IFERROR(__xludf.DUMMYFUNCTION("""COMPUTED_VALUE"""),50.5)</f>
        <v>50.5</v>
      </c>
      <c r="J1644" s="541">
        <f ca="1">IFERROR(__xludf.DUMMYFUNCTION("""COMPUTED_VALUE"""),94.7)</f>
        <v>94.7</v>
      </c>
      <c r="K1644" s="541">
        <f ca="1">IFERROR(__xludf.DUMMYFUNCTION("""COMPUTED_VALUE"""),11.4)</f>
        <v>11.4</v>
      </c>
      <c r="M1644" s="539">
        <f ca="1">IFERROR(__xludf.DUMMYFUNCTION("""COMPUTED_VALUE"""),0)</f>
        <v>0</v>
      </c>
      <c r="N1644" s="539">
        <f ca="1">IFERROR(__xludf.DUMMYFUNCTION("""COMPUTED_VALUE"""),0)</f>
        <v>0</v>
      </c>
      <c r="O1644" s="539">
        <f ca="1">IFERROR(__xludf.DUMMYFUNCTION("""COMPUTED_VALUE"""),0)</f>
        <v>0</v>
      </c>
    </row>
    <row r="1645" spans="1:15" ht="12.75">
      <c r="A1645" s="539">
        <f ca="1"/>
        <v>1639</v>
      </c>
      <c r="B1645" s="35" t="str">
        <f ca="1">IFERROR(__xludf.DUMMYFUNCTION("""COMPUTED_VALUE"""),"Tổ Hạ tầng Tân Ninh")</f>
        <v>Tổ Hạ tầng Tân Ninh</v>
      </c>
      <c r="C1645" s="35" t="str">
        <f ca="1">IFERROR(__xludf.DUMMYFUNCTION("""COMPUTED_VALUE"""),"Lâm Bình Chi")</f>
        <v>Lâm Bình Chi</v>
      </c>
      <c r="D1645" s="35">
        <f ca="1">IFERROR(__xludf.DUMMYFUNCTION("""COMPUTED_VALUE"""),913955468)</f>
        <v>913955468</v>
      </c>
      <c r="E1645" s="35" t="str">
        <f ca="1">IFERROR(__xludf.DUMMYFUNCTION("""COMPUTED_VALUE"""),"chiib.tnh@vnpt.vn")</f>
        <v>chiib.tnh@vnpt.vn</v>
      </c>
      <c r="F1645" s="540" t="str">
        <f ca="1">IFERROR(__xludf.DUMMYFUNCTION("""COMPUTED_VALUE"""),"Lần 7")</f>
        <v>Lần 7</v>
      </c>
      <c r="G1645" s="278"/>
      <c r="H1645" s="35">
        <f ca="1">IFERROR(__xludf.DUMMYFUNCTION("""COMPUTED_VALUE"""),108)</f>
        <v>108</v>
      </c>
      <c r="I1645" s="35">
        <f ca="1">IFERROR(__xludf.DUMMYFUNCTION("""COMPUTED_VALUE"""),51.8)</f>
        <v>51.8</v>
      </c>
      <c r="J1645" s="541">
        <f ca="1">IFERROR(__xludf.DUMMYFUNCTION("""COMPUTED_VALUE"""),96.1)</f>
        <v>96.1</v>
      </c>
      <c r="K1645" s="541">
        <f ca="1">IFERROR(__xludf.DUMMYFUNCTION("""COMPUTED_VALUE"""),11.7)</f>
        <v>11.7</v>
      </c>
      <c r="M1645" s="539">
        <f ca="1">IFERROR(__xludf.DUMMYFUNCTION("""COMPUTED_VALUE"""),0)</f>
        <v>0</v>
      </c>
      <c r="N1645" s="539">
        <f ca="1">IFERROR(__xludf.DUMMYFUNCTION("""COMPUTED_VALUE"""),0)</f>
        <v>0</v>
      </c>
      <c r="O1645" s="539">
        <f ca="1">IFERROR(__xludf.DUMMYFUNCTION("""COMPUTED_VALUE"""),0)</f>
        <v>0</v>
      </c>
    </row>
    <row r="1646" spans="1:15" ht="12.75">
      <c r="A1646" s="539">
        <f ca="1"/>
        <v>1640</v>
      </c>
      <c r="B1646" s="35" t="str">
        <f ca="1">IFERROR(__xludf.DUMMYFUNCTION("""COMPUTED_VALUE"""),"Tổ Hạ tầng Tân Ninh")</f>
        <v>Tổ Hạ tầng Tân Ninh</v>
      </c>
      <c r="C1646" s="35" t="str">
        <f ca="1">IFERROR(__xludf.DUMMYFUNCTION("""COMPUTED_VALUE"""),"Lâm Bình Chi")</f>
        <v>Lâm Bình Chi</v>
      </c>
      <c r="D1646" s="35">
        <f ca="1">IFERROR(__xludf.DUMMYFUNCTION("""COMPUTED_VALUE"""),913955468)</f>
        <v>913955468</v>
      </c>
      <c r="E1646" s="35" t="str">
        <f ca="1">IFERROR(__xludf.DUMMYFUNCTION("""COMPUTED_VALUE"""),"chiib.tnh@vnpt.vn")</f>
        <v>chiib.tnh@vnpt.vn</v>
      </c>
      <c r="F1646" s="540" t="str">
        <f ca="1">IFERROR(__xludf.DUMMYFUNCTION("""COMPUTED_VALUE"""),"Lần 8")</f>
        <v>Lần 8</v>
      </c>
      <c r="G1646" s="278"/>
      <c r="H1646" s="35">
        <f ca="1">IFERROR(__xludf.DUMMYFUNCTION("""COMPUTED_VALUE"""),95.9)</f>
        <v>95.9</v>
      </c>
      <c r="I1646" s="35">
        <f ca="1">IFERROR(__xludf.DUMMYFUNCTION("""COMPUTED_VALUE"""),49.2)</f>
        <v>49.2</v>
      </c>
      <c r="J1646" s="541">
        <f ca="1">IFERROR(__xludf.DUMMYFUNCTION("""COMPUTED_VALUE"""),127)</f>
        <v>127</v>
      </c>
      <c r="K1646" s="541">
        <f ca="1">IFERROR(__xludf.DUMMYFUNCTION("""COMPUTED_VALUE"""),10.8)</f>
        <v>10.8</v>
      </c>
      <c r="M1646" s="539">
        <f ca="1">IFERROR(__xludf.DUMMYFUNCTION("""COMPUTED_VALUE"""),0)</f>
        <v>0</v>
      </c>
      <c r="N1646" s="539">
        <f ca="1">IFERROR(__xludf.DUMMYFUNCTION("""COMPUTED_VALUE"""),0)</f>
        <v>0</v>
      </c>
      <c r="O1646" s="539">
        <f ca="1">IFERROR(__xludf.DUMMYFUNCTION("""COMPUTED_VALUE"""),0)</f>
        <v>0</v>
      </c>
    </row>
    <row r="1647" spans="1:15" ht="12.75">
      <c r="A1647" s="539">
        <f ca="1"/>
        <v>1641</v>
      </c>
      <c r="B1647" s="35" t="str">
        <f ca="1">IFERROR(__xludf.DUMMYFUNCTION("""COMPUTED_VALUE"""),"Tổ Hạ tầng Tân Ninh")</f>
        <v>Tổ Hạ tầng Tân Ninh</v>
      </c>
      <c r="C1647" s="35" t="str">
        <f ca="1">IFERROR(__xludf.DUMMYFUNCTION("""COMPUTED_VALUE"""),"Lâm Bình Chi")</f>
        <v>Lâm Bình Chi</v>
      </c>
      <c r="D1647" s="35">
        <f ca="1">IFERROR(__xludf.DUMMYFUNCTION("""COMPUTED_VALUE"""),913955468)</f>
        <v>913955468</v>
      </c>
      <c r="E1647" s="35" t="str">
        <f ca="1">IFERROR(__xludf.DUMMYFUNCTION("""COMPUTED_VALUE"""),"chiib.tnh@vnpt.vn")</f>
        <v>chiib.tnh@vnpt.vn</v>
      </c>
      <c r="F1647" s="540" t="str">
        <f ca="1">IFERROR(__xludf.DUMMYFUNCTION("""COMPUTED_VALUE"""),"Lần 9")</f>
        <v>Lần 9</v>
      </c>
      <c r="G1647" s="278"/>
      <c r="H1647" s="35">
        <f ca="1">IFERROR(__xludf.DUMMYFUNCTION("""COMPUTED_VALUE"""),81)</f>
        <v>81</v>
      </c>
      <c r="I1647" s="35">
        <f ca="1">IFERROR(__xludf.DUMMYFUNCTION("""COMPUTED_VALUE"""),11.4)</f>
        <v>11.4</v>
      </c>
      <c r="J1647" s="541">
        <f ca="1">IFERROR(__xludf.DUMMYFUNCTION("""COMPUTED_VALUE"""),130)</f>
        <v>130</v>
      </c>
      <c r="K1647" s="541">
        <f ca="1">IFERROR(__xludf.DUMMYFUNCTION("""COMPUTED_VALUE"""),11.5)</f>
        <v>11.5</v>
      </c>
      <c r="M1647" s="539">
        <f ca="1">IFERROR(__xludf.DUMMYFUNCTION("""COMPUTED_VALUE"""),0)</f>
        <v>0</v>
      </c>
      <c r="N1647" s="539">
        <f ca="1">IFERROR(__xludf.DUMMYFUNCTION("""COMPUTED_VALUE"""),0)</f>
        <v>0</v>
      </c>
      <c r="O1647" s="539">
        <f ca="1">IFERROR(__xludf.DUMMYFUNCTION("""COMPUTED_VALUE"""),0)</f>
        <v>0</v>
      </c>
    </row>
    <row r="1648" spans="1:15" ht="12.75">
      <c r="A1648" s="539">
        <f ca="1"/>
        <v>1642</v>
      </c>
      <c r="B1648" s="35" t="str">
        <f ca="1">IFERROR(__xludf.DUMMYFUNCTION("""COMPUTED_VALUE"""),"Tổ Hạ tầng Tân Ninh")</f>
        <v>Tổ Hạ tầng Tân Ninh</v>
      </c>
      <c r="C1648" s="35" t="str">
        <f ca="1">IFERROR(__xludf.DUMMYFUNCTION("""COMPUTED_VALUE"""),"Lâm Bình Chi")</f>
        <v>Lâm Bình Chi</v>
      </c>
      <c r="D1648" s="35">
        <f ca="1">IFERROR(__xludf.DUMMYFUNCTION("""COMPUTED_VALUE"""),913955468)</f>
        <v>913955468</v>
      </c>
      <c r="E1648" s="35" t="str">
        <f ca="1">IFERROR(__xludf.DUMMYFUNCTION("""COMPUTED_VALUE"""),"chiib.tnh@vnpt.vn")</f>
        <v>chiib.tnh@vnpt.vn</v>
      </c>
      <c r="F1648" s="540" t="str">
        <f ca="1">IFERROR(__xludf.DUMMYFUNCTION("""COMPUTED_VALUE"""),"Lần 10")</f>
        <v>Lần 10</v>
      </c>
      <c r="G1648" s="278"/>
      <c r="H1648" s="35">
        <f ca="1">IFERROR(__xludf.DUMMYFUNCTION("""COMPUTED_VALUE"""),82.7)</f>
        <v>82.7</v>
      </c>
      <c r="I1648" s="35">
        <f ca="1">IFERROR(__xludf.DUMMYFUNCTION("""COMPUTED_VALUE"""),11.5)</f>
        <v>11.5</v>
      </c>
      <c r="J1648" s="541">
        <f ca="1">IFERROR(__xludf.DUMMYFUNCTION("""COMPUTED_VALUE"""),126)</f>
        <v>126</v>
      </c>
      <c r="K1648" s="541">
        <f ca="1">IFERROR(__xludf.DUMMYFUNCTION("""COMPUTED_VALUE"""),11.4)</f>
        <v>11.4</v>
      </c>
      <c r="M1648" s="539">
        <f ca="1">IFERROR(__xludf.DUMMYFUNCTION("""COMPUTED_VALUE"""),0)</f>
        <v>0</v>
      </c>
      <c r="N1648" s="539">
        <f ca="1">IFERROR(__xludf.DUMMYFUNCTION("""COMPUTED_VALUE"""),0)</f>
        <v>0</v>
      </c>
      <c r="O1648" s="539">
        <f ca="1">IFERROR(__xludf.DUMMYFUNCTION("""COMPUTED_VALUE"""),0)</f>
        <v>0</v>
      </c>
    </row>
    <row r="1649" spans="1:15" ht="12.75">
      <c r="A1649" s="539">
        <f ca="1"/>
        <v>1643</v>
      </c>
      <c r="B1649" s="35" t="str">
        <f ca="1">IFERROR(__xludf.DUMMYFUNCTION("""COMPUTED_VALUE"""),"Tổ Hạ tầng Tân Ninh")</f>
        <v>Tổ Hạ tầng Tân Ninh</v>
      </c>
      <c r="C1649" s="35" t="str">
        <f ca="1">IFERROR(__xludf.DUMMYFUNCTION("""COMPUTED_VALUE"""),"Lâm Bình Chi")</f>
        <v>Lâm Bình Chi</v>
      </c>
      <c r="D1649" s="35">
        <f ca="1">IFERROR(__xludf.DUMMYFUNCTION("""COMPUTED_VALUE"""),913955468)</f>
        <v>913955468</v>
      </c>
      <c r="E1649" s="35" t="str">
        <f ca="1">IFERROR(__xludf.DUMMYFUNCTION("""COMPUTED_VALUE"""),"chiib.tnh@vnpt.vn")</f>
        <v>chiib.tnh@vnpt.vn</v>
      </c>
      <c r="F1649" s="540" t="str">
        <f ca="1">IFERROR(__xludf.DUMMYFUNCTION("""COMPUTED_VALUE"""),"Lần 11")</f>
        <v>Lần 11</v>
      </c>
      <c r="G1649" s="278"/>
      <c r="H1649" s="35">
        <f ca="1">IFERROR(__xludf.DUMMYFUNCTION("""COMPUTED_VALUE"""),77)</f>
        <v>77</v>
      </c>
      <c r="I1649" s="35">
        <f ca="1">IFERROR(__xludf.DUMMYFUNCTION("""COMPUTED_VALUE"""),11.9)</f>
        <v>11.9</v>
      </c>
      <c r="J1649" s="541">
        <f ca="1">IFERROR(__xludf.DUMMYFUNCTION("""COMPUTED_VALUE"""),119)</f>
        <v>119</v>
      </c>
      <c r="K1649" s="541">
        <f ca="1">IFERROR(__xludf.DUMMYFUNCTION("""COMPUTED_VALUE"""),11.6)</f>
        <v>11.6</v>
      </c>
      <c r="M1649" s="539">
        <f ca="1">IFERROR(__xludf.DUMMYFUNCTION("""COMPUTED_VALUE"""),0)</f>
        <v>0</v>
      </c>
      <c r="N1649" s="539">
        <f ca="1">IFERROR(__xludf.DUMMYFUNCTION("""COMPUTED_VALUE"""),0)</f>
        <v>0</v>
      </c>
      <c r="O1649" s="539">
        <f ca="1">IFERROR(__xludf.DUMMYFUNCTION("""COMPUTED_VALUE"""),0)</f>
        <v>0</v>
      </c>
    </row>
    <row r="1650" spans="1:15" ht="12.75">
      <c r="A1650" s="539">
        <f ca="1"/>
        <v>1644</v>
      </c>
      <c r="B1650" s="35" t="str">
        <f ca="1">IFERROR(__xludf.DUMMYFUNCTION("""COMPUTED_VALUE"""),"Tổ Hạ tầng Tân Ninh")</f>
        <v>Tổ Hạ tầng Tân Ninh</v>
      </c>
      <c r="C1650" s="35" t="str">
        <f ca="1">IFERROR(__xludf.DUMMYFUNCTION("""COMPUTED_VALUE"""),"Lâm Bình Chi")</f>
        <v>Lâm Bình Chi</v>
      </c>
      <c r="D1650" s="35">
        <f ca="1">IFERROR(__xludf.DUMMYFUNCTION("""COMPUTED_VALUE"""),913955468)</f>
        <v>913955468</v>
      </c>
      <c r="E1650" s="35" t="str">
        <f ca="1">IFERROR(__xludf.DUMMYFUNCTION("""COMPUTED_VALUE"""),"chiib.tnh@vnpt.vn")</f>
        <v>chiib.tnh@vnpt.vn</v>
      </c>
      <c r="F1650" s="540" t="str">
        <f ca="1">IFERROR(__xludf.DUMMYFUNCTION("""COMPUTED_VALUE"""),"Lần 12")</f>
        <v>Lần 12</v>
      </c>
      <c r="G1650" s="278"/>
      <c r="H1650" s="35">
        <f ca="1">IFERROR(__xludf.DUMMYFUNCTION("""COMPUTED_VALUE"""),85.4)</f>
        <v>85.4</v>
      </c>
      <c r="I1650" s="35">
        <f ca="1">IFERROR(__xludf.DUMMYFUNCTION("""COMPUTED_VALUE"""),11.7)</f>
        <v>11.7</v>
      </c>
      <c r="J1650" s="541">
        <f ca="1">IFERROR(__xludf.DUMMYFUNCTION("""COMPUTED_VALUE"""),82.5)</f>
        <v>82.5</v>
      </c>
      <c r="K1650" s="541">
        <f ca="1">IFERROR(__xludf.DUMMYFUNCTION("""COMPUTED_VALUE"""),11.8)</f>
        <v>11.8</v>
      </c>
      <c r="M1650" s="539">
        <f ca="1">IFERROR(__xludf.DUMMYFUNCTION("""COMPUTED_VALUE"""),0)</f>
        <v>0</v>
      </c>
      <c r="N1650" s="539">
        <f ca="1">IFERROR(__xludf.DUMMYFUNCTION("""COMPUTED_VALUE"""),0)</f>
        <v>0</v>
      </c>
      <c r="O1650" s="539">
        <f ca="1">IFERROR(__xludf.DUMMYFUNCTION("""COMPUTED_VALUE"""),0)</f>
        <v>0</v>
      </c>
    </row>
    <row r="1651" spans="1:15" ht="12.75">
      <c r="A1651" s="539">
        <f ca="1"/>
        <v>1645</v>
      </c>
      <c r="B1651" s="35" t="str">
        <f ca="1">IFERROR(__xludf.DUMMYFUNCTION("""COMPUTED_VALUE"""),"Tổ Hạ tầng Tân Ninh")</f>
        <v>Tổ Hạ tầng Tân Ninh</v>
      </c>
      <c r="C1651" s="35" t="str">
        <f ca="1">IFERROR(__xludf.DUMMYFUNCTION("""COMPUTED_VALUE"""),"Lâm Bình Chi")</f>
        <v>Lâm Bình Chi</v>
      </c>
      <c r="D1651" s="35">
        <f ca="1">IFERROR(__xludf.DUMMYFUNCTION("""COMPUTED_VALUE"""),913955468)</f>
        <v>913955468</v>
      </c>
      <c r="E1651" s="35" t="str">
        <f ca="1">IFERROR(__xludf.DUMMYFUNCTION("""COMPUTED_VALUE"""),"chiib.tnh@vnpt.vn")</f>
        <v>chiib.tnh@vnpt.vn</v>
      </c>
      <c r="F1651" s="540" t="str">
        <f ca="1">IFERROR(__xludf.DUMMYFUNCTION("""COMPUTED_VALUE"""),"Lần 13")</f>
        <v>Lần 13</v>
      </c>
      <c r="G1651" s="278"/>
      <c r="H1651" s="35">
        <f ca="1">IFERROR(__xludf.DUMMYFUNCTION("""COMPUTED_VALUE"""),82.2)</f>
        <v>82.2</v>
      </c>
      <c r="I1651" s="35">
        <f ca="1">IFERROR(__xludf.DUMMYFUNCTION("""COMPUTED_VALUE"""),11.7)</f>
        <v>11.7</v>
      </c>
      <c r="J1651" s="541">
        <f ca="1">IFERROR(__xludf.DUMMYFUNCTION("""COMPUTED_VALUE"""),93)</f>
        <v>93</v>
      </c>
      <c r="K1651" s="541">
        <f ca="1">IFERROR(__xludf.DUMMYFUNCTION("""COMPUTED_VALUE"""),11.9)</f>
        <v>11.9</v>
      </c>
      <c r="M1651" s="539">
        <f ca="1">IFERROR(__xludf.DUMMYFUNCTION("""COMPUTED_VALUE"""),0)</f>
        <v>0</v>
      </c>
      <c r="N1651" s="539">
        <f ca="1">IFERROR(__xludf.DUMMYFUNCTION("""COMPUTED_VALUE"""),0)</f>
        <v>0</v>
      </c>
      <c r="O1651" s="539">
        <f ca="1">IFERROR(__xludf.DUMMYFUNCTION("""COMPUTED_VALUE"""),0)</f>
        <v>0</v>
      </c>
    </row>
    <row r="1652" spans="1:15" ht="12.75">
      <c r="A1652" s="539">
        <f ca="1"/>
        <v>1646</v>
      </c>
      <c r="B1652" s="35" t="str">
        <f ca="1">IFERROR(__xludf.DUMMYFUNCTION("""COMPUTED_VALUE"""),"Tổ Hạ tầng Tân Ninh")</f>
        <v>Tổ Hạ tầng Tân Ninh</v>
      </c>
      <c r="C1652" s="35" t="str">
        <f ca="1">IFERROR(__xludf.DUMMYFUNCTION("""COMPUTED_VALUE"""),"Lâm Bình Chi")</f>
        <v>Lâm Bình Chi</v>
      </c>
      <c r="D1652" s="35">
        <f ca="1">IFERROR(__xludf.DUMMYFUNCTION("""COMPUTED_VALUE"""),913955468)</f>
        <v>913955468</v>
      </c>
      <c r="E1652" s="35" t="str">
        <f ca="1">IFERROR(__xludf.DUMMYFUNCTION("""COMPUTED_VALUE"""),"chiib.tnh@vnpt.vn")</f>
        <v>chiib.tnh@vnpt.vn</v>
      </c>
      <c r="F1652" s="540" t="str">
        <f ca="1">IFERROR(__xludf.DUMMYFUNCTION("""COMPUTED_VALUE"""),"Lần 14")</f>
        <v>Lần 14</v>
      </c>
      <c r="G1652" s="278"/>
      <c r="H1652" s="35">
        <f ca="1">IFERROR(__xludf.DUMMYFUNCTION("""COMPUTED_VALUE"""),95.7)</f>
        <v>95.7</v>
      </c>
      <c r="I1652" s="35">
        <f ca="1">IFERROR(__xludf.DUMMYFUNCTION("""COMPUTED_VALUE"""),11.8)</f>
        <v>11.8</v>
      </c>
      <c r="J1652" s="541">
        <f ca="1">IFERROR(__xludf.DUMMYFUNCTION("""COMPUTED_VALUE"""),94.2)</f>
        <v>94.2</v>
      </c>
      <c r="K1652" s="541">
        <f ca="1">IFERROR(__xludf.DUMMYFUNCTION("""COMPUTED_VALUE"""),19.2)</f>
        <v>19.2</v>
      </c>
      <c r="M1652" s="539">
        <f ca="1">IFERROR(__xludf.DUMMYFUNCTION("""COMPUTED_VALUE"""),0)</f>
        <v>0</v>
      </c>
      <c r="N1652" s="539">
        <f ca="1">IFERROR(__xludf.DUMMYFUNCTION("""COMPUTED_VALUE"""),0)</f>
        <v>0</v>
      </c>
      <c r="O1652" s="539">
        <f ca="1">IFERROR(__xludf.DUMMYFUNCTION("""COMPUTED_VALUE"""),0)</f>
        <v>0</v>
      </c>
    </row>
    <row r="1653" spans="1:15" ht="12.75">
      <c r="A1653" s="539">
        <f ca="1"/>
        <v>1647</v>
      </c>
      <c r="B1653" s="35" t="str">
        <f ca="1">IFERROR(__xludf.DUMMYFUNCTION("""COMPUTED_VALUE"""),"Tổ Hạ tầng Tân Ninh")</f>
        <v>Tổ Hạ tầng Tân Ninh</v>
      </c>
      <c r="C1653" s="35" t="str">
        <f ca="1">IFERROR(__xludf.DUMMYFUNCTION("""COMPUTED_VALUE"""),"Lâm Bình Chi")</f>
        <v>Lâm Bình Chi</v>
      </c>
      <c r="D1653" s="35">
        <f ca="1">IFERROR(__xludf.DUMMYFUNCTION("""COMPUTED_VALUE"""),913955468)</f>
        <v>913955468</v>
      </c>
      <c r="E1653" s="35" t="str">
        <f ca="1">IFERROR(__xludf.DUMMYFUNCTION("""COMPUTED_VALUE"""),"chiib.tnh@vnpt.vn")</f>
        <v>chiib.tnh@vnpt.vn</v>
      </c>
      <c r="F1653" s="540" t="str">
        <f ca="1">IFERROR(__xludf.DUMMYFUNCTION("""COMPUTED_VALUE"""),"Lần 15")</f>
        <v>Lần 15</v>
      </c>
      <c r="G1653" s="278"/>
      <c r="H1653" s="35">
        <f ca="1">IFERROR(__xludf.DUMMYFUNCTION("""COMPUTED_VALUE"""),92)</f>
        <v>92</v>
      </c>
      <c r="I1653" s="35">
        <f ca="1">IFERROR(__xludf.DUMMYFUNCTION("""COMPUTED_VALUE"""),11.8)</f>
        <v>11.8</v>
      </c>
      <c r="J1653" s="541">
        <f ca="1">IFERROR(__xludf.DUMMYFUNCTION("""COMPUTED_VALUE"""),99)</f>
        <v>99</v>
      </c>
      <c r="K1653" s="541">
        <f ca="1">IFERROR(__xludf.DUMMYFUNCTION("""COMPUTED_VALUE"""),18.4)</f>
        <v>18.399999999999999</v>
      </c>
      <c r="M1653" s="539">
        <f ca="1">IFERROR(__xludf.DUMMYFUNCTION("""COMPUTED_VALUE"""),0)</f>
        <v>0</v>
      </c>
      <c r="N1653" s="539">
        <f ca="1">IFERROR(__xludf.DUMMYFUNCTION("""COMPUTED_VALUE"""),0)</f>
        <v>0</v>
      </c>
      <c r="O1653" s="539">
        <f ca="1">IFERROR(__xludf.DUMMYFUNCTION("""COMPUTED_VALUE"""),0)</f>
        <v>0</v>
      </c>
    </row>
    <row r="1654" spans="1:15" ht="12.75">
      <c r="A1654" s="539">
        <f ca="1"/>
        <v>1648</v>
      </c>
      <c r="B1654" s="35" t="str">
        <f ca="1">IFERROR(__xludf.DUMMYFUNCTION("""COMPUTED_VALUE"""),"Tổ Hạ tầng Tân Ninh")</f>
        <v>Tổ Hạ tầng Tân Ninh</v>
      </c>
      <c r="C1654" s="35" t="str">
        <f ca="1">IFERROR(__xludf.DUMMYFUNCTION("""COMPUTED_VALUE"""),"Lâm Bình Chi")</f>
        <v>Lâm Bình Chi</v>
      </c>
      <c r="D1654" s="35">
        <f ca="1">IFERROR(__xludf.DUMMYFUNCTION("""COMPUTED_VALUE"""),913955468)</f>
        <v>913955468</v>
      </c>
      <c r="E1654" s="35" t="str">
        <f ca="1">IFERROR(__xludf.DUMMYFUNCTION("""COMPUTED_VALUE"""),"chiib.tnh@vnpt.vn")</f>
        <v>chiib.tnh@vnpt.vn</v>
      </c>
      <c r="F1654" s="540" t="str">
        <f ca="1">IFERROR(__xludf.DUMMYFUNCTION("""COMPUTED_VALUE"""),"Lần 16")</f>
        <v>Lần 16</v>
      </c>
      <c r="G1654" s="278"/>
      <c r="H1654" s="35">
        <f ca="1">IFERROR(__xludf.DUMMYFUNCTION("""COMPUTED_VALUE"""),77.5)</f>
        <v>77.5</v>
      </c>
      <c r="I1654" s="35">
        <f ca="1">IFERROR(__xludf.DUMMYFUNCTION("""COMPUTED_VALUE"""),11.8)</f>
        <v>11.8</v>
      </c>
      <c r="J1654" s="541">
        <f ca="1">IFERROR(__xludf.DUMMYFUNCTION("""COMPUTED_VALUE"""),101)</f>
        <v>101</v>
      </c>
      <c r="K1654" s="541">
        <f ca="1">IFERROR(__xludf.DUMMYFUNCTION("""COMPUTED_VALUE"""),16.8)</f>
        <v>16.8</v>
      </c>
      <c r="M1654" s="539">
        <f ca="1">IFERROR(__xludf.DUMMYFUNCTION("""COMPUTED_VALUE"""),0)</f>
        <v>0</v>
      </c>
      <c r="N1654" s="539">
        <f ca="1">IFERROR(__xludf.DUMMYFUNCTION("""COMPUTED_VALUE"""),0)</f>
        <v>0</v>
      </c>
      <c r="O1654" s="539">
        <f ca="1">IFERROR(__xludf.DUMMYFUNCTION("""COMPUTED_VALUE"""),0)</f>
        <v>0</v>
      </c>
    </row>
    <row r="1655" spans="1:15" ht="12.75">
      <c r="A1655" s="539">
        <f ca="1"/>
        <v>1649</v>
      </c>
      <c r="B1655" s="35" t="str">
        <f ca="1">IFERROR(__xludf.DUMMYFUNCTION("""COMPUTED_VALUE"""),"Tổ Hạ tầng Tân Ninh")</f>
        <v>Tổ Hạ tầng Tân Ninh</v>
      </c>
      <c r="C1655" s="35" t="str">
        <f ca="1">IFERROR(__xludf.DUMMYFUNCTION("""COMPUTED_VALUE"""),"Đặng võ thừa Phong")</f>
        <v>Đặng võ thừa Phong</v>
      </c>
      <c r="D1655" s="543" t="str">
        <f ca="1">IFERROR(__xludf.DUMMYFUNCTION("""COMPUTED_VALUE"""),"0917893993")</f>
        <v>0917893993</v>
      </c>
      <c r="E1655" s="35" t="str">
        <f ca="1">IFERROR(__xludf.DUMMYFUNCTION("""COMPUTED_VALUE"""),"phongdvt.tnh@vnpt.vn")</f>
        <v>phongdvt.tnh@vnpt.vn</v>
      </c>
      <c r="F1655" s="540" t="str">
        <f ca="1">IFERROR(__xludf.DUMMYFUNCTION("""COMPUTED_VALUE"""),"Lần 1")</f>
        <v>Lần 1</v>
      </c>
      <c r="G1655" s="278"/>
      <c r="H1655" s="35"/>
      <c r="I1655" s="35"/>
      <c r="J1655" s="541"/>
      <c r="K1655" s="541"/>
      <c r="M1655" s="539">
        <f ca="1">IFERROR(__xludf.DUMMYFUNCTION("""COMPUTED_VALUE"""),0)</f>
        <v>0</v>
      </c>
      <c r="N1655" s="539">
        <f ca="1">IFERROR(__xludf.DUMMYFUNCTION("""COMPUTED_VALUE"""),0)</f>
        <v>0</v>
      </c>
      <c r="O1655" s="539">
        <f ca="1">IFERROR(__xludf.DUMMYFUNCTION("""COMPUTED_VALUE"""),0)</f>
        <v>0</v>
      </c>
    </row>
    <row r="1656" spans="1:15" ht="12.75">
      <c r="A1656" s="539">
        <f ca="1"/>
        <v>1650</v>
      </c>
      <c r="B1656" s="35" t="str">
        <f ca="1">IFERROR(__xludf.DUMMYFUNCTION("""COMPUTED_VALUE"""),"Tổ Hạ tầng Tân Ninh")</f>
        <v>Tổ Hạ tầng Tân Ninh</v>
      </c>
      <c r="C1656" s="35" t="str">
        <f ca="1">IFERROR(__xludf.DUMMYFUNCTION("""COMPUTED_VALUE"""),"Đặng võ thừa Phong")</f>
        <v>Đặng võ thừa Phong</v>
      </c>
      <c r="D1656" s="543" t="str">
        <f ca="1">IFERROR(__xludf.DUMMYFUNCTION("""COMPUTED_VALUE"""),"0917893993")</f>
        <v>0917893993</v>
      </c>
      <c r="E1656" s="35" t="str">
        <f ca="1">IFERROR(__xludf.DUMMYFUNCTION("""COMPUTED_VALUE"""),"phongdvt.tnh@vnpt.vn")</f>
        <v>phongdvt.tnh@vnpt.vn</v>
      </c>
      <c r="F1656" s="540" t="str">
        <f ca="1">IFERROR(__xludf.DUMMYFUNCTION("""COMPUTED_VALUE"""),"Lần 2")</f>
        <v>Lần 2</v>
      </c>
      <c r="G1656" s="278"/>
      <c r="H1656" s="35"/>
      <c r="I1656" s="35"/>
      <c r="J1656" s="541"/>
      <c r="K1656" s="541"/>
      <c r="M1656" s="539">
        <f ca="1">IFERROR(__xludf.DUMMYFUNCTION("""COMPUTED_VALUE"""),0)</f>
        <v>0</v>
      </c>
      <c r="N1656" s="539">
        <f ca="1">IFERROR(__xludf.DUMMYFUNCTION("""COMPUTED_VALUE"""),0)</f>
        <v>0</v>
      </c>
      <c r="O1656" s="539">
        <f ca="1">IFERROR(__xludf.DUMMYFUNCTION("""COMPUTED_VALUE"""),0)</f>
        <v>0</v>
      </c>
    </row>
    <row r="1657" spans="1:15" ht="12.75">
      <c r="A1657" s="539">
        <f ca="1"/>
        <v>1651</v>
      </c>
      <c r="B1657" s="35" t="str">
        <f ca="1">IFERROR(__xludf.DUMMYFUNCTION("""COMPUTED_VALUE"""),"Tổ Hạ tầng Tân Ninh")</f>
        <v>Tổ Hạ tầng Tân Ninh</v>
      </c>
      <c r="C1657" s="35" t="str">
        <f ca="1">IFERROR(__xludf.DUMMYFUNCTION("""COMPUTED_VALUE"""),"Đặng võ thừa Phong")</f>
        <v>Đặng võ thừa Phong</v>
      </c>
      <c r="D1657" s="543" t="str">
        <f ca="1">IFERROR(__xludf.DUMMYFUNCTION("""COMPUTED_VALUE"""),"0917893993")</f>
        <v>0917893993</v>
      </c>
      <c r="E1657" s="35" t="str">
        <f ca="1">IFERROR(__xludf.DUMMYFUNCTION("""COMPUTED_VALUE"""),"phongdvt.tnh@vnpt.vn")</f>
        <v>phongdvt.tnh@vnpt.vn</v>
      </c>
      <c r="F1657" s="540" t="str">
        <f ca="1">IFERROR(__xludf.DUMMYFUNCTION("""COMPUTED_VALUE"""),"Lần 3")</f>
        <v>Lần 3</v>
      </c>
      <c r="G1657" s="278"/>
      <c r="H1657" s="35"/>
      <c r="I1657" s="35"/>
      <c r="J1657" s="541"/>
      <c r="K1657" s="541"/>
      <c r="M1657" s="539">
        <f ca="1">IFERROR(__xludf.DUMMYFUNCTION("""COMPUTED_VALUE"""),0)</f>
        <v>0</v>
      </c>
      <c r="N1657" s="539">
        <f ca="1">IFERROR(__xludf.DUMMYFUNCTION("""COMPUTED_VALUE"""),0)</f>
        <v>0</v>
      </c>
      <c r="O1657" s="539">
        <f ca="1">IFERROR(__xludf.DUMMYFUNCTION("""COMPUTED_VALUE"""),0)</f>
        <v>0</v>
      </c>
    </row>
    <row r="1658" spans="1:15" ht="12.75">
      <c r="A1658" s="539">
        <f ca="1"/>
        <v>1652</v>
      </c>
      <c r="B1658" s="35" t="str">
        <f ca="1">IFERROR(__xludf.DUMMYFUNCTION("""COMPUTED_VALUE"""),"Tổ Hạ tầng Tân Ninh")</f>
        <v>Tổ Hạ tầng Tân Ninh</v>
      </c>
      <c r="C1658" s="35" t="str">
        <f ca="1">IFERROR(__xludf.DUMMYFUNCTION("""COMPUTED_VALUE"""),"Đặng võ thừa Phong")</f>
        <v>Đặng võ thừa Phong</v>
      </c>
      <c r="D1658" s="543" t="str">
        <f ca="1">IFERROR(__xludf.DUMMYFUNCTION("""COMPUTED_VALUE"""),"0917893993")</f>
        <v>0917893993</v>
      </c>
      <c r="E1658" s="35" t="str">
        <f ca="1">IFERROR(__xludf.DUMMYFUNCTION("""COMPUTED_VALUE"""),"phongdvt.tnh@vnpt.vn")</f>
        <v>phongdvt.tnh@vnpt.vn</v>
      </c>
      <c r="F1658" s="540" t="str">
        <f ca="1">IFERROR(__xludf.DUMMYFUNCTION("""COMPUTED_VALUE"""),"Lần 4")</f>
        <v>Lần 4</v>
      </c>
      <c r="G1658" s="278"/>
      <c r="H1658" s="35"/>
      <c r="I1658" s="35"/>
      <c r="J1658" s="541"/>
      <c r="K1658" s="541"/>
      <c r="M1658" s="539">
        <f ca="1">IFERROR(__xludf.DUMMYFUNCTION("""COMPUTED_VALUE"""),0)</f>
        <v>0</v>
      </c>
      <c r="N1658" s="539">
        <f ca="1">IFERROR(__xludf.DUMMYFUNCTION("""COMPUTED_VALUE"""),0)</f>
        <v>0</v>
      </c>
      <c r="O1658" s="539">
        <f ca="1">IFERROR(__xludf.DUMMYFUNCTION("""COMPUTED_VALUE"""),0)</f>
        <v>0</v>
      </c>
    </row>
    <row r="1659" spans="1:15" ht="12.75">
      <c r="A1659" s="539">
        <f ca="1"/>
        <v>1653</v>
      </c>
      <c r="B1659" s="35" t="str">
        <f ca="1">IFERROR(__xludf.DUMMYFUNCTION("""COMPUTED_VALUE"""),"Tổ Hạ tầng Tân Ninh")</f>
        <v>Tổ Hạ tầng Tân Ninh</v>
      </c>
      <c r="C1659" s="35" t="str">
        <f ca="1">IFERROR(__xludf.DUMMYFUNCTION("""COMPUTED_VALUE"""),"Đặng võ thừa Phong")</f>
        <v>Đặng võ thừa Phong</v>
      </c>
      <c r="D1659" s="543" t="str">
        <f ca="1">IFERROR(__xludf.DUMMYFUNCTION("""COMPUTED_VALUE"""),"0917893993")</f>
        <v>0917893993</v>
      </c>
      <c r="E1659" s="35" t="str">
        <f ca="1">IFERROR(__xludf.DUMMYFUNCTION("""COMPUTED_VALUE"""),"phongdvt.tnh@vnpt.vn")</f>
        <v>phongdvt.tnh@vnpt.vn</v>
      </c>
      <c r="F1659" s="540" t="str">
        <f ca="1">IFERROR(__xludf.DUMMYFUNCTION("""COMPUTED_VALUE"""),"Lần 5")</f>
        <v>Lần 5</v>
      </c>
      <c r="G1659" s="278"/>
      <c r="H1659" s="35"/>
      <c r="I1659" s="35"/>
      <c r="J1659" s="541"/>
      <c r="K1659" s="541"/>
      <c r="M1659" s="539">
        <f ca="1">IFERROR(__xludf.DUMMYFUNCTION("""COMPUTED_VALUE"""),0)</f>
        <v>0</v>
      </c>
      <c r="N1659" s="539">
        <f ca="1">IFERROR(__xludf.DUMMYFUNCTION("""COMPUTED_VALUE"""),0)</f>
        <v>0</v>
      </c>
      <c r="O1659" s="539">
        <f ca="1">IFERROR(__xludf.DUMMYFUNCTION("""COMPUTED_VALUE"""),0)</f>
        <v>0</v>
      </c>
    </row>
    <row r="1660" spans="1:15" ht="12.75">
      <c r="A1660" s="539">
        <f ca="1"/>
        <v>1654</v>
      </c>
      <c r="B1660" s="35" t="str">
        <f ca="1">IFERROR(__xludf.DUMMYFUNCTION("""COMPUTED_VALUE"""),"Tổ Hạ tầng Tân Ninh")</f>
        <v>Tổ Hạ tầng Tân Ninh</v>
      </c>
      <c r="C1660" s="35" t="str">
        <f ca="1">IFERROR(__xludf.DUMMYFUNCTION("""COMPUTED_VALUE"""),"Đặng võ thừa Phong")</f>
        <v>Đặng võ thừa Phong</v>
      </c>
      <c r="D1660" s="543" t="str">
        <f ca="1">IFERROR(__xludf.DUMMYFUNCTION("""COMPUTED_VALUE"""),"0917893993")</f>
        <v>0917893993</v>
      </c>
      <c r="E1660" s="35" t="str">
        <f ca="1">IFERROR(__xludf.DUMMYFUNCTION("""COMPUTED_VALUE"""),"phongdvt.tnh@vnpt.vn")</f>
        <v>phongdvt.tnh@vnpt.vn</v>
      </c>
      <c r="F1660" s="540" t="str">
        <f ca="1">IFERROR(__xludf.DUMMYFUNCTION("""COMPUTED_VALUE"""),"Lần 6")</f>
        <v>Lần 6</v>
      </c>
      <c r="G1660" s="278"/>
      <c r="H1660" s="35"/>
      <c r="I1660" s="35"/>
      <c r="J1660" s="541"/>
      <c r="K1660" s="541"/>
      <c r="M1660" s="539">
        <f ca="1">IFERROR(__xludf.DUMMYFUNCTION("""COMPUTED_VALUE"""),0)</f>
        <v>0</v>
      </c>
      <c r="N1660" s="539">
        <f ca="1">IFERROR(__xludf.DUMMYFUNCTION("""COMPUTED_VALUE"""),0)</f>
        <v>0</v>
      </c>
      <c r="O1660" s="539">
        <f ca="1">IFERROR(__xludf.DUMMYFUNCTION("""COMPUTED_VALUE"""),0)</f>
        <v>0</v>
      </c>
    </row>
    <row r="1661" spans="1:15" ht="12.75">
      <c r="A1661" s="539">
        <f ca="1"/>
        <v>1655</v>
      </c>
      <c r="B1661" s="35" t="str">
        <f ca="1">IFERROR(__xludf.DUMMYFUNCTION("""COMPUTED_VALUE"""),"Tổ Hạ tầng Tân Ninh")</f>
        <v>Tổ Hạ tầng Tân Ninh</v>
      </c>
      <c r="C1661" s="35" t="str">
        <f ca="1">IFERROR(__xludf.DUMMYFUNCTION("""COMPUTED_VALUE"""),"Đặng võ thừa Phong")</f>
        <v>Đặng võ thừa Phong</v>
      </c>
      <c r="D1661" s="543" t="str">
        <f ca="1">IFERROR(__xludf.DUMMYFUNCTION("""COMPUTED_VALUE"""),"0917893993")</f>
        <v>0917893993</v>
      </c>
      <c r="E1661" s="35" t="str">
        <f ca="1">IFERROR(__xludf.DUMMYFUNCTION("""COMPUTED_VALUE"""),"phongdvt.tnh@vnpt.vn")</f>
        <v>phongdvt.tnh@vnpt.vn</v>
      </c>
      <c r="F1661" s="540" t="str">
        <f ca="1">IFERROR(__xludf.DUMMYFUNCTION("""COMPUTED_VALUE"""),"Lần 7")</f>
        <v>Lần 7</v>
      </c>
      <c r="G1661" s="278"/>
      <c r="H1661" s="35"/>
      <c r="I1661" s="35"/>
      <c r="J1661" s="541"/>
      <c r="K1661" s="541"/>
      <c r="M1661" s="539">
        <f ca="1">IFERROR(__xludf.DUMMYFUNCTION("""COMPUTED_VALUE"""),0)</f>
        <v>0</v>
      </c>
      <c r="N1661" s="539">
        <f ca="1">IFERROR(__xludf.DUMMYFUNCTION("""COMPUTED_VALUE"""),0)</f>
        <v>0</v>
      </c>
      <c r="O1661" s="539">
        <f ca="1">IFERROR(__xludf.DUMMYFUNCTION("""COMPUTED_VALUE"""),0)</f>
        <v>0</v>
      </c>
    </row>
    <row r="1662" spans="1:15" ht="12.75">
      <c r="A1662" s="539">
        <f ca="1"/>
        <v>1656</v>
      </c>
      <c r="B1662" s="35" t="str">
        <f ca="1">IFERROR(__xludf.DUMMYFUNCTION("""COMPUTED_VALUE"""),"Tổ Hạ tầng Tân Ninh")</f>
        <v>Tổ Hạ tầng Tân Ninh</v>
      </c>
      <c r="C1662" s="35" t="str">
        <f ca="1">IFERROR(__xludf.DUMMYFUNCTION("""COMPUTED_VALUE"""),"Đặng võ thừa Phong")</f>
        <v>Đặng võ thừa Phong</v>
      </c>
      <c r="D1662" s="543" t="str">
        <f ca="1">IFERROR(__xludf.DUMMYFUNCTION("""COMPUTED_VALUE"""),"0917893993")</f>
        <v>0917893993</v>
      </c>
      <c r="E1662" s="35" t="str">
        <f ca="1">IFERROR(__xludf.DUMMYFUNCTION("""COMPUTED_VALUE"""),"phongdvt.tnh@vnpt.vn")</f>
        <v>phongdvt.tnh@vnpt.vn</v>
      </c>
      <c r="F1662" s="540" t="str">
        <f ca="1">IFERROR(__xludf.DUMMYFUNCTION("""COMPUTED_VALUE"""),"Lần 8")</f>
        <v>Lần 8</v>
      </c>
      <c r="G1662" s="278"/>
      <c r="H1662" s="35"/>
      <c r="I1662" s="35"/>
      <c r="J1662" s="541"/>
      <c r="K1662" s="541"/>
      <c r="M1662" s="539">
        <f ca="1">IFERROR(__xludf.DUMMYFUNCTION("""COMPUTED_VALUE"""),0)</f>
        <v>0</v>
      </c>
      <c r="N1662" s="539">
        <f ca="1">IFERROR(__xludf.DUMMYFUNCTION("""COMPUTED_VALUE"""),0)</f>
        <v>0</v>
      </c>
      <c r="O1662" s="539">
        <f ca="1">IFERROR(__xludf.DUMMYFUNCTION("""COMPUTED_VALUE"""),0)</f>
        <v>0</v>
      </c>
    </row>
    <row r="1663" spans="1:15" ht="12.75">
      <c r="A1663" s="539">
        <f ca="1"/>
        <v>1657</v>
      </c>
      <c r="B1663" s="35" t="str">
        <f ca="1">IFERROR(__xludf.DUMMYFUNCTION("""COMPUTED_VALUE"""),"Tổ Hạ tầng Tân Ninh")</f>
        <v>Tổ Hạ tầng Tân Ninh</v>
      </c>
      <c r="C1663" s="35" t="str">
        <f ca="1">IFERROR(__xludf.DUMMYFUNCTION("""COMPUTED_VALUE"""),"Đặng võ thừa Phong")</f>
        <v>Đặng võ thừa Phong</v>
      </c>
      <c r="D1663" s="543" t="str">
        <f ca="1">IFERROR(__xludf.DUMMYFUNCTION("""COMPUTED_VALUE"""),"0917893993")</f>
        <v>0917893993</v>
      </c>
      <c r="E1663" s="35" t="str">
        <f ca="1">IFERROR(__xludf.DUMMYFUNCTION("""COMPUTED_VALUE"""),"phongdvt.tnh@vnpt.vn")</f>
        <v>phongdvt.tnh@vnpt.vn</v>
      </c>
      <c r="F1663" s="540" t="str">
        <f ca="1">IFERROR(__xludf.DUMMYFUNCTION("""COMPUTED_VALUE"""),"Lần 9")</f>
        <v>Lần 9</v>
      </c>
      <c r="G1663" s="278"/>
      <c r="H1663" s="35"/>
      <c r="I1663" s="35"/>
      <c r="J1663" s="541"/>
      <c r="K1663" s="541"/>
      <c r="M1663" s="539">
        <f ca="1">IFERROR(__xludf.DUMMYFUNCTION("""COMPUTED_VALUE"""),0)</f>
        <v>0</v>
      </c>
      <c r="N1663" s="539">
        <f ca="1">IFERROR(__xludf.DUMMYFUNCTION("""COMPUTED_VALUE"""),0)</f>
        <v>0</v>
      </c>
      <c r="O1663" s="539">
        <f ca="1">IFERROR(__xludf.DUMMYFUNCTION("""COMPUTED_VALUE"""),0)</f>
        <v>0</v>
      </c>
    </row>
    <row r="1664" spans="1:15" ht="12.75">
      <c r="A1664" s="539">
        <f ca="1"/>
        <v>1658</v>
      </c>
      <c r="B1664" s="35" t="str">
        <f ca="1">IFERROR(__xludf.DUMMYFUNCTION("""COMPUTED_VALUE"""),"Tổ Hạ tầng Tân Ninh")</f>
        <v>Tổ Hạ tầng Tân Ninh</v>
      </c>
      <c r="C1664" s="35" t="str">
        <f ca="1">IFERROR(__xludf.DUMMYFUNCTION("""COMPUTED_VALUE"""),"Đặng võ thừa Phong")</f>
        <v>Đặng võ thừa Phong</v>
      </c>
      <c r="D1664" s="543" t="str">
        <f ca="1">IFERROR(__xludf.DUMMYFUNCTION("""COMPUTED_VALUE"""),"0917893993")</f>
        <v>0917893993</v>
      </c>
      <c r="E1664" s="35" t="str">
        <f ca="1">IFERROR(__xludf.DUMMYFUNCTION("""COMPUTED_VALUE"""),"phongdvt.tnh@vnpt.vn")</f>
        <v>phongdvt.tnh@vnpt.vn</v>
      </c>
      <c r="F1664" s="540" t="str">
        <f ca="1">IFERROR(__xludf.DUMMYFUNCTION("""COMPUTED_VALUE"""),"Lần 10")</f>
        <v>Lần 10</v>
      </c>
      <c r="G1664" s="278"/>
      <c r="H1664" s="35"/>
      <c r="I1664" s="35"/>
      <c r="J1664" s="541"/>
      <c r="K1664" s="541"/>
      <c r="M1664" s="539">
        <f ca="1">IFERROR(__xludf.DUMMYFUNCTION("""COMPUTED_VALUE"""),0)</f>
        <v>0</v>
      </c>
      <c r="N1664" s="539">
        <f ca="1">IFERROR(__xludf.DUMMYFUNCTION("""COMPUTED_VALUE"""),0)</f>
        <v>0</v>
      </c>
      <c r="O1664" s="539">
        <f ca="1">IFERROR(__xludf.DUMMYFUNCTION("""COMPUTED_VALUE"""),0)</f>
        <v>0</v>
      </c>
    </row>
    <row r="1665" spans="1:15" ht="12.75">
      <c r="A1665" s="539">
        <f ca="1"/>
        <v>1659</v>
      </c>
      <c r="B1665" s="35" t="str">
        <f ca="1">IFERROR(__xludf.DUMMYFUNCTION("""COMPUTED_VALUE"""),"Tổ Hạ tầng Tân Ninh")</f>
        <v>Tổ Hạ tầng Tân Ninh</v>
      </c>
      <c r="C1665" s="35" t="str">
        <f ca="1">IFERROR(__xludf.DUMMYFUNCTION("""COMPUTED_VALUE"""),"Đặng võ thừa Phong")</f>
        <v>Đặng võ thừa Phong</v>
      </c>
      <c r="D1665" s="543" t="str">
        <f ca="1">IFERROR(__xludf.DUMMYFUNCTION("""COMPUTED_VALUE"""),"0917893993")</f>
        <v>0917893993</v>
      </c>
      <c r="E1665" s="35" t="str">
        <f ca="1">IFERROR(__xludf.DUMMYFUNCTION("""COMPUTED_VALUE"""),"phongdvt.tnh@vnpt.vn")</f>
        <v>phongdvt.tnh@vnpt.vn</v>
      </c>
      <c r="F1665" s="540" t="str">
        <f ca="1">IFERROR(__xludf.DUMMYFUNCTION("""COMPUTED_VALUE"""),"Lần 11")</f>
        <v>Lần 11</v>
      </c>
      <c r="G1665" s="278"/>
      <c r="H1665" s="35"/>
      <c r="I1665" s="35"/>
      <c r="J1665" s="541"/>
      <c r="K1665" s="541"/>
      <c r="M1665" s="539">
        <f ca="1">IFERROR(__xludf.DUMMYFUNCTION("""COMPUTED_VALUE"""),0)</f>
        <v>0</v>
      </c>
      <c r="N1665" s="539">
        <f ca="1">IFERROR(__xludf.DUMMYFUNCTION("""COMPUTED_VALUE"""),0)</f>
        <v>0</v>
      </c>
      <c r="O1665" s="539">
        <f ca="1">IFERROR(__xludf.DUMMYFUNCTION("""COMPUTED_VALUE"""),0)</f>
        <v>0</v>
      </c>
    </row>
    <row r="1666" spans="1:15" ht="12.75">
      <c r="A1666" s="539">
        <f ca="1"/>
        <v>1660</v>
      </c>
      <c r="B1666" s="35" t="str">
        <f ca="1">IFERROR(__xludf.DUMMYFUNCTION("""COMPUTED_VALUE"""),"Tổ Hạ tầng Tân Ninh")</f>
        <v>Tổ Hạ tầng Tân Ninh</v>
      </c>
      <c r="C1666" s="35" t="str">
        <f ca="1">IFERROR(__xludf.DUMMYFUNCTION("""COMPUTED_VALUE"""),"Đặng võ thừa Phong")</f>
        <v>Đặng võ thừa Phong</v>
      </c>
      <c r="D1666" s="543" t="str">
        <f ca="1">IFERROR(__xludf.DUMMYFUNCTION("""COMPUTED_VALUE"""),"0917893993")</f>
        <v>0917893993</v>
      </c>
      <c r="E1666" s="35" t="str">
        <f ca="1">IFERROR(__xludf.DUMMYFUNCTION("""COMPUTED_VALUE"""),"phongdvt.tnh@vnpt.vn")</f>
        <v>phongdvt.tnh@vnpt.vn</v>
      </c>
      <c r="F1666" s="540" t="str">
        <f ca="1">IFERROR(__xludf.DUMMYFUNCTION("""COMPUTED_VALUE"""),"Lần 12")</f>
        <v>Lần 12</v>
      </c>
      <c r="G1666" s="278"/>
      <c r="H1666" s="35"/>
      <c r="I1666" s="35"/>
      <c r="J1666" s="541"/>
      <c r="K1666" s="541"/>
      <c r="M1666" s="539">
        <f ca="1">IFERROR(__xludf.DUMMYFUNCTION("""COMPUTED_VALUE"""),0)</f>
        <v>0</v>
      </c>
      <c r="N1666" s="539">
        <f ca="1">IFERROR(__xludf.DUMMYFUNCTION("""COMPUTED_VALUE"""),0)</f>
        <v>0</v>
      </c>
      <c r="O1666" s="539">
        <f ca="1">IFERROR(__xludf.DUMMYFUNCTION("""COMPUTED_VALUE"""),0)</f>
        <v>0</v>
      </c>
    </row>
    <row r="1667" spans="1:15" ht="12.75">
      <c r="A1667" s="539">
        <f ca="1"/>
        <v>1661</v>
      </c>
      <c r="B1667" s="35" t="str">
        <f ca="1">IFERROR(__xludf.DUMMYFUNCTION("""COMPUTED_VALUE"""),"Tổ Hạ tầng Tân Ninh")</f>
        <v>Tổ Hạ tầng Tân Ninh</v>
      </c>
      <c r="C1667" s="35" t="str">
        <f ca="1">IFERROR(__xludf.DUMMYFUNCTION("""COMPUTED_VALUE"""),"Đặng võ thừa Phong")</f>
        <v>Đặng võ thừa Phong</v>
      </c>
      <c r="D1667" s="543" t="str">
        <f ca="1">IFERROR(__xludf.DUMMYFUNCTION("""COMPUTED_VALUE"""),"0917893993")</f>
        <v>0917893993</v>
      </c>
      <c r="E1667" s="35" t="str">
        <f ca="1">IFERROR(__xludf.DUMMYFUNCTION("""COMPUTED_VALUE"""),"phongdvt.tnh@vnpt.vn")</f>
        <v>phongdvt.tnh@vnpt.vn</v>
      </c>
      <c r="F1667" s="540" t="str">
        <f ca="1">IFERROR(__xludf.DUMMYFUNCTION("""COMPUTED_VALUE"""),"Lần 13")</f>
        <v>Lần 13</v>
      </c>
      <c r="G1667" s="278"/>
      <c r="H1667" s="35"/>
      <c r="I1667" s="35"/>
      <c r="J1667" s="541"/>
      <c r="K1667" s="541"/>
      <c r="M1667" s="539">
        <f ca="1">IFERROR(__xludf.DUMMYFUNCTION("""COMPUTED_VALUE"""),0)</f>
        <v>0</v>
      </c>
      <c r="N1667" s="539">
        <f ca="1">IFERROR(__xludf.DUMMYFUNCTION("""COMPUTED_VALUE"""),0)</f>
        <v>0</v>
      </c>
      <c r="O1667" s="539">
        <f ca="1">IFERROR(__xludf.DUMMYFUNCTION("""COMPUTED_VALUE"""),0)</f>
        <v>0</v>
      </c>
    </row>
    <row r="1668" spans="1:15" ht="12.75">
      <c r="A1668" s="539">
        <f ca="1"/>
        <v>1662</v>
      </c>
      <c r="B1668" s="35" t="str">
        <f ca="1">IFERROR(__xludf.DUMMYFUNCTION("""COMPUTED_VALUE"""),"Tổ Hạ tầng Tân Ninh")</f>
        <v>Tổ Hạ tầng Tân Ninh</v>
      </c>
      <c r="C1668" s="35" t="str">
        <f ca="1">IFERROR(__xludf.DUMMYFUNCTION("""COMPUTED_VALUE"""),"Đặng võ thừa Phong")</f>
        <v>Đặng võ thừa Phong</v>
      </c>
      <c r="D1668" s="543" t="str">
        <f ca="1">IFERROR(__xludf.DUMMYFUNCTION("""COMPUTED_VALUE"""),"0917893993")</f>
        <v>0917893993</v>
      </c>
      <c r="E1668" s="35" t="str">
        <f ca="1">IFERROR(__xludf.DUMMYFUNCTION("""COMPUTED_VALUE"""),"phongdvt.tnh@vnpt.vn")</f>
        <v>phongdvt.tnh@vnpt.vn</v>
      </c>
      <c r="F1668" s="540" t="str">
        <f ca="1">IFERROR(__xludf.DUMMYFUNCTION("""COMPUTED_VALUE"""),"Lần 14")</f>
        <v>Lần 14</v>
      </c>
      <c r="G1668" s="278"/>
      <c r="H1668" s="35"/>
      <c r="I1668" s="35"/>
      <c r="J1668" s="541"/>
      <c r="K1668" s="541"/>
      <c r="M1668" s="539">
        <f ca="1">IFERROR(__xludf.DUMMYFUNCTION("""COMPUTED_VALUE"""),0)</f>
        <v>0</v>
      </c>
      <c r="N1668" s="539">
        <f ca="1">IFERROR(__xludf.DUMMYFUNCTION("""COMPUTED_VALUE"""),0)</f>
        <v>0</v>
      </c>
      <c r="O1668" s="539">
        <f ca="1">IFERROR(__xludf.DUMMYFUNCTION("""COMPUTED_VALUE"""),0)</f>
        <v>0</v>
      </c>
    </row>
    <row r="1669" spans="1:15" ht="12.75">
      <c r="A1669" s="539">
        <f ca="1"/>
        <v>1663</v>
      </c>
      <c r="B1669" s="35" t="str">
        <f ca="1">IFERROR(__xludf.DUMMYFUNCTION("""COMPUTED_VALUE"""),"Tổ Hạ tầng Tân Ninh")</f>
        <v>Tổ Hạ tầng Tân Ninh</v>
      </c>
      <c r="C1669" s="35" t="str">
        <f ca="1">IFERROR(__xludf.DUMMYFUNCTION("""COMPUTED_VALUE"""),"Đặng võ thừa Phong")</f>
        <v>Đặng võ thừa Phong</v>
      </c>
      <c r="D1669" s="543" t="str">
        <f ca="1">IFERROR(__xludf.DUMMYFUNCTION("""COMPUTED_VALUE"""),"0917893993")</f>
        <v>0917893993</v>
      </c>
      <c r="E1669" s="35" t="str">
        <f ca="1">IFERROR(__xludf.DUMMYFUNCTION("""COMPUTED_VALUE"""),"phongdvt.tnh@vnpt.vn")</f>
        <v>phongdvt.tnh@vnpt.vn</v>
      </c>
      <c r="F1669" s="540" t="str">
        <f ca="1">IFERROR(__xludf.DUMMYFUNCTION("""COMPUTED_VALUE"""),"Lần 15")</f>
        <v>Lần 15</v>
      </c>
      <c r="G1669" s="278"/>
      <c r="H1669" s="35"/>
      <c r="I1669" s="35"/>
      <c r="J1669" s="541"/>
      <c r="K1669" s="541"/>
      <c r="M1669" s="539">
        <f ca="1">IFERROR(__xludf.DUMMYFUNCTION("""COMPUTED_VALUE"""),0)</f>
        <v>0</v>
      </c>
      <c r="N1669" s="539">
        <f ca="1">IFERROR(__xludf.DUMMYFUNCTION("""COMPUTED_VALUE"""),0)</f>
        <v>0</v>
      </c>
      <c r="O1669" s="539">
        <f ca="1">IFERROR(__xludf.DUMMYFUNCTION("""COMPUTED_VALUE"""),0)</f>
        <v>0</v>
      </c>
    </row>
    <row r="1670" spans="1:15" ht="12.75">
      <c r="A1670" s="539">
        <f ca="1"/>
        <v>1664</v>
      </c>
      <c r="B1670" s="35" t="str">
        <f ca="1">IFERROR(__xludf.DUMMYFUNCTION("""COMPUTED_VALUE"""),"Tổ Hạ tầng Tân Ninh")</f>
        <v>Tổ Hạ tầng Tân Ninh</v>
      </c>
      <c r="C1670" s="35" t="str">
        <f ca="1">IFERROR(__xludf.DUMMYFUNCTION("""COMPUTED_VALUE"""),"Đặng võ thừa Phong")</f>
        <v>Đặng võ thừa Phong</v>
      </c>
      <c r="D1670" s="543" t="str">
        <f ca="1">IFERROR(__xludf.DUMMYFUNCTION("""COMPUTED_VALUE"""),"0917893993")</f>
        <v>0917893993</v>
      </c>
      <c r="E1670" s="35" t="str">
        <f ca="1">IFERROR(__xludf.DUMMYFUNCTION("""COMPUTED_VALUE"""),"phongdvt.tnh@vnpt.vn")</f>
        <v>phongdvt.tnh@vnpt.vn</v>
      </c>
      <c r="F1670" s="540" t="str">
        <f ca="1">IFERROR(__xludf.DUMMYFUNCTION("""COMPUTED_VALUE"""),"Lần 16")</f>
        <v>Lần 16</v>
      </c>
      <c r="G1670" s="278"/>
      <c r="H1670" s="35"/>
      <c r="I1670" s="35"/>
      <c r="J1670" s="541"/>
      <c r="K1670" s="541"/>
      <c r="M1670" s="539">
        <f ca="1">IFERROR(__xludf.DUMMYFUNCTION("""COMPUTED_VALUE"""),0)</f>
        <v>0</v>
      </c>
      <c r="N1670" s="539">
        <f ca="1">IFERROR(__xludf.DUMMYFUNCTION("""COMPUTED_VALUE"""),0)</f>
        <v>0</v>
      </c>
      <c r="O1670" s="539">
        <f ca="1">IFERROR(__xludf.DUMMYFUNCTION("""COMPUTED_VALUE"""),0)</f>
        <v>0</v>
      </c>
    </row>
    <row r="1671" spans="1:15" ht="12.75">
      <c r="A1671" s="539">
        <f ca="1"/>
        <v>1665</v>
      </c>
      <c r="B1671" s="35" t="str">
        <f ca="1">IFERROR(__xludf.DUMMYFUNCTION("""COMPUTED_VALUE"""),"Tổ Hạ tầng Tân Ninh")</f>
        <v>Tổ Hạ tầng Tân Ninh</v>
      </c>
      <c r="C1671" s="35" t="str">
        <f ca="1">IFERROR(__xludf.DUMMYFUNCTION("""COMPUTED_VALUE"""),"Võ Minh Tuấn An")</f>
        <v>Võ Minh Tuấn An</v>
      </c>
      <c r="D1671" s="543" t="str">
        <f ca="1">IFERROR(__xludf.DUMMYFUNCTION("""COMPUTED_VALUE"""),"0942666870")</f>
        <v>0942666870</v>
      </c>
      <c r="E1671" s="35" t="str">
        <f ca="1">IFERROR(__xludf.DUMMYFUNCTION("""COMPUTED_VALUE"""),"anvmt.tnh@vnpt.vn")</f>
        <v>anvmt.tnh@vnpt.vn</v>
      </c>
      <c r="F1671" s="540" t="str">
        <f ca="1">IFERROR(__xludf.DUMMYFUNCTION("""COMPUTED_VALUE"""),"Lần 1")</f>
        <v>Lần 1</v>
      </c>
      <c r="G1671" s="545">
        <f ca="1">IFERROR(__xludf.DUMMYFUNCTION("""COMPUTED_VALUE"""),46204)</f>
        <v>46204</v>
      </c>
      <c r="H1671" s="35">
        <f ca="1">IFERROR(__xludf.DUMMYFUNCTION("""COMPUTED_VALUE"""),385)</f>
        <v>385</v>
      </c>
      <c r="I1671" s="35">
        <f ca="1">IFERROR(__xludf.DUMMYFUNCTION("""COMPUTED_VALUE"""),25)</f>
        <v>25</v>
      </c>
      <c r="J1671" s="35">
        <f ca="1">IFERROR(__xludf.DUMMYFUNCTION("""COMPUTED_VALUE"""),728)</f>
        <v>728</v>
      </c>
      <c r="K1671" s="35">
        <f ca="1">IFERROR(__xludf.DUMMYFUNCTION("""COMPUTED_VALUE"""),76)</f>
        <v>76</v>
      </c>
      <c r="M1671" s="539">
        <f ca="1">IFERROR(__xludf.DUMMYFUNCTION("""COMPUTED_VALUE"""),1)</f>
        <v>1</v>
      </c>
      <c r="N1671" s="539">
        <f ca="1">IFERROR(__xludf.DUMMYFUNCTION("""COMPUTED_VALUE"""),1)</f>
        <v>1</v>
      </c>
      <c r="O1671" s="539">
        <f ca="1">IFERROR(__xludf.DUMMYFUNCTION("""COMPUTED_VALUE"""),1)</f>
        <v>1</v>
      </c>
    </row>
    <row r="1672" spans="1:15" ht="12.75">
      <c r="A1672" s="539">
        <f ca="1"/>
        <v>1666</v>
      </c>
      <c r="B1672" s="35" t="str">
        <f ca="1">IFERROR(__xludf.DUMMYFUNCTION("""COMPUTED_VALUE"""),"Tổ Hạ tầng Tân Ninh")</f>
        <v>Tổ Hạ tầng Tân Ninh</v>
      </c>
      <c r="C1672" s="35" t="str">
        <f ca="1">IFERROR(__xludf.DUMMYFUNCTION("""COMPUTED_VALUE"""),"Võ Minh Tuấn An")</f>
        <v>Võ Minh Tuấn An</v>
      </c>
      <c r="D1672" s="543" t="str">
        <f ca="1">IFERROR(__xludf.DUMMYFUNCTION("""COMPUTED_VALUE"""),"0942666870")</f>
        <v>0942666870</v>
      </c>
      <c r="E1672" s="35" t="str">
        <f ca="1">IFERROR(__xludf.DUMMYFUNCTION("""COMPUTED_VALUE"""),"anvmt.tnh@vnpt.vn")</f>
        <v>anvmt.tnh@vnpt.vn</v>
      </c>
      <c r="F1672" s="540" t="str">
        <f ca="1">IFERROR(__xludf.DUMMYFUNCTION("""COMPUTED_VALUE"""),"Lần 2")</f>
        <v>Lần 2</v>
      </c>
      <c r="G1672" s="545">
        <f ca="1">IFERROR(__xludf.DUMMYFUNCTION("""COMPUTED_VALUE"""),46205)</f>
        <v>46205</v>
      </c>
      <c r="H1672" s="35">
        <f ca="1">IFERROR(__xludf.DUMMYFUNCTION("""COMPUTED_VALUE"""),371)</f>
        <v>371</v>
      </c>
      <c r="I1672" s="35">
        <f ca="1">IFERROR(__xludf.DUMMYFUNCTION("""COMPUTED_VALUE"""),34)</f>
        <v>34</v>
      </c>
      <c r="J1672" s="35">
        <f ca="1">IFERROR(__xludf.DUMMYFUNCTION("""COMPUTED_VALUE"""),659)</f>
        <v>659</v>
      </c>
      <c r="K1672" s="35">
        <f ca="1">IFERROR(__xludf.DUMMYFUNCTION("""COMPUTED_VALUE"""),34)</f>
        <v>34</v>
      </c>
      <c r="M1672" s="539">
        <f ca="1">IFERROR(__xludf.DUMMYFUNCTION("""COMPUTED_VALUE"""),1)</f>
        <v>1</v>
      </c>
      <c r="N1672" s="539">
        <f ca="1">IFERROR(__xludf.DUMMYFUNCTION("""COMPUTED_VALUE"""),1)</f>
        <v>1</v>
      </c>
      <c r="O1672" s="539">
        <f ca="1">IFERROR(__xludf.DUMMYFUNCTION("""COMPUTED_VALUE"""),1)</f>
        <v>1</v>
      </c>
    </row>
    <row r="1673" spans="1:15" ht="12.75">
      <c r="A1673" s="539">
        <f ca="1"/>
        <v>1667</v>
      </c>
      <c r="B1673" s="35" t="str">
        <f ca="1">IFERROR(__xludf.DUMMYFUNCTION("""COMPUTED_VALUE"""),"Tổ Hạ tầng Tân Ninh")</f>
        <v>Tổ Hạ tầng Tân Ninh</v>
      </c>
      <c r="C1673" s="35" t="str">
        <f ca="1">IFERROR(__xludf.DUMMYFUNCTION("""COMPUTED_VALUE"""),"Võ Minh Tuấn An")</f>
        <v>Võ Minh Tuấn An</v>
      </c>
      <c r="D1673" s="543" t="str">
        <f ca="1">IFERROR(__xludf.DUMMYFUNCTION("""COMPUTED_VALUE"""),"0942666870")</f>
        <v>0942666870</v>
      </c>
      <c r="E1673" s="35" t="str">
        <f ca="1">IFERROR(__xludf.DUMMYFUNCTION("""COMPUTED_VALUE"""),"anvmt.tnh@vnpt.vn")</f>
        <v>anvmt.tnh@vnpt.vn</v>
      </c>
      <c r="F1673" s="540" t="str">
        <f ca="1">IFERROR(__xludf.DUMMYFUNCTION("""COMPUTED_VALUE"""),"Lần 3")</f>
        <v>Lần 3</v>
      </c>
      <c r="G1673" s="545">
        <f ca="1">IFERROR(__xludf.DUMMYFUNCTION("""COMPUTED_VALUE"""),46205)</f>
        <v>46205</v>
      </c>
      <c r="H1673" s="35">
        <f ca="1">IFERROR(__xludf.DUMMYFUNCTION("""COMPUTED_VALUE"""),429)</f>
        <v>429</v>
      </c>
      <c r="I1673" s="35">
        <f ca="1">IFERROR(__xludf.DUMMYFUNCTION("""COMPUTED_VALUE"""),26)</f>
        <v>26</v>
      </c>
      <c r="J1673" s="35">
        <f ca="1">IFERROR(__xludf.DUMMYFUNCTION("""COMPUTED_VALUE"""),587)</f>
        <v>587</v>
      </c>
      <c r="K1673" s="35">
        <f ca="1">IFERROR(__xludf.DUMMYFUNCTION("""COMPUTED_VALUE"""),37)</f>
        <v>37</v>
      </c>
      <c r="M1673" s="539">
        <f ca="1">IFERROR(__xludf.DUMMYFUNCTION("""COMPUTED_VALUE"""),1)</f>
        <v>1</v>
      </c>
      <c r="N1673" s="539">
        <f ca="1">IFERROR(__xludf.DUMMYFUNCTION("""COMPUTED_VALUE"""),1)</f>
        <v>1</v>
      </c>
      <c r="O1673" s="539">
        <f ca="1">IFERROR(__xludf.DUMMYFUNCTION("""COMPUTED_VALUE"""),1)</f>
        <v>1</v>
      </c>
    </row>
    <row r="1674" spans="1:15" ht="12.75">
      <c r="A1674" s="539">
        <f ca="1"/>
        <v>1668</v>
      </c>
      <c r="B1674" s="35" t="str">
        <f ca="1">IFERROR(__xludf.DUMMYFUNCTION("""COMPUTED_VALUE"""),"Tổ Hạ tầng Tân Ninh")</f>
        <v>Tổ Hạ tầng Tân Ninh</v>
      </c>
      <c r="C1674" s="35" t="str">
        <f ca="1">IFERROR(__xludf.DUMMYFUNCTION("""COMPUTED_VALUE"""),"Võ Minh Tuấn An")</f>
        <v>Võ Minh Tuấn An</v>
      </c>
      <c r="D1674" s="543" t="str">
        <f ca="1">IFERROR(__xludf.DUMMYFUNCTION("""COMPUTED_VALUE"""),"0942666870")</f>
        <v>0942666870</v>
      </c>
      <c r="E1674" s="35" t="str">
        <f ca="1">IFERROR(__xludf.DUMMYFUNCTION("""COMPUTED_VALUE"""),"anvmt.tnh@vnpt.vn")</f>
        <v>anvmt.tnh@vnpt.vn</v>
      </c>
      <c r="F1674" s="540" t="str">
        <f ca="1">IFERROR(__xludf.DUMMYFUNCTION("""COMPUTED_VALUE"""),"Lần 4")</f>
        <v>Lần 4</v>
      </c>
      <c r="G1674" s="545">
        <f ca="1">IFERROR(__xludf.DUMMYFUNCTION("""COMPUTED_VALUE"""),46205)</f>
        <v>46205</v>
      </c>
      <c r="H1674" s="35">
        <f ca="1">IFERROR(__xludf.DUMMYFUNCTION("""COMPUTED_VALUE"""),361)</f>
        <v>361</v>
      </c>
      <c r="I1674" s="35">
        <f ca="1">IFERROR(__xludf.DUMMYFUNCTION("""COMPUTED_VALUE"""),26)</f>
        <v>26</v>
      </c>
      <c r="J1674" s="35">
        <f ca="1">IFERROR(__xludf.DUMMYFUNCTION("""COMPUTED_VALUE"""),526)</f>
        <v>526</v>
      </c>
      <c r="K1674" s="35">
        <f ca="1">IFERROR(__xludf.DUMMYFUNCTION("""COMPUTED_VALUE"""),30)</f>
        <v>30</v>
      </c>
      <c r="M1674" s="539">
        <f ca="1">IFERROR(__xludf.DUMMYFUNCTION("""COMPUTED_VALUE"""),1)</f>
        <v>1</v>
      </c>
      <c r="N1674" s="539">
        <f ca="1">IFERROR(__xludf.DUMMYFUNCTION("""COMPUTED_VALUE"""),1)</f>
        <v>1</v>
      </c>
      <c r="O1674" s="539">
        <f ca="1">IFERROR(__xludf.DUMMYFUNCTION("""COMPUTED_VALUE"""),1)</f>
        <v>1</v>
      </c>
    </row>
    <row r="1675" spans="1:15" ht="12.75">
      <c r="A1675" s="539">
        <f ca="1"/>
        <v>1669</v>
      </c>
      <c r="B1675" s="35" t="str">
        <f ca="1">IFERROR(__xludf.DUMMYFUNCTION("""COMPUTED_VALUE"""),"Tổ Hạ tầng Tân Ninh")</f>
        <v>Tổ Hạ tầng Tân Ninh</v>
      </c>
      <c r="C1675" s="35" t="str">
        <f ca="1">IFERROR(__xludf.DUMMYFUNCTION("""COMPUTED_VALUE"""),"Võ Minh Tuấn An")</f>
        <v>Võ Minh Tuấn An</v>
      </c>
      <c r="D1675" s="543" t="str">
        <f ca="1">IFERROR(__xludf.DUMMYFUNCTION("""COMPUTED_VALUE"""),"0942666870")</f>
        <v>0942666870</v>
      </c>
      <c r="E1675" s="35" t="str">
        <f ca="1">IFERROR(__xludf.DUMMYFUNCTION("""COMPUTED_VALUE"""),"anvmt.tnh@vnpt.vn")</f>
        <v>anvmt.tnh@vnpt.vn</v>
      </c>
      <c r="F1675" s="540" t="str">
        <f ca="1">IFERROR(__xludf.DUMMYFUNCTION("""COMPUTED_VALUE"""),"Lần 5")</f>
        <v>Lần 5</v>
      </c>
      <c r="G1675" s="545">
        <f ca="1">IFERROR(__xludf.DUMMYFUNCTION("""COMPUTED_VALUE"""),46205)</f>
        <v>46205</v>
      </c>
      <c r="H1675" s="35">
        <f ca="1">IFERROR(__xludf.DUMMYFUNCTION("""COMPUTED_VALUE"""),254)</f>
        <v>254</v>
      </c>
      <c r="I1675" s="35">
        <f ca="1">IFERROR(__xludf.DUMMYFUNCTION("""COMPUTED_VALUE"""),21)</f>
        <v>21</v>
      </c>
      <c r="J1675" s="35">
        <f ca="1">IFERROR(__xludf.DUMMYFUNCTION("""COMPUTED_VALUE"""),449)</f>
        <v>449</v>
      </c>
      <c r="K1675" s="35">
        <f ca="1">IFERROR(__xludf.DUMMYFUNCTION("""COMPUTED_VALUE"""),26)</f>
        <v>26</v>
      </c>
      <c r="M1675" s="539">
        <f ca="1">IFERROR(__xludf.DUMMYFUNCTION("""COMPUTED_VALUE"""),1)</f>
        <v>1</v>
      </c>
      <c r="N1675" s="539">
        <f ca="1">IFERROR(__xludf.DUMMYFUNCTION("""COMPUTED_VALUE"""),1)</f>
        <v>1</v>
      </c>
      <c r="O1675" s="539">
        <f ca="1">IFERROR(__xludf.DUMMYFUNCTION("""COMPUTED_VALUE"""),1)</f>
        <v>1</v>
      </c>
    </row>
    <row r="1676" spans="1:15" ht="12.75">
      <c r="A1676" s="539">
        <f ca="1"/>
        <v>1670</v>
      </c>
      <c r="B1676" s="35" t="str">
        <f ca="1">IFERROR(__xludf.DUMMYFUNCTION("""COMPUTED_VALUE"""),"Tổ Hạ tầng Tân Ninh")</f>
        <v>Tổ Hạ tầng Tân Ninh</v>
      </c>
      <c r="C1676" s="35" t="str">
        <f ca="1">IFERROR(__xludf.DUMMYFUNCTION("""COMPUTED_VALUE"""),"Võ Minh Tuấn An")</f>
        <v>Võ Minh Tuấn An</v>
      </c>
      <c r="D1676" s="543" t="str">
        <f ca="1">IFERROR(__xludf.DUMMYFUNCTION("""COMPUTED_VALUE"""),"0942666870")</f>
        <v>0942666870</v>
      </c>
      <c r="E1676" s="35" t="str">
        <f ca="1">IFERROR(__xludf.DUMMYFUNCTION("""COMPUTED_VALUE"""),"anvmt.tnh@vnpt.vn")</f>
        <v>anvmt.tnh@vnpt.vn</v>
      </c>
      <c r="F1676" s="540" t="str">
        <f ca="1">IFERROR(__xludf.DUMMYFUNCTION("""COMPUTED_VALUE"""),"Lần 6")</f>
        <v>Lần 6</v>
      </c>
      <c r="G1676" s="545">
        <f ca="1">IFERROR(__xludf.DUMMYFUNCTION("""COMPUTED_VALUE"""),46205)</f>
        <v>46205</v>
      </c>
      <c r="H1676" s="35">
        <f ca="1">IFERROR(__xludf.DUMMYFUNCTION("""COMPUTED_VALUE"""),268)</f>
        <v>268</v>
      </c>
      <c r="I1676" s="35">
        <f ca="1">IFERROR(__xludf.DUMMYFUNCTION("""COMPUTED_VALUE"""),20)</f>
        <v>20</v>
      </c>
      <c r="J1676" s="35">
        <f ca="1">IFERROR(__xludf.DUMMYFUNCTION("""COMPUTED_VALUE"""),577)</f>
        <v>577</v>
      </c>
      <c r="K1676" s="35">
        <f ca="1">IFERROR(__xludf.DUMMYFUNCTION("""COMPUTED_VALUE"""),25)</f>
        <v>25</v>
      </c>
      <c r="M1676" s="539">
        <f ca="1">IFERROR(__xludf.DUMMYFUNCTION("""COMPUTED_VALUE"""),1)</f>
        <v>1</v>
      </c>
      <c r="N1676" s="539">
        <f ca="1">IFERROR(__xludf.DUMMYFUNCTION("""COMPUTED_VALUE"""),1)</f>
        <v>1</v>
      </c>
      <c r="O1676" s="539">
        <f ca="1">IFERROR(__xludf.DUMMYFUNCTION("""COMPUTED_VALUE"""),1)</f>
        <v>1</v>
      </c>
    </row>
    <row r="1677" spans="1:15" ht="12.75">
      <c r="A1677" s="539">
        <f ca="1"/>
        <v>1671</v>
      </c>
      <c r="B1677" s="35" t="str">
        <f ca="1">IFERROR(__xludf.DUMMYFUNCTION("""COMPUTED_VALUE"""),"Tổ Hạ tầng Tân Ninh")</f>
        <v>Tổ Hạ tầng Tân Ninh</v>
      </c>
      <c r="C1677" s="35" t="str">
        <f ca="1">IFERROR(__xludf.DUMMYFUNCTION("""COMPUTED_VALUE"""),"Võ Minh Tuấn An")</f>
        <v>Võ Minh Tuấn An</v>
      </c>
      <c r="D1677" s="543" t="str">
        <f ca="1">IFERROR(__xludf.DUMMYFUNCTION("""COMPUTED_VALUE"""),"0942666870")</f>
        <v>0942666870</v>
      </c>
      <c r="E1677" s="35" t="str">
        <f ca="1">IFERROR(__xludf.DUMMYFUNCTION("""COMPUTED_VALUE"""),"anvmt.tnh@vnpt.vn")</f>
        <v>anvmt.tnh@vnpt.vn</v>
      </c>
      <c r="F1677" s="540" t="str">
        <f ca="1">IFERROR(__xludf.DUMMYFUNCTION("""COMPUTED_VALUE"""),"Lần 7")</f>
        <v>Lần 7</v>
      </c>
      <c r="G1677" s="545">
        <f ca="1">IFERROR(__xludf.DUMMYFUNCTION("""COMPUTED_VALUE"""),46205)</f>
        <v>46205</v>
      </c>
      <c r="H1677" s="35">
        <f ca="1">IFERROR(__xludf.DUMMYFUNCTION("""COMPUTED_VALUE"""),308)</f>
        <v>308</v>
      </c>
      <c r="I1677" s="35">
        <f ca="1">IFERROR(__xludf.DUMMYFUNCTION("""COMPUTED_VALUE"""),21)</f>
        <v>21</v>
      </c>
      <c r="J1677" s="35">
        <f ca="1">IFERROR(__xludf.DUMMYFUNCTION("""COMPUTED_VALUE"""),418)</f>
        <v>418</v>
      </c>
      <c r="K1677" s="35">
        <f ca="1">IFERROR(__xludf.DUMMYFUNCTION("""COMPUTED_VALUE"""),22)</f>
        <v>22</v>
      </c>
      <c r="M1677" s="539">
        <f ca="1">IFERROR(__xludf.DUMMYFUNCTION("""COMPUTED_VALUE"""),1)</f>
        <v>1</v>
      </c>
      <c r="N1677" s="539">
        <f ca="1">IFERROR(__xludf.DUMMYFUNCTION("""COMPUTED_VALUE"""),1)</f>
        <v>1</v>
      </c>
      <c r="O1677" s="539">
        <f ca="1">IFERROR(__xludf.DUMMYFUNCTION("""COMPUTED_VALUE"""),1)</f>
        <v>1</v>
      </c>
    </row>
    <row r="1678" spans="1:15" ht="12.75">
      <c r="A1678" s="539">
        <f ca="1"/>
        <v>1672</v>
      </c>
      <c r="B1678" s="35" t="str">
        <f ca="1">IFERROR(__xludf.DUMMYFUNCTION("""COMPUTED_VALUE"""),"Tổ Hạ tầng Tân Ninh")</f>
        <v>Tổ Hạ tầng Tân Ninh</v>
      </c>
      <c r="C1678" s="35" t="str">
        <f ca="1">IFERROR(__xludf.DUMMYFUNCTION("""COMPUTED_VALUE"""),"Võ Minh Tuấn An")</f>
        <v>Võ Minh Tuấn An</v>
      </c>
      <c r="D1678" s="543" t="str">
        <f ca="1">IFERROR(__xludf.DUMMYFUNCTION("""COMPUTED_VALUE"""),"0942666870")</f>
        <v>0942666870</v>
      </c>
      <c r="E1678" s="35" t="str">
        <f ca="1">IFERROR(__xludf.DUMMYFUNCTION("""COMPUTED_VALUE"""),"anvmt.tnh@vnpt.vn")</f>
        <v>anvmt.tnh@vnpt.vn</v>
      </c>
      <c r="F1678" s="540" t="str">
        <f ca="1">IFERROR(__xludf.DUMMYFUNCTION("""COMPUTED_VALUE"""),"Lần 8")</f>
        <v>Lần 8</v>
      </c>
      <c r="G1678" s="545">
        <f ca="1">IFERROR(__xludf.DUMMYFUNCTION("""COMPUTED_VALUE"""),46205)</f>
        <v>46205</v>
      </c>
      <c r="H1678" s="35">
        <f ca="1">IFERROR(__xludf.DUMMYFUNCTION("""COMPUTED_VALUE"""),308)</f>
        <v>308</v>
      </c>
      <c r="I1678" s="35">
        <f ca="1">IFERROR(__xludf.DUMMYFUNCTION("""COMPUTED_VALUE"""),20)</f>
        <v>20</v>
      </c>
      <c r="J1678" s="35">
        <f ca="1">IFERROR(__xludf.DUMMYFUNCTION("""COMPUTED_VALUE"""),499)</f>
        <v>499</v>
      </c>
      <c r="K1678" s="35">
        <f ca="1">IFERROR(__xludf.DUMMYFUNCTION("""COMPUTED_VALUE"""),22)</f>
        <v>22</v>
      </c>
      <c r="M1678" s="539">
        <f ca="1">IFERROR(__xludf.DUMMYFUNCTION("""COMPUTED_VALUE"""),1)</f>
        <v>1</v>
      </c>
      <c r="N1678" s="539">
        <f ca="1">IFERROR(__xludf.DUMMYFUNCTION("""COMPUTED_VALUE"""),1)</f>
        <v>1</v>
      </c>
      <c r="O1678" s="539">
        <f ca="1">IFERROR(__xludf.DUMMYFUNCTION("""COMPUTED_VALUE"""),1)</f>
        <v>1</v>
      </c>
    </row>
    <row r="1679" spans="1:15" ht="12.75">
      <c r="A1679" s="539">
        <f ca="1"/>
        <v>1673</v>
      </c>
      <c r="B1679" s="35" t="str">
        <f ca="1">IFERROR(__xludf.DUMMYFUNCTION("""COMPUTED_VALUE"""),"Tổ Hạ tầng Tân Ninh")</f>
        <v>Tổ Hạ tầng Tân Ninh</v>
      </c>
      <c r="C1679" s="35" t="str">
        <f ca="1">IFERROR(__xludf.DUMMYFUNCTION("""COMPUTED_VALUE"""),"Võ Minh Tuấn An")</f>
        <v>Võ Minh Tuấn An</v>
      </c>
      <c r="D1679" s="543" t="str">
        <f ca="1">IFERROR(__xludf.DUMMYFUNCTION("""COMPUTED_VALUE"""),"0942666870")</f>
        <v>0942666870</v>
      </c>
      <c r="E1679" s="35" t="str">
        <f ca="1">IFERROR(__xludf.DUMMYFUNCTION("""COMPUTED_VALUE"""),"anvmt.tnh@vnpt.vn")</f>
        <v>anvmt.tnh@vnpt.vn</v>
      </c>
      <c r="F1679" s="540" t="str">
        <f ca="1">IFERROR(__xludf.DUMMYFUNCTION("""COMPUTED_VALUE"""),"Lần 9")</f>
        <v>Lần 9</v>
      </c>
      <c r="G1679" s="545">
        <f ca="1">IFERROR(__xludf.DUMMYFUNCTION("""COMPUTED_VALUE"""),46207)</f>
        <v>46207</v>
      </c>
      <c r="H1679" s="35">
        <f ca="1">IFERROR(__xludf.DUMMYFUNCTION("""COMPUTED_VALUE"""),256)</f>
        <v>256</v>
      </c>
      <c r="I1679" s="35">
        <f ca="1">IFERROR(__xludf.DUMMYFUNCTION("""COMPUTED_VALUE"""),23)</f>
        <v>23</v>
      </c>
      <c r="J1679" s="35">
        <f ca="1">IFERROR(__xludf.DUMMYFUNCTION("""COMPUTED_VALUE"""),262)</f>
        <v>262</v>
      </c>
      <c r="K1679" s="35">
        <f ca="1">IFERROR(__xludf.DUMMYFUNCTION("""COMPUTED_VALUE"""),19)</f>
        <v>19</v>
      </c>
      <c r="M1679" s="539">
        <f ca="1">IFERROR(__xludf.DUMMYFUNCTION("""COMPUTED_VALUE"""),1)</f>
        <v>1</v>
      </c>
      <c r="N1679" s="539">
        <f ca="1">IFERROR(__xludf.DUMMYFUNCTION("""COMPUTED_VALUE"""),1)</f>
        <v>1</v>
      </c>
      <c r="O1679" s="539">
        <f ca="1">IFERROR(__xludf.DUMMYFUNCTION("""COMPUTED_VALUE"""),1)</f>
        <v>1</v>
      </c>
    </row>
    <row r="1680" spans="1:15" ht="12.75">
      <c r="A1680" s="539">
        <f ca="1"/>
        <v>1674</v>
      </c>
      <c r="B1680" s="35" t="str">
        <f ca="1">IFERROR(__xludf.DUMMYFUNCTION("""COMPUTED_VALUE"""),"Tổ Hạ tầng Tân Ninh")</f>
        <v>Tổ Hạ tầng Tân Ninh</v>
      </c>
      <c r="C1680" s="35" t="str">
        <f ca="1">IFERROR(__xludf.DUMMYFUNCTION("""COMPUTED_VALUE"""),"Võ Minh Tuấn An")</f>
        <v>Võ Minh Tuấn An</v>
      </c>
      <c r="D1680" s="543" t="str">
        <f ca="1">IFERROR(__xludf.DUMMYFUNCTION("""COMPUTED_VALUE"""),"0942666870")</f>
        <v>0942666870</v>
      </c>
      <c r="E1680" s="35" t="str">
        <f ca="1">IFERROR(__xludf.DUMMYFUNCTION("""COMPUTED_VALUE"""),"anvmt.tnh@vnpt.vn")</f>
        <v>anvmt.tnh@vnpt.vn</v>
      </c>
      <c r="F1680" s="540" t="str">
        <f ca="1">IFERROR(__xludf.DUMMYFUNCTION("""COMPUTED_VALUE"""),"Lần 10")</f>
        <v>Lần 10</v>
      </c>
      <c r="G1680" s="545">
        <f ca="1">IFERROR(__xludf.DUMMYFUNCTION("""COMPUTED_VALUE"""),46207)</f>
        <v>46207</v>
      </c>
      <c r="H1680" s="35">
        <f ca="1">IFERROR(__xludf.DUMMYFUNCTION("""COMPUTED_VALUE"""),243)</f>
        <v>243</v>
      </c>
      <c r="I1680" s="35">
        <f ca="1">IFERROR(__xludf.DUMMYFUNCTION("""COMPUTED_VALUE"""),24)</f>
        <v>24</v>
      </c>
      <c r="J1680" s="35">
        <f ca="1">IFERROR(__xludf.DUMMYFUNCTION("""COMPUTED_VALUE"""),308)</f>
        <v>308</v>
      </c>
      <c r="K1680" s="35">
        <f ca="1">IFERROR(__xludf.DUMMYFUNCTION("""COMPUTED_VALUE"""),32)</f>
        <v>32</v>
      </c>
      <c r="M1680" s="539">
        <f ca="1">IFERROR(__xludf.DUMMYFUNCTION("""COMPUTED_VALUE"""),1)</f>
        <v>1</v>
      </c>
      <c r="N1680" s="539">
        <f ca="1">IFERROR(__xludf.DUMMYFUNCTION("""COMPUTED_VALUE"""),1)</f>
        <v>1</v>
      </c>
      <c r="O1680" s="539">
        <f ca="1">IFERROR(__xludf.DUMMYFUNCTION("""COMPUTED_VALUE"""),1)</f>
        <v>1</v>
      </c>
    </row>
    <row r="1681" spans="1:15" ht="12.75">
      <c r="A1681" s="539">
        <f ca="1"/>
        <v>1675</v>
      </c>
      <c r="B1681" s="35" t="str">
        <f ca="1">IFERROR(__xludf.DUMMYFUNCTION("""COMPUTED_VALUE"""),"Tổ Hạ tầng Tân Ninh")</f>
        <v>Tổ Hạ tầng Tân Ninh</v>
      </c>
      <c r="C1681" s="35" t="str">
        <f ca="1">IFERROR(__xludf.DUMMYFUNCTION("""COMPUTED_VALUE"""),"Võ Minh Tuấn An")</f>
        <v>Võ Minh Tuấn An</v>
      </c>
      <c r="D1681" s="543" t="str">
        <f ca="1">IFERROR(__xludf.DUMMYFUNCTION("""COMPUTED_VALUE"""),"0942666870")</f>
        <v>0942666870</v>
      </c>
      <c r="E1681" s="35" t="str">
        <f ca="1">IFERROR(__xludf.DUMMYFUNCTION("""COMPUTED_VALUE"""),"anvmt.tnh@vnpt.vn")</f>
        <v>anvmt.tnh@vnpt.vn</v>
      </c>
      <c r="F1681" s="540" t="str">
        <f ca="1">IFERROR(__xludf.DUMMYFUNCTION("""COMPUTED_VALUE"""),"Lần 11")</f>
        <v>Lần 11</v>
      </c>
      <c r="G1681" s="545">
        <f ca="1">IFERROR(__xludf.DUMMYFUNCTION("""COMPUTED_VALUE"""),46207)</f>
        <v>46207</v>
      </c>
      <c r="H1681" s="35">
        <f ca="1">IFERROR(__xludf.DUMMYFUNCTION("""COMPUTED_VALUE"""),271)</f>
        <v>271</v>
      </c>
      <c r="I1681" s="35">
        <f ca="1">IFERROR(__xludf.DUMMYFUNCTION("""COMPUTED_VALUE"""),31)</f>
        <v>31</v>
      </c>
      <c r="J1681" s="35">
        <f ca="1">IFERROR(__xludf.DUMMYFUNCTION("""COMPUTED_VALUE"""),276)</f>
        <v>276</v>
      </c>
      <c r="K1681" s="35">
        <f ca="1">IFERROR(__xludf.DUMMYFUNCTION("""COMPUTED_VALUE"""),15)</f>
        <v>15</v>
      </c>
      <c r="M1681" s="539">
        <f ca="1">IFERROR(__xludf.DUMMYFUNCTION("""COMPUTED_VALUE"""),1)</f>
        <v>1</v>
      </c>
      <c r="N1681" s="539">
        <f ca="1">IFERROR(__xludf.DUMMYFUNCTION("""COMPUTED_VALUE"""),1)</f>
        <v>1</v>
      </c>
      <c r="O1681" s="539">
        <f ca="1">IFERROR(__xludf.DUMMYFUNCTION("""COMPUTED_VALUE"""),1)</f>
        <v>1</v>
      </c>
    </row>
    <row r="1682" spans="1:15" ht="12.75">
      <c r="A1682" s="539">
        <f ca="1"/>
        <v>1676</v>
      </c>
      <c r="B1682" s="35" t="str">
        <f ca="1">IFERROR(__xludf.DUMMYFUNCTION("""COMPUTED_VALUE"""),"Tổ Hạ tầng Tân Ninh")</f>
        <v>Tổ Hạ tầng Tân Ninh</v>
      </c>
      <c r="C1682" s="35" t="str">
        <f ca="1">IFERROR(__xludf.DUMMYFUNCTION("""COMPUTED_VALUE"""),"Võ Minh Tuấn An")</f>
        <v>Võ Minh Tuấn An</v>
      </c>
      <c r="D1682" s="543" t="str">
        <f ca="1">IFERROR(__xludf.DUMMYFUNCTION("""COMPUTED_VALUE"""),"0942666870")</f>
        <v>0942666870</v>
      </c>
      <c r="E1682" s="35" t="str">
        <f ca="1">IFERROR(__xludf.DUMMYFUNCTION("""COMPUTED_VALUE"""),"anvmt.tnh@vnpt.vn")</f>
        <v>anvmt.tnh@vnpt.vn</v>
      </c>
      <c r="F1682" s="540" t="str">
        <f ca="1">IFERROR(__xludf.DUMMYFUNCTION("""COMPUTED_VALUE"""),"Lần 12")</f>
        <v>Lần 12</v>
      </c>
      <c r="G1682" s="545">
        <f ca="1">IFERROR(__xludf.DUMMYFUNCTION("""COMPUTED_VALUE"""),46207)</f>
        <v>46207</v>
      </c>
      <c r="H1682" s="35">
        <f ca="1">IFERROR(__xludf.DUMMYFUNCTION("""COMPUTED_VALUE"""),273)</f>
        <v>273</v>
      </c>
      <c r="I1682" s="35">
        <f ca="1">IFERROR(__xludf.DUMMYFUNCTION("""COMPUTED_VALUE"""),27)</f>
        <v>27</v>
      </c>
      <c r="J1682" s="35">
        <f ca="1">IFERROR(__xludf.DUMMYFUNCTION("""COMPUTED_VALUE"""),307)</f>
        <v>307</v>
      </c>
      <c r="K1682" s="35">
        <f ca="1">IFERROR(__xludf.DUMMYFUNCTION("""COMPUTED_VALUE"""),32)</f>
        <v>32</v>
      </c>
      <c r="M1682" s="539">
        <f ca="1">IFERROR(__xludf.DUMMYFUNCTION("""COMPUTED_VALUE"""),1)</f>
        <v>1</v>
      </c>
      <c r="N1682" s="539">
        <f ca="1">IFERROR(__xludf.DUMMYFUNCTION("""COMPUTED_VALUE"""),1)</f>
        <v>1</v>
      </c>
      <c r="O1682" s="539">
        <f ca="1">IFERROR(__xludf.DUMMYFUNCTION("""COMPUTED_VALUE"""),1)</f>
        <v>1</v>
      </c>
    </row>
    <row r="1683" spans="1:15" ht="12.75">
      <c r="A1683" s="539">
        <f ca="1"/>
        <v>1677</v>
      </c>
      <c r="B1683" s="35" t="str">
        <f ca="1">IFERROR(__xludf.DUMMYFUNCTION("""COMPUTED_VALUE"""),"Tổ Hạ tầng Tân Ninh")</f>
        <v>Tổ Hạ tầng Tân Ninh</v>
      </c>
      <c r="C1683" s="35" t="str">
        <f ca="1">IFERROR(__xludf.DUMMYFUNCTION("""COMPUTED_VALUE"""),"Võ Minh Tuấn An")</f>
        <v>Võ Minh Tuấn An</v>
      </c>
      <c r="D1683" s="543" t="str">
        <f ca="1">IFERROR(__xludf.DUMMYFUNCTION("""COMPUTED_VALUE"""),"0942666870")</f>
        <v>0942666870</v>
      </c>
      <c r="E1683" s="35" t="str">
        <f ca="1">IFERROR(__xludf.DUMMYFUNCTION("""COMPUTED_VALUE"""),"anvmt.tnh@vnpt.vn")</f>
        <v>anvmt.tnh@vnpt.vn</v>
      </c>
      <c r="F1683" s="540" t="str">
        <f ca="1">IFERROR(__xludf.DUMMYFUNCTION("""COMPUTED_VALUE"""),"Lần 13")</f>
        <v>Lần 13</v>
      </c>
      <c r="G1683" s="545">
        <f ca="1">IFERROR(__xludf.DUMMYFUNCTION("""COMPUTED_VALUE"""),46207)</f>
        <v>46207</v>
      </c>
      <c r="H1683" s="35">
        <f ca="1">IFERROR(__xludf.DUMMYFUNCTION("""COMPUTED_VALUE"""),245)</f>
        <v>245</v>
      </c>
      <c r="I1683" s="35">
        <f ca="1">IFERROR(__xludf.DUMMYFUNCTION("""COMPUTED_VALUE"""),22)</f>
        <v>22</v>
      </c>
      <c r="J1683" s="35">
        <f ca="1">IFERROR(__xludf.DUMMYFUNCTION("""COMPUTED_VALUE"""),326)</f>
        <v>326</v>
      </c>
      <c r="K1683" s="35">
        <f ca="1">IFERROR(__xludf.DUMMYFUNCTION("""COMPUTED_VALUE"""),24)</f>
        <v>24</v>
      </c>
      <c r="M1683" s="539">
        <f ca="1">IFERROR(__xludf.DUMMYFUNCTION("""COMPUTED_VALUE"""),1)</f>
        <v>1</v>
      </c>
      <c r="N1683" s="539">
        <f ca="1">IFERROR(__xludf.DUMMYFUNCTION("""COMPUTED_VALUE"""),1)</f>
        <v>1</v>
      </c>
      <c r="O1683" s="539">
        <f ca="1">IFERROR(__xludf.DUMMYFUNCTION("""COMPUTED_VALUE"""),1)</f>
        <v>1</v>
      </c>
    </row>
    <row r="1684" spans="1:15" ht="12.75">
      <c r="A1684" s="539">
        <f ca="1"/>
        <v>1678</v>
      </c>
      <c r="B1684" s="35" t="str">
        <f ca="1">IFERROR(__xludf.DUMMYFUNCTION("""COMPUTED_VALUE"""),"Tổ Hạ tầng Tân Ninh")</f>
        <v>Tổ Hạ tầng Tân Ninh</v>
      </c>
      <c r="C1684" s="35" t="str">
        <f ca="1">IFERROR(__xludf.DUMMYFUNCTION("""COMPUTED_VALUE"""),"Võ Minh Tuấn An")</f>
        <v>Võ Minh Tuấn An</v>
      </c>
      <c r="D1684" s="543" t="str">
        <f ca="1">IFERROR(__xludf.DUMMYFUNCTION("""COMPUTED_VALUE"""),"0942666870")</f>
        <v>0942666870</v>
      </c>
      <c r="E1684" s="35" t="str">
        <f ca="1">IFERROR(__xludf.DUMMYFUNCTION("""COMPUTED_VALUE"""),"anvmt.tnh@vnpt.vn")</f>
        <v>anvmt.tnh@vnpt.vn</v>
      </c>
      <c r="F1684" s="540" t="str">
        <f ca="1">IFERROR(__xludf.DUMMYFUNCTION("""COMPUTED_VALUE"""),"Lần 14")</f>
        <v>Lần 14</v>
      </c>
      <c r="G1684" s="545">
        <f ca="1">IFERROR(__xludf.DUMMYFUNCTION("""COMPUTED_VALUE"""),46210)</f>
        <v>46210</v>
      </c>
      <c r="H1684" s="35">
        <f ca="1">IFERROR(__xludf.DUMMYFUNCTION("""COMPUTED_VALUE"""),254)</f>
        <v>254</v>
      </c>
      <c r="I1684" s="35">
        <f ca="1">IFERROR(__xludf.DUMMYFUNCTION("""COMPUTED_VALUE"""),21)</f>
        <v>21</v>
      </c>
      <c r="J1684" s="35">
        <f ca="1">IFERROR(__xludf.DUMMYFUNCTION("""COMPUTED_VALUE"""),535)</f>
        <v>535</v>
      </c>
      <c r="K1684" s="35">
        <f ca="1">IFERROR(__xludf.DUMMYFUNCTION("""COMPUTED_VALUE"""),35)</f>
        <v>35</v>
      </c>
      <c r="M1684" s="539">
        <f ca="1">IFERROR(__xludf.DUMMYFUNCTION("""COMPUTED_VALUE"""),1)</f>
        <v>1</v>
      </c>
      <c r="N1684" s="539">
        <f ca="1">IFERROR(__xludf.DUMMYFUNCTION("""COMPUTED_VALUE"""),1)</f>
        <v>1</v>
      </c>
      <c r="O1684" s="539">
        <f ca="1">IFERROR(__xludf.DUMMYFUNCTION("""COMPUTED_VALUE"""),1)</f>
        <v>1</v>
      </c>
    </row>
    <row r="1685" spans="1:15" ht="12.75">
      <c r="A1685" s="539">
        <f ca="1"/>
        <v>1679</v>
      </c>
      <c r="B1685" s="35" t="str">
        <f ca="1">IFERROR(__xludf.DUMMYFUNCTION("""COMPUTED_VALUE"""),"Tổ Hạ tầng Tân Ninh")</f>
        <v>Tổ Hạ tầng Tân Ninh</v>
      </c>
      <c r="C1685" s="35" t="str">
        <f ca="1">IFERROR(__xludf.DUMMYFUNCTION("""COMPUTED_VALUE"""),"Võ Minh Tuấn An")</f>
        <v>Võ Minh Tuấn An</v>
      </c>
      <c r="D1685" s="543" t="str">
        <f ca="1">IFERROR(__xludf.DUMMYFUNCTION("""COMPUTED_VALUE"""),"0942666870")</f>
        <v>0942666870</v>
      </c>
      <c r="E1685" s="35" t="str">
        <f ca="1">IFERROR(__xludf.DUMMYFUNCTION("""COMPUTED_VALUE"""),"anvmt.tnh@vnpt.vn")</f>
        <v>anvmt.tnh@vnpt.vn</v>
      </c>
      <c r="F1685" s="540" t="str">
        <f ca="1">IFERROR(__xludf.DUMMYFUNCTION("""COMPUTED_VALUE"""),"Lần 15")</f>
        <v>Lần 15</v>
      </c>
      <c r="G1685" s="545">
        <f ca="1">IFERROR(__xludf.DUMMYFUNCTION("""COMPUTED_VALUE"""),46210)</f>
        <v>46210</v>
      </c>
      <c r="H1685" s="35">
        <f ca="1">IFERROR(__xludf.DUMMYFUNCTION("""COMPUTED_VALUE"""),338)</f>
        <v>338</v>
      </c>
      <c r="I1685" s="35">
        <f ca="1">IFERROR(__xludf.DUMMYFUNCTION("""COMPUTED_VALUE"""),27)</f>
        <v>27</v>
      </c>
      <c r="J1685" s="35">
        <f ca="1">IFERROR(__xludf.DUMMYFUNCTION("""COMPUTED_VALUE"""),561)</f>
        <v>561</v>
      </c>
      <c r="K1685" s="35">
        <f ca="1">IFERROR(__xludf.DUMMYFUNCTION("""COMPUTED_VALUE"""),28)</f>
        <v>28</v>
      </c>
      <c r="M1685" s="539">
        <f ca="1">IFERROR(__xludf.DUMMYFUNCTION("""COMPUTED_VALUE"""),1)</f>
        <v>1</v>
      </c>
      <c r="N1685" s="539">
        <f ca="1">IFERROR(__xludf.DUMMYFUNCTION("""COMPUTED_VALUE"""),1)</f>
        <v>1</v>
      </c>
      <c r="O1685" s="539">
        <f ca="1">IFERROR(__xludf.DUMMYFUNCTION("""COMPUTED_VALUE"""),1)</f>
        <v>1</v>
      </c>
    </row>
    <row r="1686" spans="1:15" ht="12.75">
      <c r="A1686" s="539">
        <f ca="1"/>
        <v>1680</v>
      </c>
      <c r="B1686" s="35" t="str">
        <f ca="1">IFERROR(__xludf.DUMMYFUNCTION("""COMPUTED_VALUE"""),"Tổ Hạ tầng Tân Ninh")</f>
        <v>Tổ Hạ tầng Tân Ninh</v>
      </c>
      <c r="C1686" s="35" t="str">
        <f ca="1">IFERROR(__xludf.DUMMYFUNCTION("""COMPUTED_VALUE"""),"Võ Minh Tuấn An")</f>
        <v>Võ Minh Tuấn An</v>
      </c>
      <c r="D1686" s="543" t="str">
        <f ca="1">IFERROR(__xludf.DUMMYFUNCTION("""COMPUTED_VALUE"""),"0942666870")</f>
        <v>0942666870</v>
      </c>
      <c r="E1686" s="35" t="str">
        <f ca="1">IFERROR(__xludf.DUMMYFUNCTION("""COMPUTED_VALUE"""),"anvmt.tnh@vnpt.vn")</f>
        <v>anvmt.tnh@vnpt.vn</v>
      </c>
      <c r="F1686" s="540" t="str">
        <f ca="1">IFERROR(__xludf.DUMMYFUNCTION("""COMPUTED_VALUE"""),"Lần 16")</f>
        <v>Lần 16</v>
      </c>
      <c r="G1686" s="545">
        <f ca="1">IFERROR(__xludf.DUMMYFUNCTION("""COMPUTED_VALUE"""),46210)</f>
        <v>46210</v>
      </c>
      <c r="H1686" s="35">
        <f ca="1">IFERROR(__xludf.DUMMYFUNCTION("""COMPUTED_VALUE"""),364)</f>
        <v>364</v>
      </c>
      <c r="I1686" s="35">
        <f ca="1">IFERROR(__xludf.DUMMYFUNCTION("""COMPUTED_VALUE"""),26)</f>
        <v>26</v>
      </c>
      <c r="J1686" s="35">
        <f ca="1">IFERROR(__xludf.DUMMYFUNCTION("""COMPUTED_VALUE"""),589)</f>
        <v>589</v>
      </c>
      <c r="K1686" s="35">
        <f ca="1">IFERROR(__xludf.DUMMYFUNCTION("""COMPUTED_VALUE"""),29)</f>
        <v>29</v>
      </c>
      <c r="M1686" s="539">
        <f ca="1">IFERROR(__xludf.DUMMYFUNCTION("""COMPUTED_VALUE"""),1)</f>
        <v>1</v>
      </c>
      <c r="N1686" s="539">
        <f ca="1">IFERROR(__xludf.DUMMYFUNCTION("""COMPUTED_VALUE"""),1)</f>
        <v>1</v>
      </c>
      <c r="O1686" s="539">
        <f ca="1">IFERROR(__xludf.DUMMYFUNCTION("""COMPUTED_VALUE"""),1)</f>
        <v>1</v>
      </c>
    </row>
    <row r="1687" spans="1:15" ht="12.75">
      <c r="A1687" s="539">
        <f ca="1"/>
        <v>1681</v>
      </c>
      <c r="B1687" s="35" t="str">
        <f ca="1">IFERROR(__xludf.DUMMYFUNCTION("""COMPUTED_VALUE"""),"Tổ Hạ tầng Tân Ninh")</f>
        <v>Tổ Hạ tầng Tân Ninh</v>
      </c>
      <c r="C1687" s="35" t="str">
        <f ca="1">IFERROR(__xludf.DUMMYFUNCTION("""COMPUTED_VALUE"""),"Nguyễn Hữu Khương")</f>
        <v>Nguyễn Hữu Khương</v>
      </c>
      <c r="D1687" s="543" t="str">
        <f ca="1">IFERROR(__xludf.DUMMYFUNCTION("""COMPUTED_VALUE"""),"0916755759")</f>
        <v>0916755759</v>
      </c>
      <c r="E1687" s="35" t="str">
        <f ca="1">IFERROR(__xludf.DUMMYFUNCTION("""COMPUTED_VALUE"""),"nhkhuong.tnh@vnpt.vn")</f>
        <v>nhkhuong.tnh@vnpt.vn</v>
      </c>
      <c r="F1687" s="540" t="str">
        <f ca="1">IFERROR(__xludf.DUMMYFUNCTION("""COMPUTED_VALUE"""),"Lần 1")</f>
        <v>Lần 1</v>
      </c>
      <c r="G1687" s="545">
        <f ca="1">IFERROR(__xludf.DUMMYFUNCTION("""COMPUTED_VALUE"""),46209)</f>
        <v>46209</v>
      </c>
      <c r="H1687" s="35">
        <f ca="1">IFERROR(__xludf.DUMMYFUNCTION("""COMPUTED_VALUE"""),70.9)</f>
        <v>70.900000000000006</v>
      </c>
      <c r="I1687" s="35">
        <f ca="1">IFERROR(__xludf.DUMMYFUNCTION("""COMPUTED_VALUE"""),47.5)</f>
        <v>47.5</v>
      </c>
      <c r="J1687" s="35">
        <f ca="1">IFERROR(__xludf.DUMMYFUNCTION("""COMPUTED_VALUE"""),75.9)</f>
        <v>75.900000000000006</v>
      </c>
      <c r="K1687" s="35">
        <f ca="1">IFERROR(__xludf.DUMMYFUNCTION("""COMPUTED_VALUE"""),23.3)</f>
        <v>23.3</v>
      </c>
      <c r="M1687" s="539">
        <f ca="1">IFERROR(__xludf.DUMMYFUNCTION("""COMPUTED_VALUE"""),1)</f>
        <v>1</v>
      </c>
      <c r="N1687" s="539">
        <f ca="1">IFERROR(__xludf.DUMMYFUNCTION("""COMPUTED_VALUE"""),1)</f>
        <v>1</v>
      </c>
      <c r="O1687" s="539">
        <f ca="1">IFERROR(__xludf.DUMMYFUNCTION("""COMPUTED_VALUE"""),0)</f>
        <v>0</v>
      </c>
    </row>
    <row r="1688" spans="1:15" ht="12.75">
      <c r="A1688" s="539">
        <f ca="1"/>
        <v>1682</v>
      </c>
      <c r="B1688" s="35" t="str">
        <f ca="1">IFERROR(__xludf.DUMMYFUNCTION("""COMPUTED_VALUE"""),"Tổ Hạ tầng Tân Ninh")</f>
        <v>Tổ Hạ tầng Tân Ninh</v>
      </c>
      <c r="C1688" s="35" t="str">
        <f ca="1">IFERROR(__xludf.DUMMYFUNCTION("""COMPUTED_VALUE"""),"Nguyễn Hữu Khương")</f>
        <v>Nguyễn Hữu Khương</v>
      </c>
      <c r="D1688" s="543" t="str">
        <f ca="1">IFERROR(__xludf.DUMMYFUNCTION("""COMPUTED_VALUE"""),"0916755759")</f>
        <v>0916755759</v>
      </c>
      <c r="E1688" s="35" t="str">
        <f ca="1">IFERROR(__xludf.DUMMYFUNCTION("""COMPUTED_VALUE"""),"nhkhuong.tnh@vnpt.vn")</f>
        <v>nhkhuong.tnh@vnpt.vn</v>
      </c>
      <c r="F1688" s="540" t="str">
        <f ca="1">IFERROR(__xludf.DUMMYFUNCTION("""COMPUTED_VALUE"""),"Lần 2")</f>
        <v>Lần 2</v>
      </c>
      <c r="G1688" s="545">
        <f ca="1">IFERROR(__xludf.DUMMYFUNCTION("""COMPUTED_VALUE"""),46210)</f>
        <v>46210</v>
      </c>
      <c r="H1688" s="35">
        <f ca="1">IFERROR(__xludf.DUMMYFUNCTION("""COMPUTED_VALUE"""),114)</f>
        <v>114</v>
      </c>
      <c r="I1688" s="35">
        <f ca="1">IFERROR(__xludf.DUMMYFUNCTION("""COMPUTED_VALUE"""),11.7)</f>
        <v>11.7</v>
      </c>
      <c r="J1688" s="35">
        <f ca="1">IFERROR(__xludf.DUMMYFUNCTION("""COMPUTED_VALUE"""),116)</f>
        <v>116</v>
      </c>
      <c r="K1688" s="35">
        <f ca="1">IFERROR(__xludf.DUMMYFUNCTION("""COMPUTED_VALUE"""),11.6)</f>
        <v>11.6</v>
      </c>
      <c r="M1688" s="539">
        <f ca="1">IFERROR(__xludf.DUMMYFUNCTION("""COMPUTED_VALUE"""),1)</f>
        <v>1</v>
      </c>
      <c r="N1688" s="539">
        <f ca="1">IFERROR(__xludf.DUMMYFUNCTION("""COMPUTED_VALUE"""),1)</f>
        <v>1</v>
      </c>
      <c r="O1688" s="539">
        <f ca="1">IFERROR(__xludf.DUMMYFUNCTION("""COMPUTED_VALUE"""),0)</f>
        <v>0</v>
      </c>
    </row>
    <row r="1689" spans="1:15" ht="12.75">
      <c r="A1689" s="539">
        <f ca="1"/>
        <v>1683</v>
      </c>
      <c r="B1689" s="35" t="str">
        <f ca="1">IFERROR(__xludf.DUMMYFUNCTION("""COMPUTED_VALUE"""),"Tổ Hạ tầng Tân Ninh")</f>
        <v>Tổ Hạ tầng Tân Ninh</v>
      </c>
      <c r="C1689" s="35" t="str">
        <f ca="1">IFERROR(__xludf.DUMMYFUNCTION("""COMPUTED_VALUE"""),"Nguyễn Hữu Khương")</f>
        <v>Nguyễn Hữu Khương</v>
      </c>
      <c r="D1689" s="543" t="str">
        <f ca="1">IFERROR(__xludf.DUMMYFUNCTION("""COMPUTED_VALUE"""),"0916755759")</f>
        <v>0916755759</v>
      </c>
      <c r="E1689" s="35" t="str">
        <f ca="1">IFERROR(__xludf.DUMMYFUNCTION("""COMPUTED_VALUE"""),"nhkhuong.tnh@vnpt.vn")</f>
        <v>nhkhuong.tnh@vnpt.vn</v>
      </c>
      <c r="F1689" s="540" t="str">
        <f ca="1">IFERROR(__xludf.DUMMYFUNCTION("""COMPUTED_VALUE"""),"Lần 3")</f>
        <v>Lần 3</v>
      </c>
      <c r="G1689" s="545">
        <f ca="1">IFERROR(__xludf.DUMMYFUNCTION("""COMPUTED_VALUE"""),46210)</f>
        <v>46210</v>
      </c>
      <c r="H1689" s="35">
        <f ca="1">IFERROR(__xludf.DUMMYFUNCTION("""COMPUTED_VALUE"""),99.8)</f>
        <v>99.8</v>
      </c>
      <c r="I1689" s="35">
        <f ca="1">IFERROR(__xludf.DUMMYFUNCTION("""COMPUTED_VALUE"""),11.7)</f>
        <v>11.7</v>
      </c>
      <c r="J1689" s="35">
        <f ca="1">IFERROR(__xludf.DUMMYFUNCTION("""COMPUTED_VALUE"""),82)</f>
        <v>82</v>
      </c>
      <c r="K1689" s="35">
        <f ca="1">IFERROR(__xludf.DUMMYFUNCTION("""COMPUTED_VALUE"""),11.5)</f>
        <v>11.5</v>
      </c>
      <c r="M1689" s="539">
        <f ca="1">IFERROR(__xludf.DUMMYFUNCTION("""COMPUTED_VALUE"""),1)</f>
        <v>1</v>
      </c>
      <c r="N1689" s="539">
        <f ca="1">IFERROR(__xludf.DUMMYFUNCTION("""COMPUTED_VALUE"""),1)</f>
        <v>1</v>
      </c>
      <c r="O1689" s="539">
        <f ca="1">IFERROR(__xludf.DUMMYFUNCTION("""COMPUTED_VALUE"""),0)</f>
        <v>0</v>
      </c>
    </row>
    <row r="1690" spans="1:15" ht="12.75">
      <c r="A1690" s="539">
        <f ca="1"/>
        <v>1684</v>
      </c>
      <c r="B1690" s="35" t="str">
        <f ca="1">IFERROR(__xludf.DUMMYFUNCTION("""COMPUTED_VALUE"""),"Tổ Hạ tầng Tân Ninh")</f>
        <v>Tổ Hạ tầng Tân Ninh</v>
      </c>
      <c r="C1690" s="35" t="str">
        <f ca="1">IFERROR(__xludf.DUMMYFUNCTION("""COMPUTED_VALUE"""),"Nguyễn Hữu Khương")</f>
        <v>Nguyễn Hữu Khương</v>
      </c>
      <c r="D1690" s="543" t="str">
        <f ca="1">IFERROR(__xludf.DUMMYFUNCTION("""COMPUTED_VALUE"""),"0916755759")</f>
        <v>0916755759</v>
      </c>
      <c r="E1690" s="35" t="str">
        <f ca="1">IFERROR(__xludf.DUMMYFUNCTION("""COMPUTED_VALUE"""),"nhkhuong.tnh@vnpt.vn")</f>
        <v>nhkhuong.tnh@vnpt.vn</v>
      </c>
      <c r="F1690" s="540" t="str">
        <f ca="1">IFERROR(__xludf.DUMMYFUNCTION("""COMPUTED_VALUE"""),"Lần 4")</f>
        <v>Lần 4</v>
      </c>
      <c r="G1690" s="545">
        <f ca="1">IFERROR(__xludf.DUMMYFUNCTION("""COMPUTED_VALUE"""),46210)</f>
        <v>46210</v>
      </c>
      <c r="H1690" s="35">
        <f ca="1">IFERROR(__xludf.DUMMYFUNCTION("""COMPUTED_VALUE"""),117)</f>
        <v>117</v>
      </c>
      <c r="I1690" s="35">
        <f ca="1">IFERROR(__xludf.DUMMYFUNCTION("""COMPUTED_VALUE"""),11.4)</f>
        <v>11.4</v>
      </c>
      <c r="J1690" s="35">
        <f ca="1">IFERROR(__xludf.DUMMYFUNCTION("""COMPUTED_VALUE"""),113)</f>
        <v>113</v>
      </c>
      <c r="K1690" s="35">
        <f ca="1">IFERROR(__xludf.DUMMYFUNCTION("""COMPUTED_VALUE"""),11.4)</f>
        <v>11.4</v>
      </c>
      <c r="M1690" s="539">
        <f ca="1">IFERROR(__xludf.DUMMYFUNCTION("""COMPUTED_VALUE"""),1)</f>
        <v>1</v>
      </c>
      <c r="N1690" s="539">
        <f ca="1">IFERROR(__xludf.DUMMYFUNCTION("""COMPUTED_VALUE"""),1)</f>
        <v>1</v>
      </c>
      <c r="O1690" s="539">
        <f ca="1">IFERROR(__xludf.DUMMYFUNCTION("""COMPUTED_VALUE"""),0)</f>
        <v>0</v>
      </c>
    </row>
    <row r="1691" spans="1:15" ht="12.75">
      <c r="A1691" s="539">
        <f ca="1"/>
        <v>1685</v>
      </c>
      <c r="B1691" s="35" t="str">
        <f ca="1">IFERROR(__xludf.DUMMYFUNCTION("""COMPUTED_VALUE"""),"Tổ Hạ tầng Tân Ninh")</f>
        <v>Tổ Hạ tầng Tân Ninh</v>
      </c>
      <c r="C1691" s="35" t="str">
        <f ca="1">IFERROR(__xludf.DUMMYFUNCTION("""COMPUTED_VALUE"""),"Nguyễn Hữu Khương")</f>
        <v>Nguyễn Hữu Khương</v>
      </c>
      <c r="D1691" s="543" t="str">
        <f ca="1">IFERROR(__xludf.DUMMYFUNCTION("""COMPUTED_VALUE"""),"0916755759")</f>
        <v>0916755759</v>
      </c>
      <c r="E1691" s="35" t="str">
        <f ca="1">IFERROR(__xludf.DUMMYFUNCTION("""COMPUTED_VALUE"""),"nhkhuong.tnh@vnpt.vn")</f>
        <v>nhkhuong.tnh@vnpt.vn</v>
      </c>
      <c r="F1691" s="540" t="str">
        <f ca="1">IFERROR(__xludf.DUMMYFUNCTION("""COMPUTED_VALUE"""),"Lần 5")</f>
        <v>Lần 5</v>
      </c>
      <c r="G1691" s="545">
        <f ca="1">IFERROR(__xludf.DUMMYFUNCTION("""COMPUTED_VALUE"""),46213)</f>
        <v>46213</v>
      </c>
      <c r="H1691" s="35">
        <f ca="1">IFERROR(__xludf.DUMMYFUNCTION("""COMPUTED_VALUE"""),103)</f>
        <v>103</v>
      </c>
      <c r="I1691" s="35">
        <f ca="1">IFERROR(__xludf.DUMMYFUNCTION("""COMPUTED_VALUE"""),32.2)</f>
        <v>32.200000000000003</v>
      </c>
      <c r="J1691" s="35">
        <f ca="1">IFERROR(__xludf.DUMMYFUNCTION("""COMPUTED_VALUE"""),91.4)</f>
        <v>91.4</v>
      </c>
      <c r="K1691" s="35">
        <f ca="1">IFERROR(__xludf.DUMMYFUNCTION("""COMPUTED_VALUE"""),53.6)</f>
        <v>53.6</v>
      </c>
      <c r="M1691" s="539">
        <f ca="1">IFERROR(__xludf.DUMMYFUNCTION("""COMPUTED_VALUE"""),1)</f>
        <v>1</v>
      </c>
      <c r="N1691" s="539">
        <f ca="1">IFERROR(__xludf.DUMMYFUNCTION("""COMPUTED_VALUE"""),1)</f>
        <v>1</v>
      </c>
      <c r="O1691" s="539">
        <f ca="1">IFERROR(__xludf.DUMMYFUNCTION("""COMPUTED_VALUE"""),0)</f>
        <v>0</v>
      </c>
    </row>
    <row r="1692" spans="1:15" ht="12.75">
      <c r="A1692" s="539">
        <f ca="1"/>
        <v>1686</v>
      </c>
      <c r="B1692" s="35" t="str">
        <f ca="1">IFERROR(__xludf.DUMMYFUNCTION("""COMPUTED_VALUE"""),"Tổ Hạ tầng Tân Ninh")</f>
        <v>Tổ Hạ tầng Tân Ninh</v>
      </c>
      <c r="C1692" s="35" t="str">
        <f ca="1">IFERROR(__xludf.DUMMYFUNCTION("""COMPUTED_VALUE"""),"Nguyễn Hữu Khương")</f>
        <v>Nguyễn Hữu Khương</v>
      </c>
      <c r="D1692" s="543" t="str">
        <f ca="1">IFERROR(__xludf.DUMMYFUNCTION("""COMPUTED_VALUE"""),"0916755759")</f>
        <v>0916755759</v>
      </c>
      <c r="E1692" s="35" t="str">
        <f ca="1">IFERROR(__xludf.DUMMYFUNCTION("""COMPUTED_VALUE"""),"nhkhuong.tnh@vnpt.vn")</f>
        <v>nhkhuong.tnh@vnpt.vn</v>
      </c>
      <c r="F1692" s="540" t="str">
        <f ca="1">IFERROR(__xludf.DUMMYFUNCTION("""COMPUTED_VALUE"""),"Lần 6")</f>
        <v>Lần 6</v>
      </c>
      <c r="G1692" s="545">
        <f ca="1">IFERROR(__xludf.DUMMYFUNCTION("""COMPUTED_VALUE"""),46213)</f>
        <v>46213</v>
      </c>
      <c r="H1692" s="35">
        <f ca="1">IFERROR(__xludf.DUMMYFUNCTION("""COMPUTED_VALUE"""),97.8)</f>
        <v>97.8</v>
      </c>
      <c r="I1692" s="35">
        <f ca="1">IFERROR(__xludf.DUMMYFUNCTION("""COMPUTED_VALUE"""),38.2)</f>
        <v>38.200000000000003</v>
      </c>
      <c r="J1692" s="35">
        <f ca="1">IFERROR(__xludf.DUMMYFUNCTION("""COMPUTED_VALUE"""),89.6)</f>
        <v>89.6</v>
      </c>
      <c r="K1692" s="35">
        <f ca="1">IFERROR(__xludf.DUMMYFUNCTION("""COMPUTED_VALUE"""),48.9)</f>
        <v>48.9</v>
      </c>
      <c r="M1692" s="539">
        <f ca="1">IFERROR(__xludf.DUMMYFUNCTION("""COMPUTED_VALUE"""),1)</f>
        <v>1</v>
      </c>
      <c r="N1692" s="539">
        <f ca="1">IFERROR(__xludf.DUMMYFUNCTION("""COMPUTED_VALUE"""),1)</f>
        <v>1</v>
      </c>
      <c r="O1692" s="539">
        <f ca="1">IFERROR(__xludf.DUMMYFUNCTION("""COMPUTED_VALUE"""),0)</f>
        <v>0</v>
      </c>
    </row>
    <row r="1693" spans="1:15" ht="12.75">
      <c r="A1693" s="539">
        <f ca="1"/>
        <v>1687</v>
      </c>
      <c r="B1693" s="35" t="str">
        <f ca="1">IFERROR(__xludf.DUMMYFUNCTION("""COMPUTED_VALUE"""),"Tổ Hạ tầng Tân Ninh")</f>
        <v>Tổ Hạ tầng Tân Ninh</v>
      </c>
      <c r="C1693" s="35" t="str">
        <f ca="1">IFERROR(__xludf.DUMMYFUNCTION("""COMPUTED_VALUE"""),"Nguyễn Hữu Khương")</f>
        <v>Nguyễn Hữu Khương</v>
      </c>
      <c r="D1693" s="543" t="str">
        <f ca="1">IFERROR(__xludf.DUMMYFUNCTION("""COMPUTED_VALUE"""),"0916755759")</f>
        <v>0916755759</v>
      </c>
      <c r="E1693" s="35" t="str">
        <f ca="1">IFERROR(__xludf.DUMMYFUNCTION("""COMPUTED_VALUE"""),"nhkhuong.tnh@vnpt.vn")</f>
        <v>nhkhuong.tnh@vnpt.vn</v>
      </c>
      <c r="F1693" s="540" t="str">
        <f ca="1">IFERROR(__xludf.DUMMYFUNCTION("""COMPUTED_VALUE"""),"Lần 7")</f>
        <v>Lần 7</v>
      </c>
      <c r="G1693" s="545">
        <f ca="1">IFERROR(__xludf.DUMMYFUNCTION("""COMPUTED_VALUE"""),46213)</f>
        <v>46213</v>
      </c>
      <c r="H1693" s="35">
        <f ca="1">IFERROR(__xludf.DUMMYFUNCTION("""COMPUTED_VALUE"""),93.9)</f>
        <v>93.9</v>
      </c>
      <c r="I1693" s="35">
        <f ca="1">IFERROR(__xludf.DUMMYFUNCTION("""COMPUTED_VALUE"""),46)</f>
        <v>46</v>
      </c>
      <c r="J1693" s="35">
        <f ca="1">IFERROR(__xludf.DUMMYFUNCTION("""COMPUTED_VALUE"""),76.5)</f>
        <v>76.5</v>
      </c>
      <c r="K1693" s="35">
        <f ca="1">IFERROR(__xludf.DUMMYFUNCTION("""COMPUTED_VALUE"""),51.5)</f>
        <v>51.5</v>
      </c>
      <c r="M1693" s="539">
        <f ca="1">IFERROR(__xludf.DUMMYFUNCTION("""COMPUTED_VALUE"""),1)</f>
        <v>1</v>
      </c>
      <c r="N1693" s="539">
        <f ca="1">IFERROR(__xludf.DUMMYFUNCTION("""COMPUTED_VALUE"""),1)</f>
        <v>1</v>
      </c>
      <c r="O1693" s="539">
        <f ca="1">IFERROR(__xludf.DUMMYFUNCTION("""COMPUTED_VALUE"""),0)</f>
        <v>0</v>
      </c>
    </row>
    <row r="1694" spans="1:15" ht="12.75">
      <c r="A1694" s="539">
        <f ca="1"/>
        <v>1688</v>
      </c>
      <c r="B1694" s="35" t="str">
        <f ca="1">IFERROR(__xludf.DUMMYFUNCTION("""COMPUTED_VALUE"""),"Tổ Hạ tầng Tân Ninh")</f>
        <v>Tổ Hạ tầng Tân Ninh</v>
      </c>
      <c r="C1694" s="35" t="str">
        <f ca="1">IFERROR(__xludf.DUMMYFUNCTION("""COMPUTED_VALUE"""),"Nguyễn Hữu Khương")</f>
        <v>Nguyễn Hữu Khương</v>
      </c>
      <c r="D1694" s="543" t="str">
        <f ca="1">IFERROR(__xludf.DUMMYFUNCTION("""COMPUTED_VALUE"""),"0916755759")</f>
        <v>0916755759</v>
      </c>
      <c r="E1694" s="35" t="str">
        <f ca="1">IFERROR(__xludf.DUMMYFUNCTION("""COMPUTED_VALUE"""),"nhkhuong.tnh@vnpt.vn")</f>
        <v>nhkhuong.tnh@vnpt.vn</v>
      </c>
      <c r="F1694" s="540" t="str">
        <f ca="1">IFERROR(__xludf.DUMMYFUNCTION("""COMPUTED_VALUE"""),"Lần 8")</f>
        <v>Lần 8</v>
      </c>
      <c r="G1694" s="545">
        <f ca="1">IFERROR(__xludf.DUMMYFUNCTION("""COMPUTED_VALUE"""),46213)</f>
        <v>46213</v>
      </c>
      <c r="H1694" s="35">
        <f ca="1">IFERROR(__xludf.DUMMYFUNCTION("""COMPUTED_VALUE"""),98.1)</f>
        <v>98.1</v>
      </c>
      <c r="I1694" s="35">
        <f ca="1">IFERROR(__xludf.DUMMYFUNCTION("""COMPUTED_VALUE"""),38.9)</f>
        <v>38.9</v>
      </c>
      <c r="J1694" s="35">
        <f ca="1">IFERROR(__xludf.DUMMYFUNCTION("""COMPUTED_VALUE"""),89.8)</f>
        <v>89.8</v>
      </c>
      <c r="K1694" s="35">
        <f ca="1">IFERROR(__xludf.DUMMYFUNCTION("""COMPUTED_VALUE"""),39.6)</f>
        <v>39.6</v>
      </c>
      <c r="M1694" s="539">
        <f ca="1">IFERROR(__xludf.DUMMYFUNCTION("""COMPUTED_VALUE"""),1)</f>
        <v>1</v>
      </c>
      <c r="N1694" s="539">
        <f ca="1">IFERROR(__xludf.DUMMYFUNCTION("""COMPUTED_VALUE"""),1)</f>
        <v>1</v>
      </c>
      <c r="O1694" s="539">
        <f ca="1">IFERROR(__xludf.DUMMYFUNCTION("""COMPUTED_VALUE"""),0)</f>
        <v>0</v>
      </c>
    </row>
    <row r="1695" spans="1:15" ht="12.75">
      <c r="A1695" s="539">
        <f ca="1"/>
        <v>1689</v>
      </c>
      <c r="B1695" s="35" t="str">
        <f ca="1">IFERROR(__xludf.DUMMYFUNCTION("""COMPUTED_VALUE"""),"Tổ Hạ tầng Tân Ninh")</f>
        <v>Tổ Hạ tầng Tân Ninh</v>
      </c>
      <c r="C1695" s="35" t="str">
        <f ca="1">IFERROR(__xludf.DUMMYFUNCTION("""COMPUTED_VALUE"""),"Nguyễn Hữu Khương")</f>
        <v>Nguyễn Hữu Khương</v>
      </c>
      <c r="D1695" s="543" t="str">
        <f ca="1">IFERROR(__xludf.DUMMYFUNCTION("""COMPUTED_VALUE"""),"0916755759")</f>
        <v>0916755759</v>
      </c>
      <c r="E1695" s="35" t="str">
        <f ca="1">IFERROR(__xludf.DUMMYFUNCTION("""COMPUTED_VALUE"""),"nhkhuong.tnh@vnpt.vn")</f>
        <v>nhkhuong.tnh@vnpt.vn</v>
      </c>
      <c r="F1695" s="540" t="str">
        <f ca="1">IFERROR(__xludf.DUMMYFUNCTION("""COMPUTED_VALUE"""),"Lần 9")</f>
        <v>Lần 9</v>
      </c>
      <c r="G1695" s="545">
        <f ca="1">IFERROR(__xludf.DUMMYFUNCTION("""COMPUTED_VALUE"""),46213)</f>
        <v>46213</v>
      </c>
      <c r="H1695" s="35">
        <f ca="1">IFERROR(__xludf.DUMMYFUNCTION("""COMPUTED_VALUE"""),91.8)</f>
        <v>91.8</v>
      </c>
      <c r="I1695" s="35">
        <f ca="1">IFERROR(__xludf.DUMMYFUNCTION("""COMPUTED_VALUE"""),39.2)</f>
        <v>39.200000000000003</v>
      </c>
      <c r="J1695" s="35">
        <f ca="1">IFERROR(__xludf.DUMMYFUNCTION("""COMPUTED_VALUE"""),84.6)</f>
        <v>84.6</v>
      </c>
      <c r="K1695" s="35">
        <f ca="1">IFERROR(__xludf.DUMMYFUNCTION("""COMPUTED_VALUE"""),36.9)</f>
        <v>36.9</v>
      </c>
      <c r="M1695" s="539">
        <f ca="1">IFERROR(__xludf.DUMMYFUNCTION("""COMPUTED_VALUE"""),1)</f>
        <v>1</v>
      </c>
      <c r="N1695" s="539">
        <f ca="1">IFERROR(__xludf.DUMMYFUNCTION("""COMPUTED_VALUE"""),1)</f>
        <v>1</v>
      </c>
      <c r="O1695" s="539">
        <f ca="1">IFERROR(__xludf.DUMMYFUNCTION("""COMPUTED_VALUE"""),0)</f>
        <v>0</v>
      </c>
    </row>
    <row r="1696" spans="1:15" ht="12.75">
      <c r="A1696" s="539">
        <f ca="1"/>
        <v>1690</v>
      </c>
      <c r="B1696" s="35" t="str">
        <f ca="1">IFERROR(__xludf.DUMMYFUNCTION("""COMPUTED_VALUE"""),"Tổ Hạ tầng Tân Ninh")</f>
        <v>Tổ Hạ tầng Tân Ninh</v>
      </c>
      <c r="C1696" s="35" t="str">
        <f ca="1">IFERROR(__xludf.DUMMYFUNCTION("""COMPUTED_VALUE"""),"Nguyễn Hữu Khương")</f>
        <v>Nguyễn Hữu Khương</v>
      </c>
      <c r="D1696" s="543" t="str">
        <f ca="1">IFERROR(__xludf.DUMMYFUNCTION("""COMPUTED_VALUE"""),"0916755759")</f>
        <v>0916755759</v>
      </c>
      <c r="E1696" s="35" t="str">
        <f ca="1">IFERROR(__xludf.DUMMYFUNCTION("""COMPUTED_VALUE"""),"nhkhuong.tnh@vnpt.vn")</f>
        <v>nhkhuong.tnh@vnpt.vn</v>
      </c>
      <c r="F1696" s="540" t="str">
        <f ca="1">IFERROR(__xludf.DUMMYFUNCTION("""COMPUTED_VALUE"""),"Lần 10")</f>
        <v>Lần 10</v>
      </c>
      <c r="G1696" s="545">
        <f ca="1">IFERROR(__xludf.DUMMYFUNCTION("""COMPUTED_VALUE"""),46213)</f>
        <v>46213</v>
      </c>
      <c r="H1696" s="35">
        <f ca="1">IFERROR(__xludf.DUMMYFUNCTION("""COMPUTED_VALUE"""),82.4)</f>
        <v>82.4</v>
      </c>
      <c r="I1696" s="35">
        <f ca="1">IFERROR(__xludf.DUMMYFUNCTION("""COMPUTED_VALUE"""),39.5)</f>
        <v>39.5</v>
      </c>
      <c r="J1696" s="35">
        <f ca="1">IFERROR(__xludf.DUMMYFUNCTION("""COMPUTED_VALUE"""),85.3)</f>
        <v>85.3</v>
      </c>
      <c r="K1696" s="35">
        <f ca="1">IFERROR(__xludf.DUMMYFUNCTION("""COMPUTED_VALUE"""),43.6)</f>
        <v>43.6</v>
      </c>
      <c r="M1696" s="539">
        <f ca="1">IFERROR(__xludf.DUMMYFUNCTION("""COMPUTED_VALUE"""),1)</f>
        <v>1</v>
      </c>
      <c r="N1696" s="539">
        <f ca="1">IFERROR(__xludf.DUMMYFUNCTION("""COMPUTED_VALUE"""),1)</f>
        <v>1</v>
      </c>
      <c r="O1696" s="539">
        <f ca="1">IFERROR(__xludf.DUMMYFUNCTION("""COMPUTED_VALUE"""),0)</f>
        <v>0</v>
      </c>
    </row>
    <row r="1697" spans="1:15" ht="12.75">
      <c r="A1697" s="539">
        <f ca="1"/>
        <v>1691</v>
      </c>
      <c r="B1697" s="35" t="str">
        <f ca="1">IFERROR(__xludf.DUMMYFUNCTION("""COMPUTED_VALUE"""),"Tổ Hạ tầng Tân Ninh")</f>
        <v>Tổ Hạ tầng Tân Ninh</v>
      </c>
      <c r="C1697" s="35" t="str">
        <f ca="1">IFERROR(__xludf.DUMMYFUNCTION("""COMPUTED_VALUE"""),"Nguyễn Hữu Khương")</f>
        <v>Nguyễn Hữu Khương</v>
      </c>
      <c r="D1697" s="543" t="str">
        <f ca="1">IFERROR(__xludf.DUMMYFUNCTION("""COMPUTED_VALUE"""),"0916755759")</f>
        <v>0916755759</v>
      </c>
      <c r="E1697" s="35" t="str">
        <f ca="1">IFERROR(__xludf.DUMMYFUNCTION("""COMPUTED_VALUE"""),"nhkhuong.tnh@vnpt.vn")</f>
        <v>nhkhuong.tnh@vnpt.vn</v>
      </c>
      <c r="F1697" s="540" t="str">
        <f ca="1">IFERROR(__xludf.DUMMYFUNCTION("""COMPUTED_VALUE"""),"Lần 11")</f>
        <v>Lần 11</v>
      </c>
      <c r="G1697" s="545">
        <f ca="1">IFERROR(__xludf.DUMMYFUNCTION("""COMPUTED_VALUE"""),46215)</f>
        <v>46215</v>
      </c>
      <c r="H1697" s="35">
        <f ca="1">IFERROR(__xludf.DUMMYFUNCTION("""COMPUTED_VALUE"""),78.7)</f>
        <v>78.7</v>
      </c>
      <c r="I1697" s="35">
        <f ca="1">IFERROR(__xludf.DUMMYFUNCTION("""COMPUTED_VALUE"""),35.3)</f>
        <v>35.299999999999997</v>
      </c>
      <c r="J1697" s="35">
        <f ca="1">IFERROR(__xludf.DUMMYFUNCTION("""COMPUTED_VALUE"""),96.3)</f>
        <v>96.3</v>
      </c>
      <c r="K1697" s="35">
        <f ca="1">IFERROR(__xludf.DUMMYFUNCTION("""COMPUTED_VALUE"""),48.8)</f>
        <v>48.8</v>
      </c>
      <c r="M1697" s="539">
        <f ca="1">IFERROR(__xludf.DUMMYFUNCTION("""COMPUTED_VALUE"""),1)</f>
        <v>1</v>
      </c>
      <c r="N1697" s="539">
        <f ca="1">IFERROR(__xludf.DUMMYFUNCTION("""COMPUTED_VALUE"""),1)</f>
        <v>1</v>
      </c>
      <c r="O1697" s="539">
        <f ca="1">IFERROR(__xludf.DUMMYFUNCTION("""COMPUTED_VALUE"""),0)</f>
        <v>0</v>
      </c>
    </row>
    <row r="1698" spans="1:15" ht="12.75">
      <c r="A1698" s="539">
        <f ca="1"/>
        <v>1692</v>
      </c>
      <c r="B1698" s="35" t="str">
        <f ca="1">IFERROR(__xludf.DUMMYFUNCTION("""COMPUTED_VALUE"""),"Tổ Hạ tầng Tân Ninh")</f>
        <v>Tổ Hạ tầng Tân Ninh</v>
      </c>
      <c r="C1698" s="35" t="str">
        <f ca="1">IFERROR(__xludf.DUMMYFUNCTION("""COMPUTED_VALUE"""),"Nguyễn Hữu Khương")</f>
        <v>Nguyễn Hữu Khương</v>
      </c>
      <c r="D1698" s="543" t="str">
        <f ca="1">IFERROR(__xludf.DUMMYFUNCTION("""COMPUTED_VALUE"""),"0916755759")</f>
        <v>0916755759</v>
      </c>
      <c r="E1698" s="35" t="str">
        <f ca="1">IFERROR(__xludf.DUMMYFUNCTION("""COMPUTED_VALUE"""),"nhkhuong.tnh@vnpt.vn")</f>
        <v>nhkhuong.tnh@vnpt.vn</v>
      </c>
      <c r="F1698" s="540" t="str">
        <f ca="1">IFERROR(__xludf.DUMMYFUNCTION("""COMPUTED_VALUE"""),"Lần 12")</f>
        <v>Lần 12</v>
      </c>
      <c r="G1698" s="545">
        <f ca="1">IFERROR(__xludf.DUMMYFUNCTION("""COMPUTED_VALUE"""),46215)</f>
        <v>46215</v>
      </c>
      <c r="H1698" s="35">
        <f ca="1">IFERROR(__xludf.DUMMYFUNCTION("""COMPUTED_VALUE"""),87.2)</f>
        <v>87.2</v>
      </c>
      <c r="I1698" s="35">
        <f ca="1">IFERROR(__xludf.DUMMYFUNCTION("""COMPUTED_VALUE"""),40.2)</f>
        <v>40.200000000000003</v>
      </c>
      <c r="J1698" s="35">
        <f ca="1">IFERROR(__xludf.DUMMYFUNCTION("""COMPUTED_VALUE"""),88.3)</f>
        <v>88.3</v>
      </c>
      <c r="K1698" s="35">
        <f ca="1">IFERROR(__xludf.DUMMYFUNCTION("""COMPUTED_VALUE"""),36.2)</f>
        <v>36.200000000000003</v>
      </c>
      <c r="M1698" s="539">
        <f ca="1">IFERROR(__xludf.DUMMYFUNCTION("""COMPUTED_VALUE"""),1)</f>
        <v>1</v>
      </c>
      <c r="N1698" s="539">
        <f ca="1">IFERROR(__xludf.DUMMYFUNCTION("""COMPUTED_VALUE"""),1)</f>
        <v>1</v>
      </c>
      <c r="O1698" s="539">
        <f ca="1">IFERROR(__xludf.DUMMYFUNCTION("""COMPUTED_VALUE"""),0)</f>
        <v>0</v>
      </c>
    </row>
    <row r="1699" spans="1:15" ht="12.75">
      <c r="A1699" s="539">
        <f ca="1"/>
        <v>1693</v>
      </c>
      <c r="B1699" s="35" t="str">
        <f ca="1">IFERROR(__xludf.DUMMYFUNCTION("""COMPUTED_VALUE"""),"Tổ Hạ tầng Tân Ninh")</f>
        <v>Tổ Hạ tầng Tân Ninh</v>
      </c>
      <c r="C1699" s="35" t="str">
        <f ca="1">IFERROR(__xludf.DUMMYFUNCTION("""COMPUTED_VALUE"""),"Nguyễn Hữu Khương")</f>
        <v>Nguyễn Hữu Khương</v>
      </c>
      <c r="D1699" s="543" t="str">
        <f ca="1">IFERROR(__xludf.DUMMYFUNCTION("""COMPUTED_VALUE"""),"0916755759")</f>
        <v>0916755759</v>
      </c>
      <c r="E1699" s="35" t="str">
        <f ca="1">IFERROR(__xludf.DUMMYFUNCTION("""COMPUTED_VALUE"""),"nhkhuong.tnh@vnpt.vn")</f>
        <v>nhkhuong.tnh@vnpt.vn</v>
      </c>
      <c r="F1699" s="540" t="str">
        <f ca="1">IFERROR(__xludf.DUMMYFUNCTION("""COMPUTED_VALUE"""),"Lần 13")</f>
        <v>Lần 13</v>
      </c>
      <c r="G1699" s="545">
        <f ca="1">IFERROR(__xludf.DUMMYFUNCTION("""COMPUTED_VALUE"""),46215)</f>
        <v>46215</v>
      </c>
      <c r="H1699" s="35">
        <f ca="1">IFERROR(__xludf.DUMMYFUNCTION("""COMPUTED_VALUE"""),81.2)</f>
        <v>81.2</v>
      </c>
      <c r="I1699" s="35">
        <f ca="1">IFERROR(__xludf.DUMMYFUNCTION("""COMPUTED_VALUE"""),35.9)</f>
        <v>35.9</v>
      </c>
      <c r="J1699" s="35">
        <f ca="1">IFERROR(__xludf.DUMMYFUNCTION("""COMPUTED_VALUE"""),83.5)</f>
        <v>83.5</v>
      </c>
      <c r="K1699" s="35">
        <f ca="1">IFERROR(__xludf.DUMMYFUNCTION("""COMPUTED_VALUE"""),49.3)</f>
        <v>49.3</v>
      </c>
      <c r="M1699" s="539">
        <f ca="1">IFERROR(__xludf.DUMMYFUNCTION("""COMPUTED_VALUE"""),1)</f>
        <v>1</v>
      </c>
      <c r="N1699" s="539">
        <f ca="1">IFERROR(__xludf.DUMMYFUNCTION("""COMPUTED_VALUE"""),1)</f>
        <v>1</v>
      </c>
      <c r="O1699" s="539">
        <f ca="1">IFERROR(__xludf.DUMMYFUNCTION("""COMPUTED_VALUE"""),0)</f>
        <v>0</v>
      </c>
    </row>
    <row r="1700" spans="1:15" ht="12.75">
      <c r="A1700" s="539">
        <f ca="1"/>
        <v>1694</v>
      </c>
      <c r="B1700" s="35" t="str">
        <f ca="1">IFERROR(__xludf.DUMMYFUNCTION("""COMPUTED_VALUE"""),"Tổ Hạ tầng Tân Ninh")</f>
        <v>Tổ Hạ tầng Tân Ninh</v>
      </c>
      <c r="C1700" s="35" t="str">
        <f ca="1">IFERROR(__xludf.DUMMYFUNCTION("""COMPUTED_VALUE"""),"Nguyễn Hữu Khương")</f>
        <v>Nguyễn Hữu Khương</v>
      </c>
      <c r="D1700" s="543" t="str">
        <f ca="1">IFERROR(__xludf.DUMMYFUNCTION("""COMPUTED_VALUE"""),"0916755759")</f>
        <v>0916755759</v>
      </c>
      <c r="E1700" s="35" t="str">
        <f ca="1">IFERROR(__xludf.DUMMYFUNCTION("""COMPUTED_VALUE"""),"nhkhuong.tnh@vnpt.vn")</f>
        <v>nhkhuong.tnh@vnpt.vn</v>
      </c>
      <c r="F1700" s="540" t="str">
        <f ca="1">IFERROR(__xludf.DUMMYFUNCTION("""COMPUTED_VALUE"""),"Lần 14")</f>
        <v>Lần 14</v>
      </c>
      <c r="G1700" s="545">
        <f ca="1">IFERROR(__xludf.DUMMYFUNCTION("""COMPUTED_VALUE"""),46215)</f>
        <v>46215</v>
      </c>
      <c r="H1700" s="35">
        <f ca="1">IFERROR(__xludf.DUMMYFUNCTION("""COMPUTED_VALUE"""),74.5)</f>
        <v>74.5</v>
      </c>
      <c r="I1700" s="35">
        <f ca="1">IFERROR(__xludf.DUMMYFUNCTION("""COMPUTED_VALUE"""),50.7)</f>
        <v>50.7</v>
      </c>
      <c r="J1700" s="35">
        <f ca="1">IFERROR(__xludf.DUMMYFUNCTION("""COMPUTED_VALUE"""),77.2)</f>
        <v>77.2</v>
      </c>
      <c r="K1700" s="35">
        <f ca="1">IFERROR(__xludf.DUMMYFUNCTION("""COMPUTED_VALUE"""),45)</f>
        <v>45</v>
      </c>
      <c r="M1700" s="539">
        <f ca="1">IFERROR(__xludf.DUMMYFUNCTION("""COMPUTED_VALUE"""),1)</f>
        <v>1</v>
      </c>
      <c r="N1700" s="539">
        <f ca="1">IFERROR(__xludf.DUMMYFUNCTION("""COMPUTED_VALUE"""),1)</f>
        <v>1</v>
      </c>
      <c r="O1700" s="539">
        <f ca="1">IFERROR(__xludf.DUMMYFUNCTION("""COMPUTED_VALUE"""),0)</f>
        <v>0</v>
      </c>
    </row>
    <row r="1701" spans="1:15" ht="12.75">
      <c r="A1701" s="539">
        <f ca="1"/>
        <v>1695</v>
      </c>
      <c r="B1701" s="35" t="str">
        <f ca="1">IFERROR(__xludf.DUMMYFUNCTION("""COMPUTED_VALUE"""),"Tổ Hạ tầng Tân Ninh")</f>
        <v>Tổ Hạ tầng Tân Ninh</v>
      </c>
      <c r="C1701" s="35" t="str">
        <f ca="1">IFERROR(__xludf.DUMMYFUNCTION("""COMPUTED_VALUE"""),"Nguyễn Hữu Khương")</f>
        <v>Nguyễn Hữu Khương</v>
      </c>
      <c r="D1701" s="543" t="str">
        <f ca="1">IFERROR(__xludf.DUMMYFUNCTION("""COMPUTED_VALUE"""),"0916755759")</f>
        <v>0916755759</v>
      </c>
      <c r="E1701" s="35" t="str">
        <f ca="1">IFERROR(__xludf.DUMMYFUNCTION("""COMPUTED_VALUE"""),"nhkhuong.tnh@vnpt.vn")</f>
        <v>nhkhuong.tnh@vnpt.vn</v>
      </c>
      <c r="F1701" s="540" t="str">
        <f ca="1">IFERROR(__xludf.DUMMYFUNCTION("""COMPUTED_VALUE"""),"Lần 15")</f>
        <v>Lần 15</v>
      </c>
      <c r="G1701" s="545">
        <f ca="1">IFERROR(__xludf.DUMMYFUNCTION("""COMPUTED_VALUE"""),46215)</f>
        <v>46215</v>
      </c>
      <c r="H1701" s="35">
        <f ca="1">IFERROR(__xludf.DUMMYFUNCTION("""COMPUTED_VALUE"""),76.7)</f>
        <v>76.7</v>
      </c>
      <c r="I1701" s="35">
        <f ca="1">IFERROR(__xludf.DUMMYFUNCTION("""COMPUTED_VALUE"""),46.5)</f>
        <v>46.5</v>
      </c>
      <c r="J1701" s="35">
        <f ca="1">IFERROR(__xludf.DUMMYFUNCTION("""COMPUTED_VALUE"""),79.2)</f>
        <v>79.2</v>
      </c>
      <c r="K1701" s="35">
        <f ca="1">IFERROR(__xludf.DUMMYFUNCTION("""COMPUTED_VALUE"""),50.3)</f>
        <v>50.3</v>
      </c>
      <c r="M1701" s="539">
        <f ca="1">IFERROR(__xludf.DUMMYFUNCTION("""COMPUTED_VALUE"""),1)</f>
        <v>1</v>
      </c>
      <c r="N1701" s="539">
        <f ca="1">IFERROR(__xludf.DUMMYFUNCTION("""COMPUTED_VALUE"""),1)</f>
        <v>1</v>
      </c>
      <c r="O1701" s="539">
        <f ca="1">IFERROR(__xludf.DUMMYFUNCTION("""COMPUTED_VALUE"""),0)</f>
        <v>0</v>
      </c>
    </row>
    <row r="1702" spans="1:15" ht="12.75">
      <c r="A1702" s="539">
        <f ca="1"/>
        <v>1696</v>
      </c>
      <c r="B1702" s="35" t="str">
        <f ca="1">IFERROR(__xludf.DUMMYFUNCTION("""COMPUTED_VALUE"""),"Tổ Hạ tầng Tân Ninh")</f>
        <v>Tổ Hạ tầng Tân Ninh</v>
      </c>
      <c r="C1702" s="35" t="str">
        <f ca="1">IFERROR(__xludf.DUMMYFUNCTION("""COMPUTED_VALUE"""),"Nguyễn Hữu Khương")</f>
        <v>Nguyễn Hữu Khương</v>
      </c>
      <c r="D1702" s="543" t="str">
        <f ca="1">IFERROR(__xludf.DUMMYFUNCTION("""COMPUTED_VALUE"""),"0916755759")</f>
        <v>0916755759</v>
      </c>
      <c r="E1702" s="35" t="str">
        <f ca="1">IFERROR(__xludf.DUMMYFUNCTION("""COMPUTED_VALUE"""),"nhkhuong.tnh@vnpt.vn")</f>
        <v>nhkhuong.tnh@vnpt.vn</v>
      </c>
      <c r="F1702" s="540" t="str">
        <f ca="1">IFERROR(__xludf.DUMMYFUNCTION("""COMPUTED_VALUE"""),"Lần 16")</f>
        <v>Lần 16</v>
      </c>
      <c r="G1702" s="545">
        <f ca="1">IFERROR(__xludf.DUMMYFUNCTION("""COMPUTED_VALUE"""),46215)</f>
        <v>46215</v>
      </c>
      <c r="H1702" s="35">
        <f ca="1">IFERROR(__xludf.DUMMYFUNCTION("""COMPUTED_VALUE"""),77.3)</f>
        <v>77.3</v>
      </c>
      <c r="I1702" s="35">
        <f ca="1">IFERROR(__xludf.DUMMYFUNCTION("""COMPUTED_VALUE"""),53.2)</f>
        <v>53.2</v>
      </c>
      <c r="J1702" s="35">
        <f ca="1">IFERROR(__xludf.DUMMYFUNCTION("""COMPUTED_VALUE"""),81.5)</f>
        <v>81.5</v>
      </c>
      <c r="K1702" s="35">
        <f ca="1">IFERROR(__xludf.DUMMYFUNCTION("""COMPUTED_VALUE"""),42.8)</f>
        <v>42.8</v>
      </c>
      <c r="M1702" s="539">
        <f ca="1">IFERROR(__xludf.DUMMYFUNCTION("""COMPUTED_VALUE"""),1)</f>
        <v>1</v>
      </c>
      <c r="N1702" s="539">
        <f ca="1">IFERROR(__xludf.DUMMYFUNCTION("""COMPUTED_VALUE"""),1)</f>
        <v>1</v>
      </c>
      <c r="O1702" s="539">
        <f ca="1">IFERROR(__xludf.DUMMYFUNCTION("""COMPUTED_VALUE"""),0)</f>
        <v>0</v>
      </c>
    </row>
    <row r="1703" spans="1:15" ht="12.75">
      <c r="A1703" s="539" t="str">
        <v/>
      </c>
      <c r="M1703" s="539"/>
      <c r="N1703" s="539"/>
      <c r="O1703" s="539"/>
    </row>
    <row r="1704" spans="1:15" ht="12.75">
      <c r="A1704" s="539" t="str">
        <v/>
      </c>
      <c r="M1704" s="539"/>
      <c r="N1704" s="539"/>
      <c r="O1704" s="539"/>
    </row>
    <row r="1705" spans="1:15" ht="12.75">
      <c r="A1705" s="539" t="str">
        <v/>
      </c>
      <c r="M1705" s="539"/>
      <c r="N1705" s="539"/>
      <c r="O1705" s="539"/>
    </row>
    <row r="1706" spans="1:15" ht="12.75">
      <c r="A1706" s="539" t="str">
        <v/>
      </c>
      <c r="M1706" s="539"/>
      <c r="N1706" s="539"/>
      <c r="O1706" s="539"/>
    </row>
    <row r="1707" spans="1:15" ht="12.75">
      <c r="A1707" s="539" t="str">
        <v/>
      </c>
      <c r="M1707" s="539"/>
      <c r="N1707" s="539"/>
      <c r="O1707" s="539"/>
    </row>
    <row r="1708" spans="1:15" ht="12.75">
      <c r="A1708" s="539" t="str">
        <v/>
      </c>
      <c r="M1708" s="539"/>
      <c r="N1708" s="539"/>
      <c r="O1708" s="539"/>
    </row>
    <row r="1709" spans="1:15" ht="12.75">
      <c r="A1709" s="539" t="str">
        <v/>
      </c>
      <c r="M1709" s="539"/>
      <c r="N1709" s="539"/>
      <c r="O1709" s="539"/>
    </row>
    <row r="1710" spans="1:15" ht="12.75">
      <c r="A1710" s="539" t="str">
        <v/>
      </c>
      <c r="M1710" s="539"/>
      <c r="N1710" s="539"/>
      <c r="O1710" s="539"/>
    </row>
    <row r="1711" spans="1:15" ht="12.75">
      <c r="A1711" s="539" t="str">
        <v/>
      </c>
      <c r="M1711" s="539"/>
      <c r="N1711" s="539"/>
      <c r="O1711" s="539"/>
    </row>
    <row r="1712" spans="1:15" ht="12.75">
      <c r="A1712" s="539" t="str">
        <v/>
      </c>
      <c r="M1712" s="539"/>
      <c r="N1712" s="539"/>
      <c r="O1712" s="539"/>
    </row>
    <row r="1713" spans="1:15" ht="12.75">
      <c r="A1713" s="539" t="str">
        <v/>
      </c>
      <c r="M1713" s="539"/>
      <c r="N1713" s="539"/>
      <c r="O1713" s="539"/>
    </row>
    <row r="1714" spans="1:15" ht="12.75">
      <c r="A1714" s="539" t="str">
        <v/>
      </c>
      <c r="M1714" s="539"/>
      <c r="N1714" s="539"/>
      <c r="O1714" s="539"/>
    </row>
    <row r="1715" spans="1:15" ht="12.75">
      <c r="A1715" s="539" t="str">
        <v/>
      </c>
      <c r="M1715" s="539"/>
      <c r="N1715" s="539"/>
      <c r="O1715" s="539"/>
    </row>
    <row r="1716" spans="1:15" ht="12.75">
      <c r="A1716" s="539" t="str">
        <v/>
      </c>
      <c r="M1716" s="539"/>
      <c r="N1716" s="539"/>
      <c r="O1716" s="539"/>
    </row>
    <row r="1717" spans="1:15" ht="12.75">
      <c r="A1717" s="539" t="str">
        <v/>
      </c>
      <c r="M1717" s="539"/>
      <c r="N1717" s="539"/>
      <c r="O1717" s="539"/>
    </row>
    <row r="1718" spans="1:15" ht="12.75">
      <c r="A1718" s="539" t="str">
        <v/>
      </c>
      <c r="M1718" s="539"/>
      <c r="N1718" s="539"/>
      <c r="O1718" s="539"/>
    </row>
    <row r="1719" spans="1:15" ht="12.75">
      <c r="A1719" s="539" t="str">
        <v/>
      </c>
      <c r="M1719" s="539"/>
      <c r="N1719" s="539"/>
      <c r="O1719" s="539"/>
    </row>
    <row r="1720" spans="1:15" ht="12.75">
      <c r="A1720" s="539" t="str">
        <v/>
      </c>
      <c r="M1720" s="539"/>
      <c r="N1720" s="539"/>
      <c r="O1720" s="539"/>
    </row>
    <row r="1721" spans="1:15" ht="12.75">
      <c r="A1721" s="539" t="str">
        <v/>
      </c>
      <c r="M1721" s="539"/>
      <c r="N1721" s="539"/>
      <c r="O1721" s="539"/>
    </row>
    <row r="1722" spans="1:15" ht="12.75">
      <c r="A1722" s="539" t="str">
        <v/>
      </c>
      <c r="M1722" s="539"/>
      <c r="N1722" s="539"/>
      <c r="O1722" s="539"/>
    </row>
    <row r="1723" spans="1:15" ht="12.75">
      <c r="A1723" s="539" t="str">
        <v/>
      </c>
      <c r="M1723" s="539"/>
      <c r="N1723" s="539"/>
      <c r="O1723" s="539"/>
    </row>
    <row r="1724" spans="1:15" ht="12.75">
      <c r="A1724" s="539" t="str">
        <v/>
      </c>
      <c r="M1724" s="539"/>
      <c r="N1724" s="539"/>
      <c r="O1724" s="539"/>
    </row>
    <row r="1725" spans="1:15" ht="12.75">
      <c r="A1725" s="539" t="str">
        <v/>
      </c>
      <c r="M1725" s="539"/>
      <c r="N1725" s="539"/>
      <c r="O1725" s="539"/>
    </row>
    <row r="1726" spans="1:15" ht="12.75">
      <c r="A1726" s="539" t="str">
        <v/>
      </c>
      <c r="M1726" s="539"/>
      <c r="N1726" s="539"/>
      <c r="O1726" s="539"/>
    </row>
    <row r="1727" spans="1:15" ht="12.75">
      <c r="A1727" s="539" t="str">
        <v/>
      </c>
      <c r="M1727" s="539"/>
      <c r="N1727" s="539"/>
      <c r="O1727" s="539"/>
    </row>
    <row r="1728" spans="1:15" ht="12.75">
      <c r="A1728" s="539" t="str">
        <v/>
      </c>
      <c r="M1728" s="539"/>
      <c r="N1728" s="539"/>
      <c r="O1728" s="539"/>
    </row>
    <row r="1729" spans="1:15" ht="12.75">
      <c r="A1729" s="539" t="str">
        <v/>
      </c>
      <c r="M1729" s="539"/>
      <c r="N1729" s="539"/>
      <c r="O1729" s="539"/>
    </row>
    <row r="1730" spans="1:15" ht="12.75">
      <c r="A1730" s="539" t="str">
        <v/>
      </c>
      <c r="M1730" s="539"/>
      <c r="N1730" s="539"/>
      <c r="O1730" s="539"/>
    </row>
    <row r="1731" spans="1:15" ht="12.75">
      <c r="A1731" s="539" t="str">
        <v/>
      </c>
      <c r="M1731" s="539"/>
      <c r="N1731" s="539"/>
      <c r="O1731" s="539"/>
    </row>
    <row r="1732" spans="1:15" ht="12.75">
      <c r="A1732" s="539" t="str">
        <v/>
      </c>
      <c r="M1732" s="539"/>
      <c r="N1732" s="539"/>
      <c r="O1732" s="539"/>
    </row>
    <row r="1733" spans="1:15" ht="12.75">
      <c r="A1733" s="539" t="str">
        <v/>
      </c>
      <c r="M1733" s="539"/>
      <c r="N1733" s="539"/>
      <c r="O1733" s="539"/>
    </row>
    <row r="1734" spans="1:15" ht="12.75">
      <c r="A1734" s="539" t="str">
        <v/>
      </c>
      <c r="M1734" s="539"/>
      <c r="N1734" s="539"/>
      <c r="O1734" s="539"/>
    </row>
    <row r="1735" spans="1:15" ht="12.75">
      <c r="A1735" s="539" t="str">
        <v/>
      </c>
      <c r="M1735" s="539"/>
      <c r="N1735" s="539"/>
      <c r="O1735" s="539"/>
    </row>
    <row r="1736" spans="1:15" ht="12.75">
      <c r="A1736" s="539" t="str">
        <v/>
      </c>
      <c r="M1736" s="539"/>
      <c r="N1736" s="539"/>
      <c r="O1736" s="539"/>
    </row>
    <row r="1737" spans="1:15" ht="12.75">
      <c r="A1737" s="539" t="str">
        <v/>
      </c>
      <c r="M1737" s="539"/>
      <c r="N1737" s="539"/>
      <c r="O1737" s="539"/>
    </row>
    <row r="1738" spans="1:15" ht="12.75">
      <c r="A1738" s="539" t="str">
        <v/>
      </c>
      <c r="M1738" s="539"/>
      <c r="N1738" s="539"/>
      <c r="O1738" s="539"/>
    </row>
    <row r="1739" spans="1:15" ht="12.75">
      <c r="A1739" s="539" t="str">
        <v/>
      </c>
      <c r="M1739" s="539"/>
      <c r="N1739" s="539"/>
      <c r="O1739" s="539"/>
    </row>
    <row r="1740" spans="1:15" ht="12.75">
      <c r="A1740" s="539" t="str">
        <v/>
      </c>
      <c r="M1740" s="539"/>
      <c r="N1740" s="539"/>
      <c r="O1740" s="539"/>
    </row>
    <row r="1741" spans="1:15" ht="12.75">
      <c r="A1741" s="539" t="str">
        <v/>
      </c>
      <c r="M1741" s="539"/>
      <c r="N1741" s="539"/>
      <c r="O1741" s="539"/>
    </row>
    <row r="1742" spans="1:15" ht="12.75">
      <c r="A1742" s="539" t="str">
        <v/>
      </c>
      <c r="M1742" s="539"/>
      <c r="N1742" s="539"/>
      <c r="O1742" s="539"/>
    </row>
    <row r="1743" spans="1:15" ht="12.75">
      <c r="A1743" s="539" t="str">
        <v/>
      </c>
      <c r="M1743" s="539"/>
      <c r="N1743" s="539"/>
      <c r="O1743" s="539"/>
    </row>
    <row r="1744" spans="1:15" ht="12.75">
      <c r="A1744" s="539" t="str">
        <v/>
      </c>
      <c r="M1744" s="539"/>
      <c r="N1744" s="539"/>
      <c r="O1744" s="539"/>
    </row>
    <row r="1745" spans="1:15" ht="12.75">
      <c r="A1745" s="539" t="str">
        <v/>
      </c>
      <c r="M1745" s="539"/>
      <c r="N1745" s="539"/>
      <c r="O1745" s="539"/>
    </row>
    <row r="1746" spans="1:15" ht="12.75">
      <c r="A1746" s="539" t="str">
        <v/>
      </c>
      <c r="M1746" s="539"/>
      <c r="N1746" s="539"/>
      <c r="O1746" s="539"/>
    </row>
    <row r="1747" spans="1:15" ht="12.75">
      <c r="A1747" s="539" t="str">
        <v/>
      </c>
      <c r="M1747" s="539"/>
      <c r="N1747" s="539"/>
      <c r="O1747" s="539"/>
    </row>
    <row r="1748" spans="1:15" ht="12.75">
      <c r="A1748" s="539" t="str">
        <v/>
      </c>
      <c r="M1748" s="539"/>
      <c r="N1748" s="539"/>
      <c r="O1748" s="539"/>
    </row>
    <row r="1749" spans="1:15" ht="12.75">
      <c r="A1749" s="539" t="str">
        <v/>
      </c>
      <c r="M1749" s="539"/>
      <c r="N1749" s="539"/>
      <c r="O1749" s="539"/>
    </row>
    <row r="1750" spans="1:15" ht="12.75">
      <c r="A1750" s="539" t="str">
        <v/>
      </c>
      <c r="M1750" s="539"/>
      <c r="N1750" s="539"/>
      <c r="O1750" s="539"/>
    </row>
    <row r="1751" spans="1:15" ht="12.75">
      <c r="A1751" s="539" t="str">
        <v/>
      </c>
      <c r="M1751" s="539"/>
      <c r="N1751" s="539"/>
      <c r="O1751" s="539"/>
    </row>
    <row r="1752" spans="1:15" ht="12.75">
      <c r="A1752" s="539" t="str">
        <v/>
      </c>
      <c r="M1752" s="539"/>
      <c r="N1752" s="539"/>
      <c r="O1752" s="539"/>
    </row>
    <row r="1753" spans="1:15" ht="12.75">
      <c r="A1753" s="539" t="str">
        <v/>
      </c>
      <c r="M1753" s="539"/>
      <c r="N1753" s="539"/>
      <c r="O1753" s="539"/>
    </row>
    <row r="1754" spans="1:15" ht="12.75">
      <c r="A1754" s="539" t="str">
        <v/>
      </c>
      <c r="M1754" s="539"/>
      <c r="N1754" s="539"/>
      <c r="O1754" s="539"/>
    </row>
    <row r="1755" spans="1:15" ht="12.75">
      <c r="A1755" s="539" t="str">
        <v/>
      </c>
      <c r="M1755" s="539"/>
      <c r="N1755" s="539"/>
      <c r="O1755" s="539"/>
    </row>
    <row r="1756" spans="1:15" ht="12.75">
      <c r="A1756" s="539" t="str">
        <v/>
      </c>
      <c r="M1756" s="539"/>
      <c r="N1756" s="539"/>
      <c r="O1756" s="539"/>
    </row>
    <row r="1757" spans="1:15" ht="12.75">
      <c r="A1757" s="539" t="str">
        <v/>
      </c>
      <c r="M1757" s="539"/>
      <c r="N1757" s="539"/>
      <c r="O1757" s="539"/>
    </row>
    <row r="1758" spans="1:15" ht="12.75">
      <c r="A1758" s="539" t="str">
        <v/>
      </c>
      <c r="M1758" s="539"/>
      <c r="N1758" s="539"/>
      <c r="O1758" s="539"/>
    </row>
    <row r="1759" spans="1:15" ht="12.75">
      <c r="A1759" s="539" t="str">
        <v/>
      </c>
      <c r="M1759" s="539"/>
      <c r="N1759" s="539"/>
      <c r="O1759" s="539"/>
    </row>
    <row r="1760" spans="1:15" ht="12.75">
      <c r="A1760" s="539" t="str">
        <v/>
      </c>
      <c r="M1760" s="539"/>
      <c r="N1760" s="539"/>
      <c r="O1760" s="539"/>
    </row>
    <row r="1761" spans="1:15" ht="12.75">
      <c r="A1761" s="539" t="str">
        <v/>
      </c>
      <c r="M1761" s="539"/>
      <c r="N1761" s="539"/>
      <c r="O1761" s="539"/>
    </row>
    <row r="1762" spans="1:15" ht="12.75">
      <c r="A1762" s="539" t="str">
        <v/>
      </c>
      <c r="M1762" s="539"/>
      <c r="N1762" s="539"/>
      <c r="O1762" s="539"/>
    </row>
    <row r="1763" spans="1:15" ht="12.75">
      <c r="A1763" s="539" t="str">
        <v/>
      </c>
      <c r="M1763" s="539"/>
      <c r="N1763" s="539"/>
      <c r="O1763" s="539"/>
    </row>
    <row r="1764" spans="1:15" ht="12.75">
      <c r="A1764" s="539" t="str">
        <v/>
      </c>
      <c r="M1764" s="539"/>
      <c r="N1764" s="539"/>
      <c r="O1764" s="539"/>
    </row>
    <row r="1765" spans="1:15" ht="12.75">
      <c r="A1765" s="539" t="str">
        <v/>
      </c>
      <c r="M1765" s="539"/>
      <c r="N1765" s="539"/>
      <c r="O1765" s="539"/>
    </row>
    <row r="1766" spans="1:15" ht="12.75">
      <c r="A1766" s="539" t="str">
        <v/>
      </c>
      <c r="M1766" s="539"/>
      <c r="N1766" s="539"/>
      <c r="O1766" s="539"/>
    </row>
    <row r="1767" spans="1:15" ht="12.75">
      <c r="A1767" s="539" t="str">
        <v/>
      </c>
      <c r="M1767" s="539"/>
      <c r="N1767" s="539"/>
      <c r="O1767" s="539"/>
    </row>
    <row r="1768" spans="1:15" ht="12.75">
      <c r="A1768" s="539" t="str">
        <v/>
      </c>
      <c r="M1768" s="539"/>
      <c r="N1768" s="539"/>
      <c r="O1768" s="539"/>
    </row>
    <row r="1769" spans="1:15" ht="12.75">
      <c r="A1769" s="539" t="str">
        <v/>
      </c>
      <c r="M1769" s="539"/>
      <c r="N1769" s="539"/>
      <c r="O1769" s="539"/>
    </row>
    <row r="1770" spans="1:15" ht="12.75">
      <c r="A1770" s="539" t="str">
        <v/>
      </c>
      <c r="M1770" s="539"/>
      <c r="N1770" s="539"/>
      <c r="O1770" s="539"/>
    </row>
    <row r="1771" spans="1:15" ht="12.75">
      <c r="A1771" s="539" t="str">
        <v/>
      </c>
      <c r="M1771" s="539"/>
      <c r="N1771" s="539"/>
      <c r="O1771" s="539"/>
    </row>
    <row r="1772" spans="1:15" ht="12.75">
      <c r="A1772" s="539" t="str">
        <v/>
      </c>
      <c r="M1772" s="539"/>
      <c r="N1772" s="539"/>
      <c r="O1772" s="539"/>
    </row>
    <row r="1773" spans="1:15" ht="12.75">
      <c r="A1773" s="539" t="str">
        <v/>
      </c>
      <c r="M1773" s="539"/>
      <c r="N1773" s="539"/>
      <c r="O1773" s="539"/>
    </row>
    <row r="1774" spans="1:15" ht="12.75">
      <c r="A1774" s="539" t="str">
        <v/>
      </c>
      <c r="M1774" s="539"/>
      <c r="N1774" s="539"/>
      <c r="O1774" s="539"/>
    </row>
    <row r="1775" spans="1:15" ht="12.75">
      <c r="A1775" s="539" t="str">
        <v/>
      </c>
      <c r="M1775" s="539"/>
      <c r="N1775" s="539"/>
      <c r="O1775" s="539"/>
    </row>
    <row r="1776" spans="1:15" ht="12.75">
      <c r="A1776" s="539" t="str">
        <v/>
      </c>
      <c r="M1776" s="539"/>
      <c r="N1776" s="539"/>
      <c r="O1776" s="539"/>
    </row>
    <row r="1777" spans="1:15" ht="12.75">
      <c r="A1777" s="539" t="str">
        <v/>
      </c>
      <c r="M1777" s="539"/>
      <c r="N1777" s="539"/>
      <c r="O1777" s="539"/>
    </row>
    <row r="1778" spans="1:15" ht="12.75">
      <c r="A1778" s="539" t="str">
        <v/>
      </c>
      <c r="M1778" s="539"/>
      <c r="N1778" s="539"/>
      <c r="O1778" s="539"/>
    </row>
    <row r="1779" spans="1:15" ht="12.75">
      <c r="A1779" s="539" t="str">
        <v/>
      </c>
      <c r="M1779" s="539"/>
      <c r="N1779" s="539"/>
      <c r="O1779" s="539"/>
    </row>
    <row r="1780" spans="1:15" ht="12.75">
      <c r="A1780" s="539" t="str">
        <v/>
      </c>
      <c r="M1780" s="539"/>
      <c r="N1780" s="539"/>
      <c r="O1780" s="539"/>
    </row>
    <row r="1781" spans="1:15" ht="12.75">
      <c r="A1781" s="539" t="str">
        <v/>
      </c>
      <c r="M1781" s="539"/>
      <c r="N1781" s="539"/>
      <c r="O1781" s="539"/>
    </row>
    <row r="1782" spans="1:15" ht="12.75">
      <c r="A1782" s="539" t="str">
        <v/>
      </c>
      <c r="M1782" s="539"/>
      <c r="N1782" s="539"/>
      <c r="O1782" s="539"/>
    </row>
    <row r="1783" spans="1:15" ht="12.75">
      <c r="A1783" s="539" t="str">
        <v/>
      </c>
      <c r="M1783" s="539"/>
      <c r="N1783" s="539"/>
      <c r="O1783" s="539"/>
    </row>
    <row r="1784" spans="1:15" ht="12.75">
      <c r="A1784" s="539" t="str">
        <v/>
      </c>
      <c r="M1784" s="539"/>
      <c r="N1784" s="539"/>
      <c r="O1784" s="539"/>
    </row>
    <row r="1785" spans="1:15" ht="12.75">
      <c r="A1785" s="539" t="str">
        <v/>
      </c>
      <c r="M1785" s="539"/>
      <c r="N1785" s="539"/>
      <c r="O1785" s="539"/>
    </row>
    <row r="1786" spans="1:15" ht="12.75">
      <c r="A1786" s="539" t="str">
        <v/>
      </c>
      <c r="M1786" s="539"/>
      <c r="N1786" s="539"/>
      <c r="O1786" s="539"/>
    </row>
    <row r="1787" spans="1:15" ht="12.75">
      <c r="A1787" s="539" t="str">
        <v/>
      </c>
      <c r="M1787" s="539"/>
      <c r="N1787" s="539"/>
      <c r="O1787" s="539"/>
    </row>
    <row r="1788" spans="1:15" ht="12.75">
      <c r="A1788" s="539" t="str">
        <v/>
      </c>
      <c r="M1788" s="539"/>
      <c r="N1788" s="539"/>
      <c r="O1788" s="539"/>
    </row>
    <row r="1789" spans="1:15" ht="12.75">
      <c r="A1789" s="539" t="str">
        <v/>
      </c>
      <c r="M1789" s="539"/>
      <c r="N1789" s="539"/>
      <c r="O1789" s="539"/>
    </row>
    <row r="1790" spans="1:15" ht="12.75">
      <c r="A1790" s="539" t="str">
        <v/>
      </c>
      <c r="M1790" s="539"/>
      <c r="N1790" s="539"/>
      <c r="O1790" s="539"/>
    </row>
    <row r="1791" spans="1:15" ht="12.75">
      <c r="A1791" s="539" t="str">
        <v/>
      </c>
      <c r="M1791" s="539"/>
      <c r="N1791" s="539"/>
      <c r="O1791" s="539"/>
    </row>
    <row r="1792" spans="1:15" ht="12.75">
      <c r="A1792" s="539" t="str">
        <v/>
      </c>
      <c r="M1792" s="539"/>
      <c r="N1792" s="539"/>
      <c r="O1792" s="539"/>
    </row>
    <row r="1793" spans="1:15" ht="12.75">
      <c r="A1793" s="539" t="str">
        <v/>
      </c>
      <c r="M1793" s="539"/>
      <c r="N1793" s="539"/>
      <c r="O1793" s="539"/>
    </row>
    <row r="1794" spans="1:15" ht="12.75">
      <c r="A1794" s="539" t="str">
        <v/>
      </c>
      <c r="M1794" s="539"/>
      <c r="N1794" s="539"/>
      <c r="O1794" s="539"/>
    </row>
    <row r="1795" spans="1:15" ht="12.75">
      <c r="A1795" s="539" t="str">
        <v/>
      </c>
      <c r="M1795" s="539"/>
      <c r="N1795" s="539"/>
      <c r="O1795" s="539"/>
    </row>
    <row r="1796" spans="1:15" ht="12.75">
      <c r="A1796" s="539" t="str">
        <v/>
      </c>
      <c r="M1796" s="539"/>
      <c r="N1796" s="539"/>
      <c r="O1796" s="539"/>
    </row>
    <row r="1797" spans="1:15" ht="12.75">
      <c r="A1797" s="539" t="str">
        <v/>
      </c>
      <c r="M1797" s="539"/>
      <c r="N1797" s="539"/>
      <c r="O1797" s="539"/>
    </row>
    <row r="1798" spans="1:15" ht="12.75">
      <c r="A1798" s="539" t="str">
        <v/>
      </c>
      <c r="M1798" s="539"/>
      <c r="N1798" s="539"/>
      <c r="O1798" s="539"/>
    </row>
    <row r="1799" spans="1:15" ht="12.75">
      <c r="A1799" s="539" t="str">
        <v/>
      </c>
      <c r="M1799" s="539"/>
      <c r="N1799" s="539"/>
      <c r="O1799" s="539"/>
    </row>
    <row r="1800" spans="1:15" ht="12.75">
      <c r="A1800" s="539" t="str">
        <v/>
      </c>
      <c r="M1800" s="539"/>
      <c r="N1800" s="539"/>
      <c r="O1800" s="539"/>
    </row>
    <row r="1801" spans="1:15" ht="12.75">
      <c r="A1801" s="539" t="str">
        <v/>
      </c>
      <c r="M1801" s="539"/>
      <c r="N1801" s="539"/>
      <c r="O1801" s="539"/>
    </row>
    <row r="1802" spans="1:15" ht="12.75">
      <c r="A1802" s="539" t="str">
        <v/>
      </c>
      <c r="M1802" s="539"/>
      <c r="N1802" s="539"/>
      <c r="O1802" s="539"/>
    </row>
    <row r="1803" spans="1:15" ht="12.75">
      <c r="A1803" s="539" t="str">
        <v/>
      </c>
      <c r="M1803" s="539"/>
      <c r="N1803" s="539"/>
      <c r="O1803" s="539"/>
    </row>
    <row r="1804" spans="1:15" ht="12.75">
      <c r="A1804" s="539" t="str">
        <v/>
      </c>
      <c r="M1804" s="539"/>
      <c r="N1804" s="539"/>
      <c r="O1804" s="539"/>
    </row>
    <row r="1805" spans="1:15" ht="12.75">
      <c r="A1805" s="539" t="str">
        <v/>
      </c>
      <c r="M1805" s="539"/>
      <c r="N1805" s="539"/>
      <c r="O1805" s="539"/>
    </row>
    <row r="1806" spans="1:15" ht="12.75">
      <c r="A1806" s="539" t="str">
        <v/>
      </c>
      <c r="M1806" s="539"/>
      <c r="N1806" s="539"/>
      <c r="O1806" s="539"/>
    </row>
    <row r="1807" spans="1:15" ht="12.75">
      <c r="A1807" s="539" t="str">
        <v/>
      </c>
      <c r="M1807" s="539"/>
      <c r="N1807" s="539"/>
      <c r="O1807" s="539"/>
    </row>
    <row r="1808" spans="1:15" ht="12.75">
      <c r="A1808" s="539" t="str">
        <v/>
      </c>
      <c r="M1808" s="539"/>
      <c r="N1808" s="539"/>
      <c r="O1808" s="539"/>
    </row>
    <row r="1809" spans="1:15" ht="12.75">
      <c r="A1809" s="539" t="str">
        <v/>
      </c>
      <c r="M1809" s="539"/>
      <c r="N1809" s="539"/>
      <c r="O1809" s="539"/>
    </row>
    <row r="1810" spans="1:15" ht="12.75">
      <c r="A1810" s="539" t="str">
        <v/>
      </c>
      <c r="M1810" s="539"/>
      <c r="N1810" s="539"/>
      <c r="O1810" s="539"/>
    </row>
    <row r="1811" spans="1:15" ht="12.75">
      <c r="A1811" s="539" t="str">
        <v/>
      </c>
      <c r="M1811" s="539"/>
      <c r="N1811" s="539"/>
      <c r="O1811" s="539"/>
    </row>
    <row r="1812" spans="1:15" ht="12.75">
      <c r="A1812" s="539" t="str">
        <v/>
      </c>
      <c r="M1812" s="539"/>
      <c r="N1812" s="539"/>
      <c r="O1812" s="539"/>
    </row>
    <row r="1813" spans="1:15" ht="12.75">
      <c r="A1813" s="539" t="str">
        <v/>
      </c>
      <c r="M1813" s="539"/>
      <c r="N1813" s="539"/>
      <c r="O1813" s="539"/>
    </row>
    <row r="1814" spans="1:15" ht="12.75">
      <c r="A1814" s="539" t="str">
        <v/>
      </c>
      <c r="M1814" s="539"/>
      <c r="N1814" s="539"/>
      <c r="O1814" s="539"/>
    </row>
    <row r="1815" spans="1:15" ht="12.75">
      <c r="A1815" s="539" t="str">
        <v/>
      </c>
      <c r="M1815" s="539"/>
      <c r="N1815" s="539"/>
      <c r="O1815" s="539"/>
    </row>
    <row r="1816" spans="1:15" ht="12.75">
      <c r="A1816" s="539" t="str">
        <v/>
      </c>
      <c r="M1816" s="539"/>
      <c r="N1816" s="539"/>
      <c r="O1816" s="539"/>
    </row>
    <row r="1817" spans="1:15" ht="12.75">
      <c r="A1817" s="539" t="str">
        <v/>
      </c>
      <c r="M1817" s="539"/>
      <c r="N1817" s="539"/>
      <c r="O1817" s="539"/>
    </row>
    <row r="1818" spans="1:15" ht="12.75">
      <c r="A1818" s="539" t="str">
        <v/>
      </c>
      <c r="M1818" s="539"/>
      <c r="N1818" s="539"/>
      <c r="O1818" s="539"/>
    </row>
    <row r="1819" spans="1:15" ht="12.75">
      <c r="A1819" s="539" t="str">
        <v/>
      </c>
      <c r="M1819" s="539"/>
      <c r="N1819" s="539"/>
      <c r="O1819" s="539"/>
    </row>
    <row r="1820" spans="1:15" ht="12.75">
      <c r="A1820" s="539" t="str">
        <v/>
      </c>
      <c r="M1820" s="539"/>
      <c r="N1820" s="539"/>
      <c r="O1820" s="539"/>
    </row>
    <row r="1821" spans="1:15" ht="12.75">
      <c r="A1821" s="539" t="str">
        <v/>
      </c>
      <c r="M1821" s="539"/>
      <c r="N1821" s="539"/>
      <c r="O1821" s="539"/>
    </row>
    <row r="1822" spans="1:15" ht="12.75">
      <c r="A1822" s="539" t="str">
        <v/>
      </c>
      <c r="M1822" s="539"/>
      <c r="N1822" s="539"/>
      <c r="O1822" s="539"/>
    </row>
    <row r="1823" spans="1:15" ht="12.75">
      <c r="A1823" s="539" t="str">
        <v/>
      </c>
      <c r="M1823" s="539"/>
      <c r="N1823" s="539"/>
      <c r="O1823" s="539"/>
    </row>
    <row r="1824" spans="1:15" ht="12.75">
      <c r="A1824" s="539" t="str">
        <v/>
      </c>
      <c r="M1824" s="539"/>
      <c r="N1824" s="539"/>
      <c r="O1824" s="539"/>
    </row>
    <row r="1825" spans="1:15" ht="12.75">
      <c r="A1825" s="539" t="str">
        <v/>
      </c>
      <c r="M1825" s="539"/>
      <c r="N1825" s="539"/>
      <c r="O1825" s="539"/>
    </row>
    <row r="1826" spans="1:15" ht="12.75">
      <c r="A1826" s="539" t="str">
        <v/>
      </c>
      <c r="M1826" s="539"/>
      <c r="N1826" s="539"/>
      <c r="O1826" s="539"/>
    </row>
    <row r="1827" spans="1:15" ht="12.75">
      <c r="A1827" s="539" t="str">
        <v/>
      </c>
      <c r="M1827" s="539"/>
      <c r="N1827" s="539"/>
      <c r="O1827" s="539"/>
    </row>
    <row r="1828" spans="1:15" ht="12.75">
      <c r="A1828" s="539" t="str">
        <v/>
      </c>
      <c r="M1828" s="539"/>
      <c r="N1828" s="539"/>
      <c r="O1828" s="539"/>
    </row>
    <row r="1829" spans="1:15" ht="12.75">
      <c r="A1829" s="539" t="str">
        <v/>
      </c>
      <c r="M1829" s="539"/>
      <c r="N1829" s="539"/>
      <c r="O1829" s="539"/>
    </row>
    <row r="1830" spans="1:15" ht="12.75">
      <c r="A1830" s="539" t="str">
        <v/>
      </c>
      <c r="M1830" s="539"/>
      <c r="N1830" s="539"/>
      <c r="O1830" s="539"/>
    </row>
    <row r="1831" spans="1:15" ht="12.75">
      <c r="A1831" s="539" t="str">
        <v/>
      </c>
      <c r="M1831" s="539"/>
      <c r="N1831" s="539"/>
      <c r="O1831" s="539"/>
    </row>
    <row r="1832" spans="1:15" ht="12.75">
      <c r="A1832" s="539" t="str">
        <v/>
      </c>
      <c r="M1832" s="539"/>
      <c r="N1832" s="539"/>
      <c r="O1832" s="539"/>
    </row>
    <row r="1833" spans="1:15" ht="12.75">
      <c r="A1833" s="539" t="str">
        <v/>
      </c>
      <c r="M1833" s="539"/>
      <c r="N1833" s="539"/>
      <c r="O1833" s="539"/>
    </row>
    <row r="1834" spans="1:15" ht="12.75">
      <c r="A1834" s="539" t="str">
        <v/>
      </c>
      <c r="M1834" s="539"/>
      <c r="N1834" s="539"/>
      <c r="O1834" s="539"/>
    </row>
    <row r="1835" spans="1:15" ht="12.75">
      <c r="A1835" s="539" t="str">
        <v/>
      </c>
      <c r="M1835" s="539"/>
      <c r="N1835" s="539"/>
      <c r="O1835" s="539"/>
    </row>
    <row r="1836" spans="1:15" ht="12.75">
      <c r="A1836" s="539" t="str">
        <v/>
      </c>
      <c r="M1836" s="539"/>
      <c r="N1836" s="539"/>
      <c r="O1836" s="539"/>
    </row>
    <row r="1837" spans="1:15" ht="12.75">
      <c r="A1837" s="539" t="str">
        <v/>
      </c>
      <c r="M1837" s="539"/>
      <c r="N1837" s="539"/>
      <c r="O1837" s="539"/>
    </row>
    <row r="1838" spans="1:15" ht="12.75">
      <c r="A1838" s="539" t="str">
        <v/>
      </c>
      <c r="M1838" s="539"/>
      <c r="N1838" s="539"/>
      <c r="O1838" s="539"/>
    </row>
    <row r="1839" spans="1:15" ht="12.75">
      <c r="A1839" s="539" t="str">
        <v/>
      </c>
      <c r="M1839" s="539"/>
      <c r="N1839" s="539"/>
      <c r="O1839" s="539"/>
    </row>
    <row r="1840" spans="1:15" ht="12.75">
      <c r="A1840" s="539" t="str">
        <v/>
      </c>
      <c r="M1840" s="539"/>
      <c r="N1840" s="539"/>
      <c r="O1840" s="539"/>
    </row>
    <row r="1841" spans="1:15" ht="12.75">
      <c r="A1841" s="539" t="str">
        <v/>
      </c>
      <c r="M1841" s="539"/>
      <c r="N1841" s="539"/>
      <c r="O1841" s="539"/>
    </row>
    <row r="1842" spans="1:15" ht="12.75">
      <c r="A1842" s="539" t="str">
        <v/>
      </c>
      <c r="M1842" s="539"/>
      <c r="N1842" s="539"/>
      <c r="O1842" s="539"/>
    </row>
    <row r="1843" spans="1:15" ht="12.75">
      <c r="A1843" s="539" t="str">
        <v/>
      </c>
      <c r="M1843" s="539"/>
      <c r="N1843" s="539"/>
      <c r="O1843" s="539"/>
    </row>
    <row r="1844" spans="1:15" ht="12.75">
      <c r="A1844" s="539" t="str">
        <v/>
      </c>
      <c r="M1844" s="539"/>
      <c r="N1844" s="539"/>
      <c r="O1844" s="539"/>
    </row>
    <row r="1845" spans="1:15" ht="12.75">
      <c r="A1845" s="539" t="str">
        <v/>
      </c>
      <c r="M1845" s="539"/>
      <c r="N1845" s="539"/>
      <c r="O1845" s="539"/>
    </row>
    <row r="1846" spans="1:15" ht="12.75">
      <c r="A1846" s="539" t="str">
        <v/>
      </c>
      <c r="M1846" s="539"/>
      <c r="N1846" s="539"/>
      <c r="O1846" s="539"/>
    </row>
    <row r="1847" spans="1:15" ht="12.75">
      <c r="A1847" s="539" t="str">
        <v/>
      </c>
      <c r="M1847" s="539"/>
      <c r="N1847" s="539"/>
      <c r="O1847" s="539"/>
    </row>
    <row r="1848" spans="1:15" ht="12.75">
      <c r="A1848" s="539" t="str">
        <v/>
      </c>
      <c r="M1848" s="539"/>
      <c r="N1848" s="539"/>
      <c r="O1848" s="539"/>
    </row>
    <row r="1849" spans="1:15" ht="12.75">
      <c r="A1849" s="539" t="str">
        <v/>
      </c>
      <c r="M1849" s="539"/>
      <c r="N1849" s="539"/>
      <c r="O1849" s="539"/>
    </row>
    <row r="1850" spans="1:15" ht="12.75">
      <c r="A1850" s="539" t="str">
        <v/>
      </c>
      <c r="M1850" s="539"/>
      <c r="N1850" s="539"/>
      <c r="O1850" s="539"/>
    </row>
    <row r="1851" spans="1:15" ht="12.75">
      <c r="A1851" s="539" t="str">
        <v/>
      </c>
      <c r="M1851" s="539"/>
      <c r="N1851" s="539"/>
      <c r="O1851" s="539"/>
    </row>
    <row r="1852" spans="1:15" ht="12.75">
      <c r="A1852" s="539" t="str">
        <v/>
      </c>
      <c r="M1852" s="539"/>
      <c r="N1852" s="539"/>
      <c r="O1852" s="539"/>
    </row>
    <row r="1853" spans="1:15" ht="12.75">
      <c r="A1853" s="539" t="str">
        <v/>
      </c>
      <c r="M1853" s="539"/>
      <c r="N1853" s="539"/>
      <c r="O1853" s="539"/>
    </row>
    <row r="1854" spans="1:15" ht="12.75">
      <c r="A1854" s="539" t="str">
        <v/>
      </c>
      <c r="M1854" s="539"/>
      <c r="N1854" s="539"/>
      <c r="O1854" s="539"/>
    </row>
    <row r="1855" spans="1:15" ht="12.75">
      <c r="A1855" s="539" t="str">
        <v/>
      </c>
      <c r="M1855" s="539"/>
      <c r="N1855" s="539"/>
      <c r="O1855" s="539"/>
    </row>
    <row r="1856" spans="1:15" ht="12.75">
      <c r="A1856" s="539" t="str">
        <v/>
      </c>
      <c r="M1856" s="539"/>
      <c r="N1856" s="539"/>
      <c r="O1856" s="539"/>
    </row>
    <row r="1857" spans="1:15" ht="12.75">
      <c r="A1857" s="539" t="str">
        <v/>
      </c>
      <c r="M1857" s="539"/>
      <c r="N1857" s="539"/>
      <c r="O1857" s="539"/>
    </row>
    <row r="1858" spans="1:15" ht="12.75">
      <c r="A1858" s="539" t="str">
        <v/>
      </c>
      <c r="M1858" s="539"/>
      <c r="N1858" s="539"/>
      <c r="O1858" s="539"/>
    </row>
    <row r="1859" spans="1:15" ht="12.75">
      <c r="A1859" s="539" t="str">
        <v/>
      </c>
      <c r="M1859" s="539"/>
      <c r="N1859" s="539"/>
      <c r="O1859" s="539"/>
    </row>
    <row r="1860" spans="1:15" ht="12.75">
      <c r="A1860" s="539" t="str">
        <v/>
      </c>
      <c r="M1860" s="539"/>
      <c r="N1860" s="539"/>
      <c r="O1860" s="539"/>
    </row>
    <row r="1861" spans="1:15" ht="12.75">
      <c r="A1861" s="539" t="str">
        <v/>
      </c>
      <c r="M1861" s="539"/>
      <c r="N1861" s="539"/>
      <c r="O1861" s="539"/>
    </row>
    <row r="1862" spans="1:15" ht="12.75">
      <c r="A1862" s="539" t="str">
        <v/>
      </c>
      <c r="M1862" s="539"/>
      <c r="N1862" s="539"/>
      <c r="O1862" s="539"/>
    </row>
    <row r="1863" spans="1:15" ht="12.75">
      <c r="A1863" s="539" t="str">
        <v/>
      </c>
      <c r="M1863" s="539"/>
      <c r="N1863" s="539"/>
      <c r="O1863" s="539"/>
    </row>
    <row r="1864" spans="1:15" ht="12.75">
      <c r="A1864" s="539" t="str">
        <v/>
      </c>
      <c r="M1864" s="539"/>
      <c r="N1864" s="539"/>
      <c r="O1864" s="539"/>
    </row>
    <row r="1865" spans="1:15" ht="12.75">
      <c r="A1865" s="539" t="str">
        <v/>
      </c>
      <c r="M1865" s="539"/>
      <c r="N1865" s="539"/>
      <c r="O1865" s="539"/>
    </row>
    <row r="1866" spans="1:15" ht="12.75">
      <c r="A1866" s="539" t="str">
        <v/>
      </c>
      <c r="M1866" s="539"/>
      <c r="N1866" s="539"/>
      <c r="O1866" s="539"/>
    </row>
    <row r="1867" spans="1:15" ht="12.75">
      <c r="A1867" s="539" t="str">
        <v/>
      </c>
      <c r="M1867" s="539"/>
      <c r="N1867" s="539"/>
      <c r="O1867" s="539"/>
    </row>
    <row r="1868" spans="1:15" ht="12.75">
      <c r="A1868" s="539" t="str">
        <v/>
      </c>
      <c r="M1868" s="539"/>
      <c r="N1868" s="539"/>
      <c r="O1868" s="539"/>
    </row>
    <row r="1869" spans="1:15" ht="12.75">
      <c r="A1869" s="539" t="str">
        <v/>
      </c>
      <c r="M1869" s="539"/>
      <c r="N1869" s="539"/>
      <c r="O1869" s="539"/>
    </row>
    <row r="1870" spans="1:15" ht="12.75">
      <c r="A1870" s="539" t="str">
        <v/>
      </c>
      <c r="M1870" s="539"/>
      <c r="N1870" s="539"/>
      <c r="O1870" s="539"/>
    </row>
    <row r="1871" spans="1:15" ht="12.75">
      <c r="A1871" s="539" t="str">
        <v/>
      </c>
      <c r="M1871" s="539"/>
      <c r="N1871" s="539"/>
      <c r="O1871" s="539"/>
    </row>
    <row r="1872" spans="1:15" ht="12.75">
      <c r="A1872" s="539" t="str">
        <v/>
      </c>
      <c r="M1872" s="539"/>
      <c r="N1872" s="539"/>
      <c r="O1872" s="539"/>
    </row>
    <row r="1873" spans="1:15" ht="12.75">
      <c r="A1873" s="539" t="str">
        <v/>
      </c>
      <c r="M1873" s="539"/>
      <c r="N1873" s="539"/>
      <c r="O1873" s="539"/>
    </row>
    <row r="1874" spans="1:15" ht="12.75">
      <c r="A1874" s="539" t="str">
        <v/>
      </c>
      <c r="M1874" s="539"/>
      <c r="N1874" s="539"/>
      <c r="O1874" s="539"/>
    </row>
    <row r="1875" spans="1:15" ht="12.75">
      <c r="A1875" s="539" t="str">
        <v/>
      </c>
      <c r="M1875" s="539"/>
      <c r="N1875" s="539"/>
      <c r="O1875" s="539"/>
    </row>
    <row r="1876" spans="1:15" ht="12.75">
      <c r="A1876" s="539" t="str">
        <v/>
      </c>
      <c r="M1876" s="539"/>
      <c r="N1876" s="539"/>
      <c r="O1876" s="539"/>
    </row>
    <row r="1877" spans="1:15" ht="12.75">
      <c r="A1877" s="539" t="str">
        <v/>
      </c>
      <c r="M1877" s="539"/>
      <c r="N1877" s="539"/>
      <c r="O1877" s="539"/>
    </row>
    <row r="1878" spans="1:15" ht="12.75">
      <c r="A1878" s="539" t="str">
        <v/>
      </c>
      <c r="M1878" s="539"/>
      <c r="N1878" s="539"/>
      <c r="O1878" s="539"/>
    </row>
    <row r="1879" spans="1:15" ht="12.75">
      <c r="A1879" s="539" t="str">
        <v/>
      </c>
      <c r="M1879" s="539"/>
      <c r="N1879" s="539"/>
      <c r="O1879" s="539"/>
    </row>
    <row r="1880" spans="1:15" ht="12.75">
      <c r="A1880" s="539" t="str">
        <v/>
      </c>
      <c r="M1880" s="539"/>
      <c r="N1880" s="539"/>
      <c r="O1880" s="539"/>
    </row>
    <row r="1881" spans="1:15" ht="12.75">
      <c r="A1881" s="539" t="str">
        <v/>
      </c>
      <c r="M1881" s="539"/>
      <c r="N1881" s="539"/>
      <c r="O1881" s="539"/>
    </row>
    <row r="1882" spans="1:15" ht="12.75">
      <c r="A1882" s="539" t="str">
        <v/>
      </c>
      <c r="M1882" s="539"/>
      <c r="N1882" s="539"/>
      <c r="O1882" s="539"/>
    </row>
    <row r="1883" spans="1:15" ht="12.75">
      <c r="A1883" s="539" t="str">
        <v/>
      </c>
      <c r="M1883" s="539"/>
      <c r="N1883" s="539"/>
      <c r="O1883" s="539"/>
    </row>
    <row r="1884" spans="1:15" ht="12.75">
      <c r="A1884" s="539" t="str">
        <v/>
      </c>
      <c r="M1884" s="539"/>
      <c r="N1884" s="539"/>
      <c r="O1884" s="539"/>
    </row>
    <row r="1885" spans="1:15" ht="12.75">
      <c r="A1885" s="539" t="str">
        <v/>
      </c>
      <c r="M1885" s="539"/>
      <c r="N1885" s="539"/>
      <c r="O1885" s="539"/>
    </row>
    <row r="1886" spans="1:15" ht="12.75">
      <c r="A1886" s="539" t="str">
        <v/>
      </c>
      <c r="M1886" s="539"/>
      <c r="N1886" s="539"/>
      <c r="O1886" s="539"/>
    </row>
    <row r="1887" spans="1:15" ht="12.75">
      <c r="A1887" s="539" t="str">
        <v/>
      </c>
      <c r="M1887" s="539"/>
      <c r="N1887" s="539"/>
      <c r="O1887" s="539"/>
    </row>
    <row r="1888" spans="1:15" ht="12.75">
      <c r="A1888" s="539" t="str">
        <v/>
      </c>
      <c r="M1888" s="539"/>
      <c r="N1888" s="539"/>
      <c r="O1888" s="539"/>
    </row>
    <row r="1889" spans="1:15" ht="12.75">
      <c r="A1889" s="539" t="str">
        <v/>
      </c>
      <c r="M1889" s="539"/>
      <c r="N1889" s="539"/>
      <c r="O1889" s="539"/>
    </row>
    <row r="1890" spans="1:15" ht="12.75">
      <c r="A1890" s="539" t="str">
        <v/>
      </c>
      <c r="M1890" s="539"/>
      <c r="N1890" s="539"/>
      <c r="O1890" s="539"/>
    </row>
    <row r="1891" spans="1:15" ht="12.75">
      <c r="A1891" s="539" t="str">
        <v/>
      </c>
      <c r="M1891" s="539"/>
      <c r="N1891" s="539"/>
      <c r="O1891" s="539"/>
    </row>
    <row r="1892" spans="1:15" ht="12.75">
      <c r="A1892" s="539" t="str">
        <v/>
      </c>
      <c r="M1892" s="539"/>
      <c r="N1892" s="539"/>
      <c r="O1892" s="539"/>
    </row>
    <row r="1893" spans="1:15" ht="12.75">
      <c r="A1893" s="539" t="str">
        <v/>
      </c>
      <c r="M1893" s="539"/>
      <c r="N1893" s="539"/>
      <c r="O1893" s="539"/>
    </row>
    <row r="1894" spans="1:15" ht="12.75">
      <c r="A1894" s="539" t="str">
        <v/>
      </c>
      <c r="M1894" s="539"/>
      <c r="N1894" s="539"/>
      <c r="O1894" s="539"/>
    </row>
    <row r="1895" spans="1:15" ht="12.75">
      <c r="A1895" s="539" t="str">
        <v/>
      </c>
      <c r="M1895" s="539"/>
      <c r="N1895" s="539"/>
      <c r="O1895" s="539"/>
    </row>
    <row r="1896" spans="1:15" ht="12.75">
      <c r="A1896" s="539" t="str">
        <v/>
      </c>
      <c r="M1896" s="539"/>
      <c r="N1896" s="539"/>
      <c r="O1896" s="539"/>
    </row>
    <row r="1897" spans="1:15" ht="12.75">
      <c r="A1897" s="539" t="str">
        <v/>
      </c>
      <c r="M1897" s="539"/>
      <c r="N1897" s="539"/>
      <c r="O1897" s="539"/>
    </row>
    <row r="1898" spans="1:15" ht="12.75">
      <c r="A1898" s="539" t="str">
        <v/>
      </c>
      <c r="M1898" s="539"/>
      <c r="N1898" s="539"/>
      <c r="O1898" s="539"/>
    </row>
    <row r="1899" spans="1:15" ht="12.75">
      <c r="A1899" s="539" t="str">
        <v/>
      </c>
      <c r="M1899" s="539"/>
      <c r="N1899" s="539"/>
      <c r="O1899" s="539"/>
    </row>
    <row r="1900" spans="1:15" ht="12.75">
      <c r="A1900" s="539" t="str">
        <v/>
      </c>
      <c r="M1900" s="539"/>
      <c r="N1900" s="539"/>
      <c r="O1900" s="539"/>
    </row>
    <row r="1901" spans="1:15" ht="12.75">
      <c r="A1901" s="539" t="str">
        <v/>
      </c>
      <c r="M1901" s="539"/>
      <c r="N1901" s="539"/>
      <c r="O1901" s="539"/>
    </row>
    <row r="1902" spans="1:15" ht="12.75">
      <c r="A1902" s="539" t="str">
        <v/>
      </c>
      <c r="M1902" s="539"/>
      <c r="N1902" s="539"/>
      <c r="O1902" s="539"/>
    </row>
    <row r="1903" spans="1:15" ht="12.75">
      <c r="A1903" s="539" t="str">
        <v/>
      </c>
      <c r="M1903" s="539"/>
      <c r="N1903" s="539"/>
      <c r="O1903" s="539"/>
    </row>
    <row r="1904" spans="1:15" ht="12.75">
      <c r="A1904" s="539" t="str">
        <v/>
      </c>
      <c r="M1904" s="539"/>
      <c r="N1904" s="539"/>
      <c r="O1904" s="539"/>
    </row>
    <row r="1905" spans="1:15" ht="12.75">
      <c r="A1905" s="539" t="str">
        <v/>
      </c>
      <c r="M1905" s="539"/>
      <c r="N1905" s="539"/>
      <c r="O1905" s="539"/>
    </row>
    <row r="1906" spans="1:15" ht="12.75">
      <c r="A1906" s="539" t="str">
        <v/>
      </c>
      <c r="M1906" s="539"/>
      <c r="N1906" s="539"/>
      <c r="O1906" s="539"/>
    </row>
    <row r="1907" spans="1:15" ht="12.75">
      <c r="A1907" s="539" t="str">
        <v/>
      </c>
      <c r="M1907" s="539"/>
      <c r="N1907" s="539"/>
      <c r="O1907" s="539"/>
    </row>
    <row r="1908" spans="1:15" ht="12.75">
      <c r="A1908" s="539" t="str">
        <v/>
      </c>
      <c r="M1908" s="539"/>
      <c r="N1908" s="539"/>
      <c r="O1908" s="539"/>
    </row>
    <row r="1909" spans="1:15" ht="12.75">
      <c r="A1909" s="539" t="str">
        <v/>
      </c>
      <c r="M1909" s="539"/>
      <c r="N1909" s="539"/>
      <c r="O1909" s="539"/>
    </row>
    <row r="1910" spans="1:15" ht="12.75">
      <c r="A1910" s="539" t="str">
        <v/>
      </c>
      <c r="M1910" s="539"/>
      <c r="N1910" s="539"/>
      <c r="O1910" s="539"/>
    </row>
    <row r="1911" spans="1:15" ht="12.75">
      <c r="A1911" s="539" t="str">
        <v/>
      </c>
      <c r="M1911" s="539"/>
      <c r="N1911" s="539"/>
      <c r="O1911" s="539"/>
    </row>
    <row r="1912" spans="1:15" ht="12.75">
      <c r="A1912" s="539" t="str">
        <v/>
      </c>
      <c r="M1912" s="539"/>
      <c r="N1912" s="539"/>
      <c r="O1912" s="539"/>
    </row>
    <row r="1913" spans="1:15" ht="12.75">
      <c r="A1913" s="539" t="str">
        <v/>
      </c>
      <c r="M1913" s="539"/>
      <c r="N1913" s="539"/>
      <c r="O1913" s="539"/>
    </row>
    <row r="1914" spans="1:15" ht="12.75">
      <c r="A1914" s="539" t="str">
        <v/>
      </c>
      <c r="M1914" s="539"/>
      <c r="N1914" s="539"/>
      <c r="O1914" s="539"/>
    </row>
    <row r="1915" spans="1:15" ht="12.75">
      <c r="A1915" s="539" t="str">
        <v/>
      </c>
      <c r="M1915" s="539"/>
      <c r="N1915" s="539"/>
      <c r="O1915" s="539"/>
    </row>
    <row r="1916" spans="1:15" ht="12.75">
      <c r="A1916" s="539" t="str">
        <v/>
      </c>
      <c r="M1916" s="539"/>
      <c r="N1916" s="539"/>
      <c r="O1916" s="539"/>
    </row>
    <row r="1917" spans="1:15" ht="12.75">
      <c r="A1917" s="539" t="str">
        <v/>
      </c>
      <c r="M1917" s="539"/>
      <c r="N1917" s="539"/>
      <c r="O1917" s="539"/>
    </row>
    <row r="1918" spans="1:15" ht="12.75">
      <c r="A1918" s="539" t="str">
        <v/>
      </c>
      <c r="M1918" s="539"/>
      <c r="N1918" s="539"/>
      <c r="O1918" s="539"/>
    </row>
    <row r="1919" spans="1:15" ht="12.75">
      <c r="A1919" s="539" t="str">
        <v/>
      </c>
      <c r="M1919" s="539"/>
      <c r="N1919" s="539"/>
      <c r="O1919" s="539"/>
    </row>
    <row r="1920" spans="1:15" ht="12.75">
      <c r="A1920" s="539" t="str">
        <v/>
      </c>
      <c r="M1920" s="539"/>
      <c r="N1920" s="539"/>
      <c r="O1920" s="539"/>
    </row>
    <row r="1921" spans="1:15" ht="12.75">
      <c r="A1921" s="539" t="str">
        <v/>
      </c>
      <c r="M1921" s="539"/>
      <c r="N1921" s="539"/>
      <c r="O1921" s="539"/>
    </row>
    <row r="1922" spans="1:15" ht="12.75">
      <c r="A1922" s="539" t="str">
        <v/>
      </c>
      <c r="M1922" s="539"/>
      <c r="N1922" s="539"/>
      <c r="O1922" s="539"/>
    </row>
    <row r="1923" spans="1:15" ht="12.75">
      <c r="A1923" s="539" t="str">
        <v/>
      </c>
      <c r="M1923" s="539"/>
      <c r="N1923" s="539"/>
      <c r="O1923" s="539"/>
    </row>
    <row r="1924" spans="1:15" ht="12.75">
      <c r="A1924" s="539" t="str">
        <v/>
      </c>
      <c r="M1924" s="539"/>
      <c r="N1924" s="539"/>
      <c r="O1924" s="539"/>
    </row>
    <row r="1925" spans="1:15" ht="12.75">
      <c r="A1925" s="539" t="str">
        <v/>
      </c>
      <c r="M1925" s="539"/>
      <c r="N1925" s="539"/>
      <c r="O1925" s="539"/>
    </row>
    <row r="1926" spans="1:15" ht="12.75">
      <c r="A1926" s="539" t="str">
        <v/>
      </c>
      <c r="M1926" s="539"/>
      <c r="N1926" s="539"/>
      <c r="O1926" s="539"/>
    </row>
    <row r="1927" spans="1:15" ht="12.75">
      <c r="A1927" s="539" t="str">
        <v/>
      </c>
      <c r="M1927" s="539"/>
      <c r="N1927" s="539"/>
      <c r="O1927" s="539"/>
    </row>
    <row r="1928" spans="1:15" ht="12.75">
      <c r="A1928" s="539" t="str">
        <v/>
      </c>
      <c r="M1928" s="539"/>
      <c r="N1928" s="539"/>
      <c r="O1928" s="539"/>
    </row>
    <row r="1929" spans="1:15" ht="12.75">
      <c r="A1929" s="539" t="str">
        <v/>
      </c>
      <c r="M1929" s="539"/>
      <c r="N1929" s="539"/>
      <c r="O1929" s="539"/>
    </row>
    <row r="1930" spans="1:15" ht="12.75">
      <c r="A1930" s="539" t="str">
        <v/>
      </c>
      <c r="M1930" s="539"/>
      <c r="N1930" s="539"/>
      <c r="O1930" s="539"/>
    </row>
    <row r="1931" spans="1:15" ht="12.75">
      <c r="A1931" s="539" t="str">
        <v/>
      </c>
      <c r="M1931" s="539"/>
      <c r="N1931" s="539"/>
      <c r="O1931" s="539"/>
    </row>
    <row r="1932" spans="1:15" ht="12.75">
      <c r="A1932" s="539" t="str">
        <v/>
      </c>
      <c r="M1932" s="539"/>
      <c r="N1932" s="539"/>
      <c r="O1932" s="539"/>
    </row>
    <row r="1933" spans="1:15" ht="12.75">
      <c r="A1933" s="539" t="str">
        <v/>
      </c>
      <c r="M1933" s="539"/>
      <c r="N1933" s="539"/>
      <c r="O1933" s="539"/>
    </row>
    <row r="1934" spans="1:15" ht="12.75">
      <c r="A1934" s="539" t="str">
        <v/>
      </c>
      <c r="M1934" s="539"/>
      <c r="N1934" s="539"/>
      <c r="O1934" s="539"/>
    </row>
    <row r="1935" spans="1:15" ht="12.75">
      <c r="A1935" s="539" t="str">
        <v/>
      </c>
      <c r="M1935" s="539"/>
      <c r="N1935" s="539"/>
      <c r="O1935" s="539"/>
    </row>
    <row r="1936" spans="1:15" ht="12.75">
      <c r="A1936" s="539" t="str">
        <v/>
      </c>
      <c r="M1936" s="539"/>
      <c r="N1936" s="539"/>
      <c r="O1936" s="539"/>
    </row>
    <row r="1937" spans="1:15" ht="12.75">
      <c r="A1937" s="539" t="str">
        <v/>
      </c>
      <c r="M1937" s="539"/>
      <c r="N1937" s="539"/>
      <c r="O1937" s="539"/>
    </row>
    <row r="1938" spans="1:15" ht="12.75">
      <c r="A1938" s="539" t="str">
        <v/>
      </c>
      <c r="M1938" s="539"/>
      <c r="N1938" s="539"/>
      <c r="O1938" s="539"/>
    </row>
    <row r="1939" spans="1:15" ht="12.75">
      <c r="A1939" s="539" t="str">
        <v/>
      </c>
      <c r="M1939" s="539"/>
      <c r="N1939" s="539"/>
      <c r="O1939" s="539"/>
    </row>
    <row r="1940" spans="1:15" ht="12.75">
      <c r="A1940" s="539" t="str">
        <v/>
      </c>
      <c r="M1940" s="539"/>
      <c r="N1940" s="539"/>
      <c r="O1940" s="539"/>
    </row>
    <row r="1941" spans="1:15" ht="12.75">
      <c r="A1941" s="539" t="str">
        <v/>
      </c>
      <c r="M1941" s="539"/>
      <c r="N1941" s="539"/>
      <c r="O1941" s="539"/>
    </row>
    <row r="1942" spans="1:15" ht="12.75">
      <c r="A1942" s="539" t="str">
        <v/>
      </c>
      <c r="M1942" s="539"/>
      <c r="N1942" s="539"/>
      <c r="O1942" s="539"/>
    </row>
    <row r="1943" spans="1:15" ht="12.75">
      <c r="A1943" s="539" t="str">
        <v/>
      </c>
      <c r="M1943" s="539"/>
      <c r="N1943" s="539"/>
      <c r="O1943" s="539"/>
    </row>
    <row r="1944" spans="1:15" ht="12.75">
      <c r="A1944" s="539" t="str">
        <v/>
      </c>
      <c r="M1944" s="539"/>
      <c r="N1944" s="539"/>
      <c r="O1944" s="539"/>
    </row>
    <row r="1945" spans="1:15" ht="12.75">
      <c r="A1945" s="539" t="str">
        <v/>
      </c>
      <c r="M1945" s="539"/>
      <c r="N1945" s="539"/>
      <c r="O1945" s="539"/>
    </row>
    <row r="1946" spans="1:15" ht="12.75">
      <c r="A1946" s="539" t="str">
        <v/>
      </c>
      <c r="M1946" s="539"/>
      <c r="N1946" s="539"/>
      <c r="O1946" s="539"/>
    </row>
    <row r="1947" spans="1:15" ht="12.75">
      <c r="A1947" s="539" t="str">
        <v/>
      </c>
      <c r="M1947" s="539"/>
      <c r="N1947" s="539"/>
      <c r="O1947" s="539"/>
    </row>
    <row r="1948" spans="1:15" ht="12.75">
      <c r="A1948" s="539" t="str">
        <v/>
      </c>
      <c r="M1948" s="539"/>
      <c r="N1948" s="539"/>
      <c r="O1948" s="539"/>
    </row>
    <row r="1949" spans="1:15" ht="12.75">
      <c r="A1949" s="539" t="str">
        <v/>
      </c>
      <c r="M1949" s="539"/>
      <c r="N1949" s="539"/>
      <c r="O1949" s="539"/>
    </row>
    <row r="1950" spans="1:15" ht="12.75">
      <c r="A1950" s="539" t="str">
        <v/>
      </c>
      <c r="M1950" s="539"/>
      <c r="N1950" s="539"/>
      <c r="O1950" s="539"/>
    </row>
    <row r="1951" spans="1:15" ht="12.75">
      <c r="A1951" s="539" t="str">
        <v/>
      </c>
      <c r="M1951" s="539"/>
      <c r="N1951" s="539"/>
      <c r="O1951" s="539"/>
    </row>
    <row r="1952" spans="1:15" ht="12.75">
      <c r="A1952" s="539" t="str">
        <v/>
      </c>
      <c r="M1952" s="539"/>
      <c r="N1952" s="539"/>
      <c r="O1952" s="539"/>
    </row>
    <row r="1953" spans="1:15" ht="12.75">
      <c r="A1953" s="539" t="str">
        <v/>
      </c>
      <c r="M1953" s="539"/>
      <c r="N1953" s="539"/>
      <c r="O1953" s="539"/>
    </row>
    <row r="1954" spans="1:15" ht="12.75">
      <c r="A1954" s="539" t="str">
        <v/>
      </c>
      <c r="M1954" s="539"/>
      <c r="N1954" s="539"/>
      <c r="O1954" s="539"/>
    </row>
    <row r="1955" spans="1:15" ht="12.75">
      <c r="A1955" s="539" t="str">
        <v/>
      </c>
      <c r="M1955" s="539"/>
      <c r="N1955" s="539"/>
      <c r="O1955" s="539"/>
    </row>
    <row r="1956" spans="1:15" ht="12.75">
      <c r="A1956" s="539" t="str">
        <v/>
      </c>
      <c r="M1956" s="539"/>
      <c r="N1956" s="539"/>
      <c r="O1956" s="539"/>
    </row>
    <row r="1957" spans="1:15" ht="12.75">
      <c r="A1957" s="539" t="str">
        <v/>
      </c>
      <c r="M1957" s="539"/>
      <c r="N1957" s="539"/>
      <c r="O1957" s="539"/>
    </row>
    <row r="1958" spans="1:15" ht="12.75">
      <c r="A1958" s="539" t="str">
        <v/>
      </c>
      <c r="M1958" s="539"/>
      <c r="N1958" s="539"/>
      <c r="O1958" s="539"/>
    </row>
    <row r="1959" spans="1:15" ht="12.75">
      <c r="A1959" s="539" t="str">
        <v/>
      </c>
      <c r="M1959" s="539"/>
      <c r="N1959" s="539"/>
      <c r="O1959" s="539"/>
    </row>
    <row r="1960" spans="1:15" ht="12.75">
      <c r="A1960" s="539" t="str">
        <v/>
      </c>
      <c r="M1960" s="539"/>
      <c r="N1960" s="539"/>
      <c r="O1960" s="539"/>
    </row>
    <row r="1961" spans="1:15" ht="12.75">
      <c r="A1961" s="539" t="str">
        <v/>
      </c>
      <c r="M1961" s="539"/>
      <c r="N1961" s="539"/>
      <c r="O1961" s="539"/>
    </row>
    <row r="1962" spans="1:15" ht="12.75">
      <c r="A1962" s="539" t="str">
        <v/>
      </c>
      <c r="M1962" s="539"/>
      <c r="N1962" s="539"/>
      <c r="O1962" s="539"/>
    </row>
    <row r="1963" spans="1:15" ht="12.75">
      <c r="A1963" s="539" t="str">
        <v/>
      </c>
      <c r="M1963" s="539"/>
      <c r="N1963" s="539"/>
      <c r="O1963" s="539"/>
    </row>
    <row r="1964" spans="1:15" ht="12.75">
      <c r="A1964" s="539" t="str">
        <v/>
      </c>
      <c r="M1964" s="539"/>
      <c r="N1964" s="539"/>
      <c r="O1964" s="539"/>
    </row>
    <row r="1965" spans="1:15" ht="12.75">
      <c r="A1965" s="539" t="str">
        <v/>
      </c>
      <c r="M1965" s="539"/>
      <c r="N1965" s="539"/>
      <c r="O1965" s="539"/>
    </row>
    <row r="1966" spans="1:15" ht="12.75">
      <c r="A1966" s="539" t="str">
        <v/>
      </c>
      <c r="M1966" s="539"/>
      <c r="N1966" s="539"/>
      <c r="O1966" s="539"/>
    </row>
    <row r="1967" spans="1:15" ht="12.75">
      <c r="A1967" s="539" t="str">
        <v/>
      </c>
      <c r="M1967" s="539"/>
      <c r="N1967" s="539"/>
      <c r="O1967" s="539"/>
    </row>
    <row r="1968" spans="1:15" ht="12.75">
      <c r="A1968" s="539" t="str">
        <v/>
      </c>
      <c r="M1968" s="539"/>
      <c r="N1968" s="539"/>
      <c r="O1968" s="539"/>
    </row>
    <row r="1969" spans="1:15" ht="12.75">
      <c r="A1969" s="539" t="str">
        <v/>
      </c>
      <c r="M1969" s="539"/>
      <c r="N1969" s="539"/>
      <c r="O1969" s="539"/>
    </row>
    <row r="1970" spans="1:15" ht="12.75">
      <c r="A1970" s="539" t="str">
        <v/>
      </c>
      <c r="M1970" s="539"/>
      <c r="N1970" s="539"/>
      <c r="O1970" s="539"/>
    </row>
    <row r="1971" spans="1:15" ht="12.75">
      <c r="A1971" s="539" t="str">
        <v/>
      </c>
      <c r="M1971" s="539"/>
      <c r="N1971" s="539"/>
      <c r="O1971" s="539"/>
    </row>
    <row r="1972" spans="1:15" ht="12.75">
      <c r="A1972" s="539" t="str">
        <v/>
      </c>
      <c r="M1972" s="539"/>
      <c r="N1972" s="539"/>
      <c r="O1972" s="539"/>
    </row>
    <row r="1973" spans="1:15" ht="12.75">
      <c r="A1973" s="539" t="str">
        <v/>
      </c>
      <c r="M1973" s="539"/>
      <c r="N1973" s="539"/>
      <c r="O1973" s="539"/>
    </row>
    <row r="1974" spans="1:15" ht="12.75">
      <c r="A1974" s="539" t="str">
        <v/>
      </c>
      <c r="M1974" s="539"/>
      <c r="N1974" s="539"/>
      <c r="O1974" s="539"/>
    </row>
    <row r="1975" spans="1:15" ht="12.75">
      <c r="A1975" s="539" t="str">
        <v/>
      </c>
      <c r="M1975" s="539"/>
      <c r="N1975" s="539"/>
      <c r="O1975" s="539"/>
    </row>
    <row r="1976" spans="1:15" ht="12.75">
      <c r="A1976" s="539" t="str">
        <v/>
      </c>
      <c r="M1976" s="539"/>
      <c r="N1976" s="539"/>
      <c r="O1976" s="539"/>
    </row>
    <row r="1977" spans="1:15" ht="12.75">
      <c r="A1977" s="539" t="str">
        <v/>
      </c>
      <c r="M1977" s="539"/>
      <c r="N1977" s="539"/>
      <c r="O1977" s="539"/>
    </row>
    <row r="1978" spans="1:15" ht="12.75">
      <c r="A1978" s="539" t="str">
        <v/>
      </c>
      <c r="M1978" s="539"/>
      <c r="N1978" s="539"/>
      <c r="O1978" s="539"/>
    </row>
    <row r="1979" spans="1:15" ht="12.75">
      <c r="A1979" s="539" t="str">
        <v/>
      </c>
      <c r="M1979" s="539"/>
      <c r="N1979" s="539"/>
      <c r="O1979" s="539"/>
    </row>
    <row r="1980" spans="1:15" ht="12.75">
      <c r="A1980" s="539" t="str">
        <v/>
      </c>
      <c r="M1980" s="539"/>
      <c r="N1980" s="539"/>
      <c r="O1980" s="539"/>
    </row>
    <row r="1981" spans="1:15" ht="12.75">
      <c r="A1981" s="539" t="str">
        <v/>
      </c>
      <c r="M1981" s="539"/>
      <c r="N1981" s="539"/>
      <c r="O1981" s="539"/>
    </row>
    <row r="1982" spans="1:15" ht="12.75">
      <c r="A1982" s="539" t="str">
        <v/>
      </c>
      <c r="M1982" s="539"/>
      <c r="N1982" s="539"/>
      <c r="O1982" s="539"/>
    </row>
    <row r="1983" spans="1:15" ht="12.75">
      <c r="A1983" s="539" t="str">
        <v/>
      </c>
      <c r="M1983" s="539"/>
      <c r="N1983" s="539"/>
      <c r="O1983" s="539"/>
    </row>
    <row r="1984" spans="1:15" ht="12.75">
      <c r="A1984" s="539" t="str">
        <v/>
      </c>
      <c r="M1984" s="539"/>
      <c r="N1984" s="539"/>
      <c r="O1984" s="539"/>
    </row>
    <row r="1985" spans="1:15" ht="12.75">
      <c r="A1985" s="539" t="str">
        <v/>
      </c>
      <c r="M1985" s="539"/>
      <c r="N1985" s="539"/>
      <c r="O1985" s="539"/>
    </row>
    <row r="1986" spans="1:15" ht="12.75">
      <c r="A1986" s="539" t="str">
        <v/>
      </c>
      <c r="M1986" s="539"/>
      <c r="N1986" s="539"/>
      <c r="O1986" s="539"/>
    </row>
    <row r="1987" spans="1:15" ht="12.75">
      <c r="A1987" s="539" t="str">
        <v/>
      </c>
      <c r="M1987" s="539"/>
      <c r="N1987" s="539"/>
      <c r="O1987" s="539"/>
    </row>
    <row r="1988" spans="1:15" ht="12.75">
      <c r="A1988" s="539" t="str">
        <v/>
      </c>
      <c r="M1988" s="539"/>
      <c r="N1988" s="539"/>
      <c r="O1988" s="539"/>
    </row>
    <row r="1989" spans="1:15" ht="12.75">
      <c r="A1989" s="539" t="str">
        <v/>
      </c>
      <c r="M1989" s="539"/>
      <c r="N1989" s="539"/>
      <c r="O1989" s="539"/>
    </row>
    <row r="1990" spans="1:15" ht="12.75">
      <c r="A1990" s="539" t="str">
        <v/>
      </c>
      <c r="M1990" s="539"/>
      <c r="N1990" s="539"/>
      <c r="O1990" s="539"/>
    </row>
    <row r="1991" spans="1:15" ht="12.75">
      <c r="A1991" s="539" t="str">
        <v/>
      </c>
      <c r="M1991" s="539"/>
      <c r="N1991" s="539"/>
      <c r="O1991" s="539"/>
    </row>
    <row r="1992" spans="1:15" ht="12.75">
      <c r="A1992" s="539" t="str">
        <v/>
      </c>
      <c r="M1992" s="539"/>
      <c r="N1992" s="539"/>
      <c r="O1992" s="539"/>
    </row>
    <row r="1993" spans="1:15" ht="12.75">
      <c r="A1993" s="539" t="str">
        <v/>
      </c>
      <c r="M1993" s="539"/>
      <c r="N1993" s="539"/>
      <c r="O1993" s="539"/>
    </row>
    <row r="1994" spans="1:15" ht="12.75">
      <c r="A1994" s="539" t="str">
        <v/>
      </c>
      <c r="M1994" s="539"/>
      <c r="N1994" s="539"/>
      <c r="O1994" s="539"/>
    </row>
    <row r="1995" spans="1:15" ht="12.75">
      <c r="A1995" s="539" t="str">
        <v/>
      </c>
      <c r="M1995" s="539"/>
      <c r="N1995" s="539"/>
      <c r="O1995" s="539"/>
    </row>
    <row r="1996" spans="1:15" ht="12.75">
      <c r="A1996" s="539" t="str">
        <v/>
      </c>
      <c r="M1996" s="539"/>
      <c r="N1996" s="539"/>
      <c r="O1996" s="539"/>
    </row>
    <row r="1997" spans="1:15" ht="12.75">
      <c r="A1997" s="539" t="str">
        <v/>
      </c>
      <c r="M1997" s="539"/>
      <c r="N1997" s="539"/>
      <c r="O1997" s="539"/>
    </row>
    <row r="1998" spans="1:15" ht="12.75">
      <c r="A1998" s="539" t="str">
        <v/>
      </c>
      <c r="M1998" s="539"/>
      <c r="N1998" s="539"/>
      <c r="O1998" s="539"/>
    </row>
    <row r="1999" spans="1:15" ht="12.75">
      <c r="A1999" s="539" t="str">
        <v/>
      </c>
      <c r="M1999" s="539"/>
      <c r="N1999" s="539"/>
      <c r="O1999" s="539"/>
    </row>
    <row r="2000" spans="1:15" ht="12.75">
      <c r="A2000" s="539" t="str">
        <v/>
      </c>
      <c r="M2000" s="539"/>
      <c r="N2000" s="539"/>
      <c r="O2000" s="539"/>
    </row>
    <row r="2001" spans="1:15" ht="12.75">
      <c r="A2001" s="539" t="str">
        <v/>
      </c>
      <c r="M2001" s="539"/>
      <c r="N2001" s="539"/>
      <c r="O2001" s="539"/>
    </row>
    <row r="2002" spans="1:15" ht="12.75">
      <c r="A2002" s="539" t="str">
        <v/>
      </c>
      <c r="M2002" s="539"/>
      <c r="N2002" s="539"/>
      <c r="O2002" s="539"/>
    </row>
    <row r="2003" spans="1:15" ht="12.75">
      <c r="A2003" s="539" t="str">
        <v/>
      </c>
      <c r="M2003" s="539"/>
      <c r="N2003" s="539"/>
      <c r="O2003" s="539"/>
    </row>
    <row r="2004" spans="1:15" ht="12.75">
      <c r="A2004" s="539" t="str">
        <v/>
      </c>
      <c r="M2004" s="539"/>
      <c r="N2004" s="539"/>
      <c r="O2004" s="539"/>
    </row>
    <row r="2005" spans="1:15" ht="12.75">
      <c r="A2005" s="539" t="str">
        <v/>
      </c>
      <c r="M2005" s="539"/>
      <c r="N2005" s="539"/>
      <c r="O2005" s="539"/>
    </row>
    <row r="2006" spans="1:15" ht="12.75">
      <c r="A2006" s="539" t="str">
        <v/>
      </c>
      <c r="M2006" s="539"/>
      <c r="N2006" s="539"/>
      <c r="O2006" s="539"/>
    </row>
    <row r="2007" spans="1:15" ht="12.75">
      <c r="A2007" s="539" t="str">
        <v/>
      </c>
      <c r="M2007" s="539"/>
      <c r="N2007" s="539"/>
      <c r="O2007" s="539"/>
    </row>
    <row r="2008" spans="1:15" ht="12.75">
      <c r="A2008" s="539" t="str">
        <v/>
      </c>
      <c r="M2008" s="539"/>
      <c r="N2008" s="539"/>
      <c r="O2008" s="539"/>
    </row>
    <row r="2009" spans="1:15" ht="12.75">
      <c r="A2009" s="539" t="str">
        <v/>
      </c>
      <c r="M2009" s="539"/>
      <c r="N2009" s="539"/>
      <c r="O2009" s="539"/>
    </row>
    <row r="2010" spans="1:15" ht="12.75">
      <c r="A2010" s="539" t="str">
        <v/>
      </c>
      <c r="M2010" s="539"/>
      <c r="N2010" s="539"/>
      <c r="O2010" s="539"/>
    </row>
    <row r="2011" spans="1:15" ht="12.75">
      <c r="A2011" s="539" t="str">
        <v/>
      </c>
      <c r="M2011" s="539"/>
      <c r="N2011" s="539"/>
      <c r="O2011" s="539"/>
    </row>
    <row r="2012" spans="1:15" ht="12.75">
      <c r="A2012" s="539" t="str">
        <v/>
      </c>
      <c r="M2012" s="539"/>
      <c r="N2012" s="539"/>
      <c r="O2012" s="539"/>
    </row>
    <row r="2013" spans="1:15" ht="12.75">
      <c r="A2013" s="539" t="str">
        <v/>
      </c>
      <c r="M2013" s="539"/>
      <c r="N2013" s="539"/>
      <c r="O2013" s="539"/>
    </row>
    <row r="2014" spans="1:15" ht="12.75">
      <c r="A2014" s="539" t="str">
        <v/>
      </c>
      <c r="M2014" s="539"/>
      <c r="N2014" s="539"/>
      <c r="O2014" s="539"/>
    </row>
    <row r="2015" spans="1:15" ht="12.75">
      <c r="A2015" s="539" t="str">
        <v/>
      </c>
      <c r="M2015" s="539"/>
      <c r="N2015" s="539"/>
      <c r="O2015" s="539"/>
    </row>
    <row r="2016" spans="1:15" ht="12.75">
      <c r="A2016" s="539" t="str">
        <v/>
      </c>
      <c r="M2016" s="539"/>
      <c r="N2016" s="539"/>
      <c r="O2016" s="539"/>
    </row>
    <row r="2017" spans="1:15" ht="12.75">
      <c r="A2017" s="539" t="str">
        <v/>
      </c>
      <c r="M2017" s="539"/>
      <c r="N2017" s="539"/>
      <c r="O2017" s="539"/>
    </row>
    <row r="2018" spans="1:15" ht="12.75">
      <c r="A2018" s="539" t="str">
        <v/>
      </c>
      <c r="M2018" s="539"/>
      <c r="N2018" s="539"/>
      <c r="O2018" s="539"/>
    </row>
    <row r="2019" spans="1:15" ht="12.75">
      <c r="A2019" s="539" t="str">
        <v/>
      </c>
      <c r="M2019" s="539"/>
      <c r="N2019" s="539"/>
      <c r="O2019" s="539"/>
    </row>
    <row r="2020" spans="1:15" ht="12.75">
      <c r="A2020" s="539" t="str">
        <v/>
      </c>
      <c r="M2020" s="539"/>
      <c r="N2020" s="539"/>
      <c r="O2020" s="539"/>
    </row>
    <row r="2021" spans="1:15" ht="12.75">
      <c r="A2021" s="539" t="str">
        <v/>
      </c>
      <c r="M2021" s="539"/>
      <c r="N2021" s="539"/>
      <c r="O2021" s="539"/>
    </row>
    <row r="2022" spans="1:15" ht="12.75">
      <c r="A2022" s="539" t="str">
        <v/>
      </c>
      <c r="M2022" s="539"/>
      <c r="N2022" s="539"/>
      <c r="O2022" s="539"/>
    </row>
    <row r="2023" spans="1:15" ht="12.75">
      <c r="A2023" s="539" t="str">
        <v/>
      </c>
      <c r="M2023" s="539"/>
      <c r="N2023" s="539"/>
      <c r="O2023" s="539"/>
    </row>
    <row r="2024" spans="1:15" ht="12.75">
      <c r="A2024" s="539" t="str">
        <v/>
      </c>
      <c r="M2024" s="539"/>
      <c r="N2024" s="539"/>
      <c r="O2024" s="539"/>
    </row>
    <row r="2025" spans="1:15" ht="12.75">
      <c r="A2025" s="539" t="str">
        <v/>
      </c>
      <c r="M2025" s="539"/>
      <c r="N2025" s="539"/>
      <c r="O2025" s="539"/>
    </row>
    <row r="2026" spans="1:15" ht="12.75">
      <c r="A2026" s="539" t="str">
        <v/>
      </c>
      <c r="M2026" s="539"/>
      <c r="N2026" s="539"/>
      <c r="O2026" s="539"/>
    </row>
    <row r="2027" spans="1:15" ht="12.75">
      <c r="A2027" s="539" t="str">
        <v/>
      </c>
      <c r="M2027" s="539"/>
      <c r="N2027" s="539"/>
      <c r="O2027" s="539"/>
    </row>
    <row r="2028" spans="1:15" ht="12.75">
      <c r="A2028" s="539" t="str">
        <v/>
      </c>
      <c r="M2028" s="539"/>
      <c r="N2028" s="539"/>
      <c r="O2028" s="539"/>
    </row>
    <row r="2029" spans="1:15" ht="12.75">
      <c r="A2029" s="539" t="str">
        <v/>
      </c>
      <c r="M2029" s="539"/>
      <c r="N2029" s="539"/>
      <c r="O2029" s="539"/>
    </row>
    <row r="2030" spans="1:15" ht="12.75">
      <c r="A2030" s="539" t="str">
        <v/>
      </c>
      <c r="M2030" s="539"/>
      <c r="N2030" s="539"/>
      <c r="O2030" s="539"/>
    </row>
    <row r="2031" spans="1:15" ht="12.75">
      <c r="A2031" s="539" t="str">
        <v/>
      </c>
      <c r="M2031" s="539"/>
      <c r="N2031" s="539"/>
      <c r="O2031" s="539"/>
    </row>
    <row r="2032" spans="1:15" ht="12.75">
      <c r="A2032" s="539" t="str">
        <v/>
      </c>
      <c r="M2032" s="539"/>
      <c r="N2032" s="539"/>
      <c r="O2032" s="539"/>
    </row>
    <row r="2033" spans="1:15" ht="12.75">
      <c r="A2033" s="539" t="str">
        <v/>
      </c>
      <c r="M2033" s="539"/>
      <c r="N2033" s="539"/>
      <c r="O2033" s="539"/>
    </row>
    <row r="2034" spans="1:15" ht="12.75">
      <c r="A2034" s="539" t="str">
        <v/>
      </c>
      <c r="M2034" s="539"/>
      <c r="N2034" s="539"/>
      <c r="O2034" s="539"/>
    </row>
    <row r="2035" spans="1:15" ht="12.75">
      <c r="A2035" s="539" t="str">
        <v/>
      </c>
      <c r="M2035" s="539"/>
      <c r="N2035" s="539"/>
      <c r="O2035" s="539"/>
    </row>
    <row r="2036" spans="1:15" ht="12.75">
      <c r="A2036" s="539" t="str">
        <v/>
      </c>
      <c r="M2036" s="539"/>
      <c r="N2036" s="539"/>
      <c r="O2036" s="539"/>
    </row>
    <row r="2037" spans="1:15" ht="12.75">
      <c r="A2037" s="539" t="str">
        <v/>
      </c>
      <c r="M2037" s="539"/>
      <c r="N2037" s="539"/>
      <c r="O2037" s="539"/>
    </row>
    <row r="2038" spans="1:15" ht="12.75">
      <c r="A2038" s="539" t="str">
        <v/>
      </c>
      <c r="M2038" s="539"/>
      <c r="N2038" s="539"/>
      <c r="O2038" s="539"/>
    </row>
    <row r="2039" spans="1:15" ht="12.75">
      <c r="A2039" s="539" t="str">
        <v/>
      </c>
      <c r="M2039" s="539"/>
      <c r="N2039" s="539"/>
      <c r="O2039" s="539"/>
    </row>
    <row r="2040" spans="1:15" ht="12.75">
      <c r="A2040" s="539" t="str">
        <v/>
      </c>
      <c r="M2040" s="539"/>
      <c r="N2040" s="539"/>
      <c r="O2040" s="539"/>
    </row>
    <row r="2041" spans="1:15" ht="12.75">
      <c r="A2041" s="539" t="str">
        <v/>
      </c>
      <c r="M2041" s="539"/>
      <c r="N2041" s="539"/>
      <c r="O2041" s="539"/>
    </row>
    <row r="2042" spans="1:15" ht="12.75">
      <c r="A2042" s="539" t="str">
        <v/>
      </c>
      <c r="M2042" s="539"/>
      <c r="N2042" s="539"/>
      <c r="O2042" s="539"/>
    </row>
    <row r="2043" spans="1:15" ht="12.75">
      <c r="A2043" s="539" t="str">
        <v/>
      </c>
      <c r="M2043" s="539"/>
      <c r="N2043" s="539"/>
      <c r="O2043" s="539"/>
    </row>
    <row r="2044" spans="1:15" ht="12.75">
      <c r="A2044" s="539" t="str">
        <v/>
      </c>
      <c r="M2044" s="539"/>
      <c r="N2044" s="539"/>
      <c r="O2044" s="539"/>
    </row>
    <row r="2045" spans="1:15" ht="12.75">
      <c r="A2045" s="539" t="str">
        <v/>
      </c>
      <c r="M2045" s="539"/>
      <c r="N2045" s="539"/>
      <c r="O2045" s="539"/>
    </row>
    <row r="2046" spans="1:15" ht="12.75">
      <c r="A2046" s="539" t="str">
        <v/>
      </c>
      <c r="M2046" s="539"/>
      <c r="N2046" s="539"/>
      <c r="O2046" s="539"/>
    </row>
    <row r="2047" spans="1:15" ht="12.75">
      <c r="A2047" s="539" t="str">
        <v/>
      </c>
      <c r="M2047" s="539"/>
      <c r="N2047" s="539"/>
      <c r="O2047" s="539"/>
    </row>
    <row r="2048" spans="1:15" ht="12.75">
      <c r="A2048" s="539" t="str">
        <v/>
      </c>
      <c r="M2048" s="539"/>
      <c r="N2048" s="539"/>
      <c r="O2048" s="539"/>
    </row>
    <row r="2049" spans="1:15" ht="12.75">
      <c r="A2049" s="539" t="str">
        <v/>
      </c>
      <c r="M2049" s="539"/>
      <c r="N2049" s="539"/>
      <c r="O2049" s="539"/>
    </row>
    <row r="2050" spans="1:15" ht="12.75">
      <c r="A2050" s="539" t="str">
        <v/>
      </c>
      <c r="M2050" s="539"/>
      <c r="N2050" s="539"/>
      <c r="O2050" s="539"/>
    </row>
    <row r="2051" spans="1:15" ht="12.75">
      <c r="A2051" s="539" t="str">
        <v/>
      </c>
      <c r="M2051" s="539"/>
      <c r="N2051" s="539"/>
      <c r="O2051" s="539"/>
    </row>
    <row r="2052" spans="1:15" ht="12.75">
      <c r="A2052" s="539" t="str">
        <v/>
      </c>
      <c r="M2052" s="539"/>
      <c r="N2052" s="539"/>
      <c r="O2052" s="539"/>
    </row>
    <row r="2053" spans="1:15" ht="12.75">
      <c r="A2053" s="539" t="str">
        <v/>
      </c>
      <c r="M2053" s="539"/>
      <c r="N2053" s="539"/>
      <c r="O2053" s="539"/>
    </row>
    <row r="2054" spans="1:15" ht="12.75">
      <c r="A2054" s="539" t="str">
        <v/>
      </c>
      <c r="M2054" s="539"/>
      <c r="N2054" s="539"/>
      <c r="O2054" s="539"/>
    </row>
    <row r="2055" spans="1:15" ht="12.75">
      <c r="A2055" s="539" t="str">
        <v/>
      </c>
      <c r="M2055" s="539"/>
      <c r="N2055" s="539"/>
      <c r="O2055" s="539"/>
    </row>
    <row r="2056" spans="1:15" ht="12.75">
      <c r="A2056" s="539" t="str">
        <v/>
      </c>
      <c r="M2056" s="539"/>
      <c r="N2056" s="539"/>
      <c r="O2056" s="539"/>
    </row>
    <row r="2057" spans="1:15" ht="12.75">
      <c r="A2057" s="539" t="str">
        <v/>
      </c>
      <c r="M2057" s="539"/>
      <c r="N2057" s="539"/>
      <c r="O2057" s="539"/>
    </row>
    <row r="2058" spans="1:15" ht="12.75">
      <c r="A2058" s="539" t="str">
        <v/>
      </c>
      <c r="M2058" s="539"/>
      <c r="N2058" s="539"/>
      <c r="O2058" s="539"/>
    </row>
    <row r="2059" spans="1:15" ht="12.75">
      <c r="A2059" s="539" t="str">
        <v/>
      </c>
      <c r="M2059" s="539"/>
      <c r="N2059" s="539"/>
      <c r="O2059" s="539"/>
    </row>
    <row r="2060" spans="1:15" ht="12.75">
      <c r="A2060" s="539" t="str">
        <v/>
      </c>
      <c r="M2060" s="539"/>
      <c r="N2060" s="539"/>
      <c r="O2060" s="539"/>
    </row>
    <row r="2061" spans="1:15" ht="12.75">
      <c r="A2061" s="539" t="str">
        <v/>
      </c>
      <c r="M2061" s="539"/>
      <c r="N2061" s="539"/>
      <c r="O2061" s="539"/>
    </row>
    <row r="2062" spans="1:15" ht="12.75">
      <c r="A2062" s="539" t="str">
        <v/>
      </c>
      <c r="M2062" s="539"/>
      <c r="N2062" s="539"/>
      <c r="O2062" s="539"/>
    </row>
    <row r="2063" spans="1:15" ht="12.75">
      <c r="A2063" s="539" t="str">
        <v/>
      </c>
      <c r="M2063" s="539"/>
      <c r="N2063" s="539"/>
      <c r="O2063" s="539"/>
    </row>
    <row r="2064" spans="1:15" ht="12.75">
      <c r="A2064" s="539" t="str">
        <v/>
      </c>
      <c r="M2064" s="539"/>
      <c r="N2064" s="539"/>
      <c r="O2064" s="539"/>
    </row>
    <row r="2065" spans="1:15" ht="12.75">
      <c r="A2065" s="539" t="str">
        <v/>
      </c>
      <c r="M2065" s="539"/>
      <c r="N2065" s="539"/>
      <c r="O2065" s="539"/>
    </row>
    <row r="2066" spans="1:15" ht="12.75">
      <c r="A2066" s="539" t="str">
        <v/>
      </c>
      <c r="M2066" s="539"/>
      <c r="N2066" s="539"/>
      <c r="O2066" s="539"/>
    </row>
    <row r="2067" spans="1:15" ht="12.75">
      <c r="A2067" s="539" t="str">
        <v/>
      </c>
      <c r="M2067" s="539"/>
      <c r="N2067" s="539"/>
      <c r="O2067" s="539"/>
    </row>
    <row r="2068" spans="1:15" ht="12.75">
      <c r="A2068" s="539" t="str">
        <v/>
      </c>
      <c r="M2068" s="539"/>
      <c r="N2068" s="539"/>
      <c r="O2068" s="539"/>
    </row>
    <row r="2069" spans="1:15" ht="12.75">
      <c r="A2069" s="539" t="str">
        <v/>
      </c>
      <c r="M2069" s="539"/>
      <c r="N2069" s="539"/>
      <c r="O2069" s="539"/>
    </row>
    <row r="2070" spans="1:15" ht="12.75">
      <c r="A2070" s="539" t="str">
        <v/>
      </c>
      <c r="M2070" s="539"/>
      <c r="N2070" s="539"/>
      <c r="O2070" s="539"/>
    </row>
    <row r="2071" spans="1:15" ht="12.75">
      <c r="A2071" s="539" t="str">
        <v/>
      </c>
      <c r="M2071" s="539"/>
      <c r="N2071" s="539"/>
      <c r="O2071" s="539"/>
    </row>
    <row r="2072" spans="1:15" ht="12.75">
      <c r="A2072" s="539" t="str">
        <v/>
      </c>
      <c r="M2072" s="539"/>
      <c r="N2072" s="539"/>
      <c r="O2072" s="539"/>
    </row>
    <row r="2073" spans="1:15" ht="12.75">
      <c r="A2073" s="539" t="str">
        <v/>
      </c>
      <c r="M2073" s="539"/>
      <c r="N2073" s="539"/>
      <c r="O2073" s="539"/>
    </row>
    <row r="2074" spans="1:15" ht="12.75">
      <c r="A2074" s="539" t="str">
        <v/>
      </c>
      <c r="M2074" s="539"/>
      <c r="N2074" s="539"/>
      <c r="O2074" s="539"/>
    </row>
    <row r="2075" spans="1:15" ht="12.75">
      <c r="A2075" s="539" t="str">
        <v/>
      </c>
      <c r="M2075" s="539"/>
      <c r="N2075" s="539"/>
      <c r="O2075" s="539"/>
    </row>
    <row r="2076" spans="1:15" ht="12.75">
      <c r="A2076" s="539" t="str">
        <v/>
      </c>
      <c r="M2076" s="539"/>
      <c r="N2076" s="539"/>
      <c r="O2076" s="539"/>
    </row>
    <row r="2077" spans="1:15" ht="12.75">
      <c r="A2077" s="539" t="str">
        <v/>
      </c>
      <c r="M2077" s="539"/>
      <c r="N2077" s="539"/>
      <c r="O2077" s="539"/>
    </row>
    <row r="2078" spans="1:15" ht="12.75">
      <c r="A2078" s="539" t="str">
        <v/>
      </c>
      <c r="M2078" s="539"/>
      <c r="N2078" s="539"/>
      <c r="O2078" s="539"/>
    </row>
    <row r="2079" spans="1:15" ht="12.75">
      <c r="A2079" s="539" t="str">
        <v/>
      </c>
      <c r="M2079" s="539"/>
      <c r="N2079" s="539"/>
      <c r="O2079" s="539"/>
    </row>
    <row r="2080" spans="1:15" ht="12.75">
      <c r="A2080" s="539" t="str">
        <v/>
      </c>
      <c r="M2080" s="539"/>
      <c r="N2080" s="539"/>
      <c r="O2080" s="539"/>
    </row>
    <row r="2081" spans="1:15" ht="12.75">
      <c r="A2081" s="539" t="str">
        <v/>
      </c>
      <c r="M2081" s="539"/>
      <c r="N2081" s="539"/>
      <c r="O2081" s="539"/>
    </row>
    <row r="2082" spans="1:15" ht="12.75">
      <c r="A2082" s="539" t="str">
        <v/>
      </c>
      <c r="M2082" s="539"/>
      <c r="N2082" s="539"/>
      <c r="O2082" s="539"/>
    </row>
    <row r="2083" spans="1:15" ht="12.75">
      <c r="A2083" s="539" t="str">
        <v/>
      </c>
      <c r="M2083" s="539"/>
      <c r="N2083" s="539"/>
      <c r="O2083" s="539"/>
    </row>
    <row r="2084" spans="1:15" ht="12.75">
      <c r="A2084" s="539" t="str">
        <v/>
      </c>
      <c r="M2084" s="539"/>
      <c r="N2084" s="539"/>
      <c r="O2084" s="539"/>
    </row>
    <row r="2085" spans="1:15" ht="12.75">
      <c r="A2085" s="539" t="str">
        <v/>
      </c>
      <c r="M2085" s="539"/>
      <c r="N2085" s="539"/>
      <c r="O2085" s="539"/>
    </row>
    <row r="2086" spans="1:15" ht="12.75">
      <c r="A2086" s="539" t="str">
        <v/>
      </c>
      <c r="M2086" s="539"/>
      <c r="N2086" s="539"/>
      <c r="O2086" s="539"/>
    </row>
    <row r="2087" spans="1:15" ht="12.75">
      <c r="A2087" s="539" t="str">
        <v/>
      </c>
      <c r="M2087" s="539"/>
      <c r="N2087" s="539"/>
      <c r="O2087" s="539"/>
    </row>
    <row r="2088" spans="1:15" ht="12.75">
      <c r="A2088" s="539" t="str">
        <v/>
      </c>
      <c r="M2088" s="539"/>
      <c r="N2088" s="539"/>
      <c r="O2088" s="539"/>
    </row>
    <row r="2089" spans="1:15" ht="12.75">
      <c r="A2089" s="539" t="str">
        <v/>
      </c>
      <c r="M2089" s="539"/>
      <c r="N2089" s="539"/>
      <c r="O2089" s="539"/>
    </row>
    <row r="2090" spans="1:15" ht="12.75">
      <c r="A2090" s="539" t="str">
        <v/>
      </c>
      <c r="M2090" s="539"/>
      <c r="N2090" s="539"/>
      <c r="O2090" s="539"/>
    </row>
    <row r="2091" spans="1:15" ht="12.75">
      <c r="A2091" s="539" t="str">
        <v/>
      </c>
      <c r="M2091" s="539"/>
      <c r="N2091" s="539"/>
      <c r="O2091" s="539"/>
    </row>
    <row r="2092" spans="1:15" ht="12.75">
      <c r="A2092" s="539" t="str">
        <v/>
      </c>
      <c r="M2092" s="539"/>
      <c r="N2092" s="539"/>
      <c r="O2092" s="539"/>
    </row>
    <row r="2093" spans="1:15" ht="12.75">
      <c r="A2093" s="539" t="str">
        <v/>
      </c>
      <c r="M2093" s="539"/>
      <c r="N2093" s="539"/>
      <c r="O2093" s="539"/>
    </row>
    <row r="2094" spans="1:15" ht="12.75">
      <c r="A2094" s="539" t="str">
        <v/>
      </c>
      <c r="M2094" s="539"/>
      <c r="N2094" s="539"/>
      <c r="O2094" s="539"/>
    </row>
    <row r="2095" spans="1:15" ht="12.75">
      <c r="A2095" s="539" t="str">
        <v/>
      </c>
      <c r="M2095" s="539"/>
      <c r="N2095" s="539"/>
      <c r="O2095" s="539"/>
    </row>
    <row r="2096" spans="1:15" ht="12.75">
      <c r="A2096" s="539" t="str">
        <v/>
      </c>
      <c r="M2096" s="539"/>
      <c r="N2096" s="539"/>
      <c r="O2096" s="539"/>
    </row>
    <row r="2097" spans="1:15" ht="12.75">
      <c r="A2097" s="539" t="str">
        <v/>
      </c>
      <c r="M2097" s="539"/>
      <c r="N2097" s="539"/>
      <c r="O2097" s="539"/>
    </row>
    <row r="2098" spans="1:15" ht="12.75">
      <c r="A2098" s="539" t="str">
        <v/>
      </c>
      <c r="M2098" s="539"/>
      <c r="N2098" s="539"/>
      <c r="O2098" s="539"/>
    </row>
    <row r="2099" spans="1:15" ht="12.75">
      <c r="A2099" s="539" t="str">
        <v/>
      </c>
      <c r="M2099" s="539"/>
      <c r="N2099" s="539"/>
      <c r="O2099" s="539"/>
    </row>
    <row r="2100" spans="1:15" ht="12.75">
      <c r="A2100" s="539" t="str">
        <v/>
      </c>
      <c r="M2100" s="539"/>
      <c r="N2100" s="539"/>
      <c r="O2100" s="539"/>
    </row>
    <row r="2101" spans="1:15" ht="12.75">
      <c r="A2101" s="539" t="str">
        <v/>
      </c>
      <c r="M2101" s="539"/>
      <c r="N2101" s="539"/>
      <c r="O2101" s="539"/>
    </row>
    <row r="2102" spans="1:15" ht="12.75">
      <c r="A2102" s="539" t="str">
        <v/>
      </c>
      <c r="M2102" s="539"/>
      <c r="N2102" s="539"/>
      <c r="O2102" s="539"/>
    </row>
    <row r="2103" spans="1:15" ht="12.75">
      <c r="A2103" s="539" t="str">
        <v/>
      </c>
      <c r="M2103" s="539"/>
      <c r="N2103" s="539"/>
      <c r="O2103" s="539"/>
    </row>
    <row r="2104" spans="1:15" ht="12.75">
      <c r="A2104" s="539" t="str">
        <v/>
      </c>
      <c r="M2104" s="539"/>
      <c r="N2104" s="539"/>
      <c r="O2104" s="539"/>
    </row>
    <row r="2105" spans="1:15" ht="12.75">
      <c r="A2105" s="539" t="str">
        <v/>
      </c>
      <c r="M2105" s="539"/>
      <c r="N2105" s="539"/>
      <c r="O2105" s="539"/>
    </row>
    <row r="2106" spans="1:15" ht="12.75">
      <c r="A2106" s="539" t="str">
        <v/>
      </c>
      <c r="M2106" s="539"/>
      <c r="N2106" s="539"/>
      <c r="O2106" s="539"/>
    </row>
    <row r="2107" spans="1:15" ht="12.75">
      <c r="A2107" s="539" t="str">
        <v/>
      </c>
      <c r="M2107" s="539"/>
      <c r="N2107" s="539"/>
      <c r="O2107" s="539"/>
    </row>
    <row r="2108" spans="1:15" ht="12.75">
      <c r="A2108" s="539" t="str">
        <v/>
      </c>
      <c r="M2108" s="539"/>
      <c r="N2108" s="539"/>
      <c r="O2108" s="539"/>
    </row>
    <row r="2109" spans="1:15" ht="12.75">
      <c r="A2109" s="539" t="str">
        <v/>
      </c>
      <c r="M2109" s="539"/>
      <c r="N2109" s="539"/>
      <c r="O2109" s="539"/>
    </row>
    <row r="2110" spans="1:15" ht="12.75">
      <c r="A2110" s="539" t="str">
        <v/>
      </c>
      <c r="M2110" s="539"/>
      <c r="N2110" s="539"/>
      <c r="O2110" s="539"/>
    </row>
    <row r="2111" spans="1:15" ht="12.75">
      <c r="A2111" s="539" t="str">
        <v/>
      </c>
      <c r="M2111" s="539"/>
      <c r="N2111" s="539"/>
      <c r="O2111" s="539"/>
    </row>
    <row r="2112" spans="1:15" ht="12.75">
      <c r="A2112" s="539" t="str">
        <v/>
      </c>
      <c r="M2112" s="539"/>
      <c r="N2112" s="539"/>
      <c r="O2112" s="539"/>
    </row>
    <row r="2113" spans="1:15" ht="12.75">
      <c r="A2113" s="539" t="str">
        <v/>
      </c>
      <c r="M2113" s="539"/>
      <c r="N2113" s="539"/>
      <c r="O2113" s="539"/>
    </row>
    <row r="2114" spans="1:15" ht="12.75">
      <c r="A2114" s="539" t="str">
        <v/>
      </c>
      <c r="M2114" s="539"/>
      <c r="N2114" s="539"/>
      <c r="O2114" s="539"/>
    </row>
    <row r="2115" spans="1:15" ht="12.75">
      <c r="A2115" s="539" t="str">
        <v/>
      </c>
      <c r="M2115" s="539"/>
      <c r="N2115" s="539"/>
      <c r="O2115" s="539"/>
    </row>
    <row r="2116" spans="1:15" ht="12.75">
      <c r="A2116" s="539" t="str">
        <v/>
      </c>
      <c r="M2116" s="539"/>
      <c r="N2116" s="539"/>
      <c r="O2116" s="539"/>
    </row>
    <row r="2117" spans="1:15" ht="12.75">
      <c r="A2117" s="539" t="str">
        <v/>
      </c>
      <c r="M2117" s="539"/>
      <c r="N2117" s="539"/>
      <c r="O2117" s="539"/>
    </row>
    <row r="2118" spans="1:15" ht="12.75">
      <c r="A2118" s="539" t="str">
        <v/>
      </c>
      <c r="M2118" s="539"/>
      <c r="N2118" s="539"/>
      <c r="O2118" s="539"/>
    </row>
    <row r="2119" spans="1:15" ht="12.75">
      <c r="A2119" s="539" t="str">
        <v/>
      </c>
      <c r="M2119" s="539"/>
      <c r="N2119" s="539"/>
      <c r="O2119" s="539"/>
    </row>
    <row r="2120" spans="1:15" ht="12.75">
      <c r="A2120" s="539" t="str">
        <v/>
      </c>
      <c r="M2120" s="539"/>
      <c r="N2120" s="539"/>
      <c r="O2120" s="539"/>
    </row>
    <row r="2121" spans="1:15" ht="12.75">
      <c r="A2121" s="539" t="str">
        <v/>
      </c>
      <c r="M2121" s="539"/>
      <c r="N2121" s="539"/>
      <c r="O2121" s="539"/>
    </row>
    <row r="2122" spans="1:15" ht="12.75">
      <c r="A2122" s="539" t="str">
        <v/>
      </c>
      <c r="M2122" s="539"/>
      <c r="N2122" s="539"/>
      <c r="O2122" s="539"/>
    </row>
    <row r="2123" spans="1:15" ht="12.75">
      <c r="A2123" s="539" t="str">
        <v/>
      </c>
      <c r="M2123" s="539"/>
      <c r="N2123" s="539"/>
      <c r="O2123" s="539"/>
    </row>
    <row r="2124" spans="1:15" ht="12.75">
      <c r="A2124" s="539" t="str">
        <v/>
      </c>
      <c r="M2124" s="539"/>
      <c r="N2124" s="539"/>
      <c r="O2124" s="539"/>
    </row>
    <row r="2125" spans="1:15" ht="12.75">
      <c r="A2125" s="539" t="str">
        <v/>
      </c>
      <c r="M2125" s="539"/>
      <c r="N2125" s="539"/>
      <c r="O2125" s="539"/>
    </row>
    <row r="2126" spans="1:15" ht="12.75">
      <c r="A2126" s="539" t="str">
        <v/>
      </c>
      <c r="M2126" s="539"/>
      <c r="N2126" s="539"/>
      <c r="O2126" s="539"/>
    </row>
    <row r="2127" spans="1:15" ht="12.75">
      <c r="A2127" s="539" t="str">
        <v/>
      </c>
      <c r="M2127" s="539"/>
      <c r="N2127" s="539"/>
      <c r="O2127" s="539"/>
    </row>
    <row r="2128" spans="1:15" ht="12.75">
      <c r="A2128" s="539" t="str">
        <v/>
      </c>
      <c r="M2128" s="539"/>
      <c r="N2128" s="539"/>
      <c r="O2128" s="539"/>
    </row>
    <row r="2129" spans="1:15" ht="12.75">
      <c r="A2129" s="539" t="str">
        <v/>
      </c>
      <c r="M2129" s="539"/>
      <c r="N2129" s="539"/>
      <c r="O2129" s="539"/>
    </row>
    <row r="2130" spans="1:15" ht="12.75">
      <c r="A2130" s="539" t="str">
        <v/>
      </c>
      <c r="M2130" s="539"/>
      <c r="N2130" s="539"/>
      <c r="O2130" s="539"/>
    </row>
    <row r="2131" spans="1:15" ht="12.75">
      <c r="A2131" s="539" t="str">
        <v/>
      </c>
      <c r="M2131" s="539"/>
      <c r="N2131" s="539"/>
      <c r="O2131" s="539"/>
    </row>
    <row r="2132" spans="1:15" ht="12.75">
      <c r="A2132" s="539" t="str">
        <v/>
      </c>
      <c r="M2132" s="539"/>
      <c r="N2132" s="539"/>
      <c r="O2132" s="539"/>
    </row>
    <row r="2133" spans="1:15" ht="12.75">
      <c r="A2133" s="539" t="str">
        <v/>
      </c>
      <c r="M2133" s="539"/>
      <c r="N2133" s="539"/>
      <c r="O2133" s="539"/>
    </row>
    <row r="2134" spans="1:15" ht="12.75">
      <c r="A2134" s="539" t="str">
        <v/>
      </c>
      <c r="M2134" s="539"/>
      <c r="N2134" s="539"/>
      <c r="O2134" s="539"/>
    </row>
    <row r="2135" spans="1:15" ht="12.75">
      <c r="A2135" s="539" t="str">
        <v/>
      </c>
      <c r="M2135" s="539"/>
      <c r="N2135" s="539"/>
      <c r="O2135" s="539"/>
    </row>
    <row r="2136" spans="1:15" ht="12.75">
      <c r="A2136" s="539" t="str">
        <v/>
      </c>
      <c r="M2136" s="539"/>
      <c r="N2136" s="539"/>
      <c r="O2136" s="539"/>
    </row>
    <row r="2137" spans="1:15" ht="12.75">
      <c r="A2137" s="539" t="str">
        <v/>
      </c>
      <c r="M2137" s="539"/>
      <c r="N2137" s="539"/>
      <c r="O2137" s="539"/>
    </row>
    <row r="2138" spans="1:15" ht="12.75">
      <c r="A2138" s="539" t="str">
        <v/>
      </c>
      <c r="M2138" s="539"/>
      <c r="N2138" s="539"/>
      <c r="O2138" s="539"/>
    </row>
    <row r="2139" spans="1:15" ht="12.75">
      <c r="A2139" s="539" t="str">
        <v/>
      </c>
      <c r="M2139" s="539"/>
      <c r="N2139" s="539"/>
      <c r="O2139" s="539"/>
    </row>
    <row r="2140" spans="1:15" ht="12.75">
      <c r="A2140" s="539" t="str">
        <v/>
      </c>
      <c r="M2140" s="539"/>
      <c r="N2140" s="539"/>
      <c r="O2140" s="539"/>
    </row>
    <row r="2141" spans="1:15" ht="12.75">
      <c r="A2141" s="539" t="str">
        <v/>
      </c>
      <c r="M2141" s="539"/>
      <c r="N2141" s="539"/>
      <c r="O2141" s="539"/>
    </row>
    <row r="2142" spans="1:15" ht="12.75">
      <c r="A2142" s="539" t="str">
        <v/>
      </c>
      <c r="M2142" s="539"/>
      <c r="N2142" s="539"/>
      <c r="O2142" s="539"/>
    </row>
    <row r="2143" spans="1:15" ht="12.75">
      <c r="A2143" s="539" t="str">
        <v/>
      </c>
      <c r="M2143" s="539"/>
      <c r="N2143" s="539"/>
      <c r="O2143" s="539"/>
    </row>
    <row r="2144" spans="1:15" ht="12.75">
      <c r="A2144" s="539" t="str">
        <v/>
      </c>
      <c r="M2144" s="539"/>
      <c r="N2144" s="539"/>
      <c r="O2144" s="539"/>
    </row>
    <row r="2145" spans="1:15" ht="12.75">
      <c r="A2145" s="539" t="str">
        <v/>
      </c>
      <c r="M2145" s="539"/>
      <c r="N2145" s="539"/>
      <c r="O2145" s="539"/>
    </row>
    <row r="2146" spans="1:15" ht="12.75">
      <c r="A2146" s="539" t="str">
        <v/>
      </c>
      <c r="M2146" s="539"/>
      <c r="N2146" s="539"/>
      <c r="O2146" s="539"/>
    </row>
    <row r="2147" spans="1:15" ht="12.75">
      <c r="A2147" s="539" t="str">
        <v/>
      </c>
      <c r="M2147" s="539"/>
      <c r="N2147" s="539"/>
      <c r="O2147" s="539"/>
    </row>
    <row r="2148" spans="1:15" ht="12.75">
      <c r="A2148" s="539" t="str">
        <v/>
      </c>
      <c r="M2148" s="539"/>
      <c r="N2148" s="539"/>
      <c r="O2148" s="539"/>
    </row>
    <row r="2149" spans="1:15" ht="12.75">
      <c r="A2149" s="539" t="str">
        <v/>
      </c>
      <c r="M2149" s="539"/>
      <c r="N2149" s="539"/>
      <c r="O2149" s="539"/>
    </row>
    <row r="2150" spans="1:15" ht="12.75">
      <c r="A2150" s="539" t="str">
        <v/>
      </c>
      <c r="M2150" s="539"/>
      <c r="N2150" s="539"/>
      <c r="O2150" s="539"/>
    </row>
    <row r="2151" spans="1:15" ht="12.75">
      <c r="A2151" s="539" t="str">
        <v/>
      </c>
      <c r="M2151" s="539"/>
      <c r="N2151" s="539"/>
      <c r="O2151" s="539"/>
    </row>
    <row r="2152" spans="1:15" ht="12.75">
      <c r="A2152" s="539" t="str">
        <v/>
      </c>
      <c r="M2152" s="539"/>
      <c r="N2152" s="539"/>
      <c r="O2152" s="539"/>
    </row>
    <row r="2153" spans="1:15" ht="12.75">
      <c r="A2153" s="539" t="str">
        <v/>
      </c>
      <c r="M2153" s="539"/>
      <c r="N2153" s="539"/>
      <c r="O2153" s="539"/>
    </row>
    <row r="2154" spans="1:15" ht="12.75">
      <c r="A2154" s="539" t="str">
        <v/>
      </c>
      <c r="M2154" s="539"/>
      <c r="N2154" s="539"/>
      <c r="O2154" s="539"/>
    </row>
    <row r="2155" spans="1:15" ht="12.75">
      <c r="A2155" s="539" t="str">
        <v/>
      </c>
      <c r="M2155" s="539"/>
      <c r="N2155" s="539"/>
      <c r="O2155" s="539"/>
    </row>
    <row r="2156" spans="1:15" ht="12.75">
      <c r="A2156" s="539" t="str">
        <v/>
      </c>
      <c r="M2156" s="539"/>
      <c r="N2156" s="539"/>
      <c r="O2156" s="539"/>
    </row>
    <row r="2157" spans="1:15" ht="12.75">
      <c r="A2157" s="539" t="str">
        <v/>
      </c>
      <c r="M2157" s="539"/>
      <c r="N2157" s="539"/>
      <c r="O2157" s="539"/>
    </row>
    <row r="2158" spans="1:15" ht="12.75">
      <c r="A2158" s="539" t="str">
        <v/>
      </c>
      <c r="M2158" s="539"/>
      <c r="N2158" s="539"/>
      <c r="O2158" s="539"/>
    </row>
    <row r="2159" spans="1:15" ht="12.75">
      <c r="A2159" s="539" t="str">
        <v/>
      </c>
      <c r="M2159" s="539"/>
      <c r="N2159" s="539"/>
      <c r="O2159" s="539"/>
    </row>
    <row r="2160" spans="1:15" ht="12.75">
      <c r="A2160" s="539" t="str">
        <v/>
      </c>
      <c r="M2160" s="539"/>
      <c r="N2160" s="539"/>
      <c r="O2160" s="539"/>
    </row>
    <row r="2161" spans="1:15" ht="12.75">
      <c r="A2161" s="539" t="str">
        <v/>
      </c>
      <c r="M2161" s="539"/>
      <c r="N2161" s="539"/>
      <c r="O2161" s="539"/>
    </row>
    <row r="2162" spans="1:15" ht="12.75">
      <c r="A2162" s="539" t="str">
        <v/>
      </c>
      <c r="M2162" s="539"/>
      <c r="N2162" s="539"/>
      <c r="O2162" s="539"/>
    </row>
    <row r="2163" spans="1:15" ht="12.75">
      <c r="A2163" s="539" t="str">
        <v/>
      </c>
      <c r="M2163" s="539"/>
      <c r="N2163" s="539"/>
      <c r="O2163" s="539"/>
    </row>
    <row r="2164" spans="1:15" ht="12.75">
      <c r="A2164" s="539" t="str">
        <v/>
      </c>
      <c r="M2164" s="539"/>
      <c r="N2164" s="539"/>
      <c r="O2164" s="539"/>
    </row>
    <row r="2165" spans="1:15" ht="12.75">
      <c r="A2165" s="539" t="str">
        <v/>
      </c>
      <c r="M2165" s="539"/>
      <c r="N2165" s="539"/>
      <c r="O2165" s="539"/>
    </row>
    <row r="2166" spans="1:15" ht="12.75">
      <c r="A2166" s="539" t="str">
        <v/>
      </c>
      <c r="M2166" s="539"/>
      <c r="N2166" s="539"/>
      <c r="O2166" s="539"/>
    </row>
    <row r="2167" spans="1:15" ht="12.75">
      <c r="A2167" s="539" t="str">
        <v/>
      </c>
      <c r="M2167" s="539"/>
      <c r="N2167" s="539"/>
      <c r="O2167" s="539"/>
    </row>
    <row r="2168" spans="1:15" ht="12.75">
      <c r="A2168" s="539" t="str">
        <v/>
      </c>
      <c r="M2168" s="539"/>
      <c r="N2168" s="539"/>
      <c r="O2168" s="539"/>
    </row>
    <row r="2169" spans="1:15" ht="12.75">
      <c r="A2169" s="539" t="str">
        <v/>
      </c>
      <c r="M2169" s="539"/>
      <c r="N2169" s="539"/>
      <c r="O2169" s="539"/>
    </row>
    <row r="2170" spans="1:15" ht="12.75">
      <c r="A2170" s="539" t="str">
        <v/>
      </c>
      <c r="M2170" s="539"/>
      <c r="N2170" s="539"/>
      <c r="O2170" s="539"/>
    </row>
    <row r="2171" spans="1:15" ht="12.75">
      <c r="A2171" s="539" t="str">
        <v/>
      </c>
      <c r="M2171" s="539"/>
      <c r="N2171" s="539"/>
      <c r="O2171" s="539"/>
    </row>
    <row r="2172" spans="1:15" ht="12.75">
      <c r="A2172" s="539" t="str">
        <v/>
      </c>
      <c r="M2172" s="539"/>
      <c r="N2172" s="539"/>
      <c r="O2172" s="539"/>
    </row>
    <row r="2173" spans="1:15" ht="12.75">
      <c r="A2173" s="539" t="str">
        <v/>
      </c>
      <c r="M2173" s="539"/>
      <c r="N2173" s="539"/>
      <c r="O2173" s="539"/>
    </row>
    <row r="2174" spans="1:15" ht="12.75">
      <c r="A2174" s="539" t="str">
        <v/>
      </c>
      <c r="M2174" s="539"/>
      <c r="N2174" s="539"/>
      <c r="O2174" s="539"/>
    </row>
    <row r="2175" spans="1:15" ht="12.75">
      <c r="A2175" s="539" t="str">
        <v/>
      </c>
      <c r="M2175" s="539"/>
      <c r="N2175" s="539"/>
      <c r="O2175" s="539"/>
    </row>
    <row r="2176" spans="1:15" ht="12.75">
      <c r="A2176" s="539" t="str">
        <v/>
      </c>
      <c r="M2176" s="539"/>
      <c r="N2176" s="539"/>
      <c r="O2176" s="539"/>
    </row>
    <row r="2177" spans="1:15" ht="12.75">
      <c r="A2177" s="539" t="str">
        <v/>
      </c>
      <c r="M2177" s="539"/>
      <c r="N2177" s="539"/>
      <c r="O2177" s="539"/>
    </row>
    <row r="2178" spans="1:15" ht="12.75">
      <c r="A2178" s="539" t="str">
        <v/>
      </c>
      <c r="M2178" s="539"/>
      <c r="N2178" s="539"/>
      <c r="O2178" s="539"/>
    </row>
    <row r="2179" spans="1:15" ht="12.75">
      <c r="A2179" s="539" t="str">
        <v/>
      </c>
      <c r="M2179" s="539"/>
      <c r="N2179" s="539"/>
      <c r="O2179" s="539"/>
    </row>
    <row r="2180" spans="1:15" ht="12.75">
      <c r="A2180" s="539" t="str">
        <v/>
      </c>
      <c r="M2180" s="539"/>
      <c r="N2180" s="539"/>
      <c r="O2180" s="539"/>
    </row>
    <row r="2181" spans="1:15" ht="12.75">
      <c r="A2181" s="539" t="str">
        <v/>
      </c>
      <c r="M2181" s="539"/>
      <c r="N2181" s="539"/>
      <c r="O2181" s="539"/>
    </row>
    <row r="2182" spans="1:15" ht="12.75">
      <c r="A2182" s="539" t="str">
        <v/>
      </c>
      <c r="M2182" s="539"/>
      <c r="N2182" s="539"/>
      <c r="O2182" s="539"/>
    </row>
    <row r="2183" spans="1:15" ht="12.75">
      <c r="A2183" s="539" t="str">
        <v/>
      </c>
      <c r="M2183" s="539"/>
      <c r="N2183" s="539"/>
      <c r="O2183" s="539"/>
    </row>
    <row r="2184" spans="1:15" ht="12.75">
      <c r="A2184" s="539" t="str">
        <v/>
      </c>
      <c r="M2184" s="539"/>
      <c r="N2184" s="539"/>
      <c r="O2184" s="539"/>
    </row>
    <row r="2185" spans="1:15" ht="12.75">
      <c r="A2185" s="539" t="str">
        <v/>
      </c>
      <c r="M2185" s="539"/>
      <c r="N2185" s="539"/>
      <c r="O2185" s="539"/>
    </row>
    <row r="2186" spans="1:15" ht="12.75">
      <c r="A2186" s="539" t="str">
        <v/>
      </c>
      <c r="M2186" s="539"/>
      <c r="N2186" s="539"/>
      <c r="O2186" s="539"/>
    </row>
    <row r="2187" spans="1:15" ht="12.75">
      <c r="A2187" s="539" t="str">
        <v/>
      </c>
      <c r="M2187" s="539"/>
      <c r="N2187" s="539"/>
      <c r="O2187" s="539"/>
    </row>
    <row r="2188" spans="1:15" ht="12.75">
      <c r="A2188" s="539" t="str">
        <v/>
      </c>
      <c r="M2188" s="539"/>
      <c r="N2188" s="539"/>
      <c r="O2188" s="539"/>
    </row>
    <row r="2189" spans="1:15" ht="12.75">
      <c r="A2189" s="539" t="str">
        <v/>
      </c>
      <c r="M2189" s="539"/>
      <c r="N2189" s="539"/>
      <c r="O2189" s="539"/>
    </row>
    <row r="2190" spans="1:15" ht="12.75">
      <c r="A2190" s="539" t="str">
        <v/>
      </c>
      <c r="M2190" s="539"/>
      <c r="N2190" s="539"/>
      <c r="O2190" s="539"/>
    </row>
    <row r="2191" spans="1:15" ht="12.75">
      <c r="A2191" s="539" t="str">
        <v/>
      </c>
      <c r="M2191" s="539"/>
      <c r="N2191" s="539"/>
      <c r="O2191" s="539"/>
    </row>
    <row r="2192" spans="1:15" ht="12.75">
      <c r="A2192" s="539" t="str">
        <v/>
      </c>
      <c r="M2192" s="539"/>
      <c r="N2192" s="539"/>
      <c r="O2192" s="539"/>
    </row>
    <row r="2193" spans="1:15" ht="12.75">
      <c r="A2193" s="539" t="str">
        <v/>
      </c>
      <c r="M2193" s="539"/>
      <c r="N2193" s="539"/>
      <c r="O2193" s="539"/>
    </row>
    <row r="2194" spans="1:15" ht="12.75">
      <c r="A2194" s="539" t="str">
        <v/>
      </c>
      <c r="M2194" s="539"/>
      <c r="N2194" s="539"/>
      <c r="O2194" s="539"/>
    </row>
    <row r="2195" spans="1:15" ht="12.75">
      <c r="A2195" s="539" t="str">
        <v/>
      </c>
      <c r="M2195" s="539"/>
      <c r="N2195" s="539"/>
      <c r="O2195" s="539"/>
    </row>
    <row r="2196" spans="1:15" ht="12.75">
      <c r="A2196" s="539" t="str">
        <v/>
      </c>
      <c r="M2196" s="539"/>
      <c r="N2196" s="539"/>
      <c r="O2196" s="539"/>
    </row>
    <row r="2197" spans="1:15" ht="12.75">
      <c r="A2197" s="539" t="str">
        <v/>
      </c>
      <c r="M2197" s="539"/>
      <c r="N2197" s="539"/>
      <c r="O2197" s="539"/>
    </row>
    <row r="2198" spans="1:15" ht="12.75">
      <c r="A2198" s="539" t="str">
        <v/>
      </c>
      <c r="M2198" s="539"/>
      <c r="N2198" s="539"/>
      <c r="O2198" s="539"/>
    </row>
    <row r="2199" spans="1:15" ht="12.75">
      <c r="A2199" s="539" t="str">
        <v/>
      </c>
      <c r="M2199" s="539"/>
      <c r="N2199" s="539"/>
      <c r="O2199" s="539"/>
    </row>
    <row r="2200" spans="1:15" ht="12.75">
      <c r="A2200" s="539" t="str">
        <v/>
      </c>
      <c r="M2200" s="539"/>
      <c r="N2200" s="539"/>
      <c r="O2200" s="539"/>
    </row>
    <row r="2201" spans="1:15" ht="12.75">
      <c r="A2201" s="539" t="str">
        <v/>
      </c>
      <c r="M2201" s="539"/>
      <c r="N2201" s="539"/>
      <c r="O2201" s="539"/>
    </row>
    <row r="2202" spans="1:15" ht="12.75">
      <c r="A2202" s="539" t="str">
        <v/>
      </c>
      <c r="M2202" s="539"/>
      <c r="N2202" s="539"/>
      <c r="O2202" s="539"/>
    </row>
  </sheetData>
  <mergeCells count="14">
    <mergeCell ref="J5:K5"/>
    <mergeCell ref="A1:L4"/>
    <mergeCell ref="M1:N4"/>
    <mergeCell ref="O1:O2"/>
    <mergeCell ref="O3:O4"/>
    <mergeCell ref="A5:A6"/>
    <mergeCell ref="B5:B6"/>
    <mergeCell ref="C5:C6"/>
    <mergeCell ref="L5:L6"/>
    <mergeCell ref="D5:D6"/>
    <mergeCell ref="E5:E6"/>
    <mergeCell ref="F5:F6"/>
    <mergeCell ref="G5:G6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Báo cáo</vt:lpstr>
      <vt:lpstr>Thay đổi</vt:lpstr>
      <vt:lpstr>KQ đo kiểm Speedtest</vt:lpstr>
      <vt:lpstr>Tổ Bến Lức</vt:lpstr>
      <vt:lpstr>Tổ Gò Dầu</vt:lpstr>
      <vt:lpstr>Tổ Đức Hòa</vt:lpstr>
      <vt:lpstr>Tổ Kiến Tường</vt:lpstr>
      <vt:lpstr>Tổ Tân An</vt:lpstr>
      <vt:lpstr>Tổ Tân Châu</vt:lpstr>
      <vt:lpstr>Tổ Tân Ninh</vt:lpstr>
      <vt:lpstr>DS nhân viên Speedtest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QUY nguyen minh</cp:lastModifiedBy>
  <dcterms:modified xsi:type="dcterms:W3CDTF">2026-07-18T10:07:19Z</dcterms:modified>
</cp:coreProperties>
</file>