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3.xml" ContentType="application/vnd.ms-excel.slicer+xml"/>
  <Override PartName="/xl/charts/chartEx2.xml" ContentType="application/vnd.ms-office.chartex+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Giang-day\Soan bai\Project DA\Mentor\Sales\Sales Data\Project 1\"/>
    </mc:Choice>
  </mc:AlternateContent>
  <xr:revisionPtr revIDLastSave="0" documentId="8_{3434EB69-BED4-4514-B08D-0186F272CF6A}" xr6:coauthVersionLast="47" xr6:coauthVersionMax="47" xr10:uidLastSave="{00000000-0000-0000-0000-000000000000}"/>
  <bookViews>
    <workbookView xWindow="4065" yWindow="4065" windowWidth="21600" windowHeight="11295" xr2:uid="{174D6A3B-CBB4-4CBD-BEBC-0E113AF51899}"/>
  </bookViews>
  <sheets>
    <sheet name="Tong_quan" sheetId="1" r:id="rId1"/>
    <sheet name="Doanh_thu" sheetId="2" r:id="rId2"/>
    <sheet name="Doi_soat" sheetId="3" r:id="rId3"/>
    <sheet name="Hoan_tra" sheetId="4" r:id="rId4"/>
    <sheet name="Huong_dan" sheetId="5" r:id="rId5"/>
    <sheet name="_pivot" sheetId="6" state="hidden" r:id="rId6"/>
  </sheets>
  <definedNames>
    <definedName name="_xlchart.v1.0" hidden="1">Tong_quan!$B$2</definedName>
    <definedName name="_xlchart.v1.1" hidden="1">Tong_quan!$B$3</definedName>
    <definedName name="_xlchart.v1.2" hidden="1">_pivot!$AQ$130:$AT$130</definedName>
    <definedName name="_xlchart.v1.3" hidden="1">_pivot!$AQ$131:$AT$131</definedName>
    <definedName name="_xlchart.v1.4" hidden="1">Doi_soat!$B$2</definedName>
    <definedName name="_xlchart.v1.5" hidden="1">Doi_soat!$B$3</definedName>
    <definedName name="_xlchart.v1.6" hidden="1">_pivot!$AQ$136:$AT$136</definedName>
    <definedName name="_xlchart.v1.7" hidden="1">_pivot!$AQ$137:$AT$137</definedName>
    <definedName name="map_store">_pivot!$AB$23:$AC$89</definedName>
    <definedName name="map_store_name">_pivot!$AB$123:$AC$189</definedName>
    <definedName name="map_vi">_pivot!$AB$2:$AC$22</definedName>
    <definedName name="_xlnm.Print_Area" localSheetId="1">Doanh_thu!$A$1:$Q$53</definedName>
    <definedName name="_xlnm.Print_Area" localSheetId="2">Doi_soat!$A$1:$Q$53</definedName>
    <definedName name="_xlnm.Print_Area" localSheetId="3">Hoan_tra!$A$1:$Q$53</definedName>
    <definedName name="_xlnm.Print_Area" localSheetId="0">Tong_quan!$A$1:$Q$53</definedName>
    <definedName name="Slicer_channel_name">#N/A</definedName>
    <definedName name="Slicer_country">#N/A</definedName>
    <definedName name="Slicer_month">#N/A</definedName>
    <definedName name="Slicer_year">#N/A</definedName>
  </definedNames>
  <calcPr calcId="191029"/>
  <pivotCaches>
    <pivotCache cacheId="1" r:id="rId7"/>
    <pivotCache cacheId="1238" r:id="rId8"/>
    <pivotCache cacheId="1243" r:id="rId9"/>
    <pivotCache cacheId="1245" r:id="rId10"/>
    <pivotCache cacheId="1247" r:id="rId11"/>
    <pivotCache cacheId="1249" r:id="rId12"/>
    <pivotCache cacheId="1251" r:id="rId13"/>
    <pivotCache cacheId="1253" r:id="rId14"/>
    <pivotCache cacheId="1241" r:id="rId15"/>
  </pivotCaches>
  <extLst>
    <ext xmlns:x14="http://schemas.microsoft.com/office/spreadsheetml/2009/9/main" uri="{876F7934-8845-4945-9796-88D515C7AA90}">
      <x14:pivotCaches>
        <pivotCache cacheId="0"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date_07783c45-f9bd-4bcb-9e7e-24ff73290f83" name="dim_date" connection="Query - dim_date"/>
          <x15:modelTable id="dim_store_10c4b802-d158-44e2-a8fe-662723604e09" name="dim_store" connection="Query - dim_store"/>
          <x15:modelTable id="dim_product_fdcd85b4-3a7a-4e39-a50b-ea6fe2a73239" name="dim_product" connection="Query - dim_product"/>
          <x15:modelTable id="dim_channel_43148d66-5afe-4d40-968a-593fd9723209" name="dim_channel" connection="Query - dim_channel"/>
          <x15:modelTable id="dim_promotion_51ec1a22-27f2-4a27-99be-25ed59057997" name="dim_promotion" connection="Query - dim_promotion"/>
          <x15:modelTable id="dim_order_status_423dfc23-b8a9-4ed8-9080-663832ee6544" name="dim_order_status" connection="Query - dim_order_status"/>
          <x15:modelTable id="fact_sales_line_50225119-a80e-469a-bb0b-9eca0c91bfec" name="fact_sales_line" connection="Query - fact_sales_line"/>
          <x15:modelTable id="fact_return_8aea8b1d-318b-4d05-8312-9e3ec1920c3a" name="fact_return" connection="Query - fact_return"/>
          <x15:modelTable id="fact_finance_0f19366b-b203-4dbb-8839-6d6ba84fbab1" name="fact_finance" connection="Query - fact_finance"/>
          <x15:modelTable id="_Measures_e402260a-719e-451a-b917-3246af5e325c" name="_Measures" connection="Query - _Measures"/>
        </x15:modelTables>
        <x15:modelRelationships>
          <x15:modelRelationship fromTable="dim_store" fromColumn="channel_code" toTable="dim_channel" toColumn="channel_code"/>
          <x15:modelRelationship fromTable="fact_sales_line" fromColumn="order_date" toTable="dim_date" toColumn="date"/>
          <x15:modelRelationship fromTable="fact_sales_line" fromColumn="store_key" toTable="dim_store" toColumn="store_key"/>
          <x15:modelRelationship fromTable="fact_sales_line" fromColumn="product_key" toTable="dim_product" toColumn="product_key"/>
          <x15:modelRelationship fromTable="fact_sales_line" fromColumn="promo_code" toTable="dim_promotion" toColumn="promo_code"/>
          <x15:modelRelationship fromTable="fact_sales_line" fromColumn="order_status" toTable="dim_order_status" toColumn="order_status"/>
          <x15:modelRelationship fromTable="fact_return" fromColumn="return_date" toTable="dim_date" toColumn="date"/>
          <x15:modelRelationship fromTable="fact_return" fromColumn="store_key" toTable="dim_store" toColumn="store_key"/>
          <x15:modelRelationship fromTable="fact_return" fromColumn="product_key" toTable="dim_product" toColumn="product_key"/>
          <x15:modelRelationship fromTable="fact_finance" fromColumn="posting_date" toTable="dim_date" toColumn="date"/>
          <x15:modelRelationship fromTable="fact_finance" fromColumn="store_key" toTable="dim_store" toColumn="store_ke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12" i="4" l="1"/>
  <c r="I46" i="3"/>
  <c r="H46" i="3"/>
  <c r="G46" i="3"/>
  <c r="F46" i="3"/>
  <c r="E46" i="3"/>
  <c r="D46" i="3"/>
  <c r="B46" i="3"/>
  <c r="I45" i="3"/>
  <c r="H45" i="3"/>
  <c r="G45" i="3"/>
  <c r="F45" i="3"/>
  <c r="E45" i="3"/>
  <c r="D45" i="3"/>
  <c r="B45" i="3"/>
  <c r="I44" i="3"/>
  <c r="H44" i="3"/>
  <c r="G44" i="3"/>
  <c r="F44" i="3"/>
  <c r="E44" i="3"/>
  <c r="D44" i="3"/>
  <c r="B44" i="3"/>
  <c r="I43" i="3"/>
  <c r="H43" i="3"/>
  <c r="G43" i="3"/>
  <c r="F43" i="3"/>
  <c r="E43" i="3"/>
  <c r="D43" i="3"/>
  <c r="B43" i="3"/>
  <c r="I42" i="3"/>
  <c r="H42" i="3"/>
  <c r="G42" i="3"/>
  <c r="F42" i="3"/>
  <c r="E42" i="3"/>
  <c r="D42" i="3"/>
  <c r="B42" i="3"/>
  <c r="I41" i="3"/>
  <c r="H41" i="3"/>
  <c r="G41" i="3"/>
  <c r="F41" i="3"/>
  <c r="E41" i="3"/>
  <c r="D41" i="3"/>
  <c r="B41" i="3"/>
  <c r="I40" i="3"/>
  <c r="H40" i="3"/>
  <c r="G40" i="3"/>
  <c r="F40" i="3"/>
  <c r="E40" i="3"/>
  <c r="D40" i="3"/>
  <c r="B40" i="3"/>
  <c r="I39" i="3"/>
  <c r="H39" i="3"/>
  <c r="G39" i="3"/>
  <c r="F39" i="3"/>
  <c r="E39" i="3"/>
  <c r="D39" i="3"/>
  <c r="B39" i="3"/>
  <c r="I38" i="3"/>
  <c r="H38" i="3"/>
  <c r="G38" i="3"/>
  <c r="F38" i="3"/>
  <c r="E38" i="3"/>
  <c r="D38" i="3"/>
  <c r="B38" i="3"/>
  <c r="I37" i="3"/>
  <c r="H37" i="3"/>
  <c r="G37" i="3"/>
  <c r="F37" i="3"/>
  <c r="E37" i="3"/>
  <c r="D37" i="3"/>
  <c r="B37" i="3"/>
  <c r="K48" i="2"/>
  <c r="J48" i="2"/>
  <c r="H48" i="2"/>
  <c r="F48" i="2"/>
  <c r="C48" i="2"/>
  <c r="B48" i="2"/>
  <c r="K47" i="2"/>
  <c r="J47" i="2"/>
  <c r="H47" i="2"/>
  <c r="F47" i="2"/>
  <c r="C47" i="2"/>
  <c r="B47" i="2"/>
  <c r="K46" i="2"/>
  <c r="J46" i="2"/>
  <c r="H46" i="2"/>
  <c r="F46" i="2"/>
  <c r="C46" i="2"/>
  <c r="B46" i="2"/>
  <c r="K45" i="2"/>
  <c r="J45" i="2"/>
  <c r="H45" i="2"/>
  <c r="F45" i="2"/>
  <c r="C45" i="2"/>
  <c r="B45" i="2"/>
  <c r="K44" i="2"/>
  <c r="J44" i="2"/>
  <c r="H44" i="2"/>
  <c r="F44" i="2"/>
  <c r="C44" i="2"/>
  <c r="B44" i="2"/>
  <c r="K43" i="2"/>
  <c r="J43" i="2"/>
  <c r="H43" i="2"/>
  <c r="F43" i="2"/>
  <c r="C43" i="2"/>
  <c r="B43" i="2"/>
  <c r="K42" i="2"/>
  <c r="J42" i="2"/>
  <c r="H42" i="2"/>
  <c r="F42" i="2"/>
  <c r="C42" i="2"/>
  <c r="B42" i="2"/>
  <c r="K41" i="2"/>
  <c r="J41" i="2"/>
  <c r="H41" i="2"/>
  <c r="F41" i="2"/>
  <c r="C41" i="2"/>
  <c r="B41" i="2"/>
  <c r="K40" i="2"/>
  <c r="J40" i="2"/>
  <c r="H40" i="2"/>
  <c r="F40" i="2"/>
  <c r="C40" i="2"/>
  <c r="B40" i="2"/>
  <c r="K39" i="2"/>
  <c r="J39" i="2"/>
  <c r="H39" i="2"/>
  <c r="F39" i="2"/>
  <c r="C39" i="2"/>
  <c r="B39" i="2"/>
  <c r="M24" i="2"/>
  <c r="M23" i="2"/>
  <c r="P20" i="2"/>
  <c r="O20" i="2"/>
  <c r="N20" i="2"/>
  <c r="M20" i="2"/>
  <c r="P19" i="2"/>
  <c r="O19" i="2"/>
  <c r="N19" i="2"/>
  <c r="M19" i="2"/>
  <c r="M16" i="2"/>
  <c r="AQ114" i="6"/>
  <c r="AU114" i="6" s="1"/>
  <c r="AQ113" i="6"/>
  <c r="AU113" i="6" s="1"/>
  <c r="AQ112" i="6"/>
  <c r="AU112" i="6" s="1"/>
  <c r="AQ111" i="6"/>
  <c r="AU111" i="6" s="1"/>
  <c r="AQ110" i="6"/>
  <c r="AU110" i="6" s="1"/>
  <c r="AQ109" i="6"/>
  <c r="AU109" i="6" s="1"/>
  <c r="AQ108" i="6"/>
  <c r="AU108" i="6" s="1"/>
  <c r="AQ107" i="6"/>
  <c r="AU107" i="6" s="1"/>
  <c r="AQ106" i="6"/>
  <c r="AU106" i="6" s="1"/>
  <c r="AQ105" i="6"/>
  <c r="AS63" i="6"/>
  <c r="AR63" i="6"/>
  <c r="AT63" i="6" s="1"/>
  <c r="AQ63" i="6"/>
  <c r="AU63" i="6" s="1"/>
  <c r="AS62" i="6"/>
  <c r="AR62" i="6"/>
  <c r="AT62" i="6" s="1"/>
  <c r="AQ62" i="6"/>
  <c r="AU62" i="6" s="1"/>
  <c r="AS61" i="6"/>
  <c r="AR61" i="6"/>
  <c r="AT61" i="6" s="1"/>
  <c r="AQ61" i="6"/>
  <c r="AU61" i="6" s="1"/>
  <c r="AS60" i="6"/>
  <c r="AR60" i="6"/>
  <c r="AT60" i="6" s="1"/>
  <c r="AQ60" i="6"/>
  <c r="AU60" i="6" s="1"/>
  <c r="AS59" i="6"/>
  <c r="AR59" i="6"/>
  <c r="AT59" i="6" s="1"/>
  <c r="AQ59" i="6"/>
  <c r="AU59" i="6" s="1"/>
  <c r="AS58" i="6"/>
  <c r="AR58" i="6"/>
  <c r="AT58" i="6" s="1"/>
  <c r="AQ58" i="6"/>
  <c r="AU58" i="6" s="1"/>
  <c r="AS57" i="6"/>
  <c r="AR57" i="6"/>
  <c r="AT57" i="6" s="1"/>
  <c r="AQ57" i="6"/>
  <c r="AU57" i="6" s="1"/>
  <c r="AT56" i="6"/>
  <c r="AR56" i="6"/>
  <c r="AS56" i="6" s="1"/>
  <c r="AQ56" i="6"/>
  <c r="AS44" i="6"/>
  <c r="AR44" i="6"/>
  <c r="AT44" i="6" s="1"/>
  <c r="AQ44" i="6"/>
  <c r="AS43" i="6"/>
  <c r="AR43" i="6"/>
  <c r="AT43" i="6" s="1"/>
  <c r="AQ43" i="6"/>
  <c r="AS42" i="6"/>
  <c r="AR42" i="6"/>
  <c r="AT42" i="6" s="1"/>
  <c r="AQ42" i="6"/>
  <c r="AT41" i="6"/>
  <c r="AR41" i="6"/>
  <c r="AS41" i="6" s="1"/>
  <c r="AQ41" i="6"/>
  <c r="AS29" i="6"/>
  <c r="AR29" i="6"/>
  <c r="AT29" i="6" s="1"/>
  <c r="AQ29" i="6"/>
  <c r="AS28" i="6"/>
  <c r="AR28" i="6"/>
  <c r="AT28" i="6" s="1"/>
  <c r="AQ28" i="6"/>
  <c r="AS27" i="6"/>
  <c r="AR27" i="6"/>
  <c r="AT27" i="6" s="1"/>
  <c r="AQ27" i="6"/>
  <c r="AS26" i="6"/>
  <c r="AR26" i="6"/>
  <c r="AT26" i="6" s="1"/>
  <c r="AQ26" i="6"/>
  <c r="AS25" i="6"/>
  <c r="AR25" i="6"/>
  <c r="AT25" i="6" s="1"/>
  <c r="AQ25" i="6"/>
  <c r="AS24" i="6"/>
  <c r="AR24" i="6"/>
  <c r="AT24" i="6" s="1"/>
  <c r="AQ24" i="6"/>
  <c r="AS23" i="6"/>
  <c r="AR23" i="6"/>
  <c r="AT23" i="6" s="1"/>
  <c r="AQ23" i="6"/>
  <c r="AS22" i="6"/>
  <c r="AR22" i="6"/>
  <c r="AT22" i="6" s="1"/>
  <c r="AQ22" i="6"/>
  <c r="AT21" i="6"/>
  <c r="AR21" i="6"/>
  <c r="AS21" i="6" s="1"/>
  <c r="AQ21" i="6"/>
  <c r="AS11" i="6"/>
  <c r="AR11" i="6"/>
  <c r="AT11" i="6" s="1"/>
  <c r="AQ11" i="6"/>
  <c r="AS10" i="6"/>
  <c r="AR10" i="6"/>
  <c r="AT10" i="6" s="1"/>
  <c r="AQ10" i="6"/>
  <c r="AS9" i="6"/>
  <c r="AR9" i="6"/>
  <c r="AT9" i="6" s="1"/>
  <c r="AQ9" i="6"/>
  <c r="AS8" i="6"/>
  <c r="AR8" i="6"/>
  <c r="AT8" i="6" s="1"/>
  <c r="AQ8" i="6"/>
  <c r="AS7" i="6"/>
  <c r="AR7" i="6"/>
  <c r="AT7" i="6" s="1"/>
  <c r="AQ7" i="6"/>
  <c r="AS6" i="6"/>
  <c r="AR6" i="6"/>
  <c r="AT6" i="6" s="1"/>
  <c r="AQ6" i="6"/>
  <c r="AS5" i="6"/>
  <c r="AR5" i="6"/>
  <c r="AT5" i="6" s="1"/>
  <c r="AQ5" i="6"/>
  <c r="AT4" i="6"/>
  <c r="AR4" i="6"/>
  <c r="AS4" i="6" s="1"/>
  <c r="AQ4" i="6"/>
  <c r="V82" i="6"/>
  <c r="P82" i="6"/>
  <c r="N82" i="6"/>
  <c r="L82" i="6"/>
  <c r="V81" i="6"/>
  <c r="P81" i="6"/>
  <c r="N81" i="6"/>
  <c r="L81" i="6"/>
  <c r="V80" i="6"/>
  <c r="P80" i="6"/>
  <c r="N80" i="6"/>
  <c r="L80" i="6"/>
  <c r="V79" i="6"/>
  <c r="P79" i="6"/>
  <c r="N79" i="6"/>
  <c r="L79" i="6"/>
  <c r="V78" i="6"/>
  <c r="P78" i="6"/>
  <c r="N78" i="6"/>
  <c r="L78" i="6"/>
  <c r="V77" i="6"/>
  <c r="P77" i="6"/>
  <c r="N77" i="6"/>
  <c r="L77" i="6"/>
  <c r="V76" i="6"/>
  <c r="P76" i="6"/>
  <c r="N76" i="6"/>
  <c r="L76" i="6"/>
  <c r="V75" i="6"/>
  <c r="P75" i="6"/>
  <c r="N75" i="6"/>
  <c r="L75" i="6"/>
  <c r="V74" i="6"/>
  <c r="P74" i="6"/>
  <c r="N74" i="6"/>
  <c r="L74" i="6"/>
  <c r="V73" i="6"/>
  <c r="P73" i="6"/>
  <c r="N73" i="6"/>
  <c r="L73" i="6"/>
  <c r="V72" i="6"/>
  <c r="P72" i="6"/>
  <c r="N72" i="6"/>
  <c r="L72" i="6"/>
  <c r="V71" i="6"/>
  <c r="P71" i="6"/>
  <c r="N71" i="6"/>
  <c r="L71" i="6"/>
  <c r="V70" i="6"/>
  <c r="P70" i="6"/>
  <c r="N70" i="6"/>
  <c r="L70" i="6"/>
  <c r="V69" i="6"/>
  <c r="P69" i="6"/>
  <c r="N69" i="6"/>
  <c r="L69" i="6"/>
  <c r="V68" i="6"/>
  <c r="P68" i="6"/>
  <c r="N68" i="6"/>
  <c r="L68" i="6"/>
  <c r="V67" i="6"/>
  <c r="P67" i="6"/>
  <c r="N67" i="6"/>
  <c r="L67" i="6"/>
  <c r="V66" i="6"/>
  <c r="P66" i="6"/>
  <c r="N66" i="6"/>
  <c r="L66" i="6"/>
  <c r="V65" i="6"/>
  <c r="P65" i="6"/>
  <c r="N65" i="6"/>
  <c r="L65" i="6"/>
  <c r="V64" i="6"/>
  <c r="P64" i="6"/>
  <c r="N64" i="6"/>
  <c r="L64" i="6"/>
  <c r="V63" i="6"/>
  <c r="P63" i="6"/>
  <c r="N63" i="6"/>
  <c r="L63" i="6"/>
  <c r="V62" i="6"/>
  <c r="P62" i="6"/>
  <c r="N62" i="6"/>
  <c r="L62" i="6"/>
  <c r="V61" i="6"/>
  <c r="P61" i="6"/>
  <c r="N61" i="6"/>
  <c r="L61" i="6"/>
  <c r="V60" i="6"/>
  <c r="P60" i="6"/>
  <c r="N60" i="6"/>
  <c r="L60" i="6"/>
  <c r="C44" i="6"/>
  <c r="C42" i="6"/>
  <c r="C41" i="6"/>
  <c r="C40" i="6"/>
  <c r="C39" i="6"/>
  <c r="C38" i="6"/>
  <c r="C37" i="6"/>
  <c r="C36" i="6"/>
  <c r="C35" i="6"/>
  <c r="C34" i="6"/>
  <c r="C33" i="6"/>
  <c r="C32" i="6"/>
  <c r="C31" i="6"/>
  <c r="C30" i="6"/>
  <c r="C29" i="6"/>
  <c r="C28" i="6"/>
  <c r="C27" i="6"/>
  <c r="C26" i="6"/>
  <c r="C25" i="6"/>
  <c r="C24" i="6"/>
  <c r="C23" i="6"/>
  <c r="C22" i="6"/>
  <c r="C21" i="6"/>
  <c r="C20" i="6"/>
  <c r="B14" i="6"/>
  <c r="B13" i="6"/>
  <c r="B12" i="6"/>
  <c r="B11" i="6"/>
  <c r="B5" i="6"/>
  <c r="B4" i="6"/>
  <c r="B3" i="6"/>
  <c r="B2" i="6"/>
  <c r="N14" i="4" l="1"/>
  <c r="AQ131" i="6"/>
  <c r="K16" i="1"/>
  <c r="AR131" i="6"/>
  <c r="B12" i="2"/>
  <c r="B36" i="2"/>
  <c r="AS131" i="6"/>
  <c r="B12" i="4"/>
  <c r="B12" i="3"/>
  <c r="AT131" i="6"/>
  <c r="B12" i="1"/>
  <c r="E12" i="1"/>
  <c r="F12" i="2"/>
  <c r="H12" i="1"/>
  <c r="K12" i="1"/>
  <c r="F12" i="4"/>
  <c r="E12" i="3"/>
  <c r="N12" i="1"/>
  <c r="AT137" i="6"/>
  <c r="H12" i="3"/>
  <c r="N13" i="1"/>
  <c r="H13" i="3"/>
  <c r="K12" i="3"/>
  <c r="N12" i="3"/>
  <c r="N14" i="1"/>
  <c r="E13" i="3"/>
  <c r="J12" i="4"/>
  <c r="J12" i="2"/>
  <c r="N12" i="2"/>
  <c r="K16" i="4"/>
  <c r="B34" i="4"/>
  <c r="H16" i="2"/>
  <c r="AR110" i="6"/>
  <c r="B16" i="2"/>
  <c r="AR106" i="6"/>
  <c r="AR109" i="6"/>
  <c r="AR114" i="6"/>
  <c r="AR105" i="6"/>
  <c r="B9" i="4"/>
  <c r="AR107" i="6"/>
  <c r="AU56" i="6"/>
  <c r="AR111" i="6"/>
  <c r="AR108" i="6"/>
  <c r="AU105" i="6"/>
  <c r="AU116" i="6" s="1"/>
  <c r="AR112" i="6"/>
  <c r="AR113" i="6"/>
  <c r="C2" i="6"/>
  <c r="C3" i="6"/>
  <c r="B16" i="6"/>
  <c r="K34" i="3" s="1"/>
  <c r="B15" i="6"/>
  <c r="C43" i="6"/>
  <c r="AQ137" i="6" s="1"/>
  <c r="B6" i="6" l="1"/>
  <c r="B7" i="6" s="1"/>
  <c r="B8" i="3"/>
  <c r="AS137" i="6"/>
  <c r="AR137" i="6"/>
  <c r="AS105" i="6"/>
  <c r="AS107" i="6"/>
  <c r="AS106" i="6"/>
  <c r="AT107" i="6"/>
  <c r="AT106" i="6"/>
  <c r="AT112" i="6"/>
  <c r="AS112" i="6"/>
  <c r="AT114" i="6"/>
  <c r="AT113" i="6"/>
  <c r="AS110" i="6"/>
  <c r="AS109" i="6"/>
  <c r="AT105" i="6"/>
  <c r="AT108" i="6"/>
  <c r="AT111" i="6"/>
  <c r="AS108" i="6"/>
  <c r="AS111" i="6"/>
  <c r="AS114" i="6"/>
  <c r="AT110" i="6"/>
  <c r="AS113" i="6"/>
  <c r="AT109" i="6"/>
  <c r="D24" i="6"/>
  <c r="E24" i="6"/>
  <c r="B10" i="6" l="1"/>
  <c r="B9" i="3"/>
  <c r="B16" i="3"/>
  <c r="G24" i="6"/>
  <c r="F24" i="6"/>
  <c r="I79" i="6"/>
  <c r="I71" i="6"/>
  <c r="I63" i="6"/>
  <c r="I82" i="6"/>
  <c r="I74" i="6"/>
  <c r="I66" i="6"/>
  <c r="I77" i="6"/>
  <c r="I69" i="6"/>
  <c r="I61" i="6"/>
  <c r="I81" i="6"/>
  <c r="I76" i="6"/>
  <c r="I68" i="6"/>
  <c r="I67" i="6"/>
  <c r="I80" i="6"/>
  <c r="I64" i="6"/>
  <c r="I75" i="6"/>
  <c r="I83" i="6"/>
  <c r="I60" i="6"/>
  <c r="I78" i="6"/>
  <c r="I62" i="6"/>
  <c r="I73" i="6"/>
  <c r="I70" i="6"/>
  <c r="I65" i="6"/>
  <c r="I72" i="6"/>
  <c r="B9" i="6"/>
  <c r="B8" i="6"/>
  <c r="M48" i="2"/>
  <c r="M47" i="2"/>
  <c r="M46" i="2"/>
  <c r="M45" i="2"/>
  <c r="M44" i="2"/>
  <c r="M43" i="2"/>
  <c r="M42" i="2"/>
  <c r="M41" i="2"/>
  <c r="M40" i="2"/>
  <c r="M39" i="2"/>
  <c r="O24" i="2"/>
  <c r="O23" i="2"/>
  <c r="L48" i="2"/>
  <c r="L47" i="2"/>
  <c r="L46" i="2"/>
  <c r="L45" i="2"/>
  <c r="L44" i="2"/>
  <c r="L43" i="2"/>
  <c r="L42" i="2"/>
  <c r="L41" i="2"/>
  <c r="L40" i="2"/>
  <c r="L39" i="2"/>
  <c r="N24" i="2"/>
  <c r="N23" i="2"/>
  <c r="M64" i="6"/>
  <c r="R64" i="6"/>
  <c r="M60" i="6"/>
  <c r="R60" i="6"/>
  <c r="M74" i="6"/>
  <c r="R74" i="6"/>
  <c r="M65" i="6"/>
  <c r="R65" i="6"/>
  <c r="M76" i="6"/>
  <c r="R76" i="6"/>
  <c r="M75" i="6"/>
  <c r="R75" i="6"/>
  <c r="M78" i="6"/>
  <c r="R78" i="6"/>
  <c r="M73" i="6"/>
  <c r="R73" i="6"/>
  <c r="M69" i="6"/>
  <c r="R69" i="6"/>
  <c r="M68" i="6"/>
  <c r="R68" i="6"/>
  <c r="M79" i="6"/>
  <c r="R79" i="6"/>
  <c r="M83" i="6"/>
  <c r="R83" i="6"/>
  <c r="M66" i="6"/>
  <c r="R66" i="6"/>
  <c r="M81" i="6"/>
  <c r="R81" i="6"/>
  <c r="M71" i="6"/>
  <c r="R71" i="6"/>
  <c r="M62" i="6"/>
  <c r="R62" i="6"/>
  <c r="M70" i="6"/>
  <c r="R70" i="6"/>
  <c r="M72" i="6"/>
  <c r="R72" i="6"/>
  <c r="M67" i="6"/>
  <c r="R67" i="6"/>
  <c r="M63" i="6"/>
  <c r="R63" i="6"/>
  <c r="M82" i="6"/>
  <c r="R82" i="6"/>
  <c r="M77" i="6"/>
  <c r="R77" i="6"/>
  <c r="M61" i="6"/>
  <c r="R61" i="6"/>
  <c r="M80" i="6"/>
  <c r="R80" i="6"/>
  <c r="K64" i="6"/>
  <c r="O64" i="6"/>
  <c r="Q64" i="6"/>
  <c r="U64" i="6"/>
  <c r="W64" i="6"/>
  <c r="X64" i="6"/>
  <c r="K60" i="6"/>
  <c r="O60" i="6"/>
  <c r="Q60" i="6"/>
  <c r="U60" i="6"/>
  <c r="W60" i="6"/>
  <c r="X60" i="6"/>
  <c r="K74" i="6"/>
  <c r="O74" i="6"/>
  <c r="Q74" i="6"/>
  <c r="U74" i="6"/>
  <c r="W74" i="6"/>
  <c r="X74" i="6"/>
  <c r="K65" i="6"/>
  <c r="O65" i="6"/>
  <c r="Q65" i="6"/>
  <c r="U65" i="6"/>
  <c r="W65" i="6"/>
  <c r="X65" i="6"/>
  <c r="K76" i="6"/>
  <c r="O76" i="6"/>
  <c r="Q76" i="6"/>
  <c r="U76" i="6"/>
  <c r="W76" i="6"/>
  <c r="X76" i="6"/>
  <c r="K75" i="6"/>
  <c r="O75" i="6"/>
  <c r="Q75" i="6"/>
  <c r="U75" i="6"/>
  <c r="W75" i="6"/>
  <c r="X75" i="6"/>
  <c r="K78" i="6"/>
  <c r="O78" i="6"/>
  <c r="Q78" i="6"/>
  <c r="U78" i="6"/>
  <c r="W78" i="6"/>
  <c r="X78" i="6"/>
  <c r="K73" i="6"/>
  <c r="O73" i="6"/>
  <c r="Q73" i="6"/>
  <c r="U73" i="6"/>
  <c r="W73" i="6"/>
  <c r="X73" i="6"/>
  <c r="K69" i="6"/>
  <c r="O69" i="6"/>
  <c r="Q69" i="6"/>
  <c r="U69" i="6"/>
  <c r="W69" i="6"/>
  <c r="X69" i="6"/>
  <c r="K68" i="6"/>
  <c r="O68" i="6"/>
  <c r="Q68" i="6"/>
  <c r="U68" i="6"/>
  <c r="W68" i="6"/>
  <c r="X68" i="6"/>
  <c r="K79" i="6"/>
  <c r="O79" i="6"/>
  <c r="Q79" i="6"/>
  <c r="U79" i="6"/>
  <c r="W79" i="6"/>
  <c r="X79" i="6"/>
  <c r="K83" i="6"/>
  <c r="O83" i="6"/>
  <c r="Q83" i="6"/>
  <c r="U83" i="6"/>
  <c r="W83" i="6"/>
  <c r="X83" i="6"/>
  <c r="K66" i="6"/>
  <c r="O66" i="6"/>
  <c r="Q66" i="6"/>
  <c r="U66" i="6"/>
  <c r="W66" i="6"/>
  <c r="X66" i="6"/>
  <c r="K81" i="6"/>
  <c r="O81" i="6"/>
  <c r="Q81" i="6"/>
  <c r="U81" i="6"/>
  <c r="W81" i="6"/>
  <c r="X81" i="6"/>
  <c r="K71" i="6"/>
  <c r="O71" i="6"/>
  <c r="Q71" i="6"/>
  <c r="U71" i="6"/>
  <c r="W71" i="6"/>
  <c r="X71" i="6"/>
  <c r="K62" i="6"/>
  <c r="O62" i="6"/>
  <c r="Q62" i="6"/>
  <c r="U62" i="6"/>
  <c r="W62" i="6"/>
  <c r="X62" i="6"/>
  <c r="K70" i="6"/>
  <c r="O70" i="6"/>
  <c r="Q70" i="6"/>
  <c r="U70" i="6"/>
  <c r="W70" i="6"/>
  <c r="X70" i="6"/>
  <c r="K72" i="6"/>
  <c r="O72" i="6"/>
  <c r="Q72" i="6"/>
  <c r="U72" i="6"/>
  <c r="W72" i="6"/>
  <c r="X72" i="6"/>
  <c r="K67" i="6"/>
  <c r="O67" i="6"/>
  <c r="Q67" i="6"/>
  <c r="U67" i="6"/>
  <c r="W67" i="6"/>
  <c r="X67" i="6"/>
  <c r="K63" i="6"/>
  <c r="O63" i="6"/>
  <c r="Q63" i="6"/>
  <c r="U63" i="6"/>
  <c r="W63" i="6"/>
  <c r="X63" i="6"/>
  <c r="K82" i="6"/>
  <c r="O82" i="6"/>
  <c r="Q82" i="6"/>
  <c r="U82" i="6"/>
  <c r="W82" i="6"/>
  <c r="X82" i="6"/>
  <c r="K77" i="6"/>
  <c r="O77" i="6"/>
  <c r="Q77" i="6"/>
  <c r="U77" i="6"/>
  <c r="W77" i="6"/>
  <c r="X77" i="6"/>
  <c r="K61" i="6"/>
  <c r="O61" i="6"/>
  <c r="Q61" i="6"/>
  <c r="U61" i="6"/>
  <c r="W61" i="6"/>
  <c r="X61" i="6"/>
  <c r="K80" i="6"/>
  <c r="O80" i="6"/>
  <c r="Q80" i="6"/>
  <c r="U80" i="6"/>
  <c r="W80" i="6"/>
  <c r="X80" i="6"/>
  <c r="B34" i="3" l="1"/>
  <c r="B8" i="2"/>
  <c r="B14" i="1"/>
  <c r="B14" i="3"/>
  <c r="B13" i="3"/>
  <c r="B13" i="1"/>
  <c r="B7" i="3"/>
  <c r="B7" i="1"/>
  <c r="H16" i="3"/>
  <c r="B7" i="2"/>
  <c r="K34" i="1"/>
  <c r="B16" i="1"/>
  <c r="B7" i="4"/>
  <c r="B8" i="1"/>
  <c r="K34" i="4"/>
  <c r="T80" i="6"/>
  <c r="S80" i="6"/>
  <c r="T61" i="6"/>
  <c r="S61" i="6"/>
  <c r="T77" i="6"/>
  <c r="S77" i="6"/>
  <c r="T82" i="6"/>
  <c r="S82" i="6"/>
  <c r="T63" i="6"/>
  <c r="S63" i="6"/>
  <c r="T67" i="6"/>
  <c r="S67" i="6"/>
  <c r="T72" i="6"/>
  <c r="S72" i="6"/>
  <c r="S70" i="6"/>
  <c r="T70" i="6"/>
  <c r="T62" i="6"/>
  <c r="S62" i="6"/>
  <c r="T71" i="6"/>
  <c r="S71" i="6"/>
  <c r="T81" i="6"/>
  <c r="S81" i="6"/>
  <c r="T66" i="6"/>
  <c r="S66" i="6"/>
  <c r="V83" i="6"/>
  <c r="S83" i="6"/>
  <c r="T83" i="6"/>
  <c r="P83" i="6"/>
  <c r="L83" i="6"/>
  <c r="T79" i="6"/>
  <c r="S79" i="6"/>
  <c r="T68" i="6"/>
  <c r="S68" i="6"/>
  <c r="T69" i="6"/>
  <c r="S69" i="6"/>
  <c r="T73" i="6"/>
  <c r="S73" i="6"/>
  <c r="T78" i="6"/>
  <c r="S78" i="6"/>
  <c r="T75" i="6"/>
  <c r="S75" i="6"/>
  <c r="S76" i="6"/>
  <c r="T76" i="6"/>
  <c r="S65" i="6"/>
  <c r="T65" i="6"/>
  <c r="T74" i="6"/>
  <c r="S74" i="6"/>
  <c r="S60" i="6"/>
  <c r="T60" i="6"/>
  <c r="T64" i="6"/>
  <c r="S64" i="6"/>
  <c r="N83" i="6"/>
  <c r="J80" i="6"/>
  <c r="J61" i="6"/>
  <c r="J77" i="6"/>
  <c r="J82" i="6"/>
  <c r="J63" i="6"/>
  <c r="J67" i="6"/>
  <c r="J72" i="6"/>
  <c r="J70" i="6"/>
  <c r="J62" i="6"/>
  <c r="J71" i="6"/>
  <c r="J81" i="6"/>
  <c r="J66" i="6"/>
  <c r="J83" i="6"/>
  <c r="J79" i="6"/>
  <c r="J68" i="6"/>
  <c r="J69" i="6"/>
  <c r="J73" i="6"/>
  <c r="J78" i="6"/>
  <c r="J75" i="6"/>
  <c r="J76" i="6"/>
  <c r="J65" i="6"/>
  <c r="J74" i="6"/>
  <c r="J60" i="6"/>
  <c r="J64" i="6"/>
  <c r="Z71" i="6"/>
  <c r="Y68" i="6"/>
  <c r="D39" i="6"/>
  <c r="E39" i="6"/>
  <c r="Y65" i="6"/>
  <c r="Z63" i="6"/>
  <c r="Y71" i="6"/>
  <c r="D28" i="6"/>
  <c r="E21" i="6"/>
  <c r="Y63" i="6"/>
  <c r="Z69" i="6"/>
  <c r="D41" i="6"/>
  <c r="E22" i="6"/>
  <c r="Z74" i="6"/>
  <c r="Y81" i="6"/>
  <c r="D20" i="6"/>
  <c r="E30" i="6"/>
  <c r="Y74" i="6"/>
  <c r="Y67" i="6"/>
  <c r="D30" i="6"/>
  <c r="Z66" i="6"/>
  <c r="E37" i="6"/>
  <c r="Z72" i="6"/>
  <c r="D42" i="6"/>
  <c r="Z78" i="6"/>
  <c r="Y64" i="6"/>
  <c r="Y61" i="6"/>
  <c r="D37" i="6"/>
  <c r="D23" i="6"/>
  <c r="D21" i="6"/>
  <c r="Y80" i="6"/>
  <c r="D25" i="6"/>
  <c r="Z64" i="6"/>
  <c r="E29" i="6"/>
  <c r="Y77" i="6"/>
  <c r="D22" i="6"/>
  <c r="Y69" i="6"/>
  <c r="Z67" i="6"/>
  <c r="Y60" i="6"/>
  <c r="Y66" i="6"/>
  <c r="Y72" i="6"/>
  <c r="D29" i="6"/>
  <c r="Y83" i="6"/>
  <c r="E23" i="6"/>
  <c r="Z70" i="6"/>
  <c r="E20" i="6"/>
  <c r="Z77" i="6"/>
  <c r="Y75" i="6"/>
  <c r="E25" i="6"/>
  <c r="Z76" i="6"/>
  <c r="D40" i="6"/>
  <c r="Y70" i="6"/>
  <c r="Z62" i="6"/>
  <c r="Y79" i="6"/>
  <c r="D26" i="6"/>
  <c r="E28" i="6"/>
  <c r="Z82" i="6"/>
  <c r="Y62" i="6"/>
  <c r="Y82" i="6"/>
  <c r="Z68" i="6"/>
  <c r="Y76" i="6"/>
  <c r="E41" i="6"/>
  <c r="Z65" i="6"/>
  <c r="Z81" i="6"/>
  <c r="E42" i="6"/>
  <c r="Z80" i="6"/>
  <c r="Y73" i="6"/>
  <c r="E26" i="6"/>
  <c r="Z73" i="6"/>
  <c r="Z60" i="6"/>
  <c r="E40" i="6"/>
  <c r="Z61" i="6"/>
  <c r="E27" i="6"/>
  <c r="Y78" i="6"/>
  <c r="Z83" i="6"/>
  <c r="D27" i="6"/>
  <c r="Z75" i="6"/>
  <c r="Z79" i="6"/>
  <c r="F27" i="6" l="1"/>
  <c r="H13" i="1" s="1"/>
  <c r="G27" i="6"/>
  <c r="G40" i="6"/>
  <c r="N14" i="2" s="1"/>
  <c r="G26" i="6"/>
  <c r="F14" i="2" s="1"/>
  <c r="G42" i="6"/>
  <c r="G41" i="6"/>
  <c r="B9" i="2" s="1"/>
  <c r="G28" i="6"/>
  <c r="F26" i="6"/>
  <c r="F13" i="2" s="1"/>
  <c r="F40" i="6"/>
  <c r="N13" i="2" s="1"/>
  <c r="G25" i="6"/>
  <c r="G20" i="6"/>
  <c r="G23" i="6"/>
  <c r="B14" i="4" s="1"/>
  <c r="F29" i="6"/>
  <c r="F22" i="6"/>
  <c r="B13" i="2" s="1"/>
  <c r="G29" i="6"/>
  <c r="F25" i="6"/>
  <c r="E13" i="1" s="1"/>
  <c r="F21" i="6"/>
  <c r="F23" i="6"/>
  <c r="B13" i="4" s="1"/>
  <c r="F37" i="6"/>
  <c r="J13" i="4" s="1"/>
  <c r="F42" i="6"/>
  <c r="G37" i="6"/>
  <c r="J14" i="4" s="1"/>
  <c r="F30" i="6"/>
  <c r="G30" i="6"/>
  <c r="F20" i="6"/>
  <c r="G22" i="6"/>
  <c r="B14" i="2" s="1"/>
  <c r="F41" i="6"/>
  <c r="G21" i="6"/>
  <c r="F28" i="6"/>
  <c r="G39" i="6"/>
  <c r="J14" i="2" s="1"/>
  <c r="F39" i="6"/>
  <c r="J13" i="2" s="1"/>
  <c r="K14" i="1" l="1"/>
  <c r="F14" i="4"/>
  <c r="B8" i="4"/>
  <c r="K13" i="1"/>
  <c r="F13" i="4"/>
  <c r="E14" i="1"/>
  <c r="B34" i="1"/>
  <c r="B9" i="1"/>
  <c r="F34" i="1"/>
  <c r="H14" i="1"/>
  <c r="B16"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67B3B-4987-4B06-AD62-6559A977A008}" name="Query - _Measures" description="Connection to the '_Measures' query in the workbook." type="100" refreshedVersion="8" minRefreshableVersion="5" background="1">
    <extLst>
      <ext xmlns:x15="http://schemas.microsoft.com/office/spreadsheetml/2010/11/main" uri="{DE250136-89BD-433C-8126-D09CA5730AF9}">
        <x15:connection id="84867db6-b019-44ca-b143-e164089b1f26"/>
      </ext>
    </extLst>
  </connection>
  <connection id="2" xr16:uid="{E322F71C-13C6-40A0-84D2-94D0892A7B61}" name="Query - dim_channel" description="Connection to the 'dim_channel' query in the workbook." type="100" refreshedVersion="8" minRefreshableVersion="5" background="1">
    <extLst>
      <ext xmlns:x15="http://schemas.microsoft.com/office/spreadsheetml/2010/11/main" uri="{DE250136-89BD-433C-8126-D09CA5730AF9}">
        <x15:connection id="43b825ab-f1c4-4300-99f4-f4eef52e36e3"/>
      </ext>
    </extLst>
  </connection>
  <connection id="3" xr16:uid="{A801C8D3-B11E-4BF9-8D84-DF7900EC8663}" name="Query - dim_date" description="Connection to the 'dim_date' query in the workbook." type="100" refreshedVersion="8" minRefreshableVersion="5" background="1">
    <extLst>
      <ext xmlns:x15="http://schemas.microsoft.com/office/spreadsheetml/2010/11/main" uri="{DE250136-89BD-433C-8126-D09CA5730AF9}">
        <x15:connection id="ef4a5031-aae4-4734-8518-d3a1cc75a6dd"/>
      </ext>
    </extLst>
  </connection>
  <connection id="4" xr16:uid="{09C6C990-249F-4227-9070-DC94FA932AE6}" name="Query - dim_order_status" description="Connection to the 'dim_order_status' query in the workbook." type="100" refreshedVersion="8" minRefreshableVersion="5" background="1">
    <extLst>
      <ext xmlns:x15="http://schemas.microsoft.com/office/spreadsheetml/2010/11/main" uri="{DE250136-89BD-433C-8126-D09CA5730AF9}">
        <x15:connection id="90ad3ed6-7824-4142-8b04-cde185dfeab4"/>
      </ext>
    </extLst>
  </connection>
  <connection id="5" xr16:uid="{A6AFD984-CDF6-4D3F-8C10-C2379DA0FFCB}" name="Query - dim_product" description="Connection to the 'dim_product' query in the workbook." type="100" refreshedVersion="8" minRefreshableVersion="5" background="1">
    <extLst>
      <ext xmlns:x15="http://schemas.microsoft.com/office/spreadsheetml/2010/11/main" uri="{DE250136-89BD-433C-8126-D09CA5730AF9}">
        <x15:connection id="b9dc3bde-1cc5-4d5f-bcbc-ad2fd3075e23"/>
      </ext>
    </extLst>
  </connection>
  <connection id="6" xr16:uid="{44734A4F-D95C-44D5-98A3-6A969A55CCA2}" name="Query - dim_promotion" description="Connection to the 'dim_promotion' query in the workbook." type="100" refreshedVersion="8" minRefreshableVersion="5" background="1">
    <extLst>
      <ext xmlns:x15="http://schemas.microsoft.com/office/spreadsheetml/2010/11/main" uri="{DE250136-89BD-433C-8126-D09CA5730AF9}">
        <x15:connection id="f269fbc7-9ef1-4f72-a218-7ed24e133ca0"/>
      </ext>
    </extLst>
  </connection>
  <connection id="7" xr16:uid="{680023AF-1E4E-443B-94FC-64742B7165FB}" name="Query - dim_store" description="Connection to the 'dim_store' query in the workbook." type="100" refreshedVersion="8" minRefreshableVersion="5" background="1">
    <extLst>
      <ext xmlns:x15="http://schemas.microsoft.com/office/spreadsheetml/2010/11/main" uri="{DE250136-89BD-433C-8126-D09CA5730AF9}">
        <x15:connection id="3e118a73-7af3-45f6-a9f0-ad318c1d26e4"/>
      </ext>
    </extLst>
  </connection>
  <connection id="8" xr16:uid="{3871AEC8-7A64-4374-8200-B2BA8736E9A3}" name="Query - fact_finance" description="Connection to the 'fact_finance' query in the workbook." type="100" refreshedVersion="8" minRefreshableVersion="5" background="1">
    <extLst>
      <ext xmlns:x15="http://schemas.microsoft.com/office/spreadsheetml/2010/11/main" uri="{DE250136-89BD-433C-8126-D09CA5730AF9}">
        <x15:connection id="ea08e96b-1fa4-4123-b68f-70024522b756"/>
      </ext>
    </extLst>
  </connection>
  <connection id="9" xr16:uid="{55D50B9B-DB48-48D3-BD6B-F1EFB90B782A}" name="Query - fact_return" description="Connection to the 'fact_return' query in the workbook." type="100" refreshedVersion="8" minRefreshableVersion="5" background="1">
    <extLst>
      <ext xmlns:x15="http://schemas.microsoft.com/office/spreadsheetml/2010/11/main" uri="{DE250136-89BD-433C-8126-D09CA5730AF9}">
        <x15:connection id="774e91bd-e885-4d3c-a186-a145dc2a4443"/>
      </ext>
    </extLst>
  </connection>
  <connection id="10" xr16:uid="{C5D605C1-CE80-484A-B514-302AA4DB8546}" name="Query - fact_sales_line" description="Connection to the 'fact_sales_line' query in the workbook." type="100" refreshedVersion="8" minRefreshableVersion="5" background="1">
    <extLst>
      <ext xmlns:x15="http://schemas.microsoft.com/office/spreadsheetml/2010/11/main" uri="{DE250136-89BD-433C-8126-D09CA5730AF9}">
        <x15:connection id="f283aab9-c289-40b5-8f71-8a4b4adb4ed2"/>
      </ext>
    </extLst>
  </connection>
  <connection id="11" xr16:uid="{A218CFF9-9A91-4DB1-9B64-CB528E83E89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9">
    <s v="ThisWorkbookDataModel"/>
    <s v="{[dim_channel].[channel_name].[All]}"/>
    <s v="{[dim_store].[country].[All]}"/>
    <s v="{[dim_date].[year].&amp;[2020]}"/>
    <s v="{[dim_date].[month].&amp;[12]}"/>
    <s v="[dim_store].[country].[All]"/>
    <s v="[dim_channel].[channel_name].[All]"/>
    <s v="[dim_date].[month].&amp;[12]"/>
    <s v="[dim_date].[year].&amp;[2020]"/>
  </metadataStrings>
  <mdxMetadata count="8">
    <mdx n="0" f="r">
      <t c="1">
        <n x="5"/>
      </t>
    </mdx>
    <mdx n="0" f="c">
      <ms ns="2" c="0"/>
    </mdx>
    <mdx n="0" f="r">
      <t c="1">
        <n x="6"/>
      </t>
    </mdx>
    <mdx n="0" f="c">
      <ms ns="1" c="0"/>
    </mdx>
    <mdx n="0" f="c">
      <ms ns="4" c="0"/>
    </mdx>
    <mdx n="0" f="c">
      <ms ns="3" c="0"/>
    </mdx>
    <mdx n="0" f="r">
      <t c="1">
        <n x="7"/>
      </t>
    </mdx>
    <mdx n="0" f="r">
      <t c="1">
        <n x="8"/>
      </t>
    </mdx>
  </mdx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<sst xmlns="http://schemas.openxmlformats.org/spreadsheetml/2006/main" count="630" uniqueCount="343">
  <si>
    <t>THAM SỐ (đọc từ slicer)</t>
  </si>
  <si>
    <t>Năm chọn</t>
  </si>
  <si>
    <t>Tháng chọn</t>
  </si>
  <si>
    <t>Số năm đang chọn</t>
  </si>
  <si>
    <t>Số tháng đang chọn</t>
  </si>
  <si>
    <t>Chọn đúng 1 tháng?</t>
  </si>
  <si>
    <t>month_id chọn</t>
  </si>
  <si>
    <t>month_id tháng trước</t>
  </si>
  <si>
    <t>month_id cùng kỳ</t>
  </si>
  <si>
    <t>Nhãn kỳ</t>
  </si>
  <si>
    <t>Số kênh đang chọn</t>
  </si>
  <si>
    <t>Kênh (mục 1)</t>
  </si>
  <si>
    <t>Số quốc gia đang chọn</t>
  </si>
  <si>
    <t>Quốc gia (mục 1)</t>
  </si>
  <si>
    <t>Phạm vi (chữ)</t>
  </si>
  <si>
    <t>Có kênh online trong phạm vi</t>
  </si>
  <si>
    <t>KPI</t>
  </si>
  <si>
    <t>Số đo</t>
  </si>
  <si>
    <t>Kỳ chọn</t>
  </si>
  <si>
    <t>Tháng trước</t>
  </si>
  <si>
    <t>Cùng kỳ</t>
  </si>
  <si>
    <t>so LM</t>
  </si>
  <si>
    <t>so SPLY</t>
  </si>
  <si>
    <t>gross</t>
  </si>
  <si>
    <t>Gross Sales</t>
  </si>
  <si>
    <t>disc</t>
  </si>
  <si>
    <t>Discounts</t>
  </si>
  <si>
    <t>ns</t>
  </si>
  <si>
    <t>Net Sales</t>
  </si>
  <si>
    <t>ret</t>
  </si>
  <si>
    <t>Returns</t>
  </si>
  <si>
    <t>nr</t>
  </si>
  <si>
    <t>Net Revenue</t>
  </si>
  <si>
    <t>orders</t>
  </si>
  <si>
    <t>Orders</t>
  </si>
  <si>
    <t>units</t>
  </si>
  <si>
    <t>Units</t>
  </si>
  <si>
    <t>aov</t>
  </si>
  <si>
    <t>AOV</t>
  </si>
  <si>
    <t>asp</t>
  </si>
  <si>
    <t>ASP</t>
  </si>
  <si>
    <t>rr</t>
  </si>
  <si>
    <t>Return Rate</t>
  </si>
  <si>
    <t>fin</t>
  </si>
  <si>
    <t>Finance Net Revenue</t>
  </si>
  <si>
    <t>delta</t>
  </si>
  <si>
    <t>Δ Finance</t>
  </si>
  <si>
    <t>dpct</t>
  </si>
  <si>
    <t>Δ Finance %</t>
  </si>
  <si>
    <t>dadj</t>
  </si>
  <si>
    <t>Δ sau quy đổi</t>
  </si>
  <si>
    <t>nflag</t>
  </si>
  <si>
    <t>Số cửa hàng vượt ngưỡng</t>
  </si>
  <si>
    <t>nflagpos</t>
  </si>
  <si>
    <t>hq</t>
  </si>
  <si>
    <t>HQ Adjustment</t>
  </si>
  <si>
    <t>canc</t>
  </si>
  <si>
    <t>Cancelled Orders</t>
  </si>
  <si>
    <t>pend</t>
  </si>
  <si>
    <t>Pending Orders</t>
  </si>
  <si>
    <t>onl_share</t>
  </si>
  <si>
    <t>Tỷ trọng online</t>
  </si>
  <si>
    <t>disc_g</t>
  </si>
  <si>
    <t>Tỷ lệ chiết khấu</t>
  </si>
  <si>
    <t>onl_ns</t>
  </si>
  <si>
    <t>pos_ns</t>
  </si>
  <si>
    <t>timing</t>
  </si>
  <si>
    <t>Δ do online lệch thời điểm = Δ Finance − Δ sau quy đổi</t>
  </si>
  <si>
    <t>pend_all</t>
  </si>
  <si>
    <t>Đơn PENDING toàn thời gian, theo kênh/quốc gia</t>
  </si>
  <si>
    <t>dup</t>
  </si>
  <si>
    <t>Dòng trùng đã loại ở Power Query (63.004 → 62.884)</t>
  </si>
  <si>
    <t>CHUỖI 24 THÁNG (không nghe slicer Năm/Tháng; cửa sổ kết thúc ở tháng chọn)</t>
  </si>
  <si>
    <t>month_id</t>
  </si>
  <si>
    <t>Tháng</t>
  </si>
  <si>
    <t>Net Revenue (k)</t>
  </si>
  <si>
    <t>nhấn</t>
  </si>
  <si>
    <t>Δ sau quy đổi (k)</t>
  </si>
  <si>
    <t>Số CH vượt</t>
  </si>
  <si>
    <t>đỏ</t>
  </si>
  <si>
    <t>xám</t>
  </si>
  <si>
    <t>Return Rate %</t>
  </si>
  <si>
    <t>Huỷ</t>
  </si>
  <si>
    <t>Đang giao</t>
  </si>
  <si>
    <t>Δ gốc</t>
  </si>
  <si>
    <t>Sau quy đổi</t>
  </si>
  <si>
    <t>VIỆT HOÁ NHÃN</t>
  </si>
  <si>
    <t>Home Appliances</t>
  </si>
  <si>
    <t>Gia dụng</t>
  </si>
  <si>
    <t>Computers</t>
  </si>
  <si>
    <t>Máy tính</t>
  </si>
  <si>
    <t>Cameras and camcorders</t>
  </si>
  <si>
    <t>Máy ảnh</t>
  </si>
  <si>
    <t>Cell phones</t>
  </si>
  <si>
    <t>Điện thoại</t>
  </si>
  <si>
    <t>TV and Video</t>
  </si>
  <si>
    <t>TV &amp; Video</t>
  </si>
  <si>
    <t>Games and Toys</t>
  </si>
  <si>
    <t>Game &amp; Đồ chơi</t>
  </si>
  <si>
    <t>Audio</t>
  </si>
  <si>
    <t>Âm thanh</t>
  </si>
  <si>
    <t>Music, Movies and Audio Books</t>
  </si>
  <si>
    <t>Nhạc, phim, sách nói</t>
  </si>
  <si>
    <t>Australia</t>
  </si>
  <si>
    <t>Úc</t>
  </si>
  <si>
    <t>Canada</t>
  </si>
  <si>
    <t>Germany</t>
  </si>
  <si>
    <t>Đức</t>
  </si>
  <si>
    <t>France</t>
  </si>
  <si>
    <t>Pháp</t>
  </si>
  <si>
    <t>Italy</t>
  </si>
  <si>
    <t>Ý</t>
  </si>
  <si>
    <t>Netherlands</t>
  </si>
  <si>
    <t>Hà Lan</t>
  </si>
  <si>
    <t>United Kingdom</t>
  </si>
  <si>
    <t>Anh</t>
  </si>
  <si>
    <t>United States</t>
  </si>
  <si>
    <t>Mỹ</t>
  </si>
  <si>
    <t>Online</t>
  </si>
  <si>
    <t>DEFECT</t>
  </si>
  <si>
    <t>Lỗi sản phẩm</t>
  </si>
  <si>
    <t>CHANGE_MIND</t>
  </si>
  <si>
    <t>Đổi ý</t>
  </si>
  <si>
    <t>WRONG_ITEM</t>
  </si>
  <si>
    <t>Giao nhầm hàng</t>
  </si>
  <si>
    <t>LATE_DELIVERY</t>
  </si>
  <si>
    <t>Giao trễ</t>
  </si>
  <si>
    <t>ONL</t>
  </si>
  <si>
    <t>Nexa Online (website/app)</t>
  </si>
  <si>
    <t>S01</t>
  </si>
  <si>
    <t>Nexa Australian Capital Territory (S01)</t>
  </si>
  <si>
    <t>S02</t>
  </si>
  <si>
    <t>Nexa Northern Territory (S02)</t>
  </si>
  <si>
    <t>S03</t>
  </si>
  <si>
    <t>Nexa South Australia (S03)</t>
  </si>
  <si>
    <t>S04</t>
  </si>
  <si>
    <t>Nexa Tasmania (S04)</t>
  </si>
  <si>
    <t>S05</t>
  </si>
  <si>
    <t>Nexa Victoria (S05)</t>
  </si>
  <si>
    <t>S06</t>
  </si>
  <si>
    <t>Nexa Western Australia (S06)</t>
  </si>
  <si>
    <t>S07</t>
  </si>
  <si>
    <t>Nexa New Brunswick (S07)</t>
  </si>
  <si>
    <t>S08</t>
  </si>
  <si>
    <t>Nexa Newfoundland and Labrador (S08)</t>
  </si>
  <si>
    <t>S09</t>
  </si>
  <si>
    <t>Nexa Northwest Territories (S09)</t>
  </si>
  <si>
    <t>S10</t>
  </si>
  <si>
    <t>Nexa Nunavut (S10)</t>
  </si>
  <si>
    <t>S11</t>
  </si>
  <si>
    <t>Nexa Yukon (S11)</t>
  </si>
  <si>
    <t>S12</t>
  </si>
  <si>
    <t>Nexa Basse-Normandie (S12)</t>
  </si>
  <si>
    <t>S13</t>
  </si>
  <si>
    <t>Nexa Corse (S13)</t>
  </si>
  <si>
    <t>S14</t>
  </si>
  <si>
    <t>Nexa Franche-Comté (S14)</t>
  </si>
  <si>
    <t>S15</t>
  </si>
  <si>
    <t>Nexa La Réunion (S15)</t>
  </si>
  <si>
    <t>S16</t>
  </si>
  <si>
    <t>Nexa Limousin (S16)</t>
  </si>
  <si>
    <t>S17</t>
  </si>
  <si>
    <t>Nexa Martinique (S17)</t>
  </si>
  <si>
    <t>S18</t>
  </si>
  <si>
    <t>Nexa Mayotte (S18)</t>
  </si>
  <si>
    <t>S19</t>
  </si>
  <si>
    <t>Nexa Berlin (S19)</t>
  </si>
  <si>
    <t>S20</t>
  </si>
  <si>
    <t>Nexa Brandenburg (S20)</t>
  </si>
  <si>
    <t>S21</t>
  </si>
  <si>
    <t>Nexa Freie Hansestadt Bremen (S21)</t>
  </si>
  <si>
    <t>S22</t>
  </si>
  <si>
    <t>Nexa Freistaat Thüringen (S22)</t>
  </si>
  <si>
    <t>S23</t>
  </si>
  <si>
    <t>Nexa Hamburg (S23)</t>
  </si>
  <si>
    <t>S24</t>
  </si>
  <si>
    <t>Nexa Hessen (S24)</t>
  </si>
  <si>
    <t>S25</t>
  </si>
  <si>
    <t>Nexa Mecklenburg-Vorpommern (S25)</t>
  </si>
  <si>
    <t>S26</t>
  </si>
  <si>
    <t>Nexa Saarland (S26)</t>
  </si>
  <si>
    <t>S27</t>
  </si>
  <si>
    <t>Nexa Sachsen-Anhalt (S27)</t>
  </si>
  <si>
    <t>S28</t>
  </si>
  <si>
    <t>Nexa Caltanissetta (S28)</t>
  </si>
  <si>
    <t>S29</t>
  </si>
  <si>
    <t>Nexa Enna (S29)</t>
  </si>
  <si>
    <t>S30</t>
  </si>
  <si>
    <t>Nexa Pesaro (S30)</t>
  </si>
  <si>
    <t>S31</t>
  </si>
  <si>
    <t>Nexa Drenthe (S31)</t>
  </si>
  <si>
    <t>S32</t>
  </si>
  <si>
    <t>Nexa Flevoland (S32)</t>
  </si>
  <si>
    <t>S33</t>
  </si>
  <si>
    <t>Nexa Friesland (S33)</t>
  </si>
  <si>
    <t>S34</t>
  </si>
  <si>
    <t>Nexa Groningen (S34)</t>
  </si>
  <si>
    <t>S35</t>
  </si>
  <si>
    <t>Nexa Zeeland (S35)</t>
  </si>
  <si>
    <t>S36</t>
  </si>
  <si>
    <t>Nexa Armagh (S36)</t>
  </si>
  <si>
    <t>S37</t>
  </si>
  <si>
    <t>Nexa Ayrshire (S37)</t>
  </si>
  <si>
    <t>S38</t>
  </si>
  <si>
    <t>Nexa Belfast (S38)</t>
  </si>
  <si>
    <t>S39</t>
  </si>
  <si>
    <t>Nexa Blaenau Gwent (S39)</t>
  </si>
  <si>
    <t>S40</t>
  </si>
  <si>
    <t>Nexa Dungannon and South Tyrone (S40)</t>
  </si>
  <si>
    <t>S41</t>
  </si>
  <si>
    <t>Nexa Fermanagh (S41)</t>
  </si>
  <si>
    <t>S42</t>
  </si>
  <si>
    <t>Nexa North Down (S42)</t>
  </si>
  <si>
    <t>S43</t>
  </si>
  <si>
    <t>Nexa Alaska (S43)</t>
  </si>
  <si>
    <t>S44</t>
  </si>
  <si>
    <t>Nexa Arkansas (S44)</t>
  </si>
  <si>
    <t>S45</t>
  </si>
  <si>
    <t>Nexa Connecticut (S45)</t>
  </si>
  <si>
    <t>S46</t>
  </si>
  <si>
    <t>Nexa Delaware (S46)</t>
  </si>
  <si>
    <t>S47</t>
  </si>
  <si>
    <t>Nexa Hawaii (S47)</t>
  </si>
  <si>
    <t>S48</t>
  </si>
  <si>
    <t>Nexa Idaho (S48)</t>
  </si>
  <si>
    <t>S49</t>
  </si>
  <si>
    <t>Nexa Iowa (S49)</t>
  </si>
  <si>
    <t>S50</t>
  </si>
  <si>
    <t>Nexa Kansas (S50)</t>
  </si>
  <si>
    <t>S51</t>
  </si>
  <si>
    <t>Nexa Maine (S51)</t>
  </si>
  <si>
    <t>S52</t>
  </si>
  <si>
    <t>Nexa Mississippi (S52)</t>
  </si>
  <si>
    <t>S53</t>
  </si>
  <si>
    <t>Nexa Montana (S53)</t>
  </si>
  <si>
    <t>S54</t>
  </si>
  <si>
    <t>Nexa Nebraska (S54)</t>
  </si>
  <si>
    <t>S55</t>
  </si>
  <si>
    <t>Nexa Nevada (S55)</t>
  </si>
  <si>
    <t>S56</t>
  </si>
  <si>
    <t>Nexa New Hampshire (S56)</t>
  </si>
  <si>
    <t>S57</t>
  </si>
  <si>
    <t>Nexa New Mexico (S57)</t>
  </si>
  <si>
    <t>S58</t>
  </si>
  <si>
    <t>Nexa North Dakota (S58)</t>
  </si>
  <si>
    <t>S59</t>
  </si>
  <si>
    <t>Nexa Oregon (S59)</t>
  </si>
  <si>
    <t>S60</t>
  </si>
  <si>
    <t>Nexa Rhode Island (S60)</t>
  </si>
  <si>
    <t>S61</t>
  </si>
  <si>
    <t>Nexa South Carolina (S61)</t>
  </si>
  <si>
    <t>S62</t>
  </si>
  <si>
    <t>Nexa South Dakota (S62)</t>
  </si>
  <si>
    <t>S63</t>
  </si>
  <si>
    <t>Nexa Utah (S63)</t>
  </si>
  <si>
    <t>S64</t>
  </si>
  <si>
    <t>Nexa Washington DC (S64)</t>
  </si>
  <si>
    <t>S65</t>
  </si>
  <si>
    <t>Nexa West Virginia (S65)</t>
  </si>
  <si>
    <t>S66</t>
  </si>
  <si>
    <t>Nexa Wyoming (S66)</t>
  </si>
  <si>
    <t>category</t>
  </si>
  <si>
    <t>country</t>
  </si>
  <si>
    <t>return_reason</t>
  </si>
  <si>
    <t>channel_name</t>
  </si>
  <si>
    <t>Cửa hàng</t>
  </si>
  <si>
    <t>Website/app</t>
  </si>
  <si>
    <t>store_name</t>
  </si>
  <si>
    <t>store_code</t>
  </si>
  <si>
    <t>Vượt ngưỡng</t>
  </si>
  <si>
    <t>Δ tuyệt đối</t>
  </si>
  <si>
    <t>Danh mục (nghìn USD)</t>
  </si>
  <si>
    <t>Quốc gia (nghìn USD)</t>
  </si>
  <si>
    <t>Lý do trả hàng (USD)</t>
  </si>
  <si>
    <t>Tỷ lệ trả theo danh mục (%)</t>
  </si>
  <si>
    <t>Top 10 |Δ|: cờ POS · đếm dồn · mã thứ k · Δ của mã thứ k</t>
  </si>
  <si>
    <t>Δ sau quy đổi của các cửa hàng POS vượt ngưỡng</t>
  </si>
  <si>
    <t>Waterfall</t>
  </si>
  <si>
    <t>Chiết khấu</t>
  </si>
  <si>
    <t>Hàng trả lại</t>
  </si>
  <si>
    <t>Online lệch thời điểm</t>
  </si>
  <si>
    <t>Cửa hàng ⚠</t>
  </si>
  <si>
    <t>Còn lại</t>
  </si>
  <si>
    <t>Δ Kế toán − đơn</t>
  </si>
  <si>
    <t>1 · Tổng quan: tháng này bán được bao nhiêu, có khớp Kế toán không?</t>
  </si>
  <si>
    <t>Nexa Home · Sales Project 1 · dữ liệu đến 20/02/2021 · nguồn: Nexa_Sales_P1_Dataset.xlsx, finance_revenue.xlsx (phòng Tài chính – Kế toán) qua Power Query → Mô hình Dữ liệu → DAX · USD, chưa thuế GTGT</t>
  </si>
  <si>
    <t>Δ = số Kế toán − dữ liệu đơn; vượt ngưỡng khi |Δ| &gt; 200 USD và |Δ %| &gt; 1% ở mức tháng × cửa hàng. Chỉ tính đơn COMPLETED, đã loại 120 dòng trùng ở Power Query; hàng trả lại tính theo ngày trả. Kênh online không thuộc quốc gia nào. Thẻ KPI = CUBEVALUE trên số đo DAX; % thay đổi và câu chữ = công thức Excel.</t>
  </si>
  <si>
    <t>Số đơn hoàn tất</t>
  </si>
  <si>
    <t>Tỷ lệ hàng bán bị trả lại</t>
  </si>
  <si>
    <t>Chênh lệch với Kế toán (Δ)</t>
  </si>
  <si>
    <t>Net Revenue theo tháng đặt hàng, nghìn USD · tháng đang chọn tô xanh</t>
  </si>
  <si>
    <t>Tháng đang chọn, nghìn USD</t>
  </si>
  <si>
    <t>Số đơn hoàn tất theo tháng</t>
  </si>
  <si>
    <t>AOV = Net Sales / số đơn, USD</t>
  </si>
  <si>
    <t>Δ sau quy đổi theo tháng, nghìn USD · đỏ = có cửa hàng vượt ngưỡng</t>
  </si>
  <si>
    <t>2 · Doanh thu đến từ đâu: kênh, danh mục, quốc gia, cửa hàng</t>
  </si>
  <si>
    <t>Số sản phẩm bán</t>
  </si>
  <si>
    <t>Tỷ trọng online (% Net Sales)</t>
  </si>
  <si>
    <t>Chiết khấu / Gross Sales</t>
  </si>
  <si>
    <t>Net Sales tháng đang chọn theo danh mục, nghìn USD</t>
  </si>
  <si>
    <t>Net Sales theo quốc gia, nghìn USD (online là một dòng)</t>
  </si>
  <si>
    <t>Theo kênh; so với tháng trước (LM) và cùng kỳ (SPLY)</t>
  </si>
  <si>
    <t>Kênh</t>
  </si>
  <si>
    <t>Đơn</t>
  </si>
  <si>
    <t>vs LM</t>
  </si>
  <si>
    <t>vs SPLY</t>
  </si>
  <si>
    <t>Top 10 cửa hàng theo Net Sales tháng đang chọn (PivotTable Top 10 trên _pivot)</t>
  </si>
  <si>
    <t>#</t>
  </si>
  <si>
    <t>Quốc gia</t>
  </si>
  <si>
    <t>3 · Đối soát với Kế toán: lệch bao nhiêu, ở đâu, vì sao?</t>
  </si>
  <si>
    <t>Net Revenue · dữ liệu đơn</t>
  </si>
  <si>
    <t>Net Revenue · Kế toán</t>
  </si>
  <si>
    <t>Chênh lệch Δ</t>
  </si>
  <si>
    <t>Δ sau quy đổi online</t>
  </si>
  <si>
    <t>online tính theo ngày giao</t>
  </si>
  <si>
    <t>Cửa hàng vượt ngưỡng</t>
  </si>
  <si>
    <t>|Δ| &gt; 200 USD và |Δ%| &gt; 1%</t>
  </si>
  <si>
    <t>trên số cửa hàng có số liệu</t>
  </si>
  <si>
    <t>Phân rã Δ tháng đang chọn, nghìn USD · không gồm HQ-ADJ</t>
  </si>
  <si>
    <t>Δ sau khi quy online về ngày giao, nghìn USD · tháng có cửa hàng vượt ngưỡng tô đỏ</t>
  </si>
  <si>
    <t>Top 10 theo Δ tuyệt đối (PivotTable) · ⚠ = |Δ| &gt; ngưỡng USD và |Δ %| &gt; ngưỡng %</t>
  </si>
  <si>
    <t>Đơn hàng</t>
  </si>
  <si>
    <t>Kế toán</t>
  </si>
  <si>
    <t>Δ</t>
  </si>
  <si>
    <t>Δ %</t>
  </si>
  <si>
    <t>Cờ</t>
  </si>
  <si>
    <t>Δ kênh online theo tháng, nghìn USD · xám = gốc, xanh = sau quy đổi</t>
  </si>
  <si>
    <t>4 · Hàng bán bị trả lại và chất lượng dữ liệu</t>
  </si>
  <si>
    <t>Giá trị hàng trả lại</t>
  </si>
  <si>
    <t>Đơn huỷ</t>
  </si>
  <si>
    <t>Dòng trùng đã loại</t>
  </si>
  <si>
    <t>ở Power Query (Remove Duplicates)</t>
  </si>
  <si>
    <t>Returns / Net Sales theo tháng, %</t>
  </si>
  <si>
    <t>Giá trị trả tháng đang chọn theo lý do, USD</t>
  </si>
  <si>
    <t>Tỷ lệ hàng trả lại theo danh mục tháng đang chọn, % · nhãn kèm Net Sales để đọc cùng quy mô</t>
  </si>
  <si>
    <t>Số đơn CANCELLED (xanh) và PENDING (xám) theo tháng đặt hàng</t>
  </si>
  <si>
    <t>Dashboard Excel tham chiếu — Sales Project 1 (Nexa Home)</t>
  </si>
  <si>
    <t>Dựng ĐÚNG các bước của hướng dẫn: Data → Queries &amp; Connections có 13 truy vấn Power Query (code trong hoc_vien/excel_build/m); Power Pivot → Manage có Mô hình Dữ liệu 10 bảng, 12 quan hệ (delivery_date inactive) và 29 số đo DAX (21 bắt buộc + 8 nâng cao) trong bảng _Measures.</t>
  </si>
  <si>
    <t>Cách dùng: chọn Năm, Tháng, Kênh bán, Quốc gia bằng 4 slicer ở đầu trang — slicer dùng chung, đổi ở sheet nào cả 4 sheet cùng đổi. Mặc định 12/2020, mọi kênh.</t>
  </si>
  <si>
    <t>Thẻ KPI, câu Điểm chính, tiêu đề biểu đồ: ô CUBEVALUE trên sheet _pivot (ẩn) đọc số đo DAX theo slicer; % thay đổi và câu chữ là công thức Excel (FIXED, IF). Biểu đồ xếp hạng và bảng: PivotTable từ Mô hình Dữ liệu trên _pivot, nối với cả 4 slicer (Report Connections). Chuỗi 24 tháng: CUBEVALUE theo month_id, chỉ nghe slicer Kênh và Quốc gia.</t>
  </si>
  <si>
    <t>Đổi máy: Data → Queries &amp; Connections → mở query SourceFolder, sửa đường dẫn thư mục chứa Nexa_Sales_P1_Dataset.xlsx và finance_revenue.xlsx (kết thúc bằng \), rồi Data → Làm mới Tất cả (Refresh All).</t>
  </si>
  <si>
    <t>Quy ước: Δ = số Kế toán − dữ liệu đơn; vượt ngưỡng khi |Δ| &gt; 200 USD và |Δ%| &gt; 1% ở mức tháng × cửa hàng; bút toán HQ-ADJ không thuộc cửa hàng nào.</t>
  </si>
  <si>
    <t>Sinh lại file: python _mentor/build_dashboard_excel_com.py (Windows + Excel). Bản đối chiếu số dựng bằng công thức thường: _mentor/Nexa_Sales_P1_Doi_chieu_cong_thuc.xlsx.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</si>
</sst>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0%;\-0.00%;0.00%"/>
    <numFmt numFmtId="165" formatCode="#,##0.0&quot; nghìn USD&quot;"/>
    <numFmt numFmtId="166" formatCode="#,##0&quot; đơn&quot;"/>
    <numFmt numFmtId="167" formatCode="#,##0&quot; USD/đơn&quot;"/>
    <numFmt numFmtId="168" formatCode="\+#,##0&quot; USD&quot;;\-#,##0&quot; USD&quot;;0&quot; USD&quot;"/>
    <numFmt numFmtId="169" formatCode="#,##0.0;\-#,##0.0;0.0"/>
    <numFmt numFmtId="170" formatCode="#,##0&quot; sản phẩm&quot;"/>
    <numFmt numFmtId="171" formatCode="0.0%"/>
    <numFmt numFmtId="172" formatCode="#,##0;\-#,##0;0"/>
    <numFmt numFmtId="173" formatCode="\+0.0%;\-0.0%;0.0%"/>
    <numFmt numFmtId="174" formatCode="\+#,##0;\-#,##0;0"/>
    <numFmt numFmtId="175" formatCode="#,##0&quot; USD&quot;"/>
    <numFmt numFmtId="176" formatCode="#,##0&quot; dòng&quot;"/>
  </numFmts>
  <fonts count="14" x14ac:knownFonts="1">
    <font>
      <sz val="10"/>
      <color theme="1"/>
      <name val="Segoe UI"/>
      <family val="2"/>
    </font>
    <font>
      <b/>
      <sz val="18"/>
      <color theme="1"/>
      <name val="Segoe UI"/>
      <family val="2"/>
    </font>
    <font>
      <sz val="9"/>
      <color rgb="FF8A8984"/>
      <name val="Segoe UI"/>
      <family val="2"/>
    </font>
    <font>
      <b/>
      <sz val="9"/>
      <color rgb="FF2A78D6"/>
      <name val="Segoe UI"/>
      <family val="2"/>
    </font>
    <font>
      <b/>
      <sz val="13"/>
      <color rgb="FF1F1F1E"/>
      <name val="Segoe UI"/>
      <family val="2"/>
    </font>
    <font>
      <sz val="10"/>
      <color rgb="FF52514E"/>
      <name val="Segoe UI"/>
      <family val="2"/>
    </font>
    <font>
      <sz val="9"/>
      <color rgb="FF52514E"/>
      <name val="Segoe UI"/>
      <family val="2"/>
    </font>
    <font>
      <b/>
      <sz val="18"/>
      <color rgb="FF1F1F1E"/>
      <name val="Segoe UI"/>
      <family val="2"/>
    </font>
    <font>
      <sz val="8"/>
      <color rgb="FF8A8984"/>
      <name val="Segoe UI"/>
      <family val="2"/>
    </font>
    <font>
      <b/>
      <sz val="11"/>
      <color rgb="FF1F1F1E"/>
      <name val="Segoe UI"/>
      <family val="2"/>
    </font>
    <font>
      <b/>
      <sz val="9"/>
      <color rgb="FF52514E"/>
      <name val="Segoe UI"/>
      <family val="2"/>
    </font>
    <font>
      <sz val="9"/>
      <color rgb="FF1F1F1E"/>
      <name val="Segoe UI"/>
      <family val="2"/>
    </font>
    <font>
      <b/>
      <sz val="14"/>
      <color rgb="FF1F1F1E"/>
      <name val="Segoe UI"/>
      <family val="2"/>
    </font>
    <font>
      <sz val="10"/>
      <color rgb="FF1F1F1E"/>
      <name val="Segoe UI"/>
      <family val="2"/>
    </font>
  </fonts>
  <fills count="4">
    <fill>
      <patternFill patternType="none"/>
    </fill>
    <fill>
      <patternFill patternType="gray125"/>
    </fill>
    <fill>
      <patternFill patternType="solid">
        <fgColor rgb="FFF2F6FC"/>
        <bgColor indexed="64"/>
      </patternFill>
    </fill>
    <fill>
      <patternFill patternType="solid">
        <fgColor rgb="FFFAFAF8"/>
        <bgColor indexed="64"/>
      </patternFill>
    </fill>
  </fills>
  <borders count="12">
    <border>
      <left/>
      <right/>
      <top/>
      <bottom/>
      <diagonal/>
    </border>
    <border>
      <left style="thick">
        <color rgb="FF2A78D6"/>
      </left>
      <right/>
      <top/>
      <bottom/>
      <diagonal/>
    </border>
    <border>
      <left style="thin">
        <color rgb="FFE4E3DF"/>
      </left>
      <right/>
      <top/>
      <bottom/>
      <diagonal/>
    </border>
    <border>
      <left style="thin">
        <color rgb="FFE4E3DF"/>
      </left>
      <right/>
      <top style="thin">
        <color rgb="FFE4E3DF"/>
      </top>
      <bottom/>
      <diagonal/>
    </border>
    <border>
      <left/>
      <right/>
      <top style="thin">
        <color rgb="FFE4E3DF"/>
      </top>
      <bottom/>
      <diagonal/>
    </border>
    <border>
      <left style="thin">
        <color rgb="FFE4E3DF"/>
      </left>
      <right/>
      <top/>
      <bottom style="thin">
        <color rgb="FFE4E3DF"/>
      </bottom>
      <diagonal/>
    </border>
    <border>
      <left/>
      <right/>
      <top/>
      <bottom style="thin">
        <color rgb="FFE4E3DF"/>
      </bottom>
      <diagonal/>
    </border>
    <border>
      <left/>
      <right style="thin">
        <color rgb="FFE4E3DF"/>
      </right>
      <top style="thin">
        <color rgb="FFE4E3DF"/>
      </top>
      <bottom/>
      <diagonal/>
    </border>
    <border>
      <left/>
      <right style="thin">
        <color rgb="FFE4E3DF"/>
      </right>
      <top/>
      <bottom/>
      <diagonal/>
    </border>
    <border>
      <left/>
      <right style="thin">
        <color rgb="FFE4E3DF"/>
      </right>
      <top/>
      <bottom style="thin">
        <color rgb="FFE4E3DF"/>
      </bottom>
      <diagonal/>
    </border>
    <border>
      <left/>
      <right/>
      <top style="hair">
        <color rgb="FFE4E3DF"/>
      </top>
      <bottom style="hair">
        <color rgb="FFE4E3DF"/>
      </bottom>
      <diagonal/>
    </border>
    <border>
      <left/>
      <right/>
      <top style="hair">
        <color rgb="FFE4E3DF"/>
      </top>
      <bottom/>
      <diagonal/>
    </border>
  </borders>
  <cellStyleXfs count="1">
    <xf numFmtId="0" fontId="0" fillId="0" borderId="0"/>
  </cellStyleXfs>
  <cellXfs count="59">
    <xf numFmtId="0" fontId="0" fillId="0" borderId="0" xfId="0"/>
    <xf numFmtId="0" fontId="0" fillId="0" borderId="0" xfId="0" pivotButton="1"/>
    <xf numFmtId="3" fontId="0" fillId="0" borderId="0" xfId="0" applyNumberFormat="1"/>
    <xf numFmtId="164" fontId="0" fillId="0" borderId="0" xfId="0" applyNumberFormat="1"/>
    <xf numFmtId="0" fontId="0" fillId="0" borderId="0" xfId="0" applyFont="1"/>
    <xf numFmtId="0" fontId="1" fillId="0" borderId="0" xfId="0" applyFont="1"/>
    <xf numFmtId="0" fontId="2" fillId="0" borderId="0" xfId="0" applyFont="1"/>
    <xf numFmtId="0" fontId="0" fillId="2" borderId="0" xfId="0" applyFont="1" applyFill="1"/>
    <xf numFmtId="0" fontId="0" fillId="2" borderId="0" xfId="0" applyFont="1" applyFill="1" applyAlignment="1">
      <alignment vertical="center" wrapText="1"/>
    </xf>
    <xf numFmtId="0" fontId="3" fillId="2" borderId="1" xfId="0" applyFont="1" applyFill="1" applyBorder="1"/>
    <xf numFmtId="0" fontId="4" fillId="2" borderId="1" xfId="0" applyFont="1" applyFill="1" applyBorder="1" applyAlignment="1">
      <alignment vertical="center" wrapText="1"/>
    </xf>
    <xf numFmtId="0" fontId="5" fillId="2" borderId="1" xfId="0" applyFont="1" applyFill="1" applyBorder="1" applyAlignment="1">
      <alignment vertical="center" wrapText="1"/>
    </xf>
    <xf numFmtId="0" fontId="0" fillId="3" borderId="4" xfId="0" applyFont="1" applyFill="1" applyBorder="1"/>
    <xf numFmtId="0" fontId="0" fillId="3" borderId="7" xfId="0" applyFont="1" applyFill="1" applyBorder="1"/>
    <xf numFmtId="0" fontId="0" fillId="3" borderId="0" xfId="0" applyFont="1" applyFill="1" applyBorder="1"/>
    <xf numFmtId="0" fontId="0" fillId="3" borderId="8" xfId="0" applyFont="1" applyFill="1" applyBorder="1"/>
    <xf numFmtId="0" fontId="0" fillId="3" borderId="6" xfId="0" applyFont="1" applyFill="1" applyBorder="1"/>
    <xf numFmtId="0" fontId="0" fillId="3" borderId="9" xfId="0" applyFont="1" applyFill="1" applyBorder="1"/>
    <xf numFmtId="0" fontId="6" fillId="3" borderId="3" xfId="0" applyFont="1" applyFill="1" applyBorder="1"/>
    <xf numFmtId="0" fontId="6" fillId="3" borderId="2" xfId="0" applyFont="1" applyFill="1" applyBorder="1"/>
    <xf numFmtId="0" fontId="6" fillId="3" borderId="5" xfId="0" applyFont="1" applyFill="1" applyBorder="1"/>
    <xf numFmtId="0" fontId="0" fillId="3" borderId="0" xfId="0" applyFont="1" applyFill="1" applyBorder="1" applyAlignment="1">
      <alignment horizontal="left"/>
    </xf>
    <xf numFmtId="0" fontId="0" fillId="3" borderId="8" xfId="0" applyFont="1" applyFill="1" applyBorder="1" applyAlignment="1">
      <alignment horizontal="left"/>
    </xf>
    <xf numFmtId="0" fontId="8" fillId="0" borderId="0" xfId="0" applyFont="1"/>
    <xf numFmtId="0" fontId="8" fillId="0" borderId="0" xfId="0" applyFont="1" applyAlignment="1">
      <alignment vertical="top" wrapText="1"/>
    </xf>
    <xf numFmtId="165" fontId="7" fillId="3" borderId="2" xfId="0" applyNumberFormat="1" applyFont="1" applyFill="1" applyBorder="1" applyAlignment="1">
      <alignment horizontal="left"/>
    </xf>
    <xf numFmtId="166" fontId="7" fillId="3" borderId="2" xfId="0" applyNumberFormat="1" applyFont="1" applyFill="1" applyBorder="1" applyAlignment="1">
      <alignment horizontal="left"/>
    </xf>
    <xf numFmtId="167" fontId="7" fillId="3" borderId="2" xfId="0" applyNumberFormat="1" applyFont="1" applyFill="1" applyBorder="1" applyAlignment="1">
      <alignment horizontal="left"/>
    </xf>
    <xf numFmtId="10" fontId="7" fillId="3" borderId="2" xfId="0" applyNumberFormat="1" applyFont="1" applyFill="1" applyBorder="1" applyAlignment="1">
      <alignment horizontal="left"/>
    </xf>
    <xf numFmtId="168" fontId="7" fillId="3" borderId="2" xfId="0" applyNumberFormat="1" applyFont="1" applyFill="1" applyBorder="1" applyAlignment="1">
      <alignment horizontal="left"/>
    </xf>
    <xf numFmtId="0" fontId="9" fillId="0" borderId="0" xfId="0" applyFont="1"/>
    <xf numFmtId="169" fontId="0" fillId="0" borderId="0" xfId="0" applyNumberFormat="1"/>
    <xf numFmtId="170" fontId="7" fillId="3" borderId="2" xfId="0" applyNumberFormat="1" applyFont="1" applyFill="1" applyBorder="1" applyAlignment="1">
      <alignment horizontal="left"/>
    </xf>
    <xf numFmtId="171" fontId="7" fillId="3" borderId="2" xfId="0" applyNumberFormat="1" applyFont="1" applyFill="1" applyBorder="1" applyAlignment="1">
      <alignment horizontal="left"/>
    </xf>
    <xf numFmtId="0" fontId="10" fillId="0" borderId="0" xfId="0" applyFont="1" applyBorder="1" applyAlignment="1">
      <alignment horizontal="left"/>
    </xf>
    <xf numFmtId="0" fontId="10" fillId="0" borderId="0" xfId="0" applyFont="1" applyBorder="1" applyAlignment="1">
      <alignment horizontal="right"/>
    </xf>
    <xf numFmtId="49" fontId="11" fillId="0" borderId="4" xfId="0" applyNumberFormat="1" applyFont="1" applyBorder="1" applyAlignment="1">
      <alignment horizontal="left"/>
    </xf>
    <xf numFmtId="172" fontId="11" fillId="0" borderId="4" xfId="0" applyNumberFormat="1" applyFont="1" applyBorder="1" applyAlignment="1">
      <alignment horizontal="right"/>
    </xf>
    <xf numFmtId="49" fontId="11" fillId="0" borderId="10" xfId="0" applyNumberFormat="1" applyFont="1" applyBorder="1" applyAlignment="1">
      <alignment horizontal="left"/>
    </xf>
    <xf numFmtId="172" fontId="11" fillId="0" borderId="10" xfId="0" applyNumberFormat="1" applyFont="1" applyBorder="1" applyAlignment="1">
      <alignment horizontal="right"/>
    </xf>
    <xf numFmtId="173" fontId="11" fillId="0" borderId="4" xfId="0" applyNumberFormat="1" applyFont="1" applyBorder="1" applyAlignment="1">
      <alignment horizontal="right"/>
    </xf>
    <xf numFmtId="173" fontId="11" fillId="0" borderId="10" xfId="0" applyNumberFormat="1" applyFont="1" applyBorder="1" applyAlignment="1">
      <alignment horizontal="right"/>
    </xf>
    <xf numFmtId="1" fontId="11" fillId="0" borderId="4" xfId="0" applyNumberFormat="1" applyFont="1" applyBorder="1" applyAlignment="1">
      <alignment horizontal="right"/>
    </xf>
    <xf numFmtId="0" fontId="0" fillId="0" borderId="4" xfId="0" applyFont="1" applyBorder="1"/>
    <xf numFmtId="1" fontId="11" fillId="0" borderId="10" xfId="0" applyNumberFormat="1" applyFont="1" applyBorder="1" applyAlignment="1">
      <alignment horizontal="right"/>
    </xf>
    <xf numFmtId="0" fontId="0" fillId="0" borderId="10" xfId="0" applyFont="1" applyBorder="1"/>
    <xf numFmtId="1" fontId="11" fillId="0" borderId="11" xfId="0" applyNumberFormat="1" applyFont="1" applyBorder="1" applyAlignment="1">
      <alignment horizontal="right"/>
    </xf>
    <xf numFmtId="49" fontId="11" fillId="0" borderId="11" xfId="0" applyNumberFormat="1" applyFont="1" applyBorder="1" applyAlignment="1">
      <alignment horizontal="left"/>
    </xf>
    <xf numFmtId="0" fontId="0" fillId="0" borderId="11" xfId="0" applyFont="1" applyBorder="1"/>
    <xf numFmtId="172" fontId="11" fillId="0" borderId="11" xfId="0" applyNumberFormat="1" applyFont="1" applyBorder="1" applyAlignment="1">
      <alignment horizontal="right"/>
    </xf>
    <xf numFmtId="173" fontId="11" fillId="0" borderId="11" xfId="0" applyNumberFormat="1" applyFont="1" applyBorder="1" applyAlignment="1">
      <alignment horizontal="right"/>
    </xf>
    <xf numFmtId="49" fontId="7" fillId="3" borderId="2" xfId="0" applyNumberFormat="1" applyFont="1" applyFill="1" applyBorder="1" applyAlignment="1">
      <alignment horizontal="left"/>
    </xf>
    <xf numFmtId="174" fontId="11" fillId="0" borderId="4" xfId="0" applyNumberFormat="1" applyFont="1" applyBorder="1" applyAlignment="1">
      <alignment horizontal="right"/>
    </xf>
    <xf numFmtId="174" fontId="11" fillId="0" borderId="10" xfId="0" applyNumberFormat="1" applyFont="1" applyBorder="1" applyAlignment="1">
      <alignment horizontal="right"/>
    </xf>
    <xf numFmtId="174" fontId="11" fillId="0" borderId="11" xfId="0" applyNumberFormat="1" applyFont="1" applyBorder="1" applyAlignment="1">
      <alignment horizontal="right"/>
    </xf>
    <xf numFmtId="175" fontId="7" fillId="3" borderId="2" xfId="0" applyNumberFormat="1" applyFont="1" applyFill="1" applyBorder="1" applyAlignment="1">
      <alignment horizontal="left"/>
    </xf>
    <xf numFmtId="176" fontId="7" fillId="3" borderId="2" xfId="0" applyNumberFormat="1" applyFont="1" applyFill="1" applyBorder="1" applyAlignment="1">
      <alignment horizontal="left"/>
    </xf>
    <xf numFmtId="0" fontId="12" fillId="0" borderId="0" xfId="0" applyFont="1" applyAlignment="1">
      <alignment vertical="top" wrapText="1"/>
    </xf>
    <xf numFmtId="0" fontId="13" fillId="0" borderId="0" xfId="0" applyFont="1" applyAlignment="1">
      <alignment vertical="top" wrapText="1"/>
    </xf>
  </cellXfs>
  <cellStyles count="1">
    <cellStyle name="Normal" xfId="0" builtinId="0" customBuiltin="1"/>
  </cellStyles>
  <dxfs count="53">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D03B3B"/>
      </font>
    </dxf>
    <dxf>
      <font>
        <b/>
        <i val="0"/>
        <color rgb="FFD03B3B"/>
      </font>
    </dxf>
    <dxf>
      <font>
        <b/>
        <i val="0"/>
        <color rgb="FFD03B3B"/>
      </font>
    </dxf>
    <dxf>
      <font>
        <b/>
        <i val="0"/>
        <color rgb="FFD03B3B"/>
      </font>
    </dxf>
    <dxf>
      <font>
        <b/>
        <i val="0"/>
        <color rgb="FFEB6834"/>
      </font>
    </dxf>
    <dxf>
      <font>
        <b/>
        <i val="0"/>
        <color rgb="FF1C5CAB"/>
      </font>
    </dxf>
    <dxf>
      <font>
        <b/>
        <i val="0"/>
        <color rgb="FFEB6834"/>
      </font>
    </dxf>
    <dxf>
      <font>
        <b/>
        <i val="0"/>
        <color rgb="FF1C5CAB"/>
      </font>
    </dxf>
    <dxf>
      <font>
        <b/>
        <i val="0"/>
        <color rgb="FF1C5CAB"/>
      </font>
    </dxf>
    <dxf>
      <font>
        <b/>
        <i val="0"/>
        <color rgb="FFEB6834"/>
      </font>
    </dxf>
    <dxf>
      <font>
        <b/>
        <i val="0"/>
        <color rgb="FF1C5CAB"/>
      </font>
    </dxf>
    <dxf>
      <font>
        <b/>
        <i val="0"/>
        <color rgb="FFEB6834"/>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D03B3B"/>
      </font>
    </dxf>
    <dxf>
      <font>
        <b/>
        <i val="0"/>
        <color rgb="FF1C5CAB"/>
      </font>
    </dxf>
    <dxf>
      <font>
        <b/>
        <i val="0"/>
        <color rgb="FFEB6834"/>
      </font>
    </dxf>
    <dxf>
      <font>
        <b/>
        <i val="0"/>
        <color rgb="FF1C5CAB"/>
      </font>
    </dxf>
    <dxf>
      <font>
        <b/>
        <i val="0"/>
        <color rgb="FFEB6834"/>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
      <font>
        <b/>
        <i val="0"/>
        <color rgb="FFEB6834"/>
      </font>
    </dxf>
    <dxf>
      <font>
        <b/>
        <i val="0"/>
        <color rgb="FF1C5CA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olapFunctions">
    <main first="ThisWorkbookDataModel">
      <tp t="e">
        <v>#N/A</v>
        <stp>1</stp>
        <tr r="N23" s="2"/>
        <tr r="N23" s="2"/>
        <tr r="N24" s="2"/>
        <tr r="N24" s="2"/>
        <tr r="L39" s="2"/>
        <tr r="L39" s="2"/>
        <tr r="L39" s="2"/>
        <tr r="L40" s="2"/>
        <tr r="L40" s="2"/>
        <tr r="L40" s="2"/>
        <tr r="L41" s="2"/>
        <tr r="L41" s="2"/>
        <tr r="L41" s="2"/>
        <tr r="L42" s="2"/>
        <tr r="L42" s="2"/>
        <tr r="L42" s="2"/>
        <tr r="L43" s="2"/>
        <tr r="L43" s="2"/>
        <tr r="L43" s="2"/>
        <tr r="L44" s="2"/>
        <tr r="L44" s="2"/>
        <tr r="L44" s="2"/>
        <tr r="L45" s="2"/>
        <tr r="L45" s="2"/>
        <tr r="L45" s="2"/>
        <tr r="L46" s="2"/>
        <tr r="L46" s="2"/>
        <tr r="L46" s="2"/>
        <tr r="L47" s="2"/>
        <tr r="L47" s="2"/>
        <tr r="L47" s="2"/>
        <tr r="L48" s="2"/>
        <tr r="L48" s="2"/>
        <tr r="L48" s="2"/>
        <tr r="O23" s="2"/>
        <tr r="O23" s="2"/>
        <tr r="O24" s="2"/>
        <tr r="O24" s="2"/>
        <tr r="M39" s="2"/>
        <tr r="M39" s="2"/>
        <tr r="M39" s="2"/>
        <tr r="M40" s="2"/>
        <tr r="M40" s="2"/>
        <tr r="M40" s="2"/>
        <tr r="M41" s="2"/>
        <tr r="M41" s="2"/>
        <tr r="M41" s="2"/>
        <tr r="M42" s="2"/>
        <tr r="M42" s="2"/>
        <tr r="M42" s="2"/>
        <tr r="M43" s="2"/>
        <tr r="M43" s="2"/>
        <tr r="M43" s="2"/>
        <tr r="M44" s="2"/>
        <tr r="M44" s="2"/>
        <tr r="M44" s="2"/>
        <tr r="M45" s="2"/>
        <tr r="M45" s="2"/>
        <tr r="M45" s="2"/>
        <tr r="M46" s="2"/>
        <tr r="M46" s="2"/>
        <tr r="M46" s="2"/>
        <tr r="M47" s="2"/>
        <tr r="M47" s="2"/>
        <tr r="M47" s="2"/>
        <tr r="M48" s="2"/>
        <tr r="M48" s="2"/>
        <tr r="M48" s="2"/>
        <tr r="Z79" s="6"/>
        <tr r="Z79" s="6"/>
        <tr r="Z79" s="6"/>
        <tr r="Z75" s="6"/>
        <tr r="Z75" s="6"/>
        <tr r="Z75" s="6"/>
        <tr r="D27" s="6"/>
        <tr r="D27" s="6"/>
        <tr r="D27" s="6"/>
        <tr r="Z83" s="6"/>
        <tr r="Z83" s="6"/>
        <tr r="Z83" s="6"/>
        <tr r="Y78" s="6"/>
        <tr r="Y78" s="6"/>
        <tr r="Y78" s="6"/>
        <tr r="E27" s="6"/>
        <tr r="E27" s="6"/>
        <tr r="E27" s="6"/>
        <tr r="Z61" s="6"/>
        <tr r="Z61" s="6"/>
        <tr r="Z61" s="6"/>
        <tr r="E40" s="6"/>
        <tr r="E40" s="6"/>
        <tr r="E40" s="6"/>
        <tr r="Z60" s="6"/>
        <tr r="Z60" s="6"/>
        <tr r="Z60" s="6"/>
        <tr r="Z73" s="6"/>
        <tr r="Z73" s="6"/>
        <tr r="Z73" s="6"/>
        <tr r="E26" s="6"/>
        <tr r="E26" s="6"/>
        <tr r="E26" s="6"/>
        <tr r="Y73" s="6"/>
        <tr r="Y73" s="6"/>
        <tr r="Y73" s="6"/>
        <tr r="Z80" s="6"/>
        <tr r="Z80" s="6"/>
        <tr r="Z80" s="6"/>
        <tr r="E42" s="6"/>
        <tr r="E42" s="6"/>
        <tr r="E42" s="6"/>
        <tr r="Z81" s="6"/>
        <tr r="Z81" s="6"/>
        <tr r="Z81" s="6"/>
        <tr r="Z65" s="6"/>
        <tr r="Z65" s="6"/>
        <tr r="Z65" s="6"/>
        <tr r="E41" s="6"/>
        <tr r="E41" s="6"/>
        <tr r="E41" s="6"/>
        <tr r="Y76" s="6"/>
        <tr r="Y76" s="6"/>
        <tr r="Y76" s="6"/>
        <tr r="Z68" s="6"/>
        <tr r="Z68" s="6"/>
        <tr r="Z68" s="6"/>
        <tr r="Y82" s="6"/>
        <tr r="Y82" s="6"/>
        <tr r="Y82" s="6"/>
        <tr r="Y62" s="6"/>
        <tr r="Y62" s="6"/>
        <tr r="Y62" s="6"/>
        <tr r="Z82" s="6"/>
        <tr r="Z82" s="6"/>
        <tr r="Z82" s="6"/>
        <tr r="E28" s="6"/>
        <tr r="E28" s="6"/>
        <tr r="E28" s="6"/>
        <tr r="D26" s="6"/>
        <tr r="D26" s="6"/>
        <tr r="D26" s="6"/>
        <tr r="Y79" s="6"/>
        <tr r="Y79" s="6"/>
        <tr r="Y79" s="6"/>
        <tr r="Z62" s="6"/>
        <tr r="Z62" s="6"/>
        <tr r="Z62" s="6"/>
        <tr r="Y70" s="6"/>
        <tr r="Y70" s="6"/>
        <tr r="Y70" s="6"/>
        <tr r="D40" s="6"/>
        <tr r="D40" s="6"/>
        <tr r="D40" s="6"/>
        <tr r="Z76" s="6"/>
        <tr r="Z76" s="6"/>
        <tr r="Z76" s="6"/>
        <tr r="E25" s="6"/>
        <tr r="E25" s="6"/>
        <tr r="E25" s="6"/>
        <tr r="Y75" s="6"/>
        <tr r="Y75" s="6"/>
        <tr r="Y75" s="6"/>
        <tr r="Z77" s="6"/>
        <tr r="Z77" s="6"/>
        <tr r="Z77" s="6"/>
        <tr r="E20" s="6"/>
        <tr r="E20" s="6"/>
        <tr r="E20" s="6"/>
        <tr r="Z70" s="6"/>
        <tr r="Z70" s="6"/>
        <tr r="Z70" s="6"/>
        <tr r="E23" s="6"/>
        <tr r="E23" s="6"/>
        <tr r="E23" s="6"/>
        <tr r="Y83" s="6"/>
        <tr r="Y83" s="6"/>
        <tr r="Y83" s="6"/>
        <tr r="D29" s="6"/>
        <tr r="D29" s="6"/>
        <tr r="D29" s="6"/>
        <tr r="Y72" s="6"/>
        <tr r="Y72" s="6"/>
        <tr r="Y72" s="6"/>
        <tr r="Y66" s="6"/>
        <tr r="Y66" s="6"/>
        <tr r="Y66" s="6"/>
        <tr r="Y60" s="6"/>
        <tr r="Y60" s="6"/>
        <tr r="Y60" s="6"/>
        <tr r="Z67" s="6"/>
        <tr r="Z67" s="6"/>
        <tr r="Z67" s="6"/>
        <tr r="Y69" s="6"/>
        <tr r="Y69" s="6"/>
        <tr r="Y69" s="6"/>
        <tr r="D22" s="6"/>
        <tr r="D22" s="6"/>
        <tr r="D22" s="6"/>
        <tr r="Y77" s="6"/>
        <tr r="Y77" s="6"/>
        <tr r="Y77" s="6"/>
        <tr r="E29" s="6"/>
        <tr r="E29" s="6"/>
        <tr r="E29" s="6"/>
        <tr r="Z64" s="6"/>
        <tr r="Z64" s="6"/>
        <tr r="Z64" s="6"/>
        <tr r="D25" s="6"/>
        <tr r="D25" s="6"/>
        <tr r="D25" s="6"/>
        <tr r="Y80" s="6"/>
        <tr r="Y80" s="6"/>
        <tr r="Y80" s="6"/>
        <tr r="D21" s="6"/>
        <tr r="D21" s="6"/>
        <tr r="D21" s="6"/>
        <tr r="D23" s="6"/>
        <tr r="D23" s="6"/>
        <tr r="D23" s="6"/>
        <tr r="D37" s="6"/>
        <tr r="D37" s="6"/>
        <tr r="D37" s="6"/>
        <tr r="Y61" s="6"/>
        <tr r="Y61" s="6"/>
        <tr r="Y61" s="6"/>
        <tr r="Y64" s="6"/>
        <tr r="Y64" s="6"/>
        <tr r="Y64" s="6"/>
        <tr r="Z78" s="6"/>
        <tr r="Z78" s="6"/>
        <tr r="Z78" s="6"/>
        <tr r="D42" s="6"/>
        <tr r="D42" s="6"/>
        <tr r="D42" s="6"/>
        <tr r="Z72" s="6"/>
        <tr r="Z72" s="6"/>
        <tr r="Z72" s="6"/>
        <tr r="E37" s="6"/>
        <tr r="E37" s="6"/>
        <tr r="E37" s="6"/>
        <tr r="Z66" s="6"/>
        <tr r="Z66" s="6"/>
        <tr r="Z66" s="6"/>
        <tr r="D30" s="6"/>
        <tr r="D30" s="6"/>
        <tr r="D30" s="6"/>
        <tr r="Y67" s="6"/>
        <tr r="Y67" s="6"/>
        <tr r="Y67" s="6"/>
        <tr r="Y74" s="6"/>
        <tr r="Y74" s="6"/>
        <tr r="Y74" s="6"/>
        <tr r="E30" s="6"/>
        <tr r="E30" s="6"/>
        <tr r="E30" s="6"/>
        <tr r="D20" s="6"/>
        <tr r="D20" s="6"/>
        <tr r="D20" s="6"/>
        <tr r="Y81" s="6"/>
        <tr r="Y81" s="6"/>
        <tr r="Y81" s="6"/>
        <tr r="Z74" s="6"/>
        <tr r="Z74" s="6"/>
        <tr r="Z74" s="6"/>
        <tr r="E22" s="6"/>
        <tr r="E22" s="6"/>
        <tr r="E22" s="6"/>
        <tr r="D41" s="6"/>
        <tr r="D41" s="6"/>
        <tr r="D41" s="6"/>
        <tr r="Z69" s="6"/>
        <tr r="Z69" s="6"/>
        <tr r="Z69" s="6"/>
        <tr r="Y63" s="6"/>
        <tr r="Y63" s="6"/>
        <tr r="Y63" s="6"/>
        <tr r="E21" s="6"/>
        <tr r="E21" s="6"/>
        <tr r="E21" s="6"/>
        <tr r="D28" s="6"/>
        <tr r="D28" s="6"/>
        <tr r="D28" s="6"/>
        <tr r="Y71" s="6"/>
        <tr r="Y71" s="6"/>
        <tr r="Y71" s="6"/>
        <tr r="Z63" s="6"/>
        <tr r="Z63" s="6"/>
        <tr r="Z63" s="6"/>
        <tr r="Y65" s="6"/>
        <tr r="Y65" s="6"/>
        <tr r="Y65" s="6"/>
        <tr r="E39" s="6"/>
        <tr r="E39" s="6"/>
        <tr r="E39" s="6"/>
        <tr r="D39" s="6"/>
        <tr r="D39" s="6"/>
        <tr r="D39" s="6"/>
        <tr r="Y68" s="6"/>
        <tr r="Y68" s="6"/>
        <tr r="Y68" s="6"/>
        <tr r="Z71" s="6"/>
        <tr r="Z71" s="6"/>
        <tr r="Z71" s="6"/>
        <tr r="X80" s="6"/>
        <tr r="X80" s="6"/>
        <tr r="X80" s="6"/>
        <tr r="W80" s="6"/>
        <tr r="W80" s="6"/>
        <tr r="W80" s="6"/>
        <tr r="U80" s="6"/>
        <tr r="U80" s="6"/>
        <tr r="U80" s="6"/>
        <tr r="Q80" s="6"/>
        <tr r="Q80" s="6"/>
        <tr r="Q80" s="6"/>
        <tr r="O80" s="6"/>
        <tr r="O80" s="6"/>
        <tr r="O80" s="6"/>
        <tr r="K80" s="6"/>
        <tr r="K80" s="6"/>
        <tr r="K80" s="6"/>
        <tr r="X61" s="6"/>
        <tr r="X61" s="6"/>
        <tr r="X61" s="6"/>
        <tr r="W61" s="6"/>
        <tr r="W61" s="6"/>
        <tr r="W61" s="6"/>
        <tr r="U61" s="6"/>
        <tr r="U61" s="6"/>
        <tr r="U61" s="6"/>
        <tr r="Q61" s="6"/>
        <tr r="Q61" s="6"/>
        <tr r="Q61" s="6"/>
        <tr r="O61" s="6"/>
        <tr r="O61" s="6"/>
        <tr r="O61" s="6"/>
        <tr r="K61" s="6"/>
        <tr r="K61" s="6"/>
        <tr r="K61" s="6"/>
        <tr r="X77" s="6"/>
        <tr r="X77" s="6"/>
        <tr r="X77" s="6"/>
        <tr r="W77" s="6"/>
        <tr r="W77" s="6"/>
        <tr r="W77" s="6"/>
        <tr r="U77" s="6"/>
        <tr r="U77" s="6"/>
        <tr r="U77" s="6"/>
        <tr r="Q77" s="6"/>
        <tr r="Q77" s="6"/>
        <tr r="Q77" s="6"/>
        <tr r="O77" s="6"/>
        <tr r="O77" s="6"/>
        <tr r="O77" s="6"/>
        <tr r="K77" s="6"/>
        <tr r="K77" s="6"/>
        <tr r="K77" s="6"/>
        <tr r="X82" s="6"/>
        <tr r="X82" s="6"/>
        <tr r="X82" s="6"/>
        <tr r="W82" s="6"/>
        <tr r="W82" s="6"/>
        <tr r="W82" s="6"/>
        <tr r="U82" s="6"/>
        <tr r="U82" s="6"/>
        <tr r="U82" s="6"/>
        <tr r="Q82" s="6"/>
        <tr r="Q82" s="6"/>
        <tr r="Q82" s="6"/>
        <tr r="O82" s="6"/>
        <tr r="O82" s="6"/>
        <tr r="O82" s="6"/>
        <tr r="K82" s="6"/>
        <tr r="K82" s="6"/>
        <tr r="K82" s="6"/>
        <tr r="X63" s="6"/>
        <tr r="X63" s="6"/>
        <tr r="X63" s="6"/>
        <tr r="W63" s="6"/>
        <tr r="W63" s="6"/>
        <tr r="W63" s="6"/>
        <tr r="U63" s="6"/>
        <tr r="U63" s="6"/>
        <tr r="U63" s="6"/>
        <tr r="Q63" s="6"/>
        <tr r="Q63" s="6"/>
        <tr r="Q63" s="6"/>
        <tr r="O63" s="6"/>
        <tr r="O63" s="6"/>
        <tr r="O63" s="6"/>
        <tr r="K63" s="6"/>
        <tr r="K63" s="6"/>
        <tr r="K63" s="6"/>
        <tr r="X67" s="6"/>
        <tr r="X67" s="6"/>
        <tr r="X67" s="6"/>
        <tr r="W67" s="6"/>
        <tr r="W67" s="6"/>
        <tr r="W67" s="6"/>
        <tr r="U67" s="6"/>
        <tr r="U67" s="6"/>
        <tr r="U67" s="6"/>
        <tr r="Q67" s="6"/>
        <tr r="Q67" s="6"/>
        <tr r="Q67" s="6"/>
        <tr r="O67" s="6"/>
        <tr r="O67" s="6"/>
        <tr r="O67" s="6"/>
        <tr r="K67" s="6"/>
        <tr r="K67" s="6"/>
        <tr r="K67" s="6"/>
        <tr r="X72" s="6"/>
        <tr r="X72" s="6"/>
        <tr r="X72" s="6"/>
        <tr r="W72" s="6"/>
        <tr r="W72" s="6"/>
        <tr r="W72" s="6"/>
        <tr r="U72" s="6"/>
        <tr r="U72" s="6"/>
        <tr r="U72" s="6"/>
        <tr r="Q72" s="6"/>
        <tr r="Q72" s="6"/>
        <tr r="Q72" s="6"/>
        <tr r="O72" s="6"/>
        <tr r="O72" s="6"/>
        <tr r="O72" s="6"/>
        <tr r="K72" s="6"/>
        <tr r="K72" s="6"/>
        <tr r="K72" s="6"/>
        <tr r="X70" s="6"/>
        <tr r="X70" s="6"/>
        <tr r="X70" s="6"/>
        <tr r="W70" s="6"/>
        <tr r="W70" s="6"/>
        <tr r="W70" s="6"/>
        <tr r="U70" s="6"/>
        <tr r="U70" s="6"/>
        <tr r="U70" s="6"/>
        <tr r="Q70" s="6"/>
        <tr r="Q70" s="6"/>
        <tr r="Q70" s="6"/>
        <tr r="O70" s="6"/>
        <tr r="O70" s="6"/>
        <tr r="O70" s="6"/>
        <tr r="K70" s="6"/>
        <tr r="K70" s="6"/>
        <tr r="K70" s="6"/>
        <tr r="X62" s="6"/>
        <tr r="X62" s="6"/>
        <tr r="X62" s="6"/>
        <tr r="W62" s="6"/>
        <tr r="W62" s="6"/>
        <tr r="W62" s="6"/>
        <tr r="U62" s="6"/>
        <tr r="U62" s="6"/>
        <tr r="U62" s="6"/>
        <tr r="Q62" s="6"/>
        <tr r="Q62" s="6"/>
        <tr r="Q62" s="6"/>
        <tr r="O62" s="6"/>
        <tr r="O62" s="6"/>
        <tr r="O62" s="6"/>
        <tr r="K62" s="6"/>
        <tr r="K62" s="6"/>
        <tr r="K62" s="6"/>
        <tr r="X71" s="6"/>
        <tr r="X71" s="6"/>
        <tr r="X71" s="6"/>
        <tr r="W71" s="6"/>
        <tr r="W71" s="6"/>
        <tr r="W71" s="6"/>
        <tr r="U71" s="6"/>
        <tr r="U71" s="6"/>
        <tr r="U71" s="6"/>
        <tr r="Q71" s="6"/>
        <tr r="Q71" s="6"/>
        <tr r="Q71" s="6"/>
        <tr r="O71" s="6"/>
        <tr r="O71" s="6"/>
        <tr r="O71" s="6"/>
        <tr r="K71" s="6"/>
        <tr r="K71" s="6"/>
        <tr r="K71" s="6"/>
        <tr r="X81" s="6"/>
        <tr r="X81" s="6"/>
        <tr r="X81" s="6"/>
        <tr r="W81" s="6"/>
        <tr r="W81" s="6"/>
        <tr r="W81" s="6"/>
        <tr r="U81" s="6"/>
        <tr r="U81" s="6"/>
        <tr r="U81" s="6"/>
        <tr r="Q81" s="6"/>
        <tr r="Q81" s="6"/>
        <tr r="Q81" s="6"/>
        <tr r="O81" s="6"/>
        <tr r="O81" s="6"/>
        <tr r="O81" s="6"/>
        <tr r="K81" s="6"/>
        <tr r="K81" s="6"/>
        <tr r="K81" s="6"/>
        <tr r="X66" s="6"/>
        <tr r="X66" s="6"/>
        <tr r="X66" s="6"/>
        <tr r="W66" s="6"/>
        <tr r="W66" s="6"/>
        <tr r="W66" s="6"/>
        <tr r="U66" s="6"/>
        <tr r="U66" s="6"/>
        <tr r="U66" s="6"/>
        <tr r="Q66" s="6"/>
        <tr r="Q66" s="6"/>
        <tr r="Q66" s="6"/>
        <tr r="O66" s="6"/>
        <tr r="O66" s="6"/>
        <tr r="O66" s="6"/>
        <tr r="K66" s="6"/>
        <tr r="K66" s="6"/>
        <tr r="K66" s="6"/>
        <tr r="X83" s="6"/>
        <tr r="X83" s="6"/>
        <tr r="X83" s="6"/>
        <tr r="W83" s="6"/>
        <tr r="W83" s="6"/>
        <tr r="W83" s="6"/>
        <tr r="U83" s="6"/>
        <tr r="U83" s="6"/>
        <tr r="U83" s="6"/>
        <tr r="Q83" s="6"/>
        <tr r="Q83" s="6"/>
        <tr r="Q83" s="6"/>
        <tr r="O83" s="6"/>
        <tr r="O83" s="6"/>
        <tr r="O83" s="6"/>
        <tr r="K83" s="6"/>
        <tr r="K83" s="6"/>
        <tr r="K83" s="6"/>
        <tr r="X79" s="6"/>
        <tr r="X79" s="6"/>
        <tr r="X79" s="6"/>
        <tr r="W79" s="6"/>
        <tr r="W79" s="6"/>
        <tr r="W79" s="6"/>
        <tr r="U79" s="6"/>
        <tr r="U79" s="6"/>
        <tr r="U79" s="6"/>
        <tr r="Q79" s="6"/>
        <tr r="Q79" s="6"/>
        <tr r="Q79" s="6"/>
        <tr r="O79" s="6"/>
        <tr r="O79" s="6"/>
        <tr r="O79" s="6"/>
        <tr r="K79" s="6"/>
        <tr r="K79" s="6"/>
        <tr r="K79" s="6"/>
        <tr r="X68" s="6"/>
        <tr r="X68" s="6"/>
        <tr r="X68" s="6"/>
        <tr r="W68" s="6"/>
        <tr r="W68" s="6"/>
        <tr r="W68" s="6"/>
        <tr r="U68" s="6"/>
        <tr r="U68" s="6"/>
        <tr r="U68" s="6"/>
        <tr r="Q68" s="6"/>
        <tr r="Q68" s="6"/>
        <tr r="Q68" s="6"/>
        <tr r="O68" s="6"/>
        <tr r="O68" s="6"/>
        <tr r="O68" s="6"/>
        <tr r="K68" s="6"/>
        <tr r="K68" s="6"/>
        <tr r="K68" s="6"/>
        <tr r="X69" s="6"/>
        <tr r="X69" s="6"/>
        <tr r="X69" s="6"/>
        <tr r="W69" s="6"/>
        <tr r="W69" s="6"/>
        <tr r="W69" s="6"/>
        <tr r="U69" s="6"/>
        <tr r="U69" s="6"/>
        <tr r="U69" s="6"/>
        <tr r="Q69" s="6"/>
        <tr r="Q69" s="6"/>
        <tr r="Q69" s="6"/>
        <tr r="O69" s="6"/>
        <tr r="O69" s="6"/>
        <tr r="O69" s="6"/>
        <tr r="K69" s="6"/>
        <tr r="K69" s="6"/>
        <tr r="K69" s="6"/>
        <tr r="X73" s="6"/>
        <tr r="X73" s="6"/>
        <tr r="X73" s="6"/>
        <tr r="W73" s="6"/>
        <tr r="W73" s="6"/>
        <tr r="W73" s="6"/>
        <tr r="U73" s="6"/>
        <tr r="U73" s="6"/>
        <tr r="U73" s="6"/>
        <tr r="Q73" s="6"/>
        <tr r="Q73" s="6"/>
        <tr r="Q73" s="6"/>
        <tr r="O73" s="6"/>
        <tr r="O73" s="6"/>
        <tr r="O73" s="6"/>
        <tr r="K73" s="6"/>
        <tr r="K73" s="6"/>
        <tr r="K73" s="6"/>
        <tr r="X78" s="6"/>
        <tr r="X78" s="6"/>
        <tr r="X78" s="6"/>
        <tr r="W78" s="6"/>
        <tr r="W78" s="6"/>
        <tr r="W78" s="6"/>
        <tr r="U78" s="6"/>
        <tr r="U78" s="6"/>
        <tr r="U78" s="6"/>
        <tr r="Q78" s="6"/>
        <tr r="Q78" s="6"/>
        <tr r="Q78" s="6"/>
        <tr r="O78" s="6"/>
        <tr r="O78" s="6"/>
        <tr r="O78" s="6"/>
        <tr r="K78" s="6"/>
        <tr r="K78" s="6"/>
        <tr r="K78" s="6"/>
        <tr r="X75" s="6"/>
        <tr r="X75" s="6"/>
        <tr r="X75" s="6"/>
        <tr r="W75" s="6"/>
        <tr r="W75" s="6"/>
        <tr r="W75" s="6"/>
        <tr r="U75" s="6"/>
        <tr r="U75" s="6"/>
        <tr r="U75" s="6"/>
        <tr r="Q75" s="6"/>
        <tr r="Q75" s="6"/>
        <tr r="Q75" s="6"/>
        <tr r="O75" s="6"/>
        <tr r="O75" s="6"/>
        <tr r="O75" s="6"/>
        <tr r="K75" s="6"/>
        <tr r="K75" s="6"/>
        <tr r="K75" s="6"/>
        <tr r="X76" s="6"/>
        <tr r="X76" s="6"/>
        <tr r="X76" s="6"/>
        <tr r="W76" s="6"/>
        <tr r="W76" s="6"/>
        <tr r="W76" s="6"/>
        <tr r="U76" s="6"/>
        <tr r="U76" s="6"/>
        <tr r="U76" s="6"/>
        <tr r="Q76" s="6"/>
        <tr r="Q76" s="6"/>
        <tr r="Q76" s="6"/>
        <tr r="O76" s="6"/>
        <tr r="O76" s="6"/>
        <tr r="O76" s="6"/>
        <tr r="K76" s="6"/>
        <tr r="K76" s="6"/>
        <tr r="K76" s="6"/>
        <tr r="X65" s="6"/>
        <tr r="X65" s="6"/>
        <tr r="X65" s="6"/>
        <tr r="W65" s="6"/>
        <tr r="W65" s="6"/>
        <tr r="W65" s="6"/>
        <tr r="U65" s="6"/>
        <tr r="U65" s="6"/>
        <tr r="U65" s="6"/>
        <tr r="Q65" s="6"/>
        <tr r="Q65" s="6"/>
        <tr r="Q65" s="6"/>
        <tr r="O65" s="6"/>
        <tr r="O65" s="6"/>
        <tr r="O65" s="6"/>
        <tr r="K65" s="6"/>
        <tr r="K65" s="6"/>
        <tr r="K65" s="6"/>
        <tr r="X74" s="6"/>
        <tr r="X74" s="6"/>
        <tr r="X74" s="6"/>
        <tr r="W74" s="6"/>
        <tr r="W74" s="6"/>
        <tr r="W74" s="6"/>
        <tr r="U74" s="6"/>
        <tr r="U74" s="6"/>
        <tr r="U74" s="6"/>
        <tr r="Q74" s="6"/>
        <tr r="Q74" s="6"/>
        <tr r="Q74" s="6"/>
        <tr r="O74" s="6"/>
        <tr r="O74" s="6"/>
        <tr r="O74" s="6"/>
        <tr r="K74" s="6"/>
        <tr r="K74" s="6"/>
        <tr r="K74" s="6"/>
        <tr r="X60" s="6"/>
        <tr r="X60" s="6"/>
        <tr r="X60" s="6"/>
        <tr r="W60" s="6"/>
        <tr r="W60" s="6"/>
        <tr r="W60" s="6"/>
        <tr r="U60" s="6"/>
        <tr r="U60" s="6"/>
        <tr r="U60" s="6"/>
        <tr r="Q60" s="6"/>
        <tr r="Q60" s="6"/>
        <tr r="Q60" s="6"/>
        <tr r="O60" s="6"/>
        <tr r="O60" s="6"/>
        <tr r="O60" s="6"/>
        <tr r="K60" s="6"/>
        <tr r="K60" s="6"/>
        <tr r="K60" s="6"/>
        <tr r="X64" s="6"/>
        <tr r="X64" s="6"/>
        <tr r="X64" s="6"/>
        <tr r="W64" s="6"/>
        <tr r="W64" s="6"/>
        <tr r="W64" s="6"/>
        <tr r="U64" s="6"/>
        <tr r="U64" s="6"/>
        <tr r="U64" s="6"/>
        <tr r="Q64" s="6"/>
        <tr r="Q64" s="6"/>
        <tr r="Q64" s="6"/>
        <tr r="O64" s="6"/>
        <tr r="O64" s="6"/>
        <tr r="O64" s="6"/>
        <tr r="K64" s="6"/>
        <tr r="K64" s="6"/>
        <tr r="K64" s="6"/>
        <tr r="R80" s="6"/>
        <tr r="R80" s="6"/>
        <tr r="R80" s="6"/>
        <tr r="M80" s="6"/>
        <tr r="M80" s="6"/>
        <tr r="M80" s="6"/>
        <tr r="M80" s="6"/>
        <tr r="M80" s="6"/>
        <tr r="M80" s="6"/>
        <tr r="R61" s="6"/>
        <tr r="R61" s="6"/>
        <tr r="R61" s="6"/>
        <tr r="M61" s="6"/>
        <tr r="M61" s="6"/>
        <tr r="M61" s="6"/>
        <tr r="M61" s="6"/>
        <tr r="M61" s="6"/>
        <tr r="M61" s="6"/>
        <tr r="R77" s="6"/>
        <tr r="R77" s="6"/>
        <tr r="R77" s="6"/>
        <tr r="M77" s="6"/>
        <tr r="M77" s="6"/>
        <tr r="M77" s="6"/>
        <tr r="M77" s="6"/>
        <tr r="M77" s="6"/>
        <tr r="M77" s="6"/>
        <tr r="R82" s="6"/>
        <tr r="R82" s="6"/>
        <tr r="R82" s="6"/>
        <tr r="M82" s="6"/>
        <tr r="M82" s="6"/>
        <tr r="M82" s="6"/>
        <tr r="M82" s="6"/>
        <tr r="M82" s="6"/>
        <tr r="M82" s="6"/>
        <tr r="R63" s="6"/>
        <tr r="R63" s="6"/>
        <tr r="R63" s="6"/>
        <tr r="M63" s="6"/>
        <tr r="M63" s="6"/>
        <tr r="M63" s="6"/>
        <tr r="M63" s="6"/>
        <tr r="M63" s="6"/>
        <tr r="M63" s="6"/>
        <tr r="R67" s="6"/>
        <tr r="R67" s="6"/>
        <tr r="R67" s="6"/>
        <tr r="M67" s="6"/>
        <tr r="M67" s="6"/>
        <tr r="M67" s="6"/>
        <tr r="M67" s="6"/>
        <tr r="M67" s="6"/>
        <tr r="M67" s="6"/>
        <tr r="R72" s="6"/>
        <tr r="R72" s="6"/>
        <tr r="R72" s="6"/>
        <tr r="M72" s="6"/>
        <tr r="M72" s="6"/>
        <tr r="M72" s="6"/>
        <tr r="M72" s="6"/>
        <tr r="M72" s="6"/>
        <tr r="M72" s="6"/>
        <tr r="R70" s="6"/>
        <tr r="R70" s="6"/>
        <tr r="R70" s="6"/>
        <tr r="M70" s="6"/>
        <tr r="M70" s="6"/>
        <tr r="M70" s="6"/>
        <tr r="M70" s="6"/>
        <tr r="M70" s="6"/>
        <tr r="M70" s="6"/>
        <tr r="R62" s="6"/>
        <tr r="R62" s="6"/>
        <tr r="R62" s="6"/>
        <tr r="M62" s="6"/>
        <tr r="M62" s="6"/>
        <tr r="M62" s="6"/>
        <tr r="M62" s="6"/>
        <tr r="M62" s="6"/>
        <tr r="M62" s="6"/>
        <tr r="R71" s="6"/>
        <tr r="R71" s="6"/>
        <tr r="R71" s="6"/>
        <tr r="M71" s="6"/>
        <tr r="M71" s="6"/>
        <tr r="M71" s="6"/>
        <tr r="M71" s="6"/>
        <tr r="M71" s="6"/>
        <tr r="M71" s="6"/>
        <tr r="R81" s="6"/>
        <tr r="R81" s="6"/>
        <tr r="R81" s="6"/>
        <tr r="M81" s="6"/>
        <tr r="M81" s="6"/>
        <tr r="M81" s="6"/>
        <tr r="M81" s="6"/>
        <tr r="M81" s="6"/>
        <tr r="M81" s="6"/>
        <tr r="R66" s="6"/>
        <tr r="R66" s="6"/>
        <tr r="R66" s="6"/>
        <tr r="M66" s="6"/>
        <tr r="M66" s="6"/>
        <tr r="M66" s="6"/>
        <tr r="M66" s="6"/>
        <tr r="M66" s="6"/>
        <tr r="M66" s="6"/>
        <tr r="R83" s="6"/>
        <tr r="R83" s="6"/>
        <tr r="R83" s="6"/>
        <tr r="M83" s="6"/>
        <tr r="M83" s="6"/>
        <tr r="M83" s="6"/>
        <tr r="M83" s="6"/>
        <tr r="M83" s="6"/>
        <tr r="M83" s="6"/>
        <tr r="R79" s="6"/>
        <tr r="R79" s="6"/>
        <tr r="R79" s="6"/>
        <tr r="M79" s="6"/>
        <tr r="M79" s="6"/>
        <tr r="M79" s="6"/>
        <tr r="M79" s="6"/>
        <tr r="M79" s="6"/>
        <tr r="M79" s="6"/>
        <tr r="R68" s="6"/>
        <tr r="R68" s="6"/>
        <tr r="R68" s="6"/>
        <tr r="M68" s="6"/>
        <tr r="M68" s="6"/>
        <tr r="M68" s="6"/>
        <tr r="M68" s="6"/>
        <tr r="M68" s="6"/>
        <tr r="M68" s="6"/>
        <tr r="R69" s="6"/>
        <tr r="R69" s="6"/>
        <tr r="R69" s="6"/>
        <tr r="M69" s="6"/>
        <tr r="M69" s="6"/>
        <tr r="M69" s="6"/>
        <tr r="M69" s="6"/>
        <tr r="M69" s="6"/>
        <tr r="M69" s="6"/>
        <tr r="R73" s="6"/>
        <tr r="R73" s="6"/>
        <tr r="R73" s="6"/>
        <tr r="M73" s="6"/>
        <tr r="M73" s="6"/>
        <tr r="M73" s="6"/>
        <tr r="M73" s="6"/>
        <tr r="M73" s="6"/>
        <tr r="M73" s="6"/>
        <tr r="R78" s="6"/>
        <tr r="R78" s="6"/>
        <tr r="R78" s="6"/>
        <tr r="M78" s="6"/>
        <tr r="M78" s="6"/>
        <tr r="M78" s="6"/>
        <tr r="M78" s="6"/>
        <tr r="M78" s="6"/>
        <tr r="M78" s="6"/>
        <tr r="R75" s="6"/>
        <tr r="R75" s="6"/>
        <tr r="R75" s="6"/>
        <tr r="M75" s="6"/>
        <tr r="M75" s="6"/>
        <tr r="M75" s="6"/>
        <tr r="M75" s="6"/>
        <tr r="M75" s="6"/>
        <tr r="M75" s="6"/>
        <tr r="R76" s="6"/>
        <tr r="R76" s="6"/>
        <tr r="R76" s="6"/>
        <tr r="M76" s="6"/>
        <tr r="M76" s="6"/>
        <tr r="M76" s="6"/>
        <tr r="M76" s="6"/>
        <tr r="M76" s="6"/>
        <tr r="M76" s="6"/>
        <tr r="R65" s="6"/>
        <tr r="R65" s="6"/>
        <tr r="R65" s="6"/>
        <tr r="M65" s="6"/>
        <tr r="M65" s="6"/>
        <tr r="M65" s="6"/>
        <tr r="M65" s="6"/>
        <tr r="M65" s="6"/>
        <tr r="M65" s="6"/>
        <tr r="R74" s="6"/>
        <tr r="R74" s="6"/>
        <tr r="R74" s="6"/>
        <tr r="M74" s="6"/>
        <tr r="M74" s="6"/>
        <tr r="M74" s="6"/>
        <tr r="M74" s="6"/>
        <tr r="M74" s="6"/>
        <tr r="M74" s="6"/>
        <tr r="R60" s="6"/>
        <tr r="R60" s="6"/>
        <tr r="R60" s="6"/>
        <tr r="M60" s="6"/>
        <tr r="M60" s="6"/>
        <tr r="M60" s="6"/>
        <tr r="M60" s="6"/>
        <tr r="M60" s="6"/>
        <tr r="M60" s="6"/>
        <tr r="R64" s="6"/>
        <tr r="R64" s="6"/>
        <tr r="R64" s="6"/>
        <tr r="M64" s="6"/>
        <tr r="M64" s="6"/>
        <tr r="M64" s="6"/>
        <tr r="M64" s="6"/>
        <tr r="M64" s="6"/>
        <tr r="M64" s="6"/>
        <tr r="E24" s="6"/>
        <tr r="E24" s="6"/>
        <tr r="E24" s="6"/>
        <tr r="E24" s="6"/>
        <tr r="E24" s="6"/>
        <tr r="D24" s="6"/>
        <tr r="D24" s="6"/>
        <tr r="D24" s="6"/>
        <tr r="D24" s="6"/>
        <tr r="D24" s="6"/>
        <tr r="B11" s="6"/>
        <tr r="B11" s="6"/>
        <tr r="B12" s="6"/>
        <tr r="B12" s="6"/>
        <tr r="C20" s="6"/>
        <tr r="C20" s="6"/>
        <tr r="C20" s="6"/>
        <tr r="C20" s="6"/>
        <tr r="C20" s="6"/>
        <tr r="C21" s="6"/>
        <tr r="C21" s="6"/>
        <tr r="C21" s="6"/>
        <tr r="C21" s="6"/>
        <tr r="C21" s="6"/>
        <tr r="C22" s="6"/>
        <tr r="C22" s="6"/>
        <tr r="C22" s="6"/>
        <tr r="C22" s="6"/>
        <tr r="C22" s="6"/>
        <tr r="C23" s="6"/>
        <tr r="C23" s="6"/>
        <tr r="C23" s="6"/>
        <tr r="C23" s="6"/>
        <tr r="C23" s="6"/>
        <tr r="C24" s="6"/>
        <tr r="C24" s="6"/>
        <tr r="C24" s="6"/>
        <tr r="C24" s="6"/>
        <tr r="C24" s="6"/>
        <tr r="C25" s="6"/>
        <tr r="C25" s="6"/>
        <tr r="C25" s="6"/>
        <tr r="C25" s="6"/>
        <tr r="C25" s="6"/>
        <tr r="C26" s="6"/>
        <tr r="C26" s="6"/>
        <tr r="C26" s="6"/>
        <tr r="C26" s="6"/>
        <tr r="C26" s="6"/>
        <tr r="C27" s="6"/>
        <tr r="C27" s="6"/>
        <tr r="C27" s="6"/>
        <tr r="C27" s="6"/>
        <tr r="C27" s="6"/>
        <tr r="C28" s="6"/>
        <tr r="C28" s="6"/>
        <tr r="C28" s="6"/>
        <tr r="C28" s="6"/>
        <tr r="C28" s="6"/>
        <tr r="C29" s="6"/>
        <tr r="C29" s="6"/>
        <tr r="C29" s="6"/>
        <tr r="C29" s="6"/>
        <tr r="C29" s="6"/>
        <tr r="C30" s="6"/>
        <tr r="C30" s="6"/>
        <tr r="C30" s="6"/>
        <tr r="C30" s="6"/>
        <tr r="C30" s="6"/>
        <tr r="C31" s="6"/>
        <tr r="C31" s="6"/>
        <tr r="C31" s="6"/>
        <tr r="C31" s="6"/>
        <tr r="C31" s="6"/>
        <tr r="C32" s="6"/>
        <tr r="C32" s="6"/>
        <tr r="C32" s="6"/>
        <tr r="C32" s="6"/>
        <tr r="C32" s="6"/>
        <tr r="C33" s="6"/>
        <tr r="C33" s="6"/>
        <tr r="C33" s="6"/>
        <tr r="C33" s="6"/>
        <tr r="C33" s="6"/>
        <tr r="C34" s="6"/>
        <tr r="C34" s="6"/>
        <tr r="C34" s="6"/>
        <tr r="C34" s="6"/>
        <tr r="C34" s="6"/>
        <tr r="C35" s="6"/>
        <tr r="C35" s="6"/>
        <tr r="C35" s="6"/>
        <tr r="C35" s="6"/>
        <tr r="C35" s="6"/>
        <tr r="C36" s="6"/>
        <tr r="C36" s="6"/>
        <tr r="C36" s="6"/>
        <tr r="C36" s="6"/>
        <tr r="C36" s="6"/>
        <tr r="C37" s="6"/>
        <tr r="C37" s="6"/>
        <tr r="C37" s="6"/>
        <tr r="C37" s="6"/>
        <tr r="C37" s="6"/>
        <tr r="C38" s="6"/>
        <tr r="C38" s="6"/>
        <tr r="C38" s="6"/>
        <tr r="C38" s="6"/>
        <tr r="C38" s="6"/>
        <tr r="C39" s="6"/>
        <tr r="C39" s="6"/>
        <tr r="C39" s="6"/>
        <tr r="C39" s="6"/>
        <tr r="C39" s="6"/>
        <tr r="C40" s="6"/>
        <tr r="C40" s="6"/>
        <tr r="C40" s="6"/>
        <tr r="C40" s="6"/>
        <tr r="C40" s="6"/>
        <tr r="C41" s="6"/>
        <tr r="C41" s="6"/>
        <tr r="C41" s="6"/>
        <tr r="C41" s="6"/>
        <tr r="C41" s="6"/>
        <tr r="C42" s="6"/>
        <tr r="C42" s="6"/>
        <tr r="C42" s="6"/>
        <tr r="C42" s="6"/>
        <tr r="C42" s="6"/>
        <tr r="C44" s="6"/>
        <tr r="C44" s="6"/>
        <tr r="C44" s="6"/>
        <tr r="B3" s="6"/>
        <tr r="B3" s="6"/>
        <tr r="B4" s="6"/>
        <tr r="B4" s="6"/>
        <tr r="B5" s="6"/>
        <tr r="B5" s="6"/>
        <tr r="B13" s="6"/>
        <tr r="B13" s="6"/>
        <tr r="B14" s="6"/>
        <tr r="B14" s="6"/>
        <tr r="B2" s="6"/>
        <tr r="B2" s="6"/>
      </tp>
    </main>
  </volType>
</volTypes>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2.xml"/><Relationship Id="rId26" Type="http://schemas.openxmlformats.org/officeDocument/2006/relationships/powerPivotData" Target="model/item.data"/><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07/relationships/slicerCache" Target="slicerCaches/slicerCache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4.xml"/><Relationship Id="rId29"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tyles" Target="styles.xml"/><Relationship Id="rId28" Type="http://schemas.openxmlformats.org/officeDocument/2006/relationships/customXml" Target="../customXml/item1.xml"/><Relationship Id="rId10" Type="http://schemas.openxmlformats.org/officeDocument/2006/relationships/pivotCacheDefinition" Target="pivotCache/pivotCacheDefinition4.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connections" Target="connections.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nr</c:v>
          </c:tx>
          <c:spPr>
            <a:ln w="25400" cap="rnd">
              <a:solidFill>
                <a:srgbClr val="B9B7B0"/>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_pivot!$K$60:$K$83</c:f>
              <c:numCache>
                <c:formatCode>General</c:formatCode>
                <c:ptCount val="24"/>
                <c:pt idx="0">
                  <c:v>1797.9688699999874</c:v>
                </c:pt>
                <c:pt idx="1">
                  <c:v>2004.5686799999819</c:v>
                </c:pt>
                <c:pt idx="2">
                  <c:v>742.70608999999888</c:v>
                </c:pt>
                <c:pt idx="3">
                  <c:v>139.51809000000006</c:v>
                </c:pt>
                <c:pt idx="4">
                  <c:v>1514.7130299999924</c:v>
                </c:pt>
                <c:pt idx="5">
                  <c:v>1317.2358799999927</c:v>
                </c:pt>
                <c:pt idx="6">
                  <c:v>1322.8915499999941</c:v>
                </c:pt>
                <c:pt idx="7">
                  <c:v>1339.3032499999917</c:v>
                </c:pt>
                <c:pt idx="8">
                  <c:v>1430.226979999991</c:v>
                </c:pt>
                <c:pt idx="9">
                  <c:v>1488.3058699999908</c:v>
                </c:pt>
                <c:pt idx="10">
                  <c:v>1563.3798599999916</c:v>
                </c:pt>
                <c:pt idx="11">
                  <c:v>2263.4149699999944</c:v>
                </c:pt>
                <c:pt idx="12">
                  <c:v>1911.3349199999825</c:v>
                </c:pt>
                <c:pt idx="13">
                  <c:v>2158.2621799999897</c:v>
                </c:pt>
                <c:pt idx="14">
                  <c:v>614.14520999999957</c:v>
                </c:pt>
                <c:pt idx="15">
                  <c:v>202.94221000000002</c:v>
                </c:pt>
                <c:pt idx="16">
                  <c:v>837.3102599999977</c:v>
                </c:pt>
                <c:pt idx="17">
                  <c:v>714.33339999999919</c:v>
                </c:pt>
                <c:pt idx="18">
                  <c:v>477.06366999999926</c:v>
                </c:pt>
                <c:pt idx="19">
                  <c:v>378.42988999999994</c:v>
                </c:pt>
                <c:pt idx="20">
                  <c:v>357.6370300000001</c:v>
                </c:pt>
                <c:pt idx="21">
                  <c:v>237.12771000000012</c:v>
                </c:pt>
                <c:pt idx="22">
                  <c:v>238.03668000000016</c:v>
                </c:pt>
                <c:pt idx="23">
                  <c:v>606.12506999999971</c:v>
                </c:pt>
              </c:numCache>
            </c:numRef>
          </c:val>
          <c:smooth val="0"/>
          <c:extLst>
            <c:ext xmlns:c16="http://schemas.microsoft.com/office/drawing/2014/chart" uri="{C3380CC4-5D6E-409C-BE32-E72D297353CC}">
              <c16:uniqueId val="{00000001-7411-4CE0-96A6-0D681DD597B1}"/>
            </c:ext>
          </c:extLst>
        </c:ser>
        <c:ser>
          <c:idx val="1"/>
          <c:order val="1"/>
          <c:tx>
            <c:v>Tháng chọn</c:v>
          </c:tx>
          <c:spPr>
            <a:ln w="28575" cap="rnd">
              <a:noFill/>
              <a:round/>
            </a:ln>
            <a:effectLst/>
            <a:extLst>
              <a:ext uri="{91240B29-F687-4F45-9708-019B960494DF}">
                <a14:hiddenLine xmlns:a14="http://schemas.microsoft.com/office/drawing/2010/main" w="28575" cap="rnd">
                  <a:solidFill>
                    <a:srgbClr val="E97132"/>
                  </a:solidFill>
                  <a:round/>
                </a14:hiddenLine>
              </a:ext>
            </a:extLst>
          </c:spPr>
          <c:marker>
            <c:symbol val="circle"/>
            <c:size val="7"/>
            <c:spPr>
              <a:solidFill>
                <a:srgbClr val="2A78D6"/>
              </a:solidFill>
              <a:ln w="9525">
                <a:solidFill>
                  <a:srgbClr val="2A78D6"/>
                </a:solidFill>
                <a:prstDash val="solid"/>
              </a:ln>
              <a:effectLst/>
            </c:spPr>
          </c:marker>
          <c:dLbls>
            <c:numFmt formatCode="#,##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_pivot!$L$60:$L$83</c:f>
              <c:numCache>
                <c:formatCode>General</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606.12506999999971</c:v>
                </c:pt>
              </c:numCache>
            </c:numRef>
          </c:val>
          <c:smooth val="0"/>
          <c:extLst>
            <c:ext xmlns:c16="http://schemas.microsoft.com/office/drawing/2014/chart" uri="{C3380CC4-5D6E-409C-BE32-E72D297353CC}">
              <c16:uniqueId val="{00000002-7411-4CE0-96A6-0D681DD597B1}"/>
            </c:ext>
          </c:extLst>
        </c:ser>
        <c:dLbls>
          <c:showLegendKey val="0"/>
          <c:showVal val="0"/>
          <c:showCatName val="0"/>
          <c:showSerName val="0"/>
          <c:showPercent val="0"/>
          <c:showBubbleSize val="0"/>
        </c:dLbls>
        <c:smooth val="0"/>
        <c:axId val="1288296352"/>
        <c:axId val="1732118928"/>
      </c:lineChart>
      <c:catAx>
        <c:axId val="1288296352"/>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18928"/>
        <c:crosses val="autoZero"/>
        <c:auto val="1"/>
        <c:lblAlgn val="ctr"/>
        <c:lblOffset val="100"/>
        <c:tickLblSkip val="3"/>
        <c:noMultiLvlLbl val="0"/>
      </c:catAx>
      <c:valAx>
        <c:axId val="1732118928"/>
        <c:scaling>
          <c:orientation val="minMax"/>
        </c:scaling>
        <c:delete val="0"/>
        <c:axPos val="l"/>
        <c:majorGridlines>
          <c:spPr>
            <a:ln w="9525" cap="flat" cmpd="sng" algn="ctr">
              <a:solidFill>
                <a:srgbClr val="ECEBE7"/>
              </a:solidFill>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288296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orders</c:v>
          </c:tx>
          <c:spPr>
            <a:ln w="25400" cap="rnd">
              <a:solidFill>
                <a:srgbClr val="2A78D6"/>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_pivot!$M$60:$M$83</c:f>
              <c:numCache>
                <c:formatCode>General</c:formatCode>
                <c:ptCount val="24"/>
                <c:pt idx="0">
                  <c:v>874</c:v>
                </c:pt>
                <c:pt idx="1">
                  <c:v>946</c:v>
                </c:pt>
                <c:pt idx="2">
                  <c:v>376</c:v>
                </c:pt>
                <c:pt idx="3">
                  <c:v>74</c:v>
                </c:pt>
                <c:pt idx="4">
                  <c:v>784</c:v>
                </c:pt>
                <c:pt idx="5">
                  <c:v>747</c:v>
                </c:pt>
                <c:pt idx="6">
                  <c:v>693</c:v>
                </c:pt>
                <c:pt idx="7">
                  <c:v>771</c:v>
                </c:pt>
                <c:pt idx="8">
                  <c:v>750</c:v>
                </c:pt>
                <c:pt idx="9">
                  <c:v>818</c:v>
                </c:pt>
                <c:pt idx="10">
                  <c:v>786</c:v>
                </c:pt>
                <c:pt idx="11">
                  <c:v>1223</c:v>
                </c:pt>
                <c:pt idx="12">
                  <c:v>1003</c:v>
                </c:pt>
                <c:pt idx="13">
                  <c:v>1100</c:v>
                </c:pt>
                <c:pt idx="14">
                  <c:v>325</c:v>
                </c:pt>
                <c:pt idx="15">
                  <c:v>79</c:v>
                </c:pt>
                <c:pt idx="16">
                  <c:v>448</c:v>
                </c:pt>
                <c:pt idx="17">
                  <c:v>345</c:v>
                </c:pt>
                <c:pt idx="18">
                  <c:v>245</c:v>
                </c:pt>
                <c:pt idx="19">
                  <c:v>197</c:v>
                </c:pt>
                <c:pt idx="20">
                  <c:v>174</c:v>
                </c:pt>
                <c:pt idx="21">
                  <c:v>157</c:v>
                </c:pt>
                <c:pt idx="22">
                  <c:v>145</c:v>
                </c:pt>
                <c:pt idx="23">
                  <c:v>310</c:v>
                </c:pt>
              </c:numCache>
            </c:numRef>
          </c:val>
          <c:smooth val="0"/>
          <c:extLst>
            <c:ext xmlns:c16="http://schemas.microsoft.com/office/drawing/2014/chart" uri="{C3380CC4-5D6E-409C-BE32-E72D297353CC}">
              <c16:uniqueId val="{00000001-5E2E-4996-9B41-185A60596B81}"/>
            </c:ext>
          </c:extLst>
        </c:ser>
        <c:ser>
          <c:idx val="1"/>
          <c:order val="1"/>
          <c:tx>
            <c:v>Tháng chọn</c:v>
          </c:tx>
          <c:spPr>
            <a:ln w="28575" cap="rnd">
              <a:noFill/>
              <a:round/>
            </a:ln>
            <a:effectLst/>
            <a:extLst>
              <a:ext uri="{91240B29-F687-4F45-9708-019B960494DF}">
                <a14:hiddenLine xmlns:a14="http://schemas.microsoft.com/office/drawing/2010/main" w="28575" cap="rnd">
                  <a:solidFill>
                    <a:srgbClr val="E97132"/>
                  </a:solidFill>
                  <a:round/>
                </a14:hiddenLine>
              </a:ext>
            </a:extLst>
          </c:spPr>
          <c:marker>
            <c:symbol val="circle"/>
            <c:size val="7"/>
            <c:spPr>
              <a:solidFill>
                <a:srgbClr val="2A78D6"/>
              </a:solidFill>
              <a:ln w="9525">
                <a:solidFill>
                  <a:srgbClr val="2A78D6"/>
                </a:solidFill>
                <a:prstDash val="solid"/>
              </a:ln>
              <a:effectLst/>
            </c:spPr>
          </c:marker>
          <c:dLbls>
            <c:numFmt formatCode="#,##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_pivot!$N$60:$N$83</c:f>
              <c:numCache>
                <c:formatCode>General</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310</c:v>
                </c:pt>
              </c:numCache>
            </c:numRef>
          </c:val>
          <c:smooth val="0"/>
          <c:extLst>
            <c:ext xmlns:c16="http://schemas.microsoft.com/office/drawing/2014/chart" uri="{C3380CC4-5D6E-409C-BE32-E72D297353CC}">
              <c16:uniqueId val="{00000002-5E2E-4996-9B41-185A60596B81}"/>
            </c:ext>
          </c:extLst>
        </c:ser>
        <c:dLbls>
          <c:showLegendKey val="0"/>
          <c:showVal val="0"/>
          <c:showCatName val="0"/>
          <c:showSerName val="0"/>
          <c:showPercent val="0"/>
          <c:showBubbleSize val="0"/>
        </c:dLbls>
        <c:smooth val="0"/>
        <c:axId val="1288250880"/>
        <c:axId val="1732022928"/>
      </c:lineChart>
      <c:catAx>
        <c:axId val="1288250880"/>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022928"/>
        <c:crosses val="autoZero"/>
        <c:auto val="1"/>
        <c:lblAlgn val="ctr"/>
        <c:lblOffset val="100"/>
        <c:tickLblSkip val="3"/>
        <c:noMultiLvlLbl val="0"/>
      </c:catAx>
      <c:valAx>
        <c:axId val="1732022928"/>
        <c:scaling>
          <c:orientation val="minMax"/>
        </c:scaling>
        <c:delete val="0"/>
        <c:axPos val="l"/>
        <c:majorGridlines>
          <c:spPr>
            <a:ln w="9525" cap="flat" cmpd="sng" algn="ctr">
              <a:solidFill>
                <a:srgbClr val="ECEBE7"/>
              </a:solidFill>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288250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aov</c:v>
          </c:tx>
          <c:spPr>
            <a:ln w="25400" cap="rnd">
              <a:solidFill>
                <a:srgbClr val="B9B7B0"/>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_pivot!$O$60:$O$83</c:f>
              <c:numCache>
                <c:formatCode>General</c:formatCode>
                <c:ptCount val="24"/>
                <c:pt idx="0">
                  <c:v>2109.0376887871707</c:v>
                </c:pt>
                <c:pt idx="1">
                  <c:v>2153.5738583509324</c:v>
                </c:pt>
                <c:pt idx="2">
                  <c:v>2173.9649734042523</c:v>
                </c:pt>
                <c:pt idx="3">
                  <c:v>1956.6440540540548</c:v>
                </c:pt>
                <c:pt idx="4">
                  <c:v>1960.3617984693781</c:v>
                </c:pt>
                <c:pt idx="5">
                  <c:v>1813.4305488621053</c:v>
                </c:pt>
                <c:pt idx="6">
                  <c:v>1966.8878210678126</c:v>
                </c:pt>
                <c:pt idx="7">
                  <c:v>1782.6250583657481</c:v>
                </c:pt>
                <c:pt idx="8">
                  <c:v>1948.8305866666549</c:v>
                </c:pt>
                <c:pt idx="9">
                  <c:v>1863.4061735941207</c:v>
                </c:pt>
                <c:pt idx="10">
                  <c:v>2037.2147073791239</c:v>
                </c:pt>
                <c:pt idx="11">
                  <c:v>1894.0569092395699</c:v>
                </c:pt>
                <c:pt idx="12">
                  <c:v>1959.3664805583076</c:v>
                </c:pt>
                <c:pt idx="13">
                  <c:v>1984.4522999999908</c:v>
                </c:pt>
                <c:pt idx="14">
                  <c:v>2010.3780923076913</c:v>
                </c:pt>
                <c:pt idx="15">
                  <c:v>2692.6372151898736</c:v>
                </c:pt>
                <c:pt idx="16">
                  <c:v>1914.7871874999948</c:v>
                </c:pt>
                <c:pt idx="17">
                  <c:v>2116.5594492753598</c:v>
                </c:pt>
                <c:pt idx="18">
                  <c:v>2016.7854285714257</c:v>
                </c:pt>
                <c:pt idx="19">
                  <c:v>1964.3809644670048</c:v>
                </c:pt>
                <c:pt idx="20">
                  <c:v>2064.2978735632187</c:v>
                </c:pt>
                <c:pt idx="21">
                  <c:v>1538.7912738853508</c:v>
                </c:pt>
                <c:pt idx="22">
                  <c:v>1665.2204137931046</c:v>
                </c:pt>
                <c:pt idx="23">
                  <c:v>1986.489483870967</c:v>
                </c:pt>
              </c:numCache>
            </c:numRef>
          </c:val>
          <c:smooth val="0"/>
          <c:extLst>
            <c:ext xmlns:c16="http://schemas.microsoft.com/office/drawing/2014/chart" uri="{C3380CC4-5D6E-409C-BE32-E72D297353CC}">
              <c16:uniqueId val="{00000001-E6E5-4B60-9A7D-EB3706E4B2BE}"/>
            </c:ext>
          </c:extLst>
        </c:ser>
        <c:ser>
          <c:idx val="1"/>
          <c:order val="1"/>
          <c:tx>
            <c:v>Tháng chọn</c:v>
          </c:tx>
          <c:spPr>
            <a:ln w="28575" cap="rnd">
              <a:noFill/>
              <a:round/>
            </a:ln>
            <a:effectLst/>
            <a:extLst>
              <a:ext uri="{91240B29-F687-4F45-9708-019B960494DF}">
                <a14:hiddenLine xmlns:a14="http://schemas.microsoft.com/office/drawing/2010/main" w="28575" cap="rnd">
                  <a:solidFill>
                    <a:srgbClr val="E97132"/>
                  </a:solidFill>
                  <a:round/>
                </a14:hiddenLine>
              </a:ext>
            </a:extLst>
          </c:spPr>
          <c:marker>
            <c:symbol val="circle"/>
            <c:size val="7"/>
            <c:spPr>
              <a:solidFill>
                <a:srgbClr val="2A78D6"/>
              </a:solidFill>
              <a:ln w="9525">
                <a:solidFill>
                  <a:srgbClr val="2A78D6"/>
                </a:solidFill>
                <a:prstDash val="solid"/>
              </a:ln>
              <a:effectLst/>
            </c:spPr>
          </c:marker>
          <c:dLbls>
            <c:numFmt formatCode="#,##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_pivot!$P$60:$P$83</c:f>
              <c:numCache>
                <c:formatCode>General</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1986.489483870967</c:v>
                </c:pt>
              </c:numCache>
            </c:numRef>
          </c:val>
          <c:smooth val="0"/>
          <c:extLst>
            <c:ext xmlns:c16="http://schemas.microsoft.com/office/drawing/2014/chart" uri="{C3380CC4-5D6E-409C-BE32-E72D297353CC}">
              <c16:uniqueId val="{00000002-E6E5-4B60-9A7D-EB3706E4B2BE}"/>
            </c:ext>
          </c:extLst>
        </c:ser>
        <c:dLbls>
          <c:showLegendKey val="0"/>
          <c:showVal val="0"/>
          <c:showCatName val="0"/>
          <c:showSerName val="0"/>
          <c:showPercent val="0"/>
          <c:showBubbleSize val="0"/>
        </c:dLbls>
        <c:smooth val="0"/>
        <c:axId val="1288260160"/>
        <c:axId val="1732021008"/>
      </c:lineChart>
      <c:catAx>
        <c:axId val="1288260160"/>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021008"/>
        <c:crosses val="autoZero"/>
        <c:auto val="1"/>
        <c:lblAlgn val="ctr"/>
        <c:lblOffset val="100"/>
        <c:tickLblSkip val="3"/>
        <c:noMultiLvlLbl val="0"/>
      </c:catAx>
      <c:valAx>
        <c:axId val="1732021008"/>
        <c:scaling>
          <c:orientation val="minMax"/>
        </c:scaling>
        <c:delete val="0"/>
        <c:axPos val="l"/>
        <c:majorGridlines>
          <c:spPr>
            <a:ln w="9525" cap="flat" cmpd="sng" algn="ctr">
              <a:solidFill>
                <a:srgbClr val="ECEBE7"/>
              </a:solidFill>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28826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v>dadj_red</c:v>
          </c:tx>
          <c:spPr>
            <a:solidFill>
              <a:srgbClr val="D03B3B"/>
            </a:solidFill>
            <a:ln>
              <a:noFill/>
            </a:ln>
            <a:effectLst/>
            <a:extLst>
              <a:ext uri="{91240B29-F687-4F45-9708-019B960494DF}">
                <a14:hiddenLine xmlns:a14="http://schemas.microsoft.com/office/drawing/2010/main">
                  <a:noFill/>
                </a14:hiddenLine>
              </a:ext>
            </a:extLst>
          </c:spPr>
          <c:invertIfNegative val="0"/>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_pivot!$S$60:$S$83</c:f>
              <c:numCache>
                <c:formatCode>General</c:formatCode>
                <c:ptCount val="24"/>
                <c:pt idx="0">
                  <c:v>7.0250000008847568E-2</c:v>
                </c:pt>
                <c:pt idx="1">
                  <c:v>1.606680000012042</c:v>
                </c:pt>
                <c:pt idx="2">
                  <c:v>8.4256000000005589</c:v>
                </c:pt>
                <c:pt idx="3">
                  <c:v>-8.8500000000000139</c:v>
                </c:pt>
                <c:pt idx="4">
                  <c:v>5.9181800000031943</c:v>
                </c:pt>
                <c:pt idx="5">
                  <c:v>0</c:v>
                </c:pt>
                <c:pt idx="6">
                  <c:v>3.8149200000022536</c:v>
                </c:pt>
                <c:pt idx="7">
                  <c:v>0</c:v>
                </c:pt>
                <c:pt idx="8">
                  <c:v>2.9353800000036134</c:v>
                </c:pt>
                <c:pt idx="9">
                  <c:v>2.862310000005178</c:v>
                </c:pt>
                <c:pt idx="10">
                  <c:v>0</c:v>
                </c:pt>
                <c:pt idx="11">
                  <c:v>4.3646900000129829</c:v>
                </c:pt>
                <c:pt idx="12">
                  <c:v>-0.74659999998798598</c:v>
                </c:pt>
                <c:pt idx="13">
                  <c:v>-11.343539999989327</c:v>
                </c:pt>
                <c:pt idx="14">
                  <c:v>-0.36694999999972061</c:v>
                </c:pt>
                <c:pt idx="15">
                  <c:v>0</c:v>
                </c:pt>
                <c:pt idx="16">
                  <c:v>0</c:v>
                </c:pt>
                <c:pt idx="17">
                  <c:v>3.4446100000002189</c:v>
                </c:pt>
                <c:pt idx="18">
                  <c:v>2.8319300000005749</c:v>
                </c:pt>
                <c:pt idx="19">
                  <c:v>0</c:v>
                </c:pt>
                <c:pt idx="20">
                  <c:v>0</c:v>
                </c:pt>
                <c:pt idx="21">
                  <c:v>0</c:v>
                </c:pt>
                <c:pt idx="22">
                  <c:v>0</c:v>
                </c:pt>
                <c:pt idx="23">
                  <c:v>10.275959999999962</c:v>
                </c:pt>
              </c:numCache>
            </c:numRef>
          </c:val>
          <c:extLst>
            <c:ext xmlns:c16="http://schemas.microsoft.com/office/drawing/2014/chart" uri="{C3380CC4-5D6E-409C-BE32-E72D297353CC}">
              <c16:uniqueId val="{00000001-8B8F-40E5-9702-B481ACB5142F}"/>
            </c:ext>
          </c:extLst>
        </c:ser>
        <c:ser>
          <c:idx val="1"/>
          <c:order val="1"/>
          <c:tx>
            <c:v>dadj_gray</c:v>
          </c:tx>
          <c:spPr>
            <a:solidFill>
              <a:srgbClr val="B9B7B0"/>
            </a:solidFill>
            <a:ln>
              <a:noFill/>
            </a:ln>
            <a:effectLst/>
            <a:extLst>
              <a:ext uri="{91240B29-F687-4F45-9708-019B960494DF}">
                <a14:hiddenLine xmlns:a14="http://schemas.microsoft.com/office/drawing/2010/main">
                  <a:noFill/>
                </a14:hiddenLine>
              </a:ext>
            </a:extLst>
          </c:spPr>
          <c:invertIfNegative val="0"/>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_pivot!$T$60:$T$83</c:f>
              <c:numCache>
                <c:formatCode>General</c:formatCode>
                <c:ptCount val="24"/>
                <c:pt idx="0">
                  <c:v>0</c:v>
                </c:pt>
                <c:pt idx="1">
                  <c:v>0</c:v>
                </c:pt>
                <c:pt idx="2">
                  <c:v>0</c:v>
                </c:pt>
                <c:pt idx="3">
                  <c:v>0</c:v>
                </c:pt>
                <c:pt idx="4">
                  <c:v>0</c:v>
                </c:pt>
                <c:pt idx="5">
                  <c:v>0.54199000000278463</c:v>
                </c:pt>
                <c:pt idx="6">
                  <c:v>0</c:v>
                </c:pt>
                <c:pt idx="7">
                  <c:v>9.9990000004181637E-2</c:v>
                </c:pt>
                <c:pt idx="8">
                  <c:v>0</c:v>
                </c:pt>
                <c:pt idx="9">
                  <c:v>0</c:v>
                </c:pt>
                <c:pt idx="10">
                  <c:v>-0.16289999999641441</c:v>
                </c:pt>
                <c:pt idx="11">
                  <c:v>0</c:v>
                </c:pt>
                <c:pt idx="12">
                  <c:v>0</c:v>
                </c:pt>
                <c:pt idx="13">
                  <c:v>0</c:v>
                </c:pt>
                <c:pt idx="14">
                  <c:v>0</c:v>
                </c:pt>
                <c:pt idx="15">
                  <c:v>-0.87</c:v>
                </c:pt>
                <c:pt idx="16">
                  <c:v>1.7139900000010384</c:v>
                </c:pt>
                <c:pt idx="17">
                  <c:v>0</c:v>
                </c:pt>
                <c:pt idx="18">
                  <c:v>0</c:v>
                </c:pt>
                <c:pt idx="19">
                  <c:v>-1.1641532182693482E-13</c:v>
                </c:pt>
                <c:pt idx="20">
                  <c:v>0</c:v>
                </c:pt>
                <c:pt idx="21">
                  <c:v>-1.4551915228366852E-13</c:v>
                </c:pt>
                <c:pt idx="22">
                  <c:v>-1.1641532182693482E-13</c:v>
                </c:pt>
                <c:pt idx="23">
                  <c:v>0</c:v>
                </c:pt>
              </c:numCache>
            </c:numRef>
          </c:val>
          <c:extLst>
            <c:ext xmlns:c16="http://schemas.microsoft.com/office/drawing/2014/chart" uri="{C3380CC4-5D6E-409C-BE32-E72D297353CC}">
              <c16:uniqueId val="{00000002-8B8F-40E5-9702-B481ACB5142F}"/>
            </c:ext>
          </c:extLst>
        </c:ser>
        <c:dLbls>
          <c:showLegendKey val="0"/>
          <c:showVal val="0"/>
          <c:showCatName val="0"/>
          <c:showSerName val="0"/>
          <c:showPercent val="0"/>
          <c:showBubbleSize val="0"/>
        </c:dLbls>
        <c:gapWidth val="40"/>
        <c:overlap val="100"/>
        <c:axId val="1288309808"/>
        <c:axId val="1732082928"/>
      </c:barChart>
      <c:catAx>
        <c:axId val="1288309808"/>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082928"/>
        <c:crosses val="autoZero"/>
        <c:auto val="1"/>
        <c:lblAlgn val="ctr"/>
        <c:lblOffset val="100"/>
        <c:tickLblSkip val="3"/>
        <c:noMultiLvlLbl val="0"/>
      </c:catAx>
      <c:valAx>
        <c:axId val="1732082928"/>
        <c:scaling>
          <c:orientation val="minMax"/>
        </c:scaling>
        <c:delete val="0"/>
        <c:axPos val="l"/>
        <c:majorGridlines>
          <c:spPr>
            <a:ln w="9525" cap="flat" cmpd="sng" algn="ctr">
              <a:solidFill>
                <a:srgbClr val="ECEBE7"/>
              </a:solidFill>
              <a:round/>
            </a:ln>
            <a:effectLst/>
          </c:spPr>
        </c:majorGridlines>
        <c:numFmt formatCode="#,##0.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288309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v>acc</c:v>
          </c:tx>
          <c:spPr>
            <a:solidFill>
              <a:srgbClr val="2A78D6"/>
            </a:solidFill>
            <a:ln>
              <a:noFill/>
            </a:ln>
            <a:effectLst/>
            <a:extLst>
              <a:ext uri="{91240B29-F687-4F45-9708-019B960494DF}">
                <a14:hiddenLine xmlns:a14="http://schemas.microsoft.com/office/drawing/2010/main">
                  <a:noFill/>
                </a14:hiddenLine>
              </a:ext>
            </a:extLst>
          </c:spPr>
          <c:invertIfNegative val="0"/>
          <c:dLbls>
            <c:numFmt formatCode="#,##0.0;\-#,##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_pivot!$AQ$4:$AQ$11</c:f>
              <c:strCache>
                <c:ptCount val="8"/>
                <c:pt idx="0">
                  <c:v>Máy tính</c:v>
                </c:pt>
                <c:pt idx="1">
                  <c:v>TV &amp; Video</c:v>
                </c:pt>
                <c:pt idx="2">
                  <c:v>Điện thoại</c:v>
                </c:pt>
                <c:pt idx="3">
                  <c:v>Máy ảnh</c:v>
                </c:pt>
                <c:pt idx="4">
                  <c:v>Gia dụng</c:v>
                </c:pt>
                <c:pt idx="5">
                  <c:v>Nhạc, phim, sách nói</c:v>
                </c:pt>
                <c:pt idx="6">
                  <c:v>Âm thanh</c:v>
                </c:pt>
                <c:pt idx="7">
                  <c:v>Game &amp; Đồ chơi</c:v>
                </c:pt>
              </c:strCache>
            </c:strRef>
          </c:cat>
          <c:val>
            <c:numRef>
              <c:f>_pivot!$AS$4:$AS$11</c:f>
              <c:numCache>
                <c:formatCode>General</c:formatCode>
                <c:ptCount val="8"/>
                <c:pt idx="0">
                  <c:v>267.05589000000009</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A223-446E-8E9A-EE56D8AE7C9C}"/>
            </c:ext>
          </c:extLst>
        </c:ser>
        <c:ser>
          <c:idx val="1"/>
          <c:order val="1"/>
          <c:tx>
            <c:v>base</c:v>
          </c:tx>
          <c:spPr>
            <a:solidFill>
              <a:srgbClr val="B9B7B0"/>
            </a:solidFill>
            <a:ln>
              <a:noFill/>
            </a:ln>
            <a:effectLst/>
            <a:extLst>
              <a:ext uri="{91240B29-F687-4F45-9708-019B960494DF}">
                <a14:hiddenLine xmlns:a14="http://schemas.microsoft.com/office/drawing/2010/main">
                  <a:noFill/>
                </a14:hiddenLine>
              </a:ext>
            </a:extLst>
          </c:spPr>
          <c:invertIfNegative val="0"/>
          <c:dLbls>
            <c:numFmt formatCode="#,##0.0;\-#,##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_pivot!$AQ$4:$AQ$11</c:f>
              <c:strCache>
                <c:ptCount val="8"/>
                <c:pt idx="0">
                  <c:v>Máy tính</c:v>
                </c:pt>
                <c:pt idx="1">
                  <c:v>TV &amp; Video</c:v>
                </c:pt>
                <c:pt idx="2">
                  <c:v>Điện thoại</c:v>
                </c:pt>
                <c:pt idx="3">
                  <c:v>Máy ảnh</c:v>
                </c:pt>
                <c:pt idx="4">
                  <c:v>Gia dụng</c:v>
                </c:pt>
                <c:pt idx="5">
                  <c:v>Nhạc, phim, sách nói</c:v>
                </c:pt>
                <c:pt idx="6">
                  <c:v>Âm thanh</c:v>
                </c:pt>
                <c:pt idx="7">
                  <c:v>Game &amp; Đồ chơi</c:v>
                </c:pt>
              </c:strCache>
            </c:strRef>
          </c:cat>
          <c:val>
            <c:numRef>
              <c:f>_pivot!$AT$4:$AT$11</c:f>
              <c:numCache>
                <c:formatCode>General</c:formatCode>
                <c:ptCount val="8"/>
                <c:pt idx="0">
                  <c:v>0</c:v>
                </c:pt>
                <c:pt idx="1">
                  <c:v>70.696470000000005</c:v>
                </c:pt>
                <c:pt idx="2">
                  <c:v>69.800279999999987</c:v>
                </c:pt>
                <c:pt idx="3">
                  <c:v>66.79564000000002</c:v>
                </c:pt>
                <c:pt idx="4">
                  <c:v>57.168139999999994</c:v>
                </c:pt>
                <c:pt idx="5">
                  <c:v>54.176220000000043</c:v>
                </c:pt>
                <c:pt idx="6">
                  <c:v>22.354510000000001</c:v>
                </c:pt>
                <c:pt idx="7">
                  <c:v>7.7645900000000028</c:v>
                </c:pt>
              </c:numCache>
            </c:numRef>
          </c:val>
          <c:extLst>
            <c:ext xmlns:c16="http://schemas.microsoft.com/office/drawing/2014/chart" uri="{C3380CC4-5D6E-409C-BE32-E72D297353CC}">
              <c16:uniqueId val="{00000002-A223-446E-8E9A-EE56D8AE7C9C}"/>
            </c:ext>
          </c:extLst>
        </c:ser>
        <c:dLbls>
          <c:showLegendKey val="0"/>
          <c:showVal val="0"/>
          <c:showCatName val="0"/>
          <c:showSerName val="0"/>
          <c:showPercent val="0"/>
          <c:showBubbleSize val="0"/>
        </c:dLbls>
        <c:gapWidth val="60"/>
        <c:overlap val="100"/>
        <c:axId val="1288312128"/>
        <c:axId val="1732124688"/>
      </c:barChart>
      <c:catAx>
        <c:axId val="1288312128"/>
        <c:scaling>
          <c:orientation val="maxMin"/>
        </c:scaling>
        <c:delete val="0"/>
        <c:axPos val="l"/>
        <c:numFmt formatCode="General" sourceLinked="1"/>
        <c:majorTickMark val="none"/>
        <c:minorTickMark val="none"/>
        <c:tickLblPos val="nextTo"/>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24688"/>
        <c:crosses val="autoZero"/>
        <c:auto val="1"/>
        <c:lblAlgn val="ctr"/>
        <c:lblOffset val="100"/>
        <c:noMultiLvlLbl val="0"/>
      </c:catAx>
      <c:valAx>
        <c:axId val="1732124688"/>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88312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v>acc</c:v>
          </c:tx>
          <c:spPr>
            <a:solidFill>
              <a:srgbClr val="2A78D6"/>
            </a:solidFill>
            <a:ln>
              <a:noFill/>
            </a:ln>
            <a:effectLst/>
            <a:extLst>
              <a:ext uri="{91240B29-F687-4F45-9708-019B960494DF}">
                <a14:hiddenLine xmlns:a14="http://schemas.microsoft.com/office/drawing/2010/main">
                  <a:noFill/>
                </a14:hiddenLine>
              </a:ext>
            </a:extLst>
          </c:spPr>
          <c:invertIfNegative val="0"/>
          <c:dLbls>
            <c:numFmt formatCode="#,##0.0;\-#,##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_pivot!$AQ$21:$AQ$29</c:f>
              <c:strCache>
                <c:ptCount val="9"/>
                <c:pt idx="0">
                  <c:v>Mỹ</c:v>
                </c:pt>
                <c:pt idx="1">
                  <c:v>Online</c:v>
                </c:pt>
                <c:pt idx="2">
                  <c:v>Đức</c:v>
                </c:pt>
                <c:pt idx="3">
                  <c:v>Canada</c:v>
                </c:pt>
                <c:pt idx="4">
                  <c:v>Anh</c:v>
                </c:pt>
                <c:pt idx="5">
                  <c:v>Pháp</c:v>
                </c:pt>
                <c:pt idx="6">
                  <c:v>Úc</c:v>
                </c:pt>
                <c:pt idx="7">
                  <c:v>Ý</c:v>
                </c:pt>
                <c:pt idx="8">
                  <c:v>Hà Lan</c:v>
                </c:pt>
              </c:strCache>
            </c:strRef>
          </c:cat>
          <c:val>
            <c:numRef>
              <c:f>_pivot!$AS$21:$AS$29</c:f>
              <c:numCache>
                <c:formatCode>General</c:formatCode>
                <c:ptCount val="9"/>
                <c:pt idx="0">
                  <c:v>236.55931000000004</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D9DE-4BE2-A305-D0D66AD6D8C7}"/>
            </c:ext>
          </c:extLst>
        </c:ser>
        <c:ser>
          <c:idx val="1"/>
          <c:order val="1"/>
          <c:tx>
            <c:v>base</c:v>
          </c:tx>
          <c:spPr>
            <a:solidFill>
              <a:srgbClr val="B9B7B0"/>
            </a:solidFill>
            <a:ln>
              <a:noFill/>
            </a:ln>
            <a:effectLst/>
            <a:extLst>
              <a:ext uri="{91240B29-F687-4F45-9708-019B960494DF}">
                <a14:hiddenLine xmlns:a14="http://schemas.microsoft.com/office/drawing/2010/main">
                  <a:noFill/>
                </a14:hiddenLine>
              </a:ext>
            </a:extLst>
          </c:spPr>
          <c:invertIfNegative val="0"/>
          <c:dLbls>
            <c:numFmt formatCode="#,##0.0;\-#,##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_pivot!$AQ$21:$AQ$29</c:f>
              <c:strCache>
                <c:ptCount val="9"/>
                <c:pt idx="0">
                  <c:v>Mỹ</c:v>
                </c:pt>
                <c:pt idx="1">
                  <c:v>Online</c:v>
                </c:pt>
                <c:pt idx="2">
                  <c:v>Đức</c:v>
                </c:pt>
                <c:pt idx="3">
                  <c:v>Canada</c:v>
                </c:pt>
                <c:pt idx="4">
                  <c:v>Anh</c:v>
                </c:pt>
                <c:pt idx="5">
                  <c:v>Pháp</c:v>
                </c:pt>
                <c:pt idx="6">
                  <c:v>Úc</c:v>
                </c:pt>
                <c:pt idx="7">
                  <c:v>Ý</c:v>
                </c:pt>
                <c:pt idx="8">
                  <c:v>Hà Lan</c:v>
                </c:pt>
              </c:strCache>
            </c:strRef>
          </c:cat>
          <c:val>
            <c:numRef>
              <c:f>_pivot!$AT$21:$AT$29</c:f>
              <c:numCache>
                <c:formatCode>General</c:formatCode>
                <c:ptCount val="9"/>
                <c:pt idx="0">
                  <c:v>0</c:v>
                </c:pt>
                <c:pt idx="1">
                  <c:v>154.89296000000004</c:v>
                </c:pt>
                <c:pt idx="2">
                  <c:v>60.371690000000008</c:v>
                </c:pt>
                <c:pt idx="3">
                  <c:v>49.380949999999999</c:v>
                </c:pt>
                <c:pt idx="4">
                  <c:v>39.117010000000015</c:v>
                </c:pt>
                <c:pt idx="5">
                  <c:v>33.803290000000004</c:v>
                </c:pt>
                <c:pt idx="6">
                  <c:v>22.228099999999998</c:v>
                </c:pt>
                <c:pt idx="7">
                  <c:v>13.655370000000001</c:v>
                </c:pt>
                <c:pt idx="8">
                  <c:v>5.8030599999999994</c:v>
                </c:pt>
              </c:numCache>
            </c:numRef>
          </c:val>
          <c:extLst>
            <c:ext xmlns:c16="http://schemas.microsoft.com/office/drawing/2014/chart" uri="{C3380CC4-5D6E-409C-BE32-E72D297353CC}">
              <c16:uniqueId val="{00000002-D9DE-4BE2-A305-D0D66AD6D8C7}"/>
            </c:ext>
          </c:extLst>
        </c:ser>
        <c:dLbls>
          <c:showLegendKey val="0"/>
          <c:showVal val="0"/>
          <c:showCatName val="0"/>
          <c:showSerName val="0"/>
          <c:showPercent val="0"/>
          <c:showBubbleSize val="0"/>
        </c:dLbls>
        <c:gapWidth val="60"/>
        <c:overlap val="100"/>
        <c:axId val="1288271296"/>
        <c:axId val="1732123728"/>
      </c:barChart>
      <c:catAx>
        <c:axId val="1288271296"/>
        <c:scaling>
          <c:orientation val="maxMin"/>
        </c:scaling>
        <c:delete val="0"/>
        <c:axPos val="l"/>
        <c:numFmt formatCode="General" sourceLinked="1"/>
        <c:majorTickMark val="none"/>
        <c:minorTickMark val="none"/>
        <c:tickLblPos val="nextTo"/>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23728"/>
        <c:crosses val="autoZero"/>
        <c:auto val="1"/>
        <c:lblAlgn val="ctr"/>
        <c:lblOffset val="100"/>
        <c:noMultiLvlLbl val="0"/>
      </c:catAx>
      <c:valAx>
        <c:axId val="1732123728"/>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88271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v>dadj_red</c:v>
          </c:tx>
          <c:spPr>
            <a:solidFill>
              <a:srgbClr val="D03B3B"/>
            </a:solidFill>
            <a:ln>
              <a:noFill/>
            </a:ln>
            <a:effectLst/>
            <a:extLst>
              <a:ext uri="{91240B29-F687-4F45-9708-019B960494DF}">
                <a14:hiddenLine xmlns:a14="http://schemas.microsoft.com/office/drawing/2010/main">
                  <a:noFill/>
                </a14:hiddenLine>
              </a:ext>
            </a:extLst>
          </c:spPr>
          <c:invertIfNegative val="0"/>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_pivot!$S$60:$S$83</c:f>
              <c:numCache>
                <c:formatCode>General</c:formatCode>
                <c:ptCount val="24"/>
                <c:pt idx="0">
                  <c:v>7.0250000008847568E-2</c:v>
                </c:pt>
                <c:pt idx="1">
                  <c:v>1.606680000012042</c:v>
                </c:pt>
                <c:pt idx="2">
                  <c:v>8.4256000000005589</c:v>
                </c:pt>
                <c:pt idx="3">
                  <c:v>-8.8500000000000139</c:v>
                </c:pt>
                <c:pt idx="4">
                  <c:v>5.9181800000031943</c:v>
                </c:pt>
                <c:pt idx="5">
                  <c:v>0</c:v>
                </c:pt>
                <c:pt idx="6">
                  <c:v>3.8149200000022536</c:v>
                </c:pt>
                <c:pt idx="7">
                  <c:v>0</c:v>
                </c:pt>
                <c:pt idx="8">
                  <c:v>2.9353800000036134</c:v>
                </c:pt>
                <c:pt idx="9">
                  <c:v>2.862310000005178</c:v>
                </c:pt>
                <c:pt idx="10">
                  <c:v>0</c:v>
                </c:pt>
                <c:pt idx="11">
                  <c:v>4.3646900000129829</c:v>
                </c:pt>
                <c:pt idx="12">
                  <c:v>-0.74659999998798598</c:v>
                </c:pt>
                <c:pt idx="13">
                  <c:v>-11.343539999989327</c:v>
                </c:pt>
                <c:pt idx="14">
                  <c:v>-0.36694999999972061</c:v>
                </c:pt>
                <c:pt idx="15">
                  <c:v>0</c:v>
                </c:pt>
                <c:pt idx="16">
                  <c:v>0</c:v>
                </c:pt>
                <c:pt idx="17">
                  <c:v>3.4446100000002189</c:v>
                </c:pt>
                <c:pt idx="18">
                  <c:v>2.8319300000005749</c:v>
                </c:pt>
                <c:pt idx="19">
                  <c:v>0</c:v>
                </c:pt>
                <c:pt idx="20">
                  <c:v>0</c:v>
                </c:pt>
                <c:pt idx="21">
                  <c:v>0</c:v>
                </c:pt>
                <c:pt idx="22">
                  <c:v>0</c:v>
                </c:pt>
                <c:pt idx="23">
                  <c:v>10.275959999999962</c:v>
                </c:pt>
              </c:numCache>
            </c:numRef>
          </c:val>
          <c:extLst>
            <c:ext xmlns:c16="http://schemas.microsoft.com/office/drawing/2014/chart" uri="{C3380CC4-5D6E-409C-BE32-E72D297353CC}">
              <c16:uniqueId val="{00000001-2CD4-4E8F-BDE0-0B269F4B169C}"/>
            </c:ext>
          </c:extLst>
        </c:ser>
        <c:ser>
          <c:idx val="1"/>
          <c:order val="1"/>
          <c:tx>
            <c:v>dadj_gray</c:v>
          </c:tx>
          <c:spPr>
            <a:solidFill>
              <a:srgbClr val="B9B7B0"/>
            </a:solidFill>
            <a:ln>
              <a:noFill/>
            </a:ln>
            <a:effectLst/>
            <a:extLst>
              <a:ext uri="{91240B29-F687-4F45-9708-019B960494DF}">
                <a14:hiddenLine xmlns:a14="http://schemas.microsoft.com/office/drawing/2010/main">
                  <a:noFill/>
                </a14:hiddenLine>
              </a:ext>
            </a:extLst>
          </c:spPr>
          <c:invertIfNegative val="0"/>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_pivot!$T$60:$T$83</c:f>
              <c:numCache>
                <c:formatCode>General</c:formatCode>
                <c:ptCount val="24"/>
                <c:pt idx="0">
                  <c:v>0</c:v>
                </c:pt>
                <c:pt idx="1">
                  <c:v>0</c:v>
                </c:pt>
                <c:pt idx="2">
                  <c:v>0</c:v>
                </c:pt>
                <c:pt idx="3">
                  <c:v>0</c:v>
                </c:pt>
                <c:pt idx="4">
                  <c:v>0</c:v>
                </c:pt>
                <c:pt idx="5">
                  <c:v>0.54199000000278463</c:v>
                </c:pt>
                <c:pt idx="6">
                  <c:v>0</c:v>
                </c:pt>
                <c:pt idx="7">
                  <c:v>9.9990000004181637E-2</c:v>
                </c:pt>
                <c:pt idx="8">
                  <c:v>0</c:v>
                </c:pt>
                <c:pt idx="9">
                  <c:v>0</c:v>
                </c:pt>
                <c:pt idx="10">
                  <c:v>-0.16289999999641441</c:v>
                </c:pt>
                <c:pt idx="11">
                  <c:v>0</c:v>
                </c:pt>
                <c:pt idx="12">
                  <c:v>0</c:v>
                </c:pt>
                <c:pt idx="13">
                  <c:v>0</c:v>
                </c:pt>
                <c:pt idx="14">
                  <c:v>0</c:v>
                </c:pt>
                <c:pt idx="15">
                  <c:v>-0.87</c:v>
                </c:pt>
                <c:pt idx="16">
                  <c:v>1.7139900000010384</c:v>
                </c:pt>
                <c:pt idx="17">
                  <c:v>0</c:v>
                </c:pt>
                <c:pt idx="18">
                  <c:v>0</c:v>
                </c:pt>
                <c:pt idx="19">
                  <c:v>-1.1641532182693482E-13</c:v>
                </c:pt>
                <c:pt idx="20">
                  <c:v>0</c:v>
                </c:pt>
                <c:pt idx="21">
                  <c:v>-1.4551915228366852E-13</c:v>
                </c:pt>
                <c:pt idx="22">
                  <c:v>-1.1641532182693482E-13</c:v>
                </c:pt>
                <c:pt idx="23">
                  <c:v>0</c:v>
                </c:pt>
              </c:numCache>
            </c:numRef>
          </c:val>
          <c:extLst>
            <c:ext xmlns:c16="http://schemas.microsoft.com/office/drawing/2014/chart" uri="{C3380CC4-5D6E-409C-BE32-E72D297353CC}">
              <c16:uniqueId val="{00000002-2CD4-4E8F-BDE0-0B269F4B169C}"/>
            </c:ext>
          </c:extLst>
        </c:ser>
        <c:dLbls>
          <c:showLegendKey val="0"/>
          <c:showVal val="0"/>
          <c:showCatName val="0"/>
          <c:showSerName val="0"/>
          <c:showPercent val="0"/>
          <c:showBubbleSize val="0"/>
        </c:dLbls>
        <c:gapWidth val="40"/>
        <c:overlap val="100"/>
        <c:axId val="1833530560"/>
        <c:axId val="1732112208"/>
      </c:barChart>
      <c:catAx>
        <c:axId val="1833530560"/>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12208"/>
        <c:crosses val="autoZero"/>
        <c:auto val="1"/>
        <c:lblAlgn val="ctr"/>
        <c:lblOffset val="100"/>
        <c:tickLblSkip val="3"/>
        <c:noMultiLvlLbl val="0"/>
      </c:catAx>
      <c:valAx>
        <c:axId val="1732112208"/>
        <c:scaling>
          <c:orientation val="minMax"/>
        </c:scaling>
        <c:delete val="0"/>
        <c:axPos val="l"/>
        <c:majorGridlines>
          <c:spPr>
            <a:ln w="9525" cap="flat" cmpd="sng" algn="ctr">
              <a:solidFill>
                <a:srgbClr val="ECEBE7"/>
              </a:solidFill>
              <a:round/>
            </a:ln>
            <a:effectLst/>
          </c:spPr>
        </c:majorGridlines>
        <c:numFmt formatCode="#,##0.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83353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Δ gốc</c:v>
          </c:tx>
          <c:spPr>
            <a:ln w="25400" cap="rnd">
              <a:solidFill>
                <a:srgbClr val="B9B7B0"/>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_pivot!$Y$60:$Y$83</c:f>
              <c:numCache>
                <c:formatCode>General</c:formatCode>
                <c:ptCount val="24"/>
                <c:pt idx="0">
                  <c:v>49.126190000000413</c:v>
                </c:pt>
                <c:pt idx="1">
                  <c:v>-53.038059999999767</c:v>
                </c:pt>
                <c:pt idx="2">
                  <c:v>86.960590000000025</c:v>
                </c:pt>
                <c:pt idx="3">
                  <c:v>-19.105630000000005</c:v>
                </c:pt>
                <c:pt idx="4">
                  <c:v>-32.983369999999759</c:v>
                </c:pt>
                <c:pt idx="5">
                  <c:v>33.05877999999997</c:v>
                </c:pt>
                <c:pt idx="6">
                  <c:v>10.761389999999984</c:v>
                </c:pt>
                <c:pt idx="7">
                  <c:v>-64.20416999999955</c:v>
                </c:pt>
                <c:pt idx="8">
                  <c:v>32.752910000000092</c:v>
                </c:pt>
                <c:pt idx="9">
                  <c:v>-7.7051399999999557</c:v>
                </c:pt>
                <c:pt idx="10">
                  <c:v>-19.864999999999998</c:v>
                </c:pt>
                <c:pt idx="11">
                  <c:v>-22.590289999999687</c:v>
                </c:pt>
                <c:pt idx="12">
                  <c:v>41.12082000000018</c:v>
                </c:pt>
                <c:pt idx="13">
                  <c:v>-17.488289999999864</c:v>
                </c:pt>
                <c:pt idx="14">
                  <c:v>67.11799000000002</c:v>
                </c:pt>
                <c:pt idx="15">
                  <c:v>-46.927780000000013</c:v>
                </c:pt>
                <c:pt idx="16">
                  <c:v>27.19735999999984</c:v>
                </c:pt>
                <c:pt idx="17">
                  <c:v>-3.8694999999999711</c:v>
                </c:pt>
                <c:pt idx="18">
                  <c:v>18.513259999999981</c:v>
                </c:pt>
                <c:pt idx="19">
                  <c:v>-0.21794999999998982</c:v>
                </c:pt>
                <c:pt idx="20">
                  <c:v>-4.5644999999999856</c:v>
                </c:pt>
                <c:pt idx="21">
                  <c:v>7.1910300000000209</c:v>
                </c:pt>
                <c:pt idx="22">
                  <c:v>-5.5774699999999937</c:v>
                </c:pt>
                <c:pt idx="23">
                  <c:v>-22.812190000000033</c:v>
                </c:pt>
              </c:numCache>
            </c:numRef>
          </c:val>
          <c:smooth val="0"/>
          <c:extLst>
            <c:ext xmlns:c16="http://schemas.microsoft.com/office/drawing/2014/chart" uri="{C3380CC4-5D6E-409C-BE32-E72D297353CC}">
              <c16:uniqueId val="{00000001-F18D-4DFF-BF92-C649A9B2D62B}"/>
            </c:ext>
          </c:extLst>
        </c:ser>
        <c:ser>
          <c:idx val="1"/>
          <c:order val="1"/>
          <c:tx>
            <c:v>Sau quy đổi</c:v>
          </c:tx>
          <c:spPr>
            <a:ln w="25400" cap="rnd">
              <a:solidFill>
                <a:srgbClr val="2A78D6"/>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_pivot!$Z$60:$Z$83</c:f>
              <c:numCache>
                <c:formatCode>General</c:formatCode>
                <c:ptCount val="24"/>
                <c:pt idx="0">
                  <c:v>-0.8998199999995995</c:v>
                </c:pt>
                <c:pt idx="1">
                  <c:v>2.9103830456733704E-13</c:v>
                </c:pt>
                <c:pt idx="2">
                  <c:v>2.9103830456733704E-14</c:v>
                </c:pt>
                <c:pt idx="3">
                  <c:v>0</c:v>
                </c:pt>
                <c:pt idx="4">
                  <c:v>1.1641532182693482E-13</c:v>
                </c:pt>
                <c:pt idx="5">
                  <c:v>1.1641532182693482E-13</c:v>
                </c:pt>
                <c:pt idx="6">
                  <c:v>1.1641532182693482E-13</c:v>
                </c:pt>
                <c:pt idx="7">
                  <c:v>8.7311491370201113E-14</c:v>
                </c:pt>
                <c:pt idx="8">
                  <c:v>1.1641532182693482E-13</c:v>
                </c:pt>
                <c:pt idx="9">
                  <c:v>0.16289999999996507</c:v>
                </c:pt>
                <c:pt idx="10">
                  <c:v>-0.16289999999996507</c:v>
                </c:pt>
                <c:pt idx="11">
                  <c:v>-1.1641532182693482E-13</c:v>
                </c:pt>
                <c:pt idx="12">
                  <c:v>2.5000000000116415E-2</c:v>
                </c:pt>
                <c:pt idx="13">
                  <c:v>-2.4999999999883584E-2</c:v>
                </c:pt>
                <c:pt idx="14">
                  <c:v>0.86999999999985445</c:v>
                </c:pt>
                <c:pt idx="15">
                  <c:v>-0.86999999999999633</c:v>
                </c:pt>
                <c:pt idx="16">
                  <c:v>1.7039999999998254</c:v>
                </c:pt>
                <c:pt idx="17">
                  <c:v>-1.7039999999999709</c:v>
                </c:pt>
                <c:pt idx="18">
                  <c:v>-2.9103830456733704E-14</c:v>
                </c:pt>
                <c:pt idx="19">
                  <c:v>0</c:v>
                </c:pt>
                <c:pt idx="20">
                  <c:v>1.4551915228366852E-14</c:v>
                </c:pt>
                <c:pt idx="21">
                  <c:v>-7.2759576141834261E-15</c:v>
                </c:pt>
                <c:pt idx="22">
                  <c:v>0</c:v>
                </c:pt>
                <c:pt idx="23">
                  <c:v>-1.4551915228366852E-14</c:v>
                </c:pt>
              </c:numCache>
            </c:numRef>
          </c:val>
          <c:smooth val="0"/>
          <c:extLst>
            <c:ext xmlns:c16="http://schemas.microsoft.com/office/drawing/2014/chart" uri="{C3380CC4-5D6E-409C-BE32-E72D297353CC}">
              <c16:uniqueId val="{00000002-F18D-4DFF-BF92-C649A9B2D62B}"/>
            </c:ext>
          </c:extLst>
        </c:ser>
        <c:dLbls>
          <c:showLegendKey val="0"/>
          <c:showVal val="0"/>
          <c:showCatName val="0"/>
          <c:showSerName val="0"/>
          <c:showPercent val="0"/>
          <c:showBubbleSize val="0"/>
        </c:dLbls>
        <c:smooth val="0"/>
        <c:axId val="1833537984"/>
        <c:axId val="1732121328"/>
      </c:lineChart>
      <c:catAx>
        <c:axId val="1833537984"/>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21328"/>
        <c:crosses val="autoZero"/>
        <c:auto val="1"/>
        <c:lblAlgn val="ctr"/>
        <c:lblOffset val="100"/>
        <c:tickLblSkip val="3"/>
        <c:noMultiLvlLbl val="0"/>
      </c:catAx>
      <c:valAx>
        <c:axId val="1732121328"/>
        <c:scaling>
          <c:orientation val="minMax"/>
        </c:scaling>
        <c:delete val="0"/>
        <c:axPos val="l"/>
        <c:majorGridlines>
          <c:spPr>
            <a:ln w="9525" cap="flat" cmpd="sng" algn="ctr">
              <a:solidFill>
                <a:srgbClr val="ECEBE7"/>
              </a:solidFill>
              <a:round/>
            </a:ln>
            <a:effectLst/>
          </c:spPr>
        </c:majorGridlines>
        <c:numFmt formatCode="#,##0.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8335379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rr</c:v>
          </c:tx>
          <c:spPr>
            <a:ln w="25400" cap="rnd">
              <a:solidFill>
                <a:srgbClr val="B9B7B0"/>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_pivot!$U$60:$U$83</c:f>
              <c:numCache>
                <c:formatCode>General</c:formatCode>
                <c:ptCount val="24"/>
                <c:pt idx="0">
                  <c:v>2.4591816886739117</c:v>
                </c:pt>
                <c:pt idx="1">
                  <c:v>1.6056789459766678</c:v>
                </c:pt>
                <c:pt idx="2">
                  <c:v>9.1391913659866866</c:v>
                </c:pt>
                <c:pt idx="3">
                  <c:v>3.6421780094240215</c:v>
                </c:pt>
                <c:pt idx="4">
                  <c:v>1.445134896583842</c:v>
                </c:pt>
                <c:pt idx="5">
                  <c:v>2.7606555052542734</c:v>
                </c:pt>
                <c:pt idx="6">
                  <c:v>2.9464519970408323</c:v>
                </c:pt>
                <c:pt idx="7">
                  <c:v>2.5538831408455387</c:v>
                </c:pt>
                <c:pt idx="8">
                  <c:v>2.1480204737345043</c:v>
                </c:pt>
                <c:pt idx="9">
                  <c:v>2.3591928247443787</c:v>
                </c:pt>
                <c:pt idx="10">
                  <c:v>2.3650824059562168</c:v>
                </c:pt>
                <c:pt idx="11">
                  <c:v>2.2887198568695113</c:v>
                </c:pt>
                <c:pt idx="12">
                  <c:v>2.7431527123204424</c:v>
                </c:pt>
                <c:pt idx="13">
                  <c:v>1.1285619073470714</c:v>
                </c:pt>
                <c:pt idx="14">
                  <c:v>6.0038717860465862</c:v>
                </c:pt>
                <c:pt idx="15">
                  <c:v>4.5958096513915994</c:v>
                </c:pt>
                <c:pt idx="16">
                  <c:v>2.39144442408546</c:v>
                </c:pt>
                <c:pt idx="17">
                  <c:v>2.1746544888319668</c:v>
                </c:pt>
                <c:pt idx="18">
                  <c:v>3.4503807159840165</c:v>
                </c:pt>
                <c:pt idx="19">
                  <c:v>2.2102156670686228</c:v>
                </c:pt>
                <c:pt idx="20">
                  <c:v>0.43175182188104749</c:v>
                </c:pt>
                <c:pt idx="21">
                  <c:v>1.8471442326123861</c:v>
                </c:pt>
                <c:pt idx="22">
                  <c:v>1.4165174613314098</c:v>
                </c:pt>
                <c:pt idx="23">
                  <c:v>1.5729920965780879</c:v>
                </c:pt>
              </c:numCache>
            </c:numRef>
          </c:val>
          <c:smooth val="0"/>
          <c:extLst>
            <c:ext xmlns:c16="http://schemas.microsoft.com/office/drawing/2014/chart" uri="{C3380CC4-5D6E-409C-BE32-E72D297353CC}">
              <c16:uniqueId val="{00000001-D71F-42E9-8B94-53800C49D287}"/>
            </c:ext>
          </c:extLst>
        </c:ser>
        <c:ser>
          <c:idx val="1"/>
          <c:order val="1"/>
          <c:tx>
            <c:v>Tháng chọn</c:v>
          </c:tx>
          <c:spPr>
            <a:ln w="28575" cap="rnd">
              <a:noFill/>
              <a:round/>
            </a:ln>
            <a:effectLst/>
            <a:extLst>
              <a:ext uri="{91240B29-F687-4F45-9708-019B960494DF}">
                <a14:hiddenLine xmlns:a14="http://schemas.microsoft.com/office/drawing/2010/main" w="28575" cap="rnd">
                  <a:solidFill>
                    <a:srgbClr val="E97132"/>
                  </a:solidFill>
                  <a:round/>
                </a14:hiddenLine>
              </a:ext>
            </a:extLst>
          </c:spPr>
          <c:marker>
            <c:symbol val="circle"/>
            <c:size val="7"/>
            <c:spPr>
              <a:solidFill>
                <a:srgbClr val="2A78D6"/>
              </a:solidFill>
              <a:ln w="9525">
                <a:solidFill>
                  <a:srgbClr val="2A78D6"/>
                </a:solidFill>
                <a:prstDash val="solid"/>
              </a:ln>
              <a:effectLst/>
            </c:spPr>
          </c:marker>
          <c:dLbls>
            <c:numFmt formatCode="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_pivot!$V$60:$V$83</c:f>
              <c:numCache>
                <c:formatCode>General</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1.5729920965780879</c:v>
                </c:pt>
              </c:numCache>
            </c:numRef>
          </c:val>
          <c:smooth val="0"/>
          <c:extLst>
            <c:ext xmlns:c16="http://schemas.microsoft.com/office/drawing/2014/chart" uri="{C3380CC4-5D6E-409C-BE32-E72D297353CC}">
              <c16:uniqueId val="{00000002-D71F-42E9-8B94-53800C49D287}"/>
            </c:ext>
          </c:extLst>
        </c:ser>
        <c:dLbls>
          <c:showLegendKey val="0"/>
          <c:showVal val="0"/>
          <c:showCatName val="0"/>
          <c:showSerName val="0"/>
          <c:showPercent val="0"/>
          <c:showBubbleSize val="0"/>
        </c:dLbls>
        <c:smooth val="0"/>
        <c:axId val="1833532416"/>
        <c:axId val="1732110288"/>
      </c:lineChart>
      <c:catAx>
        <c:axId val="1833532416"/>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10288"/>
        <c:crosses val="autoZero"/>
        <c:auto val="1"/>
        <c:lblAlgn val="ctr"/>
        <c:lblOffset val="100"/>
        <c:tickLblSkip val="3"/>
        <c:noMultiLvlLbl val="0"/>
      </c:catAx>
      <c:valAx>
        <c:axId val="1732110288"/>
        <c:scaling>
          <c:orientation val="minMax"/>
        </c:scaling>
        <c:delete val="0"/>
        <c:axPos val="l"/>
        <c:majorGridlines>
          <c:spPr>
            <a:ln w="9525" cap="flat" cmpd="sng" algn="ctr">
              <a:solidFill>
                <a:srgbClr val="ECEBE7"/>
              </a:solidFill>
              <a:round/>
            </a:ln>
            <a:effectLst/>
          </c:spPr>
        </c:majorGridlines>
        <c:numFmt formatCode="0.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833532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v>acc</c:v>
          </c:tx>
          <c:spPr>
            <a:solidFill>
              <a:srgbClr val="2A78D6"/>
            </a:solidFill>
            <a:ln>
              <a:noFill/>
            </a:ln>
            <a:effectLst/>
            <a:extLst>
              <a:ext uri="{91240B29-F687-4F45-9708-019B960494DF}">
                <a14:hiddenLine xmlns:a14="http://schemas.microsoft.com/office/drawing/2010/main">
                  <a:noFill/>
                </a14:hiddenLine>
              </a:ext>
            </a:extLst>
          </c:spPr>
          <c:invertIfNegative val="0"/>
          <c:dLbls>
            <c:numFmt formatCode="#,##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_pivot!$AQ$41:$AQ$44</c:f>
              <c:strCache>
                <c:ptCount val="4"/>
                <c:pt idx="0">
                  <c:v>Giao nhầm hàng</c:v>
                </c:pt>
                <c:pt idx="1">
                  <c:v>Lỗi sản phẩm</c:v>
                </c:pt>
                <c:pt idx="2">
                  <c:v>Đổi ý</c:v>
                </c:pt>
                <c:pt idx="3">
                  <c:v>Giao trễ</c:v>
                </c:pt>
              </c:strCache>
            </c:strRef>
          </c:cat>
          <c:val>
            <c:numRef>
              <c:f>_pivot!$AS$41:$AS$44</c:f>
              <c:numCache>
                <c:formatCode>General</c:formatCode>
                <c:ptCount val="4"/>
                <c:pt idx="0">
                  <c:v>3711.2</c:v>
                </c:pt>
                <c:pt idx="1">
                  <c:v>0</c:v>
                </c:pt>
                <c:pt idx="2">
                  <c:v>0</c:v>
                </c:pt>
                <c:pt idx="3">
                  <c:v>0</c:v>
                </c:pt>
              </c:numCache>
            </c:numRef>
          </c:val>
          <c:extLst>
            <c:ext xmlns:c16="http://schemas.microsoft.com/office/drawing/2014/chart" uri="{C3380CC4-5D6E-409C-BE32-E72D297353CC}">
              <c16:uniqueId val="{00000001-7D44-4A5D-9680-0D71B07E42F1}"/>
            </c:ext>
          </c:extLst>
        </c:ser>
        <c:ser>
          <c:idx val="1"/>
          <c:order val="1"/>
          <c:tx>
            <c:v>base</c:v>
          </c:tx>
          <c:spPr>
            <a:solidFill>
              <a:srgbClr val="B9B7B0"/>
            </a:solidFill>
            <a:ln>
              <a:noFill/>
            </a:ln>
            <a:effectLst/>
            <a:extLst>
              <a:ext uri="{91240B29-F687-4F45-9708-019B960494DF}">
                <a14:hiddenLine xmlns:a14="http://schemas.microsoft.com/office/drawing/2010/main">
                  <a:noFill/>
                </a14:hiddenLine>
              </a:ext>
            </a:extLst>
          </c:spPr>
          <c:invertIfNegative val="0"/>
          <c:dLbls>
            <c:numFmt formatCode="#,##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_pivot!$AQ$41:$AQ$44</c:f>
              <c:strCache>
                <c:ptCount val="4"/>
                <c:pt idx="0">
                  <c:v>Giao nhầm hàng</c:v>
                </c:pt>
                <c:pt idx="1">
                  <c:v>Lỗi sản phẩm</c:v>
                </c:pt>
                <c:pt idx="2">
                  <c:v>Đổi ý</c:v>
                </c:pt>
                <c:pt idx="3">
                  <c:v>Giao trễ</c:v>
                </c:pt>
              </c:strCache>
            </c:strRef>
          </c:cat>
          <c:val>
            <c:numRef>
              <c:f>_pivot!$AT$41:$AT$44</c:f>
              <c:numCache>
                <c:formatCode>General</c:formatCode>
                <c:ptCount val="4"/>
                <c:pt idx="0">
                  <c:v>0</c:v>
                </c:pt>
                <c:pt idx="1">
                  <c:v>2848.18</c:v>
                </c:pt>
                <c:pt idx="2">
                  <c:v>1833.34</c:v>
                </c:pt>
                <c:pt idx="3">
                  <c:v>1293.95</c:v>
                </c:pt>
              </c:numCache>
            </c:numRef>
          </c:val>
          <c:extLst>
            <c:ext xmlns:c16="http://schemas.microsoft.com/office/drawing/2014/chart" uri="{C3380CC4-5D6E-409C-BE32-E72D297353CC}">
              <c16:uniqueId val="{00000002-7D44-4A5D-9680-0D71B07E42F1}"/>
            </c:ext>
          </c:extLst>
        </c:ser>
        <c:dLbls>
          <c:showLegendKey val="0"/>
          <c:showVal val="0"/>
          <c:showCatName val="0"/>
          <c:showSerName val="0"/>
          <c:showPercent val="0"/>
          <c:showBubbleSize val="0"/>
        </c:dLbls>
        <c:gapWidth val="60"/>
        <c:overlap val="100"/>
        <c:axId val="1833537520"/>
        <c:axId val="1732112688"/>
      </c:barChart>
      <c:catAx>
        <c:axId val="1833537520"/>
        <c:scaling>
          <c:orientation val="maxMin"/>
        </c:scaling>
        <c:delete val="0"/>
        <c:axPos val="l"/>
        <c:numFmt formatCode="General" sourceLinked="1"/>
        <c:majorTickMark val="none"/>
        <c:minorTickMark val="none"/>
        <c:tickLblPos val="nextTo"/>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12688"/>
        <c:crosses val="autoZero"/>
        <c:auto val="1"/>
        <c:lblAlgn val="ctr"/>
        <c:lblOffset val="100"/>
        <c:noMultiLvlLbl val="0"/>
      </c:catAx>
      <c:valAx>
        <c:axId val="1732112688"/>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83353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v>acc</c:v>
          </c:tx>
          <c:spPr>
            <a:solidFill>
              <a:srgbClr val="2A78D6"/>
            </a:solidFill>
            <a:ln>
              <a:noFill/>
            </a:ln>
            <a:effectLst/>
            <a:extLst>
              <a:ext uri="{91240B29-F687-4F45-9708-019B960494DF}">
                <a14:hiddenLine xmlns:a14="http://schemas.microsoft.com/office/drawing/2010/main">
                  <a:noFill/>
                </a14:hiddenLine>
              </a:ext>
            </a:extLst>
          </c:spPr>
          <c:invertIfNegative val="0"/>
          <c:dLbls>
            <c:numFmt formatCode="#,##0.0;\-#,##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_pivot!$AU$56:$AU$63</c:f>
              <c:strCache>
                <c:ptCount val="8"/>
                <c:pt idx="0">
                  <c:v>Âm thanh · NS 22.4k</c:v>
                </c:pt>
                <c:pt idx="1">
                  <c:v>Nhạc, phim, sách nói · NS 54.2k</c:v>
                </c:pt>
                <c:pt idx="2">
                  <c:v>Game &amp; Đồ chơi · NS 7.8k</c:v>
                </c:pt>
                <c:pt idx="3">
                  <c:v>Máy ảnh · NS 66.8k</c:v>
                </c:pt>
                <c:pt idx="4">
                  <c:v>Máy tính · NS 267.1k</c:v>
                </c:pt>
                <c:pt idx="5">
                  <c:v>Điện thoại · NS 69.8k</c:v>
                </c:pt>
                <c:pt idx="6">
                  <c:v>Gia dụng · NS 57.2k</c:v>
                </c:pt>
                <c:pt idx="7">
                  <c:v>TV &amp; Video · NS 70.7k</c:v>
                </c:pt>
              </c:strCache>
            </c:strRef>
          </c:cat>
          <c:val>
            <c:numRef>
              <c:f>_pivot!$AS$56:$AS$63</c:f>
              <c:numCache>
                <c:formatCode>General</c:formatCode>
                <c:ptCount val="8"/>
                <c:pt idx="0">
                  <c:v>4.005232053845063</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FD12-4346-8CDC-68EC465316AB}"/>
            </c:ext>
          </c:extLst>
        </c:ser>
        <c:ser>
          <c:idx val="1"/>
          <c:order val="1"/>
          <c:tx>
            <c:v>base</c:v>
          </c:tx>
          <c:spPr>
            <a:solidFill>
              <a:srgbClr val="B9B7B0"/>
            </a:solidFill>
            <a:ln>
              <a:noFill/>
            </a:ln>
            <a:effectLst/>
            <a:extLst>
              <a:ext uri="{91240B29-F687-4F45-9708-019B960494DF}">
                <a14:hiddenLine xmlns:a14="http://schemas.microsoft.com/office/drawing/2010/main">
                  <a:noFill/>
                </a14:hiddenLine>
              </a:ext>
            </a:extLst>
          </c:spPr>
          <c:invertIfNegative val="0"/>
          <c:dLbls>
            <c:numFmt formatCode="#,##0.0;\-#,##0.0;;" sourceLinked="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_pivot!$AU$56:$AU$63</c:f>
              <c:strCache>
                <c:ptCount val="8"/>
                <c:pt idx="0">
                  <c:v>Âm thanh · NS 22.4k</c:v>
                </c:pt>
                <c:pt idx="1">
                  <c:v>Nhạc, phim, sách nói · NS 54.2k</c:v>
                </c:pt>
                <c:pt idx="2">
                  <c:v>Game &amp; Đồ chơi · NS 7.8k</c:v>
                </c:pt>
                <c:pt idx="3">
                  <c:v>Máy ảnh · NS 66.8k</c:v>
                </c:pt>
                <c:pt idx="4">
                  <c:v>Máy tính · NS 267.1k</c:v>
                </c:pt>
                <c:pt idx="5">
                  <c:v>Điện thoại · NS 69.8k</c:v>
                </c:pt>
                <c:pt idx="6">
                  <c:v>Gia dụng · NS 57.2k</c:v>
                </c:pt>
                <c:pt idx="7">
                  <c:v>TV &amp; Video · NS 70.7k</c:v>
                </c:pt>
              </c:strCache>
            </c:strRef>
          </c:cat>
          <c:val>
            <c:numRef>
              <c:f>_pivot!$AT$56:$AT$63</c:f>
              <c:numCache>
                <c:formatCode>General</c:formatCode>
                <c:ptCount val="8"/>
                <c:pt idx="0">
                  <c:v>0</c:v>
                </c:pt>
                <c:pt idx="1">
                  <c:v>3.5634453640360997</c:v>
                </c:pt>
                <c:pt idx="2">
                  <c:v>3.2205177607574886</c:v>
                </c:pt>
                <c:pt idx="3">
                  <c:v>1.8343712254272879</c:v>
                </c:pt>
                <c:pt idx="4">
                  <c:v>1.5621898472263611</c:v>
                </c:pt>
                <c:pt idx="5">
                  <c:v>1.3732466402713572</c:v>
                </c:pt>
                <c:pt idx="6">
                  <c:v>0.44603515174710961</c:v>
                </c:pt>
                <c:pt idx="7">
                  <c:v>0</c:v>
                </c:pt>
              </c:numCache>
            </c:numRef>
          </c:val>
          <c:extLst>
            <c:ext xmlns:c16="http://schemas.microsoft.com/office/drawing/2014/chart" uri="{C3380CC4-5D6E-409C-BE32-E72D297353CC}">
              <c16:uniqueId val="{00000002-FD12-4346-8CDC-68EC465316AB}"/>
            </c:ext>
          </c:extLst>
        </c:ser>
        <c:dLbls>
          <c:showLegendKey val="0"/>
          <c:showVal val="0"/>
          <c:showCatName val="0"/>
          <c:showSerName val="0"/>
          <c:showPercent val="0"/>
          <c:showBubbleSize val="0"/>
        </c:dLbls>
        <c:gapWidth val="60"/>
        <c:overlap val="100"/>
        <c:axId val="1833528704"/>
        <c:axId val="1732106928"/>
      </c:barChart>
      <c:catAx>
        <c:axId val="1833528704"/>
        <c:scaling>
          <c:orientation val="maxMin"/>
        </c:scaling>
        <c:delete val="0"/>
        <c:axPos val="l"/>
        <c:numFmt formatCode="General" sourceLinked="1"/>
        <c:majorTickMark val="none"/>
        <c:minorTickMark val="none"/>
        <c:tickLblPos val="nextTo"/>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06928"/>
        <c:crosses val="autoZero"/>
        <c:auto val="1"/>
        <c:lblAlgn val="ctr"/>
        <c:lblOffset val="100"/>
        <c:noMultiLvlLbl val="0"/>
      </c:catAx>
      <c:valAx>
        <c:axId val="1732106928"/>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833528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Huỷ</c:v>
          </c:tx>
          <c:spPr>
            <a:ln w="25400" cap="rnd">
              <a:solidFill>
                <a:srgbClr val="2A78D6"/>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_pivot!$W$60:$W$83</c:f>
              <c:numCache>
                <c:formatCode>General</c:formatCode>
                <c:ptCount val="24"/>
                <c:pt idx="0">
                  <c:v>18</c:v>
                </c:pt>
                <c:pt idx="1">
                  <c:v>21</c:v>
                </c:pt>
                <c:pt idx="2">
                  <c:v>10</c:v>
                </c:pt>
                <c:pt idx="3">
                  <c:v>1</c:v>
                </c:pt>
                <c:pt idx="4">
                  <c:v>24</c:v>
                </c:pt>
                <c:pt idx="5">
                  <c:v>25</c:v>
                </c:pt>
                <c:pt idx="6">
                  <c:v>23</c:v>
                </c:pt>
                <c:pt idx="7">
                  <c:v>22</c:v>
                </c:pt>
                <c:pt idx="8">
                  <c:v>31</c:v>
                </c:pt>
                <c:pt idx="9">
                  <c:v>24</c:v>
                </c:pt>
                <c:pt idx="10">
                  <c:v>15</c:v>
                </c:pt>
                <c:pt idx="11">
                  <c:v>27</c:v>
                </c:pt>
                <c:pt idx="12">
                  <c:v>24</c:v>
                </c:pt>
                <c:pt idx="13">
                  <c:v>24</c:v>
                </c:pt>
                <c:pt idx="14">
                  <c:v>7</c:v>
                </c:pt>
                <c:pt idx="15">
                  <c:v>1</c:v>
                </c:pt>
                <c:pt idx="16">
                  <c:v>7</c:v>
                </c:pt>
                <c:pt idx="17">
                  <c:v>12</c:v>
                </c:pt>
                <c:pt idx="18">
                  <c:v>8</c:v>
                </c:pt>
                <c:pt idx="19">
                  <c:v>4</c:v>
                </c:pt>
                <c:pt idx="20">
                  <c:v>6</c:v>
                </c:pt>
                <c:pt idx="21">
                  <c:v>2</c:v>
                </c:pt>
                <c:pt idx="22">
                  <c:v>4</c:v>
                </c:pt>
                <c:pt idx="23">
                  <c:v>8</c:v>
                </c:pt>
              </c:numCache>
            </c:numRef>
          </c:val>
          <c:smooth val="0"/>
          <c:extLst>
            <c:ext xmlns:c16="http://schemas.microsoft.com/office/drawing/2014/chart" uri="{C3380CC4-5D6E-409C-BE32-E72D297353CC}">
              <c16:uniqueId val="{00000001-C71A-484C-91D6-75A91282A5AB}"/>
            </c:ext>
          </c:extLst>
        </c:ser>
        <c:ser>
          <c:idx val="1"/>
          <c:order val="1"/>
          <c:tx>
            <c:v>Đang giao</c:v>
          </c:tx>
          <c:spPr>
            <a:ln w="25400" cap="rnd">
              <a:solidFill>
                <a:srgbClr val="B9B7B0"/>
              </a:solidFill>
              <a:round/>
            </a:ln>
            <a:effectLst/>
          </c:spPr>
          <c:marker>
            <c:symbol val="none"/>
          </c:marker>
          <c:cat>
            <c:strRef>
              <c:f>_pivot!$J$60:$J$83</c:f>
              <c:strCache>
                <c:ptCount val="24"/>
                <c:pt idx="0">
                  <c:v>01/19</c:v>
                </c:pt>
                <c:pt idx="1">
                  <c:v>02/19</c:v>
                </c:pt>
                <c:pt idx="2">
                  <c:v>03/19</c:v>
                </c:pt>
                <c:pt idx="3">
                  <c:v>04/19</c:v>
                </c:pt>
                <c:pt idx="4">
                  <c:v>05/19</c:v>
                </c:pt>
                <c:pt idx="5">
                  <c:v>06/19</c:v>
                </c:pt>
                <c:pt idx="6">
                  <c:v>07/19</c:v>
                </c:pt>
                <c:pt idx="7">
                  <c:v>08/19</c:v>
                </c:pt>
                <c:pt idx="8">
                  <c:v>09/19</c:v>
                </c:pt>
                <c:pt idx="9">
                  <c:v>10/19</c:v>
                </c:pt>
                <c:pt idx="10">
                  <c:v>11/19</c:v>
                </c:pt>
                <c:pt idx="11">
                  <c:v>12/19</c:v>
                </c:pt>
                <c:pt idx="12">
                  <c:v>01/20</c:v>
                </c:pt>
                <c:pt idx="13">
                  <c:v>02/20</c:v>
                </c:pt>
                <c:pt idx="14">
                  <c:v>03/20</c:v>
                </c:pt>
                <c:pt idx="15">
                  <c:v>04/20</c:v>
                </c:pt>
                <c:pt idx="16">
                  <c:v>05/20</c:v>
                </c:pt>
                <c:pt idx="17">
                  <c:v>06/20</c:v>
                </c:pt>
                <c:pt idx="18">
                  <c:v>07/20</c:v>
                </c:pt>
                <c:pt idx="19">
                  <c:v>08/20</c:v>
                </c:pt>
                <c:pt idx="20">
                  <c:v>09/20</c:v>
                </c:pt>
                <c:pt idx="21">
                  <c:v>10/20</c:v>
                </c:pt>
                <c:pt idx="22">
                  <c:v>11/20</c:v>
                </c:pt>
                <c:pt idx="23">
                  <c:v>12/20</c:v>
                </c:pt>
              </c:strCache>
            </c:strRef>
          </c:cat>
          <c:val>
            <c:numRef>
              <c:f>_pivot!$X$60:$X$83</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71A-484C-91D6-75A91282A5AB}"/>
            </c:ext>
          </c:extLst>
        </c:ser>
        <c:dLbls>
          <c:showLegendKey val="0"/>
          <c:showVal val="0"/>
          <c:showCatName val="0"/>
          <c:showSerName val="0"/>
          <c:showPercent val="0"/>
          <c:showBubbleSize val="0"/>
        </c:dLbls>
        <c:smooth val="0"/>
        <c:axId val="1833549584"/>
        <c:axId val="1732111248"/>
      </c:lineChart>
      <c:catAx>
        <c:axId val="1833549584"/>
        <c:scaling>
          <c:orientation val="minMax"/>
        </c:scaling>
        <c:delete val="0"/>
        <c:axPos val="b"/>
        <c:numFmt formatCode="General" sourceLinked="1"/>
        <c:majorTickMark val="none"/>
        <c:minorTickMark val="none"/>
        <c:tickLblPos val="low"/>
        <c:spPr>
          <a:noFill/>
          <a:ln w="9525" cap="flat" cmpd="sng" algn="ctr">
            <a:solidFill>
              <a:srgbClr val="E4E3DF"/>
            </a:solidFill>
            <a:round/>
          </a:ln>
          <a:effec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732111248"/>
        <c:crosses val="autoZero"/>
        <c:auto val="1"/>
        <c:lblAlgn val="ctr"/>
        <c:lblOffset val="100"/>
        <c:tickLblSkip val="3"/>
        <c:noMultiLvlLbl val="0"/>
      </c:catAx>
      <c:valAx>
        <c:axId val="1732111248"/>
        <c:scaling>
          <c:orientation val="minMax"/>
        </c:scaling>
        <c:delete val="0"/>
        <c:axPos val="l"/>
        <c:majorGridlines>
          <c:spPr>
            <a:ln w="9525" cap="flat" cmpd="sng" algn="ctr">
              <a:solidFill>
                <a:srgbClr val="ECEBE7"/>
              </a:solidFill>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crossAx val="1833549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8A8984"/>
              </a:solidFill>
              <a:latin typeface="Segoe UI"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4E3DF"/>
      </a:solidFill>
      <a:round/>
    </a:ln>
    <a:effectLst/>
  </c:spPr>
  <c:txPr>
    <a:bodyPr/>
    <a:lstStyle/>
    <a:p>
      <a:pPr>
        <a:defRPr sz="800">
          <a:solidFill>
            <a:srgbClr val="8A8984"/>
          </a:solidFill>
          <a:latin typeface="Segoe UI" panose="020B0502040204020203" pitchFamily="34" charset="0"/>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plotArea>
      <cx:plotAreaRegion>
        <cx:series layoutId="waterfall" uniqueId="{00000001-4A9D-4371-BA47-81412B10C610}">
          <cx:dataPt idx="0">
            <cx:spPr>
              <a:solidFill>
                <a:srgbClr val="8F8D86"/>
              </a:solidFill>
            </cx:spPr>
          </cx:dataPt>
          <cx:dataPt idx="1">
            <cx:spPr>
              <a:solidFill>
                <a:srgbClr val="EB6834"/>
              </a:solidFill>
            </cx:spPr>
          </cx:dataPt>
          <cx:dataPt idx="2">
            <cx:spPr>
              <a:solidFill>
                <a:srgbClr val="EB6834"/>
              </a:solidFill>
            </cx:spPr>
          </cx:dataPt>
          <cx:dataPt idx="3">
            <cx:spPr>
              <a:solidFill>
                <a:srgbClr val="2A78D6"/>
              </a:solidFill>
            </cx:spPr>
          </cx:dataPt>
          <cx:dataLabels>
            <cx:visibility seriesName="0" categoryName="0" value="1"/>
          </cx:dataLabels>
          <cx:dataId val="0"/>
          <cx:layoutPr>
            <cx:visibility connectorLines="1"/>
            <cx:subtotals>
              <cx:idx val="3"/>
            </cx:subtotals>
          </cx:layoutPr>
        </cx:series>
      </cx:plotAreaRegion>
      <cx:axis id="0">
        <cx:catScaling gapWidth="0.5"/>
        <cx:tickLabels/>
      </cx:axis>
      <cx:axis id="1">
        <cx:valScaling/>
        <cx:majorGridlines/>
        <cx:tickLabels/>
      </cx:axis>
    </cx:plotArea>
  </cx:chart>
  <cx:spPr>
    <a:ln>
      <a:solidFill>
        <a:srgbClr val="E4E3DF"/>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plotArea>
      <cx:plotAreaRegion>
        <cx:series layoutId="waterfall" uniqueId="{00000001-317F-42DB-983C-2BF3B775CDCD}">
          <cx:dataPt idx="0">
            <cx:spPr>
              <a:solidFill>
                <a:srgbClr val="B9B7B0"/>
              </a:solidFill>
            </cx:spPr>
          </cx:dataPt>
          <cx:dataPt idx="1">
            <cx:spPr>
              <a:solidFill>
                <a:srgbClr val="D03B3B"/>
              </a:solidFill>
            </cx:spPr>
          </cx:dataPt>
          <cx:dataPt idx="2">
            <cx:spPr>
              <a:solidFill>
                <a:srgbClr val="8F8D86"/>
              </a:solidFill>
            </cx:spPr>
          </cx:dataPt>
          <cx:dataPt idx="3">
            <cx:spPr>
              <a:solidFill>
                <a:srgbClr val="2A78D6"/>
              </a:solidFill>
            </cx:spPr>
          </cx:dataPt>
          <cx:dataLabels>
            <cx:visibility seriesName="0" categoryName="0" value="1"/>
          </cx:dataLabels>
          <cx:dataId val="0"/>
          <cx:layoutPr>
            <cx:visibility connectorLines="1"/>
            <cx:subtotals>
              <cx:idx val="3"/>
            </cx:subtotals>
          </cx:layoutPr>
        </cx:series>
      </cx:plotAreaRegion>
      <cx:axis id="0">
        <cx:catScaling gapWidth="0.5"/>
        <cx:tickLabels/>
      </cx:axis>
      <cx:axis id="1">
        <cx:valScaling/>
        <cx:majorGridlines/>
        <cx:tickLabels/>
      </cx:axis>
    </cx:plotArea>
  </cx:chart>
  <cx:spPr>
    <a:ln>
      <a:solidFill>
        <a:srgbClr val="E4E3DF"/>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14/relationships/chartEx" Target="../charts/chartEx1.xml"/><Relationship Id="rId1" Type="http://schemas.openxmlformats.org/officeDocument/2006/relationships/chart" Target="../charts/chart1.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microsoft.com/office/2014/relationships/chartEx" Target="../charts/chartEx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xdr:col>
      <xdr:colOff>25400</xdr:colOff>
      <xdr:row>3</xdr:row>
      <xdr:rowOff>12700</xdr:rowOff>
    </xdr:from>
    <xdr:to>
      <xdr:col>4</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2" name="Slicer_year_Tong_quan">
              <a:extLst>
                <a:ext uri="{FF2B5EF4-FFF2-40B4-BE49-F238E27FC236}">
                  <a16:creationId xmlns:a16="http://schemas.microsoft.com/office/drawing/2014/main" id="{5D3F0E6C-D71D-7434-0498-007C2856E3BA}"/>
                </a:ext>
              </a:extLst>
            </xdr:cNvPr>
            <xdr:cNvGraphicFramePr/>
          </xdr:nvGraphicFramePr>
          <xdr:xfrm>
            <a:off x="0" y="0"/>
            <a:ext cx="0" cy="0"/>
          </xdr:xfrm>
          <a:graphic>
            <a:graphicData uri="http://schemas.microsoft.com/office/drawing/2010/slicer">
              <sle:slicer xmlns:sle="http://schemas.microsoft.com/office/drawing/2010/slicer" name="Slicer_year_Tong_quan"/>
            </a:graphicData>
          </a:graphic>
        </xdr:graphicFrame>
      </mc:Choice>
      <mc:Fallback>
        <xdr:sp macro="" textlink="">
          <xdr:nvSpPr>
            <xdr:cNvPr id="0" name=""/>
            <xdr:cNvSpPr>
              <a:spLocks noTextEdit="1"/>
            </xdr:cNvSpPr>
          </xdr:nvSpPr>
          <xdr:spPr>
            <a:xfrm>
              <a:off x="205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25400</xdr:colOff>
      <xdr:row>3</xdr:row>
      <xdr:rowOff>12700</xdr:rowOff>
    </xdr:from>
    <xdr:to>
      <xdr:col>10</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3" name="Slicer_month_Tong_quan">
              <a:extLst>
                <a:ext uri="{FF2B5EF4-FFF2-40B4-BE49-F238E27FC236}">
                  <a16:creationId xmlns:a16="http://schemas.microsoft.com/office/drawing/2014/main" id="{2220144F-9209-CECC-FB56-5428FB55F822}"/>
                </a:ext>
              </a:extLst>
            </xdr:cNvPr>
            <xdr:cNvGraphicFramePr/>
          </xdr:nvGraphicFramePr>
          <xdr:xfrm>
            <a:off x="0" y="0"/>
            <a:ext cx="0" cy="0"/>
          </xdr:xfrm>
          <a:graphic>
            <a:graphicData uri="http://schemas.microsoft.com/office/drawing/2010/slicer">
              <sle:slicer xmlns:sle="http://schemas.microsoft.com/office/drawing/2010/slicer" name="Slicer_month_Tong_quan"/>
            </a:graphicData>
          </a:graphic>
        </xdr:graphicFrame>
      </mc:Choice>
      <mc:Fallback>
        <xdr:sp macro="" textlink="">
          <xdr:nvSpPr>
            <xdr:cNvPr id="0" name=""/>
            <xdr:cNvSpPr>
              <a:spLocks noTextEdit="1"/>
            </xdr:cNvSpPr>
          </xdr:nvSpPr>
          <xdr:spPr>
            <a:xfrm>
              <a:off x="3337983" y="711200"/>
              <a:ext cx="4646084"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25400</xdr:colOff>
      <xdr:row>3</xdr:row>
      <xdr:rowOff>12700</xdr:rowOff>
    </xdr:from>
    <xdr:to>
      <xdr:col>12</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4" name="Slicer_channel_name_Tong_quan">
              <a:extLst>
                <a:ext uri="{FF2B5EF4-FFF2-40B4-BE49-F238E27FC236}">
                  <a16:creationId xmlns:a16="http://schemas.microsoft.com/office/drawing/2014/main" id="{B5A49C3E-2814-D820-67CC-C2F9DC3EA312}"/>
                </a:ext>
              </a:extLst>
            </xdr:cNvPr>
            <xdr:cNvGraphicFramePr/>
          </xdr:nvGraphicFramePr>
          <xdr:xfrm>
            <a:off x="0" y="0"/>
            <a:ext cx="0" cy="0"/>
          </xdr:xfrm>
          <a:graphic>
            <a:graphicData uri="http://schemas.microsoft.com/office/drawing/2010/slicer">
              <sle:slicer xmlns:sle="http://schemas.microsoft.com/office/drawing/2010/slicer" name="Slicer_channel_name_Tong_quan"/>
            </a:graphicData>
          </a:graphic>
        </xdr:graphicFrame>
      </mc:Choice>
      <mc:Fallback>
        <xdr:sp macro="" textlink="">
          <xdr:nvSpPr>
            <xdr:cNvPr id="0" name=""/>
            <xdr:cNvSpPr>
              <a:spLocks noTextEdit="1"/>
            </xdr:cNvSpPr>
          </xdr:nvSpPr>
          <xdr:spPr>
            <a:xfrm>
              <a:off x="8036983" y="711200"/>
              <a:ext cx="1513417"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25400</xdr:colOff>
      <xdr:row>3</xdr:row>
      <xdr:rowOff>12700</xdr:rowOff>
    </xdr:from>
    <xdr:to>
      <xdr:col>16</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5" name="Slicer_country_Tong_quan">
              <a:extLst>
                <a:ext uri="{FF2B5EF4-FFF2-40B4-BE49-F238E27FC236}">
                  <a16:creationId xmlns:a16="http://schemas.microsoft.com/office/drawing/2014/main" id="{76D30671-8B59-770C-2B1A-7B1F050D405B}"/>
                </a:ext>
              </a:extLst>
            </xdr:cNvPr>
            <xdr:cNvGraphicFramePr/>
          </xdr:nvGraphicFramePr>
          <xdr:xfrm>
            <a:off x="0" y="0"/>
            <a:ext cx="0" cy="0"/>
          </xdr:xfrm>
          <a:graphic>
            <a:graphicData uri="http://schemas.microsoft.com/office/drawing/2010/slicer">
              <sle:slicer xmlns:sle="http://schemas.microsoft.com/office/drawing/2010/slicer" name="Slicer_country_Tong_quan"/>
            </a:graphicData>
          </a:graphic>
        </xdr:graphicFrame>
      </mc:Choice>
      <mc:Fallback>
        <xdr:sp macro="" textlink="">
          <xdr:nvSpPr>
            <xdr:cNvPr id="0" name=""/>
            <xdr:cNvSpPr>
              <a:spLocks noTextEdit="1"/>
            </xdr:cNvSpPr>
          </xdr:nvSpPr>
          <xdr:spPr>
            <a:xfrm>
              <a:off x="9603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25400</xdr:colOff>
      <xdr:row>17</xdr:row>
      <xdr:rowOff>25400</xdr:rowOff>
    </xdr:from>
    <xdr:to>
      <xdr:col>9</xdr:col>
      <xdr:colOff>755650</xdr:colOff>
      <xdr:row>31</xdr:row>
      <xdr:rowOff>155575</xdr:rowOff>
    </xdr:to>
    <xdr:graphicFrame macro="">
      <xdr:nvGraphicFramePr>
        <xdr:cNvPr id="6" name="Chart 5">
          <a:extLst>
            <a:ext uri="{FF2B5EF4-FFF2-40B4-BE49-F238E27FC236}">
              <a16:creationId xmlns:a16="http://schemas.microsoft.com/office/drawing/2014/main" id="{DE10CCAE-AC05-0EBF-455D-215ECC5BD6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25400</xdr:colOff>
      <xdr:row>17</xdr:row>
      <xdr:rowOff>25400</xdr:rowOff>
    </xdr:from>
    <xdr:to>
      <xdr:col>16</xdr:col>
      <xdr:colOff>755650</xdr:colOff>
      <xdr:row>31</xdr:row>
      <xdr:rowOff>155575</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38EB0685-BF35-85EC-3048-E712D4E6156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7235825" y="4606925"/>
              <a:ext cx="5416550" cy="26638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25400</xdr:colOff>
      <xdr:row>35</xdr:row>
      <xdr:rowOff>25400</xdr:rowOff>
    </xdr:from>
    <xdr:to>
      <xdr:col>4</xdr:col>
      <xdr:colOff>755650</xdr:colOff>
      <xdr:row>47</xdr:row>
      <xdr:rowOff>155575</xdr:rowOff>
    </xdr:to>
    <xdr:graphicFrame macro="">
      <xdr:nvGraphicFramePr>
        <xdr:cNvPr id="8" name="Chart 7">
          <a:extLst>
            <a:ext uri="{FF2B5EF4-FFF2-40B4-BE49-F238E27FC236}">
              <a16:creationId xmlns:a16="http://schemas.microsoft.com/office/drawing/2014/main" id="{13349136-F00C-4701-713F-6F44B04E0C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25400</xdr:colOff>
      <xdr:row>35</xdr:row>
      <xdr:rowOff>25400</xdr:rowOff>
    </xdr:from>
    <xdr:to>
      <xdr:col>9</xdr:col>
      <xdr:colOff>755650</xdr:colOff>
      <xdr:row>47</xdr:row>
      <xdr:rowOff>155575</xdr:rowOff>
    </xdr:to>
    <xdr:graphicFrame macro="">
      <xdr:nvGraphicFramePr>
        <xdr:cNvPr id="9" name="Chart 8">
          <a:extLst>
            <a:ext uri="{FF2B5EF4-FFF2-40B4-BE49-F238E27FC236}">
              <a16:creationId xmlns:a16="http://schemas.microsoft.com/office/drawing/2014/main" id="{D54E471E-5464-7C00-06D8-2381B4C27F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25400</xdr:colOff>
      <xdr:row>35</xdr:row>
      <xdr:rowOff>25400</xdr:rowOff>
    </xdr:from>
    <xdr:to>
      <xdr:col>16</xdr:col>
      <xdr:colOff>755650</xdr:colOff>
      <xdr:row>47</xdr:row>
      <xdr:rowOff>155575</xdr:rowOff>
    </xdr:to>
    <xdr:graphicFrame macro="">
      <xdr:nvGraphicFramePr>
        <xdr:cNvPr id="10" name="Chart 9">
          <a:extLst>
            <a:ext uri="{FF2B5EF4-FFF2-40B4-BE49-F238E27FC236}">
              <a16:creationId xmlns:a16="http://schemas.microsoft.com/office/drawing/2014/main" id="{17FAF4F6-1588-1487-A5B4-8CDC8CB211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25400</xdr:colOff>
      <xdr:row>3</xdr:row>
      <xdr:rowOff>12700</xdr:rowOff>
    </xdr:from>
    <xdr:to>
      <xdr:col>4</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2" name="Slicer_year_Doanh_thu">
              <a:extLst>
                <a:ext uri="{FF2B5EF4-FFF2-40B4-BE49-F238E27FC236}">
                  <a16:creationId xmlns:a16="http://schemas.microsoft.com/office/drawing/2014/main" id="{8917B259-CD03-773D-CD2D-7D4CA3287E08}"/>
                </a:ext>
              </a:extLst>
            </xdr:cNvPr>
            <xdr:cNvGraphicFramePr/>
          </xdr:nvGraphicFramePr>
          <xdr:xfrm>
            <a:off x="0" y="0"/>
            <a:ext cx="0" cy="0"/>
          </xdr:xfrm>
          <a:graphic>
            <a:graphicData uri="http://schemas.microsoft.com/office/drawing/2010/slicer">
              <sle:slicer xmlns:sle="http://schemas.microsoft.com/office/drawing/2010/slicer" name="Slicer_year_Doanh_thu"/>
            </a:graphicData>
          </a:graphic>
        </xdr:graphicFrame>
      </mc:Choice>
      <mc:Fallback>
        <xdr:sp macro="" textlink="">
          <xdr:nvSpPr>
            <xdr:cNvPr id="0" name=""/>
            <xdr:cNvSpPr>
              <a:spLocks noTextEdit="1"/>
            </xdr:cNvSpPr>
          </xdr:nvSpPr>
          <xdr:spPr>
            <a:xfrm>
              <a:off x="205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25400</xdr:colOff>
      <xdr:row>3</xdr:row>
      <xdr:rowOff>12700</xdr:rowOff>
    </xdr:from>
    <xdr:to>
      <xdr:col>10</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3" name="Slicer_month_Doanh_thu">
              <a:extLst>
                <a:ext uri="{FF2B5EF4-FFF2-40B4-BE49-F238E27FC236}">
                  <a16:creationId xmlns:a16="http://schemas.microsoft.com/office/drawing/2014/main" id="{AB6F6D4C-5480-FF32-717B-1129F4BEDC36}"/>
                </a:ext>
              </a:extLst>
            </xdr:cNvPr>
            <xdr:cNvGraphicFramePr/>
          </xdr:nvGraphicFramePr>
          <xdr:xfrm>
            <a:off x="0" y="0"/>
            <a:ext cx="0" cy="0"/>
          </xdr:xfrm>
          <a:graphic>
            <a:graphicData uri="http://schemas.microsoft.com/office/drawing/2010/slicer">
              <sle:slicer xmlns:sle="http://schemas.microsoft.com/office/drawing/2010/slicer" name="Slicer_month_Doanh_thu"/>
            </a:graphicData>
          </a:graphic>
        </xdr:graphicFrame>
      </mc:Choice>
      <mc:Fallback>
        <xdr:sp macro="" textlink="">
          <xdr:nvSpPr>
            <xdr:cNvPr id="0" name=""/>
            <xdr:cNvSpPr>
              <a:spLocks noTextEdit="1"/>
            </xdr:cNvSpPr>
          </xdr:nvSpPr>
          <xdr:spPr>
            <a:xfrm>
              <a:off x="3337983" y="711200"/>
              <a:ext cx="4646084"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25400</xdr:colOff>
      <xdr:row>3</xdr:row>
      <xdr:rowOff>12700</xdr:rowOff>
    </xdr:from>
    <xdr:to>
      <xdr:col>12</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4" name="Slicer_channel_name_Doanh_thu">
              <a:extLst>
                <a:ext uri="{FF2B5EF4-FFF2-40B4-BE49-F238E27FC236}">
                  <a16:creationId xmlns:a16="http://schemas.microsoft.com/office/drawing/2014/main" id="{9E794144-00FC-F696-745D-10B6414EA1F6}"/>
                </a:ext>
              </a:extLst>
            </xdr:cNvPr>
            <xdr:cNvGraphicFramePr/>
          </xdr:nvGraphicFramePr>
          <xdr:xfrm>
            <a:off x="0" y="0"/>
            <a:ext cx="0" cy="0"/>
          </xdr:xfrm>
          <a:graphic>
            <a:graphicData uri="http://schemas.microsoft.com/office/drawing/2010/slicer">
              <sle:slicer xmlns:sle="http://schemas.microsoft.com/office/drawing/2010/slicer" name="Slicer_channel_name_Doanh_thu"/>
            </a:graphicData>
          </a:graphic>
        </xdr:graphicFrame>
      </mc:Choice>
      <mc:Fallback>
        <xdr:sp macro="" textlink="">
          <xdr:nvSpPr>
            <xdr:cNvPr id="0" name=""/>
            <xdr:cNvSpPr>
              <a:spLocks noTextEdit="1"/>
            </xdr:cNvSpPr>
          </xdr:nvSpPr>
          <xdr:spPr>
            <a:xfrm>
              <a:off x="8036983" y="711200"/>
              <a:ext cx="1513417"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25400</xdr:colOff>
      <xdr:row>3</xdr:row>
      <xdr:rowOff>12700</xdr:rowOff>
    </xdr:from>
    <xdr:to>
      <xdr:col>16</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5" name="Slicer_country_Doanh_thu">
              <a:extLst>
                <a:ext uri="{FF2B5EF4-FFF2-40B4-BE49-F238E27FC236}">
                  <a16:creationId xmlns:a16="http://schemas.microsoft.com/office/drawing/2014/main" id="{C9A5C5D3-4212-6C34-95BB-0AF5312C42AE}"/>
                </a:ext>
              </a:extLst>
            </xdr:cNvPr>
            <xdr:cNvGraphicFramePr/>
          </xdr:nvGraphicFramePr>
          <xdr:xfrm>
            <a:off x="0" y="0"/>
            <a:ext cx="0" cy="0"/>
          </xdr:xfrm>
          <a:graphic>
            <a:graphicData uri="http://schemas.microsoft.com/office/drawing/2010/slicer">
              <sle:slicer xmlns:sle="http://schemas.microsoft.com/office/drawing/2010/slicer" name="Slicer_country_Doanh_thu"/>
            </a:graphicData>
          </a:graphic>
        </xdr:graphicFrame>
      </mc:Choice>
      <mc:Fallback>
        <xdr:sp macro="" textlink="">
          <xdr:nvSpPr>
            <xdr:cNvPr id="0" name=""/>
            <xdr:cNvSpPr>
              <a:spLocks noTextEdit="1"/>
            </xdr:cNvSpPr>
          </xdr:nvSpPr>
          <xdr:spPr>
            <a:xfrm>
              <a:off x="9603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25400</xdr:colOff>
      <xdr:row>17</xdr:row>
      <xdr:rowOff>25400</xdr:rowOff>
    </xdr:from>
    <xdr:to>
      <xdr:col>6</xdr:col>
      <xdr:colOff>755650</xdr:colOff>
      <xdr:row>33</xdr:row>
      <xdr:rowOff>155575</xdr:rowOff>
    </xdr:to>
    <xdr:graphicFrame macro="">
      <xdr:nvGraphicFramePr>
        <xdr:cNvPr id="6" name="Chart 5">
          <a:extLst>
            <a:ext uri="{FF2B5EF4-FFF2-40B4-BE49-F238E27FC236}">
              <a16:creationId xmlns:a16="http://schemas.microsoft.com/office/drawing/2014/main" id="{5E251134-2944-E02C-E83C-0EBEC565B4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25400</xdr:colOff>
      <xdr:row>17</xdr:row>
      <xdr:rowOff>25400</xdr:rowOff>
    </xdr:from>
    <xdr:to>
      <xdr:col>11</xdr:col>
      <xdr:colOff>755650</xdr:colOff>
      <xdr:row>33</xdr:row>
      <xdr:rowOff>155575</xdr:rowOff>
    </xdr:to>
    <xdr:graphicFrame macro="">
      <xdr:nvGraphicFramePr>
        <xdr:cNvPr id="7" name="Chart 6">
          <a:extLst>
            <a:ext uri="{FF2B5EF4-FFF2-40B4-BE49-F238E27FC236}">
              <a16:creationId xmlns:a16="http://schemas.microsoft.com/office/drawing/2014/main" id="{57FA1306-23AF-5BE2-ABF9-F41C0776ED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25400</xdr:colOff>
      <xdr:row>3</xdr:row>
      <xdr:rowOff>12700</xdr:rowOff>
    </xdr:from>
    <xdr:to>
      <xdr:col>4</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2" name="Slicer_year_Doi_soat">
              <a:extLst>
                <a:ext uri="{FF2B5EF4-FFF2-40B4-BE49-F238E27FC236}">
                  <a16:creationId xmlns:a16="http://schemas.microsoft.com/office/drawing/2014/main" id="{400BE68E-C70A-3A00-42CE-E95AB95B4537}"/>
                </a:ext>
              </a:extLst>
            </xdr:cNvPr>
            <xdr:cNvGraphicFramePr/>
          </xdr:nvGraphicFramePr>
          <xdr:xfrm>
            <a:off x="0" y="0"/>
            <a:ext cx="0" cy="0"/>
          </xdr:xfrm>
          <a:graphic>
            <a:graphicData uri="http://schemas.microsoft.com/office/drawing/2010/slicer">
              <sle:slicer xmlns:sle="http://schemas.microsoft.com/office/drawing/2010/slicer" name="Slicer_year_Doi_soat"/>
            </a:graphicData>
          </a:graphic>
        </xdr:graphicFrame>
      </mc:Choice>
      <mc:Fallback>
        <xdr:sp macro="" textlink="">
          <xdr:nvSpPr>
            <xdr:cNvPr id="0" name=""/>
            <xdr:cNvSpPr>
              <a:spLocks noTextEdit="1"/>
            </xdr:cNvSpPr>
          </xdr:nvSpPr>
          <xdr:spPr>
            <a:xfrm>
              <a:off x="205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25400</xdr:colOff>
      <xdr:row>3</xdr:row>
      <xdr:rowOff>12700</xdr:rowOff>
    </xdr:from>
    <xdr:to>
      <xdr:col>10</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3" name="Slicer_month_Doi_soat">
              <a:extLst>
                <a:ext uri="{FF2B5EF4-FFF2-40B4-BE49-F238E27FC236}">
                  <a16:creationId xmlns:a16="http://schemas.microsoft.com/office/drawing/2014/main" id="{17CFD331-CDBB-DC37-8F5D-0EE9FC386B8C}"/>
                </a:ext>
              </a:extLst>
            </xdr:cNvPr>
            <xdr:cNvGraphicFramePr/>
          </xdr:nvGraphicFramePr>
          <xdr:xfrm>
            <a:off x="0" y="0"/>
            <a:ext cx="0" cy="0"/>
          </xdr:xfrm>
          <a:graphic>
            <a:graphicData uri="http://schemas.microsoft.com/office/drawing/2010/slicer">
              <sle:slicer xmlns:sle="http://schemas.microsoft.com/office/drawing/2010/slicer" name="Slicer_month_Doi_soat"/>
            </a:graphicData>
          </a:graphic>
        </xdr:graphicFrame>
      </mc:Choice>
      <mc:Fallback>
        <xdr:sp macro="" textlink="">
          <xdr:nvSpPr>
            <xdr:cNvPr id="0" name=""/>
            <xdr:cNvSpPr>
              <a:spLocks noTextEdit="1"/>
            </xdr:cNvSpPr>
          </xdr:nvSpPr>
          <xdr:spPr>
            <a:xfrm>
              <a:off x="3337983" y="711200"/>
              <a:ext cx="4646084"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25400</xdr:colOff>
      <xdr:row>3</xdr:row>
      <xdr:rowOff>12700</xdr:rowOff>
    </xdr:from>
    <xdr:to>
      <xdr:col>12</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4" name="Slicer_channel_name_Doi_soat">
              <a:extLst>
                <a:ext uri="{FF2B5EF4-FFF2-40B4-BE49-F238E27FC236}">
                  <a16:creationId xmlns:a16="http://schemas.microsoft.com/office/drawing/2014/main" id="{C8945217-D852-D8E0-BE21-BAA92F731D1E}"/>
                </a:ext>
              </a:extLst>
            </xdr:cNvPr>
            <xdr:cNvGraphicFramePr/>
          </xdr:nvGraphicFramePr>
          <xdr:xfrm>
            <a:off x="0" y="0"/>
            <a:ext cx="0" cy="0"/>
          </xdr:xfrm>
          <a:graphic>
            <a:graphicData uri="http://schemas.microsoft.com/office/drawing/2010/slicer">
              <sle:slicer xmlns:sle="http://schemas.microsoft.com/office/drawing/2010/slicer" name="Slicer_channel_name_Doi_soat"/>
            </a:graphicData>
          </a:graphic>
        </xdr:graphicFrame>
      </mc:Choice>
      <mc:Fallback>
        <xdr:sp macro="" textlink="">
          <xdr:nvSpPr>
            <xdr:cNvPr id="0" name=""/>
            <xdr:cNvSpPr>
              <a:spLocks noTextEdit="1"/>
            </xdr:cNvSpPr>
          </xdr:nvSpPr>
          <xdr:spPr>
            <a:xfrm>
              <a:off x="8036983" y="711200"/>
              <a:ext cx="1513417"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25400</xdr:colOff>
      <xdr:row>3</xdr:row>
      <xdr:rowOff>12700</xdr:rowOff>
    </xdr:from>
    <xdr:to>
      <xdr:col>16</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5" name="Slicer_country_Doi_soat">
              <a:extLst>
                <a:ext uri="{FF2B5EF4-FFF2-40B4-BE49-F238E27FC236}">
                  <a16:creationId xmlns:a16="http://schemas.microsoft.com/office/drawing/2014/main" id="{A2551D42-292B-5C2B-C8A1-4704169D5D23}"/>
                </a:ext>
              </a:extLst>
            </xdr:cNvPr>
            <xdr:cNvGraphicFramePr/>
          </xdr:nvGraphicFramePr>
          <xdr:xfrm>
            <a:off x="0" y="0"/>
            <a:ext cx="0" cy="0"/>
          </xdr:xfrm>
          <a:graphic>
            <a:graphicData uri="http://schemas.microsoft.com/office/drawing/2010/slicer">
              <sle:slicer xmlns:sle="http://schemas.microsoft.com/office/drawing/2010/slicer" name="Slicer_country_Doi_soat"/>
            </a:graphicData>
          </a:graphic>
        </xdr:graphicFrame>
      </mc:Choice>
      <mc:Fallback>
        <xdr:sp macro="" textlink="">
          <xdr:nvSpPr>
            <xdr:cNvPr id="0" name=""/>
            <xdr:cNvSpPr>
              <a:spLocks noTextEdit="1"/>
            </xdr:cNvSpPr>
          </xdr:nvSpPr>
          <xdr:spPr>
            <a:xfrm>
              <a:off x="9603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25400</xdr:colOff>
      <xdr:row>17</xdr:row>
      <xdr:rowOff>25400</xdr:rowOff>
    </xdr:from>
    <xdr:to>
      <xdr:col>6</xdr:col>
      <xdr:colOff>755650</xdr:colOff>
      <xdr:row>31</xdr:row>
      <xdr:rowOff>155575</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2B47D3BF-A936-48CC-855B-CE1B7BD6A35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06375" y="4606925"/>
              <a:ext cx="4635500" cy="26638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25400</xdr:colOff>
      <xdr:row>17</xdr:row>
      <xdr:rowOff>25400</xdr:rowOff>
    </xdr:from>
    <xdr:to>
      <xdr:col>16</xdr:col>
      <xdr:colOff>755650</xdr:colOff>
      <xdr:row>31</xdr:row>
      <xdr:rowOff>155575</xdr:rowOff>
    </xdr:to>
    <xdr:graphicFrame macro="">
      <xdr:nvGraphicFramePr>
        <xdr:cNvPr id="7" name="Chart 6">
          <a:extLst>
            <a:ext uri="{FF2B5EF4-FFF2-40B4-BE49-F238E27FC236}">
              <a16:creationId xmlns:a16="http://schemas.microsoft.com/office/drawing/2014/main" id="{DE1EA083-EE0B-008B-7D77-26AF5A1D23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25400</xdr:colOff>
      <xdr:row>35</xdr:row>
      <xdr:rowOff>25400</xdr:rowOff>
    </xdr:from>
    <xdr:to>
      <xdr:col>16</xdr:col>
      <xdr:colOff>755650</xdr:colOff>
      <xdr:row>49</xdr:row>
      <xdr:rowOff>155575</xdr:rowOff>
    </xdr:to>
    <xdr:graphicFrame macro="">
      <xdr:nvGraphicFramePr>
        <xdr:cNvPr id="8" name="Chart 7">
          <a:extLst>
            <a:ext uri="{FF2B5EF4-FFF2-40B4-BE49-F238E27FC236}">
              <a16:creationId xmlns:a16="http://schemas.microsoft.com/office/drawing/2014/main" id="{F0542642-F9E4-E26E-C448-7F6A4E8D9F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25400</xdr:colOff>
      <xdr:row>3</xdr:row>
      <xdr:rowOff>12700</xdr:rowOff>
    </xdr:from>
    <xdr:to>
      <xdr:col>4</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2" name="Slicer_year_Hoan_tra">
              <a:extLst>
                <a:ext uri="{FF2B5EF4-FFF2-40B4-BE49-F238E27FC236}">
                  <a16:creationId xmlns:a16="http://schemas.microsoft.com/office/drawing/2014/main" id="{6CC69959-E338-7181-70E7-CB53F66C6B28}"/>
                </a:ext>
              </a:extLst>
            </xdr:cNvPr>
            <xdr:cNvGraphicFramePr/>
          </xdr:nvGraphicFramePr>
          <xdr:xfrm>
            <a:off x="0" y="0"/>
            <a:ext cx="0" cy="0"/>
          </xdr:xfrm>
          <a:graphic>
            <a:graphicData uri="http://schemas.microsoft.com/office/drawing/2010/slicer">
              <sle:slicer xmlns:sle="http://schemas.microsoft.com/office/drawing/2010/slicer" name="Slicer_year_Hoan_tra"/>
            </a:graphicData>
          </a:graphic>
        </xdr:graphicFrame>
      </mc:Choice>
      <mc:Fallback>
        <xdr:sp macro="" textlink="">
          <xdr:nvSpPr>
            <xdr:cNvPr id="0" name=""/>
            <xdr:cNvSpPr>
              <a:spLocks noTextEdit="1"/>
            </xdr:cNvSpPr>
          </xdr:nvSpPr>
          <xdr:spPr>
            <a:xfrm>
              <a:off x="205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25400</xdr:colOff>
      <xdr:row>3</xdr:row>
      <xdr:rowOff>12700</xdr:rowOff>
    </xdr:from>
    <xdr:to>
      <xdr:col>10</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3" name="Slicer_month_Hoan_tra">
              <a:extLst>
                <a:ext uri="{FF2B5EF4-FFF2-40B4-BE49-F238E27FC236}">
                  <a16:creationId xmlns:a16="http://schemas.microsoft.com/office/drawing/2014/main" id="{D049F9EA-1897-5AB0-E425-652DB3BA4A04}"/>
                </a:ext>
              </a:extLst>
            </xdr:cNvPr>
            <xdr:cNvGraphicFramePr/>
          </xdr:nvGraphicFramePr>
          <xdr:xfrm>
            <a:off x="0" y="0"/>
            <a:ext cx="0" cy="0"/>
          </xdr:xfrm>
          <a:graphic>
            <a:graphicData uri="http://schemas.microsoft.com/office/drawing/2010/slicer">
              <sle:slicer xmlns:sle="http://schemas.microsoft.com/office/drawing/2010/slicer" name="Slicer_month_Hoan_tra"/>
            </a:graphicData>
          </a:graphic>
        </xdr:graphicFrame>
      </mc:Choice>
      <mc:Fallback>
        <xdr:sp macro="" textlink="">
          <xdr:nvSpPr>
            <xdr:cNvPr id="0" name=""/>
            <xdr:cNvSpPr>
              <a:spLocks noTextEdit="1"/>
            </xdr:cNvSpPr>
          </xdr:nvSpPr>
          <xdr:spPr>
            <a:xfrm>
              <a:off x="3337983" y="711200"/>
              <a:ext cx="4646084"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25400</xdr:colOff>
      <xdr:row>3</xdr:row>
      <xdr:rowOff>12700</xdr:rowOff>
    </xdr:from>
    <xdr:to>
      <xdr:col>12</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4" name="Slicer_channel_name_Hoan_tra">
              <a:extLst>
                <a:ext uri="{FF2B5EF4-FFF2-40B4-BE49-F238E27FC236}">
                  <a16:creationId xmlns:a16="http://schemas.microsoft.com/office/drawing/2014/main" id="{78FE5396-1646-E4E7-EFE3-9DF63412F966}"/>
                </a:ext>
              </a:extLst>
            </xdr:cNvPr>
            <xdr:cNvGraphicFramePr/>
          </xdr:nvGraphicFramePr>
          <xdr:xfrm>
            <a:off x="0" y="0"/>
            <a:ext cx="0" cy="0"/>
          </xdr:xfrm>
          <a:graphic>
            <a:graphicData uri="http://schemas.microsoft.com/office/drawing/2010/slicer">
              <sle:slicer xmlns:sle="http://schemas.microsoft.com/office/drawing/2010/slicer" name="Slicer_channel_name_Hoan_tra"/>
            </a:graphicData>
          </a:graphic>
        </xdr:graphicFrame>
      </mc:Choice>
      <mc:Fallback>
        <xdr:sp macro="" textlink="">
          <xdr:nvSpPr>
            <xdr:cNvPr id="0" name=""/>
            <xdr:cNvSpPr>
              <a:spLocks noTextEdit="1"/>
            </xdr:cNvSpPr>
          </xdr:nvSpPr>
          <xdr:spPr>
            <a:xfrm>
              <a:off x="8036983" y="711200"/>
              <a:ext cx="1513417"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25400</xdr:colOff>
      <xdr:row>3</xdr:row>
      <xdr:rowOff>12700</xdr:rowOff>
    </xdr:from>
    <xdr:to>
      <xdr:col>16</xdr:col>
      <xdr:colOff>755650</xdr:colOff>
      <xdr:row>5</xdr:row>
      <xdr:rowOff>377825</xdr:rowOff>
    </xdr:to>
    <mc:AlternateContent xmlns:mc="http://schemas.openxmlformats.org/markup-compatibility/2006">
      <mc:Choice xmlns:a14="http://schemas.microsoft.com/office/drawing/2010/main" Requires="a14">
        <xdr:graphicFrame macro="">
          <xdr:nvGraphicFramePr>
            <xdr:cNvPr id="5" name="Slicer_country_Hoan_tra">
              <a:extLst>
                <a:ext uri="{FF2B5EF4-FFF2-40B4-BE49-F238E27FC236}">
                  <a16:creationId xmlns:a16="http://schemas.microsoft.com/office/drawing/2014/main" id="{2034B14D-456A-B408-6681-4DEAAA37CADA}"/>
                </a:ext>
              </a:extLst>
            </xdr:cNvPr>
            <xdr:cNvGraphicFramePr/>
          </xdr:nvGraphicFramePr>
          <xdr:xfrm>
            <a:off x="0" y="0"/>
            <a:ext cx="0" cy="0"/>
          </xdr:xfrm>
          <a:graphic>
            <a:graphicData uri="http://schemas.microsoft.com/office/drawing/2010/slicer">
              <sle:slicer xmlns:sle="http://schemas.microsoft.com/office/drawing/2010/slicer" name="Slicer_country_Hoan_tra"/>
            </a:graphicData>
          </a:graphic>
        </xdr:graphicFrame>
      </mc:Choice>
      <mc:Fallback>
        <xdr:sp macro="" textlink="">
          <xdr:nvSpPr>
            <xdr:cNvPr id="0" name=""/>
            <xdr:cNvSpPr>
              <a:spLocks noTextEdit="1"/>
            </xdr:cNvSpPr>
          </xdr:nvSpPr>
          <xdr:spPr>
            <a:xfrm>
              <a:off x="9603317" y="711200"/>
              <a:ext cx="3079750" cy="114829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25400</xdr:colOff>
      <xdr:row>17</xdr:row>
      <xdr:rowOff>25400</xdr:rowOff>
    </xdr:from>
    <xdr:to>
      <xdr:col>9</xdr:col>
      <xdr:colOff>755650</xdr:colOff>
      <xdr:row>31</xdr:row>
      <xdr:rowOff>155575</xdr:rowOff>
    </xdr:to>
    <xdr:graphicFrame macro="">
      <xdr:nvGraphicFramePr>
        <xdr:cNvPr id="6" name="Chart 5">
          <a:extLst>
            <a:ext uri="{FF2B5EF4-FFF2-40B4-BE49-F238E27FC236}">
              <a16:creationId xmlns:a16="http://schemas.microsoft.com/office/drawing/2014/main" id="{C651C13C-4D1D-44F0-6EA9-964F3C92A0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25400</xdr:colOff>
      <xdr:row>17</xdr:row>
      <xdr:rowOff>25400</xdr:rowOff>
    </xdr:from>
    <xdr:to>
      <xdr:col>16</xdr:col>
      <xdr:colOff>755650</xdr:colOff>
      <xdr:row>31</xdr:row>
      <xdr:rowOff>155575</xdr:rowOff>
    </xdr:to>
    <xdr:graphicFrame macro="">
      <xdr:nvGraphicFramePr>
        <xdr:cNvPr id="7" name="Chart 6">
          <a:extLst>
            <a:ext uri="{FF2B5EF4-FFF2-40B4-BE49-F238E27FC236}">
              <a16:creationId xmlns:a16="http://schemas.microsoft.com/office/drawing/2014/main" id="{F1611F5D-7D37-5602-29F0-CBFB740B5A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25400</xdr:colOff>
      <xdr:row>35</xdr:row>
      <xdr:rowOff>25400</xdr:rowOff>
    </xdr:from>
    <xdr:to>
      <xdr:col>9</xdr:col>
      <xdr:colOff>755650</xdr:colOff>
      <xdr:row>47</xdr:row>
      <xdr:rowOff>155575</xdr:rowOff>
    </xdr:to>
    <xdr:graphicFrame macro="">
      <xdr:nvGraphicFramePr>
        <xdr:cNvPr id="8" name="Chart 7">
          <a:extLst>
            <a:ext uri="{FF2B5EF4-FFF2-40B4-BE49-F238E27FC236}">
              <a16:creationId xmlns:a16="http://schemas.microsoft.com/office/drawing/2014/main" id="{85236607-3926-77F7-98FC-9F3D828164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25400</xdr:colOff>
      <xdr:row>35</xdr:row>
      <xdr:rowOff>25400</xdr:rowOff>
    </xdr:from>
    <xdr:to>
      <xdr:col>16</xdr:col>
      <xdr:colOff>755650</xdr:colOff>
      <xdr:row>47</xdr:row>
      <xdr:rowOff>155575</xdr:rowOff>
    </xdr:to>
    <xdr:graphicFrame macro="">
      <xdr:nvGraphicFramePr>
        <xdr:cNvPr id="9" name="Chart 8">
          <a:extLst>
            <a:ext uri="{FF2B5EF4-FFF2-40B4-BE49-F238E27FC236}">
              <a16:creationId xmlns:a16="http://schemas.microsoft.com/office/drawing/2014/main" id="{5D95DFF3-35A1-66C3-6355-C814FE36C2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nguyennp" refreshedDate="46305.738929398147" backgroundQuery="1" createdVersion="3" refreshedVersion="8" minRefreshableVersion="3" recordCount="0" tupleCache="1" supportSubquery="1" supportAdvancedDrill="1" xr:uid="{D7AC5948-6726-4626-B65C-DB7D6B1854BB}">
  <cacheSource type="external" connectionId="11"/>
  <cacheFields count="8">
    <cacheField name="[dim_date].[year].[year]" caption="year" numFmtId="0" hierarchy="7" level="1">
      <sharedItems count="1">
        <s v="[dim_date].[year].&amp;[2020]" c="2020"/>
      </sharedItems>
    </cacheField>
    <cacheField name="[dim_date].[month].[month]" caption="month" numFmtId="0" hierarchy="9" level="1">
      <sharedItems count="3">
        <s v="[dim_date].[month].&amp;[12]" c="12"/>
        <s v="[dim_date].[month].&amp;[6]" c="6"/>
        <s v="[dim_date].[month].&amp;[2]" c="2"/>
      </sharedItems>
    </cacheField>
    <cacheField name="[Measures].[MeasuresLevel]" caption="MeasuresLevel" numFmtId="0" hierarchy="84">
      <sharedItems count="22">
        <s v="[Measures].[Pending Orders]" c="Pending Orders"/>
        <s v="[Measures].[Net Sales]" c="Net Sales"/>
        <s v="[Measures].[Tỷ lệ chiết khấu]" c="Tỷ lệ chiết khấu"/>
        <s v="[Measures].[Tỷ trọng online]" c="Tỷ trọng online"/>
        <s v="[Measures].[Cancelled Orders]" c="Cancelled Orders"/>
        <s v="[Measures].[HQ Adjustment]" c="HQ Adjustment"/>
        <s v="[Measures].[Số cửa hàng vượt ngưỡng]" c="Số cửa hàng vượt ngưỡng"/>
        <s v="[Measures].[Δ sau quy đổi]" c="Δ sau quy đổi"/>
        <s v="[Measures].[Δ Finance %]" c="Δ Finance %"/>
        <s v="[Measures].[Δ Finance]" c="Δ Finance"/>
        <s v="[Measures].[Finance Net Revenue]" c="Finance Net Revenue"/>
        <s v="[Measures].[Return Rate]" c="Return Rate"/>
        <s v="[Measures].[ASP]" c="ASP"/>
        <s v="[Measures].[AOV]" c="AOV"/>
        <s v="[Measures].[Units]" c="Units"/>
        <s v="[Measures].[Orders]" c="Orders"/>
        <s v="[Measures].[Net Revenue]" c="Net Revenue"/>
        <s v="[Measures].[Returns]" c="Returns"/>
        <s v="[Measures].[Discounts]" c="Discounts"/>
        <s v="[Measures].[Gross Sales]" c="Gross Sales"/>
        <s v="[Measures].[Net Revenue LM]" c="Net Revenue LM"/>
        <s v="[Measures].[Net Revenue SPLY]" c="Net Revenue SPLY"/>
      </sharedItems>
    </cacheField>
    <cacheField name="[dim_channel].[channel_code].[channel_code]" caption="channel_code" numFmtId="0" hierarchy="1" level="1">
      <sharedItems count="2">
        <s v="[dim_channel].[channel_code].&amp;[POS]" c="POS"/>
        <s v="[dim_channel].[channel_code].&amp;[ONLINE]" c="ONLINE"/>
      </sharedItems>
    </cacheField>
    <cacheField name="[dim_date].[month_id].[month_id]" caption="month_id" numFmtId="0" hierarchy="10" level="1">
      <sharedItems count="34">
        <s v="[dim_date].[month_id].&amp;[201905]" c="201905"/>
        <s v="[dim_date].[month_id].&amp;[201901]" c="201901"/>
        <s v="[dim_date].[month_id].&amp;[202003]" c="202003"/>
        <s v="[dim_date].[month_id].&amp;[201906]" c="201906"/>
        <s v="[dim_date].[month_id].&amp;[202005]" c="202005"/>
        <s v="[dim_date].[month_id].&amp;[202004]" c="202004"/>
        <s v="[dim_date].[month_id].&amp;[202007]" c="202007"/>
        <s v="[dim_date].[month_id].&amp;[202002]" c="202002"/>
        <s v="[dim_date].[month_id].&amp;[201910]" c="201910"/>
        <s v="[dim_date].[month_id].&amp;[201909]" c="201909"/>
        <s v="[dim_date].[month_id].&amp;[202008]" c="202008"/>
        <s v="[dim_date].[month_id].&amp;[202012]" c="202012"/>
        <s v="[dim_date].[month_id].&amp;[201907]" c="201907"/>
        <s v="[dim_date].[month_id].&amp;[202010]" c="202010"/>
        <s v="[dim_date].[month_id].&amp;[201912]" c="201912"/>
        <s v="[dim_date].[month_id].&amp;[201903]" c="201903"/>
        <s v="[dim_date].[month_id].&amp;[201911]" c="201911"/>
        <s v="[dim_date].[month_id].&amp;[202001]" c="202001"/>
        <s v="[dim_date].[month_id].&amp;[201908]" c="201908"/>
        <s v="[dim_date].[month_id].&amp;[201904]" c="201904"/>
        <s v="[dim_date].[month_id].&amp;[202011]" c="202011"/>
        <s v="[dim_date].[month_id].&amp;[202006]" c="202006"/>
        <s v="[dim_date].[month_id].&amp;[201902]" c="201902"/>
        <s v="[dim_date].[month_id].&amp;[202009]" c="202009"/>
        <s v="[dim_date].[month_id].&amp;[201811]" c="201811"/>
        <s v="[dim_date].[month_id].&amp;[201807]" c="201807"/>
        <s v="[dim_date].[month_id].&amp;[201812]" c="201812"/>
        <s v="[dim_date].[month_id].&amp;[201809]" c="201809"/>
        <s v="[dim_date].[month_id].&amp;[201810]" c="201810"/>
        <s v="[dim_date].[month_id].&amp;[201808]" c="201808"/>
        <s v="[dim_date].[month_id].&amp;[201803]" c="201803"/>
        <s v="[dim_date].[month_id].&amp;[201805]" c="201805"/>
        <s v="[dim_date].[month_id].&amp;[201806]" c="201806"/>
        <s v="[dim_date].[month_id].&amp;[201804]" c="201804"/>
      </sharedItems>
    </cacheField>
    <cacheField name="[dim_channel].[channel_name].[channel_name]" caption="channel_name" numFmtId="0" hierarchy="2" level="1">
      <sharedItems count="2">
        <s v="[dim_channel].[channel_name].&amp;[Cửa hàng]" c="Cửa hàng"/>
        <s v="[dim_channel].[channel_name].&amp;[Website/app]" c="Website/app"/>
      </sharedItems>
    </cacheField>
    <cacheField name="[dim_store].[store_name].[store_name]" caption="store_name" numFmtId="0" hierarchy="40" level="1">
      <sharedItems count="24">
        <s v="[dim_store].[store_name].&amp;[Nexa Online (website/app)]" c="Nexa Online (website/app)"/>
        <s v="[dim_store].[store_name].&amp;[Nexa Nebraska (S54)]" c="Nexa Nebraska (S54)"/>
        <s v="[dim_store].[store_name].&amp;[Nexa Montana (S53)]" c="Nexa Montana (S53)"/>
        <s v="[dim_store].[store_name].&amp;[Nexa Hawaii (S47)]" c="Nexa Hawaii (S47)"/>
        <s v="[dim_store].[store_name].&amp;[Nexa Northwest Territories (S09)]" c="Nexa Northwest Territories (S09)"/>
        <s v="[dim_store].[store_name].&amp;[Nexa Basse-Normandie (S12)]" c="Nexa Basse-Normandie (S12)"/>
        <s v="[dim_store].[store_name].&amp;[Nexa Newfoundland and Labrador (S08)]" c="Nexa Newfoundland and Labrador (S08)"/>
        <s v="[dim_store].[store_name].&amp;[Nexa Belfast (S38)]" c="Nexa Belfast (S38)"/>
        <s v="[dim_store].[store_name].&amp;[Nexa Sachsen-Anhalt (S27)]" c="Nexa Sachsen-Anhalt (S27)"/>
        <s v="[dim_store].[store_name].&amp;[Nexa Hamburg (S23)]" c="Nexa Hamburg (S23)"/>
        <s v="[dim_store].[store_name].&amp;[Nexa New Mexico (S57)]" c="Nexa New Mexico (S57)"/>
        <s v="[dim_store].[store_name].&amp;[Nexa Idaho (S48)]" c="Nexa Idaho (S48)"/>
        <s v="[dim_store].[store_name].&amp;[Nexa Connecticut (S45)]" c="Nexa Connecticut (S45)"/>
        <s v="[dim_store].[store_name].&amp;[Nexa West Virginia (S65)]" c="Nexa West Virginia (S65)"/>
        <s v="[dim_store].[store_name].&amp;[Nexa Wyoming (S66)]" c="Nexa Wyoming (S66)"/>
        <s v="[dim_store].[store_name].&amp;[Nexa South Carolina (S61)]" c="Nexa South Carolina (S61)"/>
        <s v="[dim_store].[store_name].&amp;[Nexa Oregon (S59)]" c="Nexa Oregon (S59)"/>
        <s v="[dim_store].[store_name].&amp;[Nexa Maine (S51)]" c="Nexa Maine (S51)"/>
        <s v="[dim_store].[store_name].&amp;[Nexa New Hampshire (S56)]" c="Nexa New Hampshire (S56)"/>
        <s v="[dim_store].[store_name].&amp;[Nexa Arkansas (S44)]" c="Nexa Arkansas (S44)"/>
        <s v="[dim_store].[store_name].&amp;[Nexa Nevada (S55)]" c="Nexa Nevada (S55)"/>
        <s v="[dim_store].[store_name].&amp;[Nexa Alaska (S43)]" c="Nexa Alaska (S43)"/>
        <s v="[dim_store].[store_name].&amp;[Nexa Washington DC (S64)]" c="Nexa Washington DC (S64)"/>
        <s v="[dim_store].[store_name].&amp;[Nexa Nunavut (S10)]" c="Nexa Nunavut (S10)"/>
      </sharedItems>
    </cacheField>
    <cacheField name="[dim_store].[country].[country]" caption="country" numFmtId="0" hierarchy="42" level="1">
      <sharedItems count="1">
        <s v="[dim_store].[country].&amp;[United States]" c="United States"/>
      </sharedItems>
    </cacheField>
  </cacheFields>
  <cacheHierarchies count="125">
    <cacheHierarchy uniqueName="[_Measures].[ghi_chu]" caption="ghi_chu" attribute="1" defaultMemberUniqueName="[_Measures].[ghi_chu].[All]" allUniqueName="[_Measures].[ghi_chu].[All]" dimensionUniqueName="[_Measures]" displayFolder="" count="2" memberValueDatatype="130" unbalanced="0"/>
    <cacheHierarchy uniqueName="[dim_channel].[channel_code]" caption="channel_code" attribute="1" defaultMemberUniqueName="[dim_channel].[channel_code].[All]" allUniqueName="[dim_channel].[channel_code].[All]" dimensionUniqueName="[dim_channel]" displayFolder="" count="2" memberValueDatatype="130" unbalanced="0">
      <fieldsUsage count="2">
        <fieldUsage x="-1"/>
        <fieldUsage x="3"/>
      </fieldsUsage>
    </cacheHierarchy>
    <cacheHierarchy uniqueName="[dim_channel].[channel_name]" caption="channel_name" attribute="1" defaultMemberUniqueName="[dim_channel].[channel_name].[All]" allUniqueName="[dim_channel].[channel_name].[All]" allCaption="All" dimensionUniqueName="[dim_channel]" displayFolder="" count="2" memberValueDatatype="130" unbalanced="0">
      <fieldsUsage count="2">
        <fieldUsage x="-1"/>
        <fieldUsage x="5"/>
      </fieldsUsage>
    </cacheHierarchy>
    <cacheHierarchy uniqueName="[dim_channel].[fin_channel]" caption="fin_channel" attribute="1" defaultMemberUniqueName="[dim_channel].[fin_channel].[All]" allUniqueName="[dim_channel].[fin_channel].[All]" dimensionUniqueName="[dim_channel]" displayFolder="" count="2"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2"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date_key]" caption="date_key" attribute="1" defaultMemberUniqueName="[dim_date].[date_key].[All]" allUniqueName="[dim_date].[date_key].[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quarter]" caption="quarter" attribute="1" defaultMemberUniqueName="[dim_date].[quarter].[All]" allUniqueName="[dim_date].[quarter].[All]" dimensionUniqueName="[dim_date]" displayFolder="" count="2"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month_id]" caption="month_id" attribute="1" defaultMemberUniqueName="[dim_date].[month_id].[All]" allUniqueName="[dim_date].[month_id].[All]" dimensionUniqueName="[dim_date]" displayFolder="" count="2" memberValueDatatype="20" unbalanced="0">
      <fieldsUsage count="2">
        <fieldUsage x="-1"/>
        <fieldUsage x="4"/>
      </fieldsUsage>
    </cacheHierarchy>
    <cacheHierarchy uniqueName="[dim_date].[month_label]" caption="month_label" attribute="1" defaultMemberUniqueName="[dim_date].[month_label].[All]" allUniqueName="[dim_date].[month_label].[All]" dimensionUniqueName="[dim_date]" displayFolder="" count="2" memberValueDatatype="130" unbalanced="0"/>
    <cacheHierarchy uniqueName="[dim_date].[day]" caption="day" attribute="1" defaultMemberUniqueName="[dim_date].[day].[All]" allUniqueName="[dim_date].[day].[All]" dimensionUniqueName="[dim_date]" displayFolder="" count="2" memberValueDatatype="20" unbalanced="0"/>
    <cacheHierarchy uniqueName="[dim_date].[weekday_no]" caption="weekday_no" attribute="1" defaultMemberUniqueName="[dim_date].[weekday_no].[All]" allUniqueName="[dim_date].[weekday_no].[All]" dimensionUniqueName="[dim_date]" displayFolder="" count="2" memberValueDatatype="20" unbalanced="0"/>
    <cacheHierarchy uniqueName="[dim_date].[weekday_name]" caption="weekday_name" attribute="1" defaultMemberUniqueName="[dim_date].[weekday_name].[All]" allUniqueName="[dim_date].[weekday_name].[All]" dimensionUniqueName="[dim_date]" displayFolder="" count="2" memberValueDatatype="130" unbalanced="0"/>
    <cacheHierarchy uniqueName="[dim_date].[is_weekend]" caption="is_weekend" attribute="1" defaultMemberUniqueName="[dim_date].[is_weekend].[All]" allUniqueName="[dim_date].[is_weekend].[All]" dimensionUniqueName="[dim_date]" displayFolder="" count="2" memberValueDatatype="11" unbalanced="0"/>
    <cacheHierarchy uniqueName="[dim_date].[has_data]" caption="has_data" attribute="1" defaultMemberUniqueName="[dim_date].[has_data].[All]" allUniqueName="[dim_date].[has_data].[All]" dimensionUniqueName="[dim_date]" displayFolder="" count="2" memberValueDatatype="11" unbalanced="0"/>
    <cacheHierarchy uniqueName="[dim_date].[month_end_date]" caption="month_end_date" attribute="1" time="1" defaultMemberUniqueName="[dim_date].[month_end_date].[All]" allUniqueName="[dim_date].[month_end_date].[All]" dimensionUniqueName="[dim_date]" displayFolder="" count="2" memberValueDatatype="7" unbalanced="0"/>
    <cacheHierarchy uniqueName="[dim_order_status].[order_status]" caption="order_status" attribute="1" defaultMemberUniqueName="[dim_order_status].[order_status].[All]" allUniqueName="[dim_order_status].[order_status].[All]" dimensionUniqueName="[dim_order_status]" displayFolder="" count="2" memberValueDatatype="130" unbalanced="0"/>
    <cacheHierarchy uniqueName="[dim_order_status].[status_name]" caption="status_name" attribute="1" defaultMemberUniqueName="[dim_order_status].[status_name].[All]" allUniqueName="[dim_order_status].[status_name].[All]" dimensionUniqueName="[dim_order_status]" displayFolder="" count="2"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2" memberValueDatatype="130" unbalanced="0"/>
    <cacheHierarchy uniqueName="[dim_order_status].[rule]" caption="rule" attribute="1" defaultMemberUniqueName="[dim_order_status].[rule].[All]" allUniqueName="[dim_order_status].[rule].[All]" dimensionUniqueName="[dim_order_status]" displayFolder="" count="2" memberValueDatatype="130" unbalanced="0"/>
    <cacheHierarchy uniqueName="[dim_product].[product_key]" caption="product_key" attribute="1" defaultMemberUniqueName="[dim_product].[product_key].[All]" allUniqueName="[dim_product].[product_key].[All]" dimensionUniqueName="[dim_product]" displayFolder="" count="2" memberValueDatatype="20" unbalanced="0"/>
    <cacheHierarchy uniqueName="[dim_product].[product_name]" caption="product_name" attribute="1" defaultMemberUniqueName="[dim_product].[product_name].[All]" allUniqueName="[dim_product].[product_name].[All]" dimensionUniqueName="[dim_product]" displayFolder="" count="2" memberValueDatatype="130" unbalanced="0"/>
    <cacheHierarchy uniqueName="[dim_product].[brand]" caption="brand" attribute="1" defaultMemberUniqueName="[dim_product].[brand].[All]" allUniqueName="[dim_product].[brand].[All]" dimensionUniqueName="[dim_product]" displayFolder="" count="2" memberValueDatatype="130" unbalanced="0"/>
    <cacheHierarchy uniqueName="[dim_product].[color]" caption="color" attribute="1" defaultMemberUniqueName="[dim_product].[color].[All]" allUniqueName="[dim_product].[color].[All]" dimensionUniqueName="[dim_product]" displayFolder="" count="2" memberValueDatatype="130" unbalanced="0"/>
    <cacheHierarchy uniqueName="[dim_product].[subcategory_key]" caption="subcategory_key" attribute="1" defaultMemberUniqueName="[dim_product].[subcategory_key].[All]" allUniqueName="[dim_product].[subcategory_key].[All]" dimensionUniqueName="[dim_product]" displayFolder="" count="2"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cacheHierarchy uniqueName="[dim_product].[category_key]" caption="category_key" attribute="1" defaultMemberUniqueName="[dim_product].[category_key].[All]" allUniqueName="[dim_product].[category_key].[All]" dimensionUniqueName="[dim_product]" displayFolder="" count="2"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list_price_usd]" caption="list_price_usd" attribute="1" defaultMemberUniqueName="[dim_product].[list_price_usd].[All]" allUniqueName="[dim_product].[list_price_usd].[All]" dimensionUniqueName="[dim_product]" displayFolder="" count="2" memberValueDatatype="5" unbalanced="0"/>
    <cacheHierarchy uniqueName="[dim_product].[unit_cost_usd]" caption="unit_cost_usd" attribute="1" defaultMemberUniqueName="[dim_product].[unit_cost_usd].[All]" allUniqueName="[dim_product].[unit_cost_usd].[All]" dimensionUniqueName="[dim_product]" displayFolder="" count="2" memberValueDatatype="5" unbalanced="0"/>
    <cacheHierarchy uniqueName="[dim_promotion].[promo_code]" caption="promo_code" attribute="1" defaultMemberUniqueName="[dim_promotion].[promo_code].[All]" allUniqueName="[dim_promotion].[promo_code].[All]" dimensionUniqueName="[dim_promotion]" displayFolder="" count="2" memberValueDatatype="130" unbalanced="0"/>
    <cacheHierarchy uniqueName="[dim_promotion].[promo_name]" caption="promo_name" attribute="1" defaultMemberUniqueName="[dim_promotion].[promo_name].[All]" allUniqueName="[dim_promotion].[promo_name].[All]" dimensionUniqueName="[dim_promotion]" displayFolder="" count="2" memberValueDatatype="130" unbalanced="0"/>
    <cacheHierarchy uniqueName="[dim_promotion].[discount_pct]" caption="discount_pct" attribute="1" defaultMemberUniqueName="[dim_promotion].[discount_pct].[All]" allUniqueName="[dim_promotion].[discount_pct].[All]" dimensionUniqueName="[dim_promotion]" displayFolder="" count="2" memberValueDatatype="5" unbalanced="0"/>
    <cacheHierarchy uniqueName="[dim_promotion].[window_from_mmdd]" caption="window_from_mmdd" attribute="1" defaultMemberUniqueName="[dim_promotion].[window_from_mmdd].[All]" allUniqueName="[dim_promotion].[window_from_mmdd].[All]" dimensionUniqueName="[dim_promotion]" displayFolder="" count="2" memberValueDatatype="130" unbalanced="0"/>
    <cacheHierarchy uniqueName="[dim_promotion].[window_to_mmdd]" caption="window_to_mmdd" attribute="1" defaultMemberUniqueName="[dim_promotion].[window_to_mmdd].[All]" allUniqueName="[dim_promotion].[window_to_mmdd].[All]" dimensionUniqueName="[dim_promotion]" displayFolder="" count="2" memberValueDatatype="130" unbalanced="0"/>
    <cacheHierarchy uniqueName="[dim_promotion].[channel]" caption="channel" attribute="1" defaultMemberUniqueName="[dim_promotion].[channel].[All]" allUniqueName="[dim_promotion].[channel].[All]" dimensionUniqueName="[dim_promotion]" displayFolder="" count="2" memberValueDatatype="130" unbalanced="0"/>
    <cacheHierarchy uniqueName="[dim_store].[store_key]" caption="store_key" attribute="1" defaultMemberUniqueName="[dim_store].[store_key].[All]" allUniqueName="[dim_store].[store_key].[All]" dimensionUniqueName="[dim_store]" displayFolder="" count="2" memberValueDatatype="20" unbalanced="0"/>
    <cacheHierarchy uniqueName="[dim_store].[store_code]" caption="store_code" attribute="1" defaultMemberUniqueName="[dim_store].[store_code].[All]" allUniqueName="[dim_store].[store_code].[All]" dimensionUniqueName="[dim_store]" displayFolder="" count="2" memberValueDatatype="130" unbalanced="0"/>
    <cacheHierarchy uniqueName="[dim_store].[store_name]" caption="store_name" attribute="1" defaultMemberUniqueName="[dim_store].[store_name].[All]" allUniqueName="[dim_store].[store_name].[All]" dimensionUniqueName="[dim_store]" displayFolder="" count="2" memberValueDatatype="130" unbalanced="0">
      <fieldsUsage count="2">
        <fieldUsage x="-1"/>
        <fieldUsage x="6"/>
      </fieldsUsage>
    </cacheHierarchy>
    <cacheHierarchy uniqueName="[dim_store].[channel_code]" caption="channel_code" attribute="1" defaultMemberUniqueName="[dim_store].[channel_code].[All]" allUniqueName="[dim_store].[channel_code].[All]" dimensionUniqueName="[dim_store]" displayFolder="" count="2" memberValueDatatype="130" unbalanced="0"/>
    <cacheHierarchy uniqueName="[dim_store].[country]" caption="country" attribute="1" defaultMemberUniqueName="[dim_store].[country].[All]" allUniqueName="[dim_store].[country].[All]" allCaption="All" dimensionUniqueName="[dim_store]" displayFolder="" count="2" memberValueDatatype="130" unbalanced="0">
      <fieldsUsage count="2">
        <fieldUsage x="-1"/>
        <fieldUsage x="7"/>
      </fieldsUsage>
    </cacheHierarchy>
    <cacheHierarchy uniqueName="[dim_store].[region]" caption="region" attribute="1" defaultMemberUniqueName="[dim_store].[region].[All]" allUniqueName="[dim_store].[region].[All]" dimensionUniqueName="[dim_store]" displayFolder="" count="2" memberValueDatatype="130" unbalanced="0"/>
    <cacheHierarchy uniqueName="[dim_store].[state]" caption="state" attribute="1" defaultMemberUniqueName="[dim_store].[state].[All]" allUniqueName="[dim_store].[state].[All]" dimensionUniqueName="[dim_store]" displayFolder="" count="2" memberValueDatatype="130" unbalanced="0"/>
    <cacheHierarchy uniqueName="[dim_store].[square_meters]" caption="square_meters" attribute="1" defaultMemberUniqueName="[dim_store].[square_meters].[All]" allUniqueName="[dim_store].[square_meters].[All]" dimensionUniqueName="[dim_store]" displayFolder="" count="2" memberValueDatatype="20" unbalanced="0"/>
    <cacheHierarchy uniqueName="[dim_store].[open_date]" caption="open_date" attribute="1" time="1" defaultMemberUniqueName="[dim_store].[open_date].[All]" allUniqueName="[dim_store].[open_date].[All]" dimensionUniqueName="[dim_store]" displayFolder="" count="2" memberValueDatatype="7" unbalanced="0"/>
    <cacheHierarchy uniqueName="[fact_finance].[posting_date]" caption="posting_date" attribute="1" time="1" defaultMemberUniqueName="[fact_finance].[posting_date].[All]" allUniqueName="[fact_finance].[posting_date].[All]" dimensionUniqueName="[fact_finance]" displayFolder="" count="2" memberValueDatatype="7" unbalanced="0"/>
    <cacheHierarchy uniqueName="[fact_finance].[fin_store_code]" caption="fin_store_code" attribute="1" defaultMemberUniqueName="[fact_finance].[fin_store_code].[All]" allUniqueName="[fact_finance].[fin_store_code].[All]" dimensionUniqueName="[fact_finance]" displayFolder="" count="2" memberValueDatatype="130" unbalanced="0"/>
    <cacheHierarchy uniqueName="[fact_finance].[fin_channel]" caption="fin_channel" attribute="1" defaultMemberUniqueName="[fact_finance].[fin_channel].[All]" allUniqueName="[fact_finance].[fin_channel].[All]" dimensionUniqueName="[fact_finance]" displayFolder="" count="2" memberValueDatatype="130" unbalanced="0"/>
    <cacheHierarchy uniqueName="[fact_finance].[entry_type]" caption="entry_type" attribute="1" defaultMemberUniqueName="[fact_finance].[entry_type].[All]" allUniqueName="[fact_finance].[entry_type].[All]" dimensionUniqueName="[fact_finance]" displayFolder="" count="2"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2" memberValueDatatype="5" unbalanced="0"/>
    <cacheHierarchy uniqueName="[fact_finance].[refunds]" caption="refunds" attribute="1" defaultMemberUniqueName="[fact_finance].[refunds].[All]" allUniqueName="[fact_finance].[refunds].[All]" dimensionUniqueName="[fact_finance]" displayFolder="" count="2" memberValueDatatype="5" unbalanced="0"/>
    <cacheHierarchy uniqueName="[fact_finance].[net_revenue]" caption="net_revenue" attribute="1" defaultMemberUniqueName="[fact_finance].[net_revenue].[All]" allUniqueName="[fact_finance].[net_revenue].[All]" dimensionUniqueName="[fact_finance]" displayFolder="" count="2" memberValueDatatype="5" unbalanced="0"/>
    <cacheHierarchy uniqueName="[fact_finance].[vat_amount]" caption="vat_amount" attribute="1" defaultMemberUniqueName="[fact_finance].[vat_amount].[All]" allUniqueName="[fact_finance].[vat_amount].[All]" dimensionUniqueName="[fact_finance]" displayFolder="" count="2" memberValueDatatype="5" unbalanced="0"/>
    <cacheHierarchy uniqueName="[fact_finance].[total_incl_vat]" caption="total_incl_vat" attribute="1" defaultMemberUniqueName="[fact_finance].[total_incl_vat].[All]" allUniqueName="[fact_finance].[total_incl_vat].[All]" dimensionUniqueName="[fact_finance]" displayFolder="" count="2" memberValueDatatype="5" unbalanced="0"/>
    <cacheHierarchy uniqueName="[fact_finance].[store_key]" caption="store_key" attribute="1" defaultMemberUniqueName="[fact_finance].[store_key].[All]" allUniqueName="[fact_finance].[store_key].[All]" dimensionUniqueName="[fact_finance]" displayFolder="" count="2" memberValueDatatype="20" unbalanced="0"/>
    <cacheHierarchy uniqueName="[fact_return].[return_id]" caption="return_id" attribute="1" defaultMemberUniqueName="[fact_return].[return_id].[All]" allUniqueName="[fact_return].[return_id].[All]" dimensionUniqueName="[fact_return]" displayFolder="" count="2" memberValueDatatype="130" unbalanced="0"/>
    <cacheHierarchy uniqueName="[fact_return].[order_number]" caption="order_number" attribute="1" defaultMemberUniqueName="[fact_return].[order_number].[All]" allUniqueName="[fact_return].[order_number].[All]" dimensionUniqueName="[fact_return]" displayFolder="" count="2" memberValueDatatype="20" unbalanced="0"/>
    <cacheHierarchy uniqueName="[fact_return].[line_item]" caption="line_item" attribute="1" defaultMemberUniqueName="[fact_return].[line_item].[All]" allUniqueName="[fact_return].[line_item].[All]" dimensionUniqueName="[fact_return]" displayFolder="" count="2" memberValueDatatype="20" unbalanced="0"/>
    <cacheHierarchy uniqueName="[fact_return].[return_date]" caption="return_date" attribute="1" time="1" defaultMemberUniqueName="[fact_return].[return_date].[All]" allUniqueName="[fact_return].[return_date].[All]" dimensionUniqueName="[fact_return]" displayFolder="" count="2" memberValueDatatype="7" unbalanced="0"/>
    <cacheHierarchy uniqueName="[fact_return].[return_qty]" caption="return_qty" attribute="1" defaultMemberUniqueName="[fact_return].[return_qty].[All]" allUniqueName="[fact_return].[return_qty].[All]" dimensionUniqueName="[fact_return]" displayFolder="" count="2" memberValueDatatype="20" unbalanced="0"/>
    <cacheHierarchy uniqueName="[fact_return].[return_amount]" caption="return_amount" attribute="1" defaultMemberUniqueName="[fact_return].[return_amount].[All]" allUniqueName="[fact_return].[return_amount].[All]" dimensionUniqueName="[fact_return]" displayFolder="" count="2" memberValueDatatype="5" unbalanced="0"/>
    <cacheHierarchy uniqueName="[fact_return].[return_reason]" caption="return_reason" attribute="1" defaultMemberUniqueName="[fact_return].[return_reason].[All]" allUniqueName="[fact_return].[return_reason].[All]" dimensionUniqueName="[fact_return]" displayFolder="" count="2" memberValueDatatype="130" unbalanced="0"/>
    <cacheHierarchy uniqueName="[fact_return].[store_key]" caption="store_key" attribute="1" defaultMemberUniqueName="[fact_return].[store_key].[All]" allUniqueName="[fact_return].[store_key].[All]" dimensionUniqueName="[fact_return]" displayFolder="" count="2" memberValueDatatype="20" unbalanced="0"/>
    <cacheHierarchy uniqueName="[fact_return].[channel_code]" caption="channel_code" attribute="1" defaultMemberUniqueName="[fact_return].[channel_code].[All]" allUniqueName="[fact_return].[channel_code].[All]" dimensionUniqueName="[fact_return]" displayFolder="" count="2" memberValueDatatype="130" unbalanced="0"/>
    <cacheHierarchy uniqueName="[fact_return].[product_key]" caption="product_key" attribute="1" defaultMemberUniqueName="[fact_return].[product_key].[All]" allUniqueName="[fact_return].[product_key].[All]" dimensionUniqueName="[fact_return]" displayFolder="" count="2" memberValueDatatype="20" unbalanced="0"/>
    <cacheHierarchy uniqueName="[fact_sales_line].[order_number]" caption="order_number" attribute="1" defaultMemberUniqueName="[fact_sales_line].[order_number].[All]" allUniqueName="[fact_sales_line].[order_number].[All]" dimensionUniqueName="[fact_sales_line]" displayFolder="" count="2" memberValueDatatype="20" unbalanced="0"/>
    <cacheHierarchy uniqueName="[fact_sales_line].[line_item]" caption="line_item" attribute="1" defaultMemberUniqueName="[fact_sales_line].[line_item].[All]" allUniqueName="[fact_sales_line].[line_item].[All]" dimensionUniqueName="[fact_sales_line]" displayFolder="" count="2" memberValueDatatype="20" unbalanced="0"/>
    <cacheHierarchy uniqueName="[fact_sales_line].[order_date]" caption="order_date" attribute="1" time="1" defaultMemberUniqueName="[fact_sales_line].[order_date].[All]" allUniqueName="[fact_sales_line].[order_date].[All]" dimensionUniqueName="[fact_sales_line]" displayFolder="" count="2"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2" memberValueDatatype="7" unbalanced="0"/>
    <cacheHierarchy uniqueName="[fact_sales_line].[customer_key]" caption="customer_key" attribute="1" defaultMemberUniqueName="[fact_sales_line].[customer_key].[All]" allUniqueName="[fact_sales_line].[customer_key].[All]" dimensionUniqueName="[fact_sales_line]" displayFolder="" count="2" memberValueDatatype="20" unbalanced="0"/>
    <cacheHierarchy uniqueName="[fact_sales_line].[store_key]" caption="store_key" attribute="1" defaultMemberUniqueName="[fact_sales_line].[store_key].[All]" allUniqueName="[fact_sales_line].[store_key].[All]" dimensionUniqueName="[fact_sales_line]" displayFolder="" count="2" memberValueDatatype="20" unbalanced="0"/>
    <cacheHierarchy uniqueName="[fact_sales_line].[channel_code]" caption="channel_code" attribute="1" defaultMemberUniqueName="[fact_sales_line].[channel_code].[All]" allUniqueName="[fact_sales_line].[channel_code].[All]" dimensionUniqueName="[fact_sales_line]" displayFolder="" count="2" memberValueDatatype="130" unbalanced="0"/>
    <cacheHierarchy uniqueName="[fact_sales_line].[product_key]" caption="product_key" attribute="1" defaultMemberUniqueName="[fact_sales_line].[product_key].[All]" allUniqueName="[fact_sales_line].[product_key].[All]" dimensionUniqueName="[fact_sales_line]" displayFolder="" count="2" memberValueDatatype="20" unbalanced="0"/>
    <cacheHierarchy uniqueName="[fact_sales_line].[quantity]" caption="quantity" attribute="1" defaultMemberUniqueName="[fact_sales_line].[quantity].[All]" allUniqueName="[fact_sales_line].[quantity].[All]" dimensionUniqueName="[fact_sales_line]" displayFolder="" count="2" memberValueDatatype="20" unbalanced="0"/>
    <cacheHierarchy uniqueName="[fact_sales_line].[unit_price]" caption="unit_price" attribute="1" defaultMemberUniqueName="[fact_sales_line].[unit_price].[All]" allUniqueName="[fact_sales_line].[unit_price].[All]" dimensionUniqueName="[fact_sales_line]" displayFolder="" count="2" memberValueDatatype="5" unbalanced="0"/>
    <cacheHierarchy uniqueName="[fact_sales_line].[promo_code]" caption="promo_code" attribute="1" defaultMemberUniqueName="[fact_sales_line].[promo_code].[All]" allUniqueName="[fact_sales_line].[promo_code].[All]" dimensionUniqueName="[fact_sales_line]" displayFolder="" count="2"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2" memberValueDatatype="5" unbalanced="0"/>
    <cacheHierarchy uniqueName="[fact_sales_line].[order_status]" caption="order_status" attribute="1" defaultMemberUniqueName="[fact_sales_line].[order_status].[All]" allUniqueName="[fact_sales_line].[order_status].[All]" dimensionUniqueName="[fact_sales_line]" displayFolder="" count="2" memberValueDatatype="130" unbalanced="0"/>
    <cacheHierarchy uniqueName="[fact_sales_line].[currency_code]" caption="currency_code" attribute="1" defaultMemberUniqueName="[fact_sales_line].[currency_code].[All]" allUniqueName="[fact_sales_line].[currency_code].[All]" dimensionUniqueName="[fact_sales_line]" displayFolder="" count="2" memberValueDatatype="130" unbalanced="0"/>
    <cacheHierarchy uniqueName="[fact_sales_line].[unit_cost]" caption="unit_cost" attribute="1" defaultMemberUniqueName="[fact_sales_line].[unit_cost].[All]" allUniqueName="[fact_sales_line].[unit_cost].[All]" dimensionUniqueName="[fact_sales_line]" displayFolder="" count="2" memberValueDatatype="5" unbalanced="0"/>
    <cacheHierarchy uniqueName="[fact_sales_line].[gross_amount]" caption="gross_amount" attribute="1" defaultMemberUniqueName="[fact_sales_line].[gross_amount].[All]" allUniqueName="[fact_sales_line].[gross_amount].[All]" dimensionUniqueName="[fact_sales_line]" displayFolder="" count="2" memberValueDatatype="5" unbalanced="0"/>
    <cacheHierarchy uniqueName="[fact_sales_line].[net_amount]" caption="net_amount" attribute="1" defaultMemberUniqueName="[fact_sales_line].[net_amount].[All]" allUniqueName="[fact_sales_line].[net_amount].[All]" dimensionUniqueName="[fact_sales_line]" displayFolder="" count="2" memberValueDatatype="5" unbalanced="0"/>
    <cacheHierarchy uniqueName="[Measures]" caption="Measures" attribute="1" keyAttribute="1" defaultMemberUniqueName="[Measures].[__No measures defined]" dimensionUniqueName="[Measures]" displayFolder="" measures="1" count="1" memberValueDatatype="130" unbalanced="0">
      <fieldsUsage count="1">
        <fieldUsage x="2"/>
      </fieldsUsage>
    </cacheHierarchy>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tupleCache>
    <entries count="1411">
      <n v="29" in="0">
        <tpls c="3">
          <tpl hier="2" item="2"/>
          <tpl hier="42" item="3"/>
          <tpl fld="2" item="0"/>
        </tpls>
      </n>
      <n v="3.8622007851957352E-2" in="1">
        <tpls c="5">
          <tpl hier="2" item="2"/>
          <tpl hier="7" item="0"/>
          <tpl hier="9" item="1"/>
          <tpl hier="42" item="3"/>
          <tpl fld="2" item="2"/>
        </tpls>
      </n>
      <n v="0.25152648112879439" in="1">
        <tpls c="5">
          <tpl hier="2" item="2"/>
          <tpl hier="7" item="0"/>
          <tpl hier="9" item="1"/>
          <tpl hier="42" item="3"/>
          <tpl fld="2" item="3"/>
        </tpls>
      </n>
      <m in="0">
        <tpls c="5">
          <tpl hier="2" item="2"/>
          <tpl hier="7" item="0"/>
          <tpl hier="9" item="1"/>
          <tpl hier="42" item="3"/>
          <tpl fld="2" item="0"/>
        </tpls>
      </m>
      <n v="8" in="0">
        <tpls c="5">
          <tpl hier="2" item="2"/>
          <tpl hier="7" item="0"/>
          <tpl hier="9" item="1"/>
          <tpl hier="42" item="3"/>
          <tpl fld="2" item="4"/>
        </tpls>
      </n>
      <n v="-1435.5" in="0">
        <tpls c="5">
          <tpl hier="2" item="2"/>
          <tpl hier="7" item="0"/>
          <tpl hier="9" item="1"/>
          <tpl hier="42" item="3"/>
          <tpl fld="2" item="5"/>
        </tpls>
      </n>
      <n v="2" in="0">
        <tpls c="5">
          <tpl hier="2" item="2"/>
          <tpl hier="7" item="0"/>
          <tpl hier="9" item="1"/>
          <tpl hier="42" item="3"/>
          <tpl fld="2" item="6"/>
        </tpls>
      </n>
      <n v="10275.959999999963" in="0">
        <tpls c="5">
          <tpl hier="2" item="2"/>
          <tpl hier="7" item="0"/>
          <tpl hier="9" item="1"/>
          <tpl hier="42" item="3"/>
          <tpl fld="2" item="7"/>
        </tpls>
      </n>
      <n v="-2.1119382904840493E-2" in="1">
        <tpls c="5">
          <tpl hier="2" item="2"/>
          <tpl hier="7" item="0"/>
          <tpl hier="9" item="1"/>
          <tpl hier="42" item="3"/>
          <tpl fld="2" item="8"/>
        </tpls>
      </n>
      <n v="-12536.230000000098" in="0">
        <tpls c="5">
          <tpl hier="2" item="2"/>
          <tpl hier="7" item="0"/>
          <tpl hier="9" item="1"/>
          <tpl hier="42" item="3"/>
          <tpl fld="2" item="9"/>
        </tpls>
      </n>
      <n v="593588.84" in="0">
        <tpls c="5">
          <tpl hier="2" item="2"/>
          <tpl hier="7" item="0"/>
          <tpl hier="9" item="1"/>
          <tpl hier="42" item="3"/>
          <tpl fld="2" item="10"/>
        </tpls>
      </n>
      <n v="1.572992096578087E-2" in="1">
        <tpls c="5">
          <tpl hier="2" item="2"/>
          <tpl hier="7" item="0"/>
          <tpl hier="9" item="1"/>
          <tpl hier="42" item="3"/>
          <tpl fld="2" item="11"/>
        </tpls>
      </n>
      <n v="261.04779143704951" in="0">
        <tpls c="5">
          <tpl hier="2" item="2"/>
          <tpl hier="7" item="0"/>
          <tpl hier="9" item="1"/>
          <tpl hier="42" item="3"/>
          <tpl fld="2" item="12"/>
        </tpls>
      </n>
      <n v="1986.4894838709681" in="0">
        <tpls c="5">
          <tpl hier="2" item="2"/>
          <tpl hier="7" item="0"/>
          <tpl hier="9" item="1"/>
          <tpl hier="42" item="3"/>
          <tpl fld="2" item="13"/>
        </tpls>
      </n>
      <n v="2359" in="0">
        <tpls c="5">
          <tpl hier="2" item="2"/>
          <tpl hier="7" item="0"/>
          <tpl hier="9" item="1"/>
          <tpl hier="42" item="3"/>
          <tpl fld="2" item="14"/>
        </tpls>
      </n>
      <n v="310" in="0">
        <tpls c="5">
          <tpl hier="2" item="2"/>
          <tpl hier="7" item="0"/>
          <tpl hier="9" item="1"/>
          <tpl hier="42" item="3"/>
          <tpl fld="2" item="15"/>
        </tpls>
      </n>
      <n v="606125.07000000007" in="0">
        <tpls c="5">
          <tpl hier="2" item="2"/>
          <tpl hier="7" item="0"/>
          <tpl hier="9" item="1"/>
          <tpl hier="42" item="3"/>
          <tpl fld="2" item="16"/>
        </tpls>
      </n>
      <n v="9686.67" in="0">
        <tpls c="5">
          <tpl hier="2" item="2"/>
          <tpl hier="7" item="0"/>
          <tpl hier="9" item="1"/>
          <tpl hier="42" item="3"/>
          <tpl fld="2" item="17"/>
        </tpls>
      </n>
      <n v="615811.74000000011" in="0">
        <tpls c="5">
          <tpl hier="2" item="2"/>
          <tpl hier="7" item="0"/>
          <tpl hier="9" item="1"/>
          <tpl hier="42" item="3"/>
          <tpl fld="2" item="1"/>
        </tpls>
      </n>
      <n v="24739.370000000003" in="0">
        <tpls c="5">
          <tpl hier="2" item="2"/>
          <tpl hier="7" item="0"/>
          <tpl hier="9" item="1"/>
          <tpl hier="42" item="3"/>
          <tpl fld="2" item="18"/>
        </tpls>
      </n>
      <n v="640551.1100000001" in="0">
        <tpls c="5">
          <tpl hier="2" item="2"/>
          <tpl hier="7" item="0"/>
          <tpl hier="9" item="1"/>
          <tpl hier="42" item="3"/>
          <tpl fld="2" item="19"/>
        </tpls>
      </n>
      <n v="238036.67999999996" in="0">
        <tpls c="5">
          <tpl hier="2" item="2"/>
          <tpl hier="7" item="0"/>
          <tpl hier="9" item="1"/>
          <tpl hier="42" item="3"/>
          <tpl fld="2" item="20"/>
        </tpls>
      </n>
      <n v="2263414.9700000002" in="0">
        <tpls c="5">
          <tpl hier="2" item="2"/>
          <tpl hier="7" item="0"/>
          <tpl hier="9" item="1"/>
          <tpl hier="42" item="3"/>
          <tpl fld="2" item="21"/>
        </tpls>
      </n>
      <n v="460918.77999999997" in="0">
        <tpls c="6">
          <tpl fld="3" item="0"/>
          <tpl hier="2" item="2"/>
          <tpl hier="7" item="0"/>
          <tpl hier="9" item="1"/>
          <tpl hier="42" item="3"/>
          <tpl fld="2" item="1"/>
        </tpls>
      </n>
      <n v="154892.96000000005" in="0">
        <tpls c="6">
          <tpl fld="3" item="1"/>
          <tpl hier="2" item="2"/>
          <tpl hier="7" item="0"/>
          <tpl hier="9" item="1"/>
          <tpl hier="42" item="3"/>
          <tpl fld="2" item="1"/>
        </tpls>
      </n>
      <n v="1" in="0">
        <tpls c="6">
          <tpl fld="3" item="0"/>
          <tpl hier="2" item="2"/>
          <tpl hier="7" item="0"/>
          <tpl hier="9" item="1"/>
          <tpl hier="42" item="3"/>
          <tpl fld="2" item="6"/>
        </tpls>
      </n>
      <n v="784" in="0">
        <tpls c="4">
          <tpl hier="2" item="2"/>
          <tpl fld="4" item="0"/>
          <tpl hier="42" item="3"/>
          <tpl fld="2" item="15"/>
        </tpls>
      </n>
      <n v="3" in="0">
        <tpls c="5">
          <tpl fld="3" item="0"/>
          <tpl hier="2" item="2"/>
          <tpl fld="4" item="0"/>
          <tpl hier="42" item="3"/>
          <tpl fld="2" item="6"/>
        </tpls>
      </n>
      <n v="874" in="0">
        <tpls c="4">
          <tpl hier="2" item="2"/>
          <tpl fld="4" item="1"/>
          <tpl hier="42" item="3"/>
          <tpl fld="2" item="15"/>
        </tpls>
      </n>
      <n v="3" in="0">
        <tpls c="5">
          <tpl fld="3" item="0"/>
          <tpl hier="2" item="2"/>
          <tpl fld="4" item="1"/>
          <tpl hier="42" item="3"/>
          <tpl fld="2" item="6"/>
        </tpls>
      </n>
      <n v="325" in="0">
        <tpls c="4">
          <tpl hier="2" item="2"/>
          <tpl fld="4" item="2"/>
          <tpl hier="42" item="3"/>
          <tpl fld="2" item="15"/>
        </tpls>
      </n>
      <n v="3" in="0">
        <tpls c="5">
          <tpl fld="3" item="0"/>
          <tpl hier="2" item="2"/>
          <tpl fld="4" item="2"/>
          <tpl hier="42" item="3"/>
          <tpl fld="2" item="6"/>
        </tpls>
      </n>
      <n v="747" in="0">
        <tpls c="4">
          <tpl hier="2" item="2"/>
          <tpl fld="4" item="3"/>
          <tpl hier="42" item="3"/>
          <tpl fld="2" item="15"/>
        </tpls>
      </n>
      <n v="0" in="0">
        <tpls c="5">
          <tpl fld="3" item="0"/>
          <tpl hier="2" item="2"/>
          <tpl fld="4" item="3"/>
          <tpl hier="42" item="3"/>
          <tpl fld="2" item="6"/>
        </tpls>
      </n>
      <n v="448" in="0">
        <tpls c="4">
          <tpl hier="2" item="2"/>
          <tpl fld="4" item="4"/>
          <tpl hier="42" item="3"/>
          <tpl fld="2" item="15"/>
        </tpls>
      </n>
      <n v="0" in="0">
        <tpls c="5">
          <tpl fld="3" item="0"/>
          <tpl hier="2" item="2"/>
          <tpl fld="4" item="4"/>
          <tpl hier="42" item="3"/>
          <tpl fld="2" item="6"/>
        </tpls>
      </n>
      <n v="79" in="0">
        <tpls c="4">
          <tpl hier="2" item="2"/>
          <tpl fld="4" item="5"/>
          <tpl hier="42" item="3"/>
          <tpl fld="2" item="15"/>
        </tpls>
      </n>
      <n v="0" in="0">
        <tpls c="5">
          <tpl fld="3" item="0"/>
          <tpl hier="2" item="2"/>
          <tpl fld="4" item="5"/>
          <tpl hier="42" item="3"/>
          <tpl fld="2" item="6"/>
        </tpls>
      </n>
      <n v="245" in="0">
        <tpls c="4">
          <tpl hier="2" item="2"/>
          <tpl fld="4" item="6"/>
          <tpl hier="42" item="3"/>
          <tpl fld="2" item="15"/>
        </tpls>
      </n>
      <n v="1" in="0">
        <tpls c="5">
          <tpl fld="3" item="0"/>
          <tpl hier="2" item="2"/>
          <tpl fld="4" item="6"/>
          <tpl hier="42" item="3"/>
          <tpl fld="2" item="6"/>
        </tpls>
      </n>
      <n v="1100" in="0">
        <tpls c="4">
          <tpl hier="2" item="2"/>
          <tpl fld="4" item="7"/>
          <tpl hier="42" item="3"/>
          <tpl fld="2" item="15"/>
        </tpls>
      </n>
      <n v="10" in="0">
        <tpls c="5">
          <tpl fld="3" item="0"/>
          <tpl hier="2" item="2"/>
          <tpl fld="4" item="7"/>
          <tpl hier="42" item="3"/>
          <tpl fld="2" item="6"/>
        </tpls>
      </n>
      <n v="818" in="0">
        <tpls c="4">
          <tpl hier="2" item="2"/>
          <tpl fld="4" item="8"/>
          <tpl hier="42" item="3"/>
          <tpl fld="2" item="15"/>
        </tpls>
      </n>
      <n v="2" in="0">
        <tpls c="5">
          <tpl fld="3" item="0"/>
          <tpl hier="2" item="2"/>
          <tpl fld="4" item="8"/>
          <tpl hier="42" item="3"/>
          <tpl fld="2" item="6"/>
        </tpls>
      </n>
      <n v="750" in="0">
        <tpls c="4">
          <tpl hier="2" item="2"/>
          <tpl fld="4" item="9"/>
          <tpl hier="42" item="3"/>
          <tpl fld="2" item="15"/>
        </tpls>
      </n>
      <n v="2" in="0">
        <tpls c="5">
          <tpl fld="3" item="0"/>
          <tpl hier="2" item="2"/>
          <tpl fld="4" item="9"/>
          <tpl hier="42" item="3"/>
          <tpl fld="2" item="6"/>
        </tpls>
      </n>
      <n v="197" in="0">
        <tpls c="4">
          <tpl hier="2" item="2"/>
          <tpl fld="4" item="10"/>
          <tpl hier="42" item="3"/>
          <tpl fld="2" item="15"/>
        </tpls>
      </n>
      <n v="0" in="0">
        <tpls c="5">
          <tpl fld="3" item="0"/>
          <tpl hier="2" item="2"/>
          <tpl fld="4" item="10"/>
          <tpl hier="42" item="3"/>
          <tpl fld="2" item="6"/>
        </tpls>
      </n>
      <n v="310" in="0">
        <tpls c="4">
          <tpl hier="2" item="2"/>
          <tpl fld="4" item="11"/>
          <tpl hier="42" item="3"/>
          <tpl fld="2" item="15"/>
        </tpls>
      </n>
      <n v="1" in="0">
        <tpls c="5">
          <tpl fld="3" item="0"/>
          <tpl hier="2" item="2"/>
          <tpl fld="4" item="11"/>
          <tpl hier="42" item="3"/>
          <tpl fld="2" item="6"/>
        </tpls>
      </n>
      <n v="693" in="0">
        <tpls c="4">
          <tpl hier="2" item="2"/>
          <tpl fld="4" item="12"/>
          <tpl hier="42" item="3"/>
          <tpl fld="2" item="15"/>
        </tpls>
      </n>
      <n v="2" in="0">
        <tpls c="5">
          <tpl fld="3" item="0"/>
          <tpl hier="2" item="2"/>
          <tpl fld="4" item="12"/>
          <tpl hier="42" item="3"/>
          <tpl fld="2" item="6"/>
        </tpls>
      </n>
      <n v="157" in="0">
        <tpls c="4">
          <tpl hier="2" item="2"/>
          <tpl fld="4" item="13"/>
          <tpl hier="42" item="3"/>
          <tpl fld="2" item="15"/>
        </tpls>
      </n>
      <n v="0" in="0">
        <tpls c="5">
          <tpl fld="3" item="0"/>
          <tpl hier="2" item="2"/>
          <tpl fld="4" item="13"/>
          <tpl hier="42" item="3"/>
          <tpl fld="2" item="6"/>
        </tpls>
      </n>
      <n v="1223" in="0">
        <tpls c="4">
          <tpl hier="2" item="2"/>
          <tpl fld="4" item="14"/>
          <tpl hier="42" item="3"/>
          <tpl fld="2" item="15"/>
        </tpls>
      </n>
      <n v="2" in="0">
        <tpls c="5">
          <tpl fld="3" item="0"/>
          <tpl hier="2" item="2"/>
          <tpl fld="4" item="14"/>
          <tpl hier="42" item="3"/>
          <tpl fld="2" item="6"/>
        </tpls>
      </n>
      <n v="376" in="0">
        <tpls c="4">
          <tpl hier="2" item="2"/>
          <tpl fld="4" item="15"/>
          <tpl hier="42" item="3"/>
          <tpl fld="2" item="15"/>
        </tpls>
      </n>
      <n v="2" in="0">
        <tpls c="5">
          <tpl fld="3" item="0"/>
          <tpl hier="2" item="2"/>
          <tpl fld="4" item="15"/>
          <tpl hier="42" item="3"/>
          <tpl fld="2" item="6"/>
        </tpls>
      </n>
      <n v="786" in="0">
        <tpls c="4">
          <tpl hier="2" item="2"/>
          <tpl fld="4" item="16"/>
          <tpl hier="42" item="3"/>
          <tpl fld="2" item="15"/>
        </tpls>
      </n>
      <n v="0" in="0">
        <tpls c="5">
          <tpl fld="3" item="0"/>
          <tpl hier="2" item="2"/>
          <tpl fld="4" item="16"/>
          <tpl hier="42" item="3"/>
          <tpl fld="2" item="6"/>
        </tpls>
      </n>
      <n v="1003" in="0">
        <tpls c="4">
          <tpl hier="2" item="2"/>
          <tpl fld="4" item="17"/>
          <tpl hier="42" item="3"/>
          <tpl fld="2" item="15"/>
        </tpls>
      </n>
      <n v="3" in="0">
        <tpls c="5">
          <tpl fld="3" item="0"/>
          <tpl hier="2" item="2"/>
          <tpl fld="4" item="17"/>
          <tpl hier="42" item="3"/>
          <tpl fld="2" item="6"/>
        </tpls>
      </n>
      <n v="771" in="0">
        <tpls c="4">
          <tpl hier="2" item="2"/>
          <tpl fld="4" item="18"/>
          <tpl hier="42" item="3"/>
          <tpl fld="2" item="15"/>
        </tpls>
      </n>
      <n v="0" in="0">
        <tpls c="5">
          <tpl fld="3" item="0"/>
          <tpl hier="2" item="2"/>
          <tpl fld="4" item="18"/>
          <tpl hier="42" item="3"/>
          <tpl fld="2" item="6"/>
        </tpls>
      </n>
      <n v="74" in="0">
        <tpls c="4">
          <tpl hier="2" item="2"/>
          <tpl fld="4" item="19"/>
          <tpl hier="42" item="3"/>
          <tpl fld="2" item="15"/>
        </tpls>
      </n>
      <n v="1" in="0">
        <tpls c="5">
          <tpl fld="3" item="0"/>
          <tpl hier="2" item="2"/>
          <tpl fld="4" item="19"/>
          <tpl hier="42" item="3"/>
          <tpl fld="2" item="6"/>
        </tpls>
      </n>
      <n v="145" in="0">
        <tpls c="4">
          <tpl hier="2" item="2"/>
          <tpl fld="4" item="20"/>
          <tpl hier="42" item="3"/>
          <tpl fld="2" item="15"/>
        </tpls>
      </n>
      <n v="0" in="0">
        <tpls c="5">
          <tpl fld="3" item="0"/>
          <tpl hier="2" item="2"/>
          <tpl fld="4" item="20"/>
          <tpl hier="42" item="3"/>
          <tpl fld="2" item="6"/>
        </tpls>
      </n>
      <n v="345" in="0">
        <tpls c="4">
          <tpl hier="2" item="2"/>
          <tpl fld="4" item="21"/>
          <tpl hier="42" item="3"/>
          <tpl fld="2" item="15"/>
        </tpls>
      </n>
      <n v="3" in="0">
        <tpls c="5">
          <tpl fld="3" item="0"/>
          <tpl hier="2" item="2"/>
          <tpl fld="4" item="21"/>
          <tpl hier="42" item="3"/>
          <tpl fld="2" item="6"/>
        </tpls>
      </n>
      <n v="946" in="0">
        <tpls c="4">
          <tpl hier="2" item="2"/>
          <tpl fld="4" item="22"/>
          <tpl hier="42" item="3"/>
          <tpl fld="2" item="15"/>
        </tpls>
      </n>
      <n v="1" in="0">
        <tpls c="5">
          <tpl fld="3" item="0"/>
          <tpl hier="2" item="2"/>
          <tpl fld="4" item="22"/>
          <tpl hier="42" item="3"/>
          <tpl fld="2" item="6"/>
        </tpls>
      </n>
      <n v="174" in="0">
        <tpls c="4">
          <tpl hier="2" item="2"/>
          <tpl fld="4" item="23"/>
          <tpl hier="42" item="3"/>
          <tpl fld="2" item="15"/>
        </tpls>
      </n>
      <n v="0" in="0">
        <tpls c="5">
          <tpl fld="3" item="0"/>
          <tpl hier="2" item="2"/>
          <tpl fld="4" item="23"/>
          <tpl hier="42" item="3"/>
          <tpl fld="2" item="6"/>
        </tpls>
      </n>
      <n v="1514713.0299999923" in="0">
        <tpls c="4">
          <tpl hier="2" item="2"/>
          <tpl fld="4" item="0"/>
          <tpl hier="42" item="3"/>
          <tpl fld="2" item="16"/>
        </tpls>
      </n>
      <n v="1960.3617984693781" in="0">
        <tpls c="4">
          <tpl hier="2" item="2"/>
          <tpl fld="4" item="0"/>
          <tpl hier="42" item="3"/>
          <tpl fld="2" item="13"/>
        </tpls>
      </n>
      <n v="5918.1800000031944" in="0">
        <tpls c="4">
          <tpl hier="2" item="2"/>
          <tpl fld="4" item="0"/>
          <tpl hier="42" item="3"/>
          <tpl fld="2" item="7"/>
        </tpls>
      </n>
      <n v="1.4451348965838419E-2" in="1">
        <tpls c="4">
          <tpl hier="2" item="2"/>
          <tpl fld="4" item="0"/>
          <tpl hier="42" item="3"/>
          <tpl fld="2" item="11"/>
        </tpls>
      </n>
      <n v="24" in="0">
        <tpls c="4">
          <tpl hier="2" item="2"/>
          <tpl fld="4" item="0"/>
          <tpl hier="42" item="3"/>
          <tpl fld="2" item="4"/>
        </tpls>
      </n>
      <m in="0">
        <tpls c="4">
          <tpl hier="2" item="2"/>
          <tpl fld="4" item="0"/>
          <tpl hier="42" item="3"/>
          <tpl fld="2" item="0"/>
        </tpls>
      </m>
      <n v="1797968.8699999873" in="0">
        <tpls c="4">
          <tpl hier="2" item="2"/>
          <tpl fld="4" item="1"/>
          <tpl hier="42" item="3"/>
          <tpl fld="2" item="16"/>
        </tpls>
      </n>
      <n v="2109.0376887871707" in="0">
        <tpls c="4">
          <tpl hier="2" item="2"/>
          <tpl fld="4" item="1"/>
          <tpl hier="42" item="3"/>
          <tpl fld="2" item="13"/>
        </tpls>
      </n>
      <n v="70.250000008847564" in="0">
        <tpls c="4">
          <tpl hier="2" item="2"/>
          <tpl fld="4" item="1"/>
          <tpl hier="42" item="3"/>
          <tpl fld="2" item="7"/>
        </tpls>
      </n>
      <n v="2.4591816886739115E-2" in="1">
        <tpls c="4">
          <tpl hier="2" item="2"/>
          <tpl fld="4" item="1"/>
          <tpl hier="42" item="3"/>
          <tpl fld="2" item="11"/>
        </tpls>
      </n>
      <n v="18" in="0">
        <tpls c="4">
          <tpl hier="2" item="2"/>
          <tpl fld="4" item="1"/>
          <tpl hier="42" item="3"/>
          <tpl fld="2" item="4"/>
        </tpls>
      </n>
      <m in="0">
        <tpls c="4">
          <tpl hier="2" item="2"/>
          <tpl fld="4" item="1"/>
          <tpl hier="42" item="3"/>
          <tpl fld="2" item="0"/>
        </tpls>
      </m>
      <n v="614145.20999999961" in="0">
        <tpls c="4">
          <tpl hier="2" item="2"/>
          <tpl fld="4" item="2"/>
          <tpl hier="42" item="3"/>
          <tpl fld="2" item="16"/>
        </tpls>
      </n>
      <n v="2010.3780923076913" in="0">
        <tpls c="4">
          <tpl hier="2" item="2"/>
          <tpl fld="4" item="2"/>
          <tpl hier="42" item="3"/>
          <tpl fld="2" item="13"/>
        </tpls>
      </n>
      <n v="-366.9499999997206" in="0">
        <tpls c="4">
          <tpl hier="2" item="2"/>
          <tpl fld="4" item="2"/>
          <tpl hier="42" item="3"/>
          <tpl fld="2" item="7"/>
        </tpls>
      </n>
      <n v="6.0038717860465864E-2" in="1">
        <tpls c="4">
          <tpl hier="2" item="2"/>
          <tpl fld="4" item="2"/>
          <tpl hier="42" item="3"/>
          <tpl fld="2" item="11"/>
        </tpls>
      </n>
      <n v="7" in="0">
        <tpls c="4">
          <tpl hier="2" item="2"/>
          <tpl fld="4" item="2"/>
          <tpl hier="42" item="3"/>
          <tpl fld="2" item="4"/>
        </tpls>
      </n>
      <m in="0">
        <tpls c="4">
          <tpl hier="2" item="2"/>
          <tpl fld="4" item="2"/>
          <tpl hier="42" item="3"/>
          <tpl fld="2" item="0"/>
        </tpls>
      </m>
      <n v="1317235.8799999927" in="0">
        <tpls c="4">
          <tpl hier="2" item="2"/>
          <tpl fld="4" item="3"/>
          <tpl hier="42" item="3"/>
          <tpl fld="2" item="16"/>
        </tpls>
      </n>
      <n v="1813.4305488621053" in="0">
        <tpls c="4">
          <tpl hier="2" item="2"/>
          <tpl fld="4" item="3"/>
          <tpl hier="42" item="3"/>
          <tpl fld="2" item="13"/>
        </tpls>
      </n>
      <n v="541.99000000278465" in="0">
        <tpls c="4">
          <tpl hier="2" item="2"/>
          <tpl fld="4" item="3"/>
          <tpl hier="42" item="3"/>
          <tpl fld="2" item="7"/>
        </tpls>
      </n>
      <n v="2.7606555052542732E-2" in="1">
        <tpls c="4">
          <tpl hier="2" item="2"/>
          <tpl fld="4" item="3"/>
          <tpl hier="42" item="3"/>
          <tpl fld="2" item="11"/>
        </tpls>
      </n>
      <n v="25" in="0">
        <tpls c="4">
          <tpl hier="2" item="2"/>
          <tpl fld="4" item="3"/>
          <tpl hier="42" item="3"/>
          <tpl fld="2" item="4"/>
        </tpls>
      </n>
      <m in="0">
        <tpls c="4">
          <tpl hier="2" item="2"/>
          <tpl fld="4" item="3"/>
          <tpl hier="42" item="3"/>
          <tpl fld="2" item="0"/>
        </tpls>
      </m>
      <n v="837310.25999999768" in="0">
        <tpls c="4">
          <tpl hier="2" item="2"/>
          <tpl fld="4" item="4"/>
          <tpl hier="42" item="3"/>
          <tpl fld="2" item="16"/>
        </tpls>
      </n>
      <n v="1914.7871874999948" in="0">
        <tpls c="4">
          <tpl hier="2" item="2"/>
          <tpl fld="4" item="4"/>
          <tpl hier="42" item="3"/>
          <tpl fld="2" item="13"/>
        </tpls>
      </n>
      <n v="1713.9900000010384" in="0">
        <tpls c="4">
          <tpl hier="2" item="2"/>
          <tpl fld="4" item="4"/>
          <tpl hier="42" item="3"/>
          <tpl fld="2" item="7"/>
        </tpls>
      </n>
      <n v="2.39144442408546E-2" in="1">
        <tpls c="4">
          <tpl hier="2" item="2"/>
          <tpl fld="4" item="4"/>
          <tpl hier="42" item="3"/>
          <tpl fld="2" item="11"/>
        </tpls>
      </n>
      <n v="7" in="0">
        <tpls c="4">
          <tpl hier="2" item="2"/>
          <tpl fld="4" item="4"/>
          <tpl hier="42" item="3"/>
          <tpl fld="2" item="4"/>
        </tpls>
      </n>
      <m in="0">
        <tpls c="4">
          <tpl hier="2" item="2"/>
          <tpl fld="4" item="4"/>
          <tpl hier="42" item="3"/>
          <tpl fld="2" item="0"/>
        </tpls>
      </m>
      <n v="202942.21000000002" in="0">
        <tpls c="4">
          <tpl hier="2" item="2"/>
          <tpl fld="4" item="5"/>
          <tpl hier="42" item="3"/>
          <tpl fld="2" item="16"/>
        </tpls>
      </n>
      <n v="2692.6372151898736" in="0">
        <tpls c="4">
          <tpl hier="2" item="2"/>
          <tpl fld="4" item="5"/>
          <tpl hier="42" item="3"/>
          <tpl fld="2" item="13"/>
        </tpls>
      </n>
      <n v="-870" in="0">
        <tpls c="4">
          <tpl hier="2" item="2"/>
          <tpl fld="4" item="5"/>
          <tpl hier="42" item="3"/>
          <tpl fld="2" item="7"/>
        </tpls>
      </n>
      <n v="4.5958096513915997E-2" in="1">
        <tpls c="4">
          <tpl hier="2" item="2"/>
          <tpl fld="4" item="5"/>
          <tpl hier="42" item="3"/>
          <tpl fld="2" item="11"/>
        </tpls>
      </n>
      <n v="1" in="0">
        <tpls c="4">
          <tpl hier="2" item="2"/>
          <tpl fld="4" item="5"/>
          <tpl hier="42" item="3"/>
          <tpl fld="2" item="4"/>
        </tpls>
      </n>
      <m in="0">
        <tpls c="4">
          <tpl hier="2" item="2"/>
          <tpl fld="4" item="5"/>
          <tpl hier="42" item="3"/>
          <tpl fld="2" item="0"/>
        </tpls>
      </m>
      <n v="477063.66999999929" in="0">
        <tpls c="4">
          <tpl hier="2" item="2"/>
          <tpl fld="4" item="6"/>
          <tpl hier="42" item="3"/>
          <tpl fld="2" item="16"/>
        </tpls>
      </n>
      <n v="2016.7854285714257" in="0">
        <tpls c="4">
          <tpl hier="2" item="2"/>
          <tpl fld="4" item="6"/>
          <tpl hier="42" item="3"/>
          <tpl fld="2" item="13"/>
        </tpls>
      </n>
      <n v="2831.9300000005751" in="0">
        <tpls c="4">
          <tpl hier="2" item="2"/>
          <tpl fld="4" item="6"/>
          <tpl hier="42" item="3"/>
          <tpl fld="2" item="7"/>
        </tpls>
      </n>
      <n v="3.4503807159840166E-2" in="1">
        <tpls c="4">
          <tpl hier="2" item="2"/>
          <tpl fld="4" item="6"/>
          <tpl hier="42" item="3"/>
          <tpl fld="2" item="11"/>
        </tpls>
      </n>
      <n v="8" in="0">
        <tpls c="4">
          <tpl hier="2" item="2"/>
          <tpl fld="4" item="6"/>
          <tpl hier="42" item="3"/>
          <tpl fld="2" item="4"/>
        </tpls>
      </n>
      <m in="0">
        <tpls c="4">
          <tpl hier="2" item="2"/>
          <tpl fld="4" item="6"/>
          <tpl hier="42" item="3"/>
          <tpl fld="2" item="0"/>
        </tpls>
      </m>
      <n v="2158262.1799999899" in="0">
        <tpls c="4">
          <tpl hier="2" item="2"/>
          <tpl fld="4" item="7"/>
          <tpl hier="42" item="3"/>
          <tpl fld="2" item="16"/>
        </tpls>
      </n>
      <n v="1984.4522999999908" in="0">
        <tpls c="4">
          <tpl hier="2" item="2"/>
          <tpl fld="4" item="7"/>
          <tpl hier="42" item="3"/>
          <tpl fld="2" item="13"/>
        </tpls>
      </n>
      <n v="-11343.539999989327" in="0">
        <tpls c="4">
          <tpl hier="2" item="2"/>
          <tpl fld="4" item="7"/>
          <tpl hier="42" item="3"/>
          <tpl fld="2" item="7"/>
        </tpls>
      </n>
      <n v="1.1285619073470714E-2" in="1">
        <tpls c="4">
          <tpl hier="2" item="2"/>
          <tpl fld="4" item="7"/>
          <tpl hier="42" item="3"/>
          <tpl fld="2" item="11"/>
        </tpls>
      </n>
      <n v="24" in="0">
        <tpls c="4">
          <tpl hier="2" item="2"/>
          <tpl fld="4" item="7"/>
          <tpl hier="42" item="3"/>
          <tpl fld="2" item="4"/>
        </tpls>
      </n>
      <m in="0">
        <tpls c="4">
          <tpl hier="2" item="2"/>
          <tpl fld="4" item="7"/>
          <tpl hier="42" item="3"/>
          <tpl fld="2" item="0"/>
        </tpls>
      </m>
      <n v="1488305.8699999908" in="0">
        <tpls c="4">
          <tpl hier="2" item="2"/>
          <tpl fld="4" item="8"/>
          <tpl hier="42" item="3"/>
          <tpl fld="2" item="16"/>
        </tpls>
      </n>
      <n v="1863.4061735941207" in="0">
        <tpls c="4">
          <tpl hier="2" item="2"/>
          <tpl fld="4" item="8"/>
          <tpl hier="42" item="3"/>
          <tpl fld="2" item="13"/>
        </tpls>
      </n>
      <n v="2862.3100000051782" in="0">
        <tpls c="4">
          <tpl hier="2" item="2"/>
          <tpl fld="4" item="8"/>
          <tpl hier="42" item="3"/>
          <tpl fld="2" item="7"/>
        </tpls>
      </n>
      <n v="2.3591928247443789E-2" in="1">
        <tpls c="4">
          <tpl hier="2" item="2"/>
          <tpl fld="4" item="8"/>
          <tpl hier="42" item="3"/>
          <tpl fld="2" item="11"/>
        </tpls>
      </n>
      <n v="24" in="0">
        <tpls c="4">
          <tpl hier="2" item="2"/>
          <tpl fld="4" item="8"/>
          <tpl hier="42" item="3"/>
          <tpl fld="2" item="4"/>
        </tpls>
      </n>
      <m in="0">
        <tpls c="4">
          <tpl hier="2" item="2"/>
          <tpl fld="4" item="8"/>
          <tpl hier="42" item="3"/>
          <tpl fld="2" item="0"/>
        </tpls>
      </m>
      <n v="1430226.9799999911" in="0">
        <tpls c="4">
          <tpl hier="2" item="2"/>
          <tpl fld="4" item="9"/>
          <tpl hier="42" item="3"/>
          <tpl fld="2" item="16"/>
        </tpls>
      </n>
      <n v="1948.8305866666549" in="0">
        <tpls c="4">
          <tpl hier="2" item="2"/>
          <tpl fld="4" item="9"/>
          <tpl hier="42" item="3"/>
          <tpl fld="2" item="13"/>
        </tpls>
      </n>
      <n v="2935.3800000036135" in="0">
        <tpls c="4">
          <tpl hier="2" item="2"/>
          <tpl fld="4" item="9"/>
          <tpl hier="42" item="3"/>
          <tpl fld="2" item="7"/>
        </tpls>
      </n>
      <n v="2.1480204737345042E-2" in="1">
        <tpls c="4">
          <tpl hier="2" item="2"/>
          <tpl fld="4" item="9"/>
          <tpl hier="42" item="3"/>
          <tpl fld="2" item="11"/>
        </tpls>
      </n>
      <n v="31" in="0">
        <tpls c="4">
          <tpl hier="2" item="2"/>
          <tpl fld="4" item="9"/>
          <tpl hier="42" item="3"/>
          <tpl fld="2" item="4"/>
        </tpls>
      </n>
      <m in="0">
        <tpls c="4">
          <tpl hier="2" item="2"/>
          <tpl fld="4" item="9"/>
          <tpl hier="42" item="3"/>
          <tpl fld="2" item="0"/>
        </tpls>
      </m>
      <n v="378429.88999999996" in="0">
        <tpls c="4">
          <tpl hier="2" item="2"/>
          <tpl fld="4" item="10"/>
          <tpl hier="42" item="3"/>
          <tpl fld="2" item="16"/>
        </tpls>
      </n>
      <n v="1964.3809644670048" in="0">
        <tpls c="4">
          <tpl hier="2" item="2"/>
          <tpl fld="4" item="10"/>
          <tpl hier="42" item="3"/>
          <tpl fld="2" item="13"/>
        </tpls>
      </n>
      <n v="-1.1641532182693481E-10" in="0">
        <tpls c="4">
          <tpl hier="2" item="2"/>
          <tpl fld="4" item="10"/>
          <tpl hier="42" item="3"/>
          <tpl fld="2" item="7"/>
        </tpls>
      </n>
      <n v="2.2102156670686227E-2" in="1">
        <tpls c="4">
          <tpl hier="2" item="2"/>
          <tpl fld="4" item="10"/>
          <tpl hier="42" item="3"/>
          <tpl fld="2" item="11"/>
        </tpls>
      </n>
      <n v="4" in="0">
        <tpls c="4">
          <tpl hier="2" item="2"/>
          <tpl fld="4" item="10"/>
          <tpl hier="42" item="3"/>
          <tpl fld="2" item="4"/>
        </tpls>
      </n>
      <m in="0">
        <tpls c="4">
          <tpl hier="2" item="2"/>
          <tpl fld="4" item="10"/>
          <tpl hier="42" item="3"/>
          <tpl fld="2" item="0"/>
        </tpls>
      </m>
      <n v="606125.06999999972" in="0">
        <tpls c="4">
          <tpl hier="2" item="2"/>
          <tpl fld="4" item="11"/>
          <tpl hier="42" item="3"/>
          <tpl fld="2" item="16"/>
        </tpls>
      </n>
      <n v="1986.489483870967" in="0">
        <tpls c="4">
          <tpl hier="2" item="2"/>
          <tpl fld="4" item="11"/>
          <tpl hier="42" item="3"/>
          <tpl fld="2" item="13"/>
        </tpls>
      </n>
      <n v="10275.959999999963" in="0">
        <tpls c="4">
          <tpl hier="2" item="2"/>
          <tpl fld="4" item="11"/>
          <tpl hier="42" item="3"/>
          <tpl fld="2" item="7"/>
        </tpls>
      </n>
      <n v="1.572992096578088E-2" in="1">
        <tpls c="4">
          <tpl hier="2" item="2"/>
          <tpl fld="4" item="11"/>
          <tpl hier="42" item="3"/>
          <tpl fld="2" item="11"/>
        </tpls>
      </n>
      <n v="8" in="0">
        <tpls c="4">
          <tpl hier="2" item="2"/>
          <tpl fld="4" item="11"/>
          <tpl hier="42" item="3"/>
          <tpl fld="2" item="4"/>
        </tpls>
      </n>
      <m in="0">
        <tpls c="4">
          <tpl hier="2" item="2"/>
          <tpl fld="4" item="11"/>
          <tpl hier="42" item="3"/>
          <tpl fld="2" item="0"/>
        </tpls>
      </m>
      <n v="1322891.5499999942" in="0">
        <tpls c="4">
          <tpl hier="2" item="2"/>
          <tpl fld="4" item="12"/>
          <tpl hier="42" item="3"/>
          <tpl fld="2" item="16"/>
        </tpls>
      </n>
      <n v="1966.8878210678126" in="0">
        <tpls c="4">
          <tpl hier="2" item="2"/>
          <tpl fld="4" item="12"/>
          <tpl hier="42" item="3"/>
          <tpl fld="2" item="13"/>
        </tpls>
      </n>
      <n v="3814.9200000022538" in="0">
        <tpls c="4">
          <tpl hier="2" item="2"/>
          <tpl fld="4" item="12"/>
          <tpl hier="42" item="3"/>
          <tpl fld="2" item="7"/>
        </tpls>
      </n>
      <n v="2.9464519970408325E-2" in="1">
        <tpls c="4">
          <tpl hier="2" item="2"/>
          <tpl fld="4" item="12"/>
          <tpl hier="42" item="3"/>
          <tpl fld="2" item="11"/>
        </tpls>
      </n>
      <n v="23" in="0">
        <tpls c="4">
          <tpl hier="2" item="2"/>
          <tpl fld="4" item="12"/>
          <tpl hier="42" item="3"/>
          <tpl fld="2" item="4"/>
        </tpls>
      </n>
      <m in="0">
        <tpls c="4">
          <tpl hier="2" item="2"/>
          <tpl fld="4" item="12"/>
          <tpl hier="42" item="3"/>
          <tpl fld="2" item="0"/>
        </tpls>
      </m>
      <n v="237127.71000000011" in="0">
        <tpls c="4">
          <tpl hier="2" item="2"/>
          <tpl fld="4" item="13"/>
          <tpl hier="42" item="3"/>
          <tpl fld="2" item="16"/>
        </tpls>
      </n>
      <n v="1538.7912738853508" in="0">
        <tpls c="4">
          <tpl hier="2" item="2"/>
          <tpl fld="4" item="13"/>
          <tpl hier="42" item="3"/>
          <tpl fld="2" item="13"/>
        </tpls>
      </n>
      <n v="-1.4551915228366852E-10" in="0">
        <tpls c="4">
          <tpl hier="2" item="2"/>
          <tpl fld="4" item="13"/>
          <tpl hier="42" item="3"/>
          <tpl fld="2" item="7"/>
        </tpls>
      </n>
      <n v="1.8471442326123862E-2" in="1">
        <tpls c="4">
          <tpl hier="2" item="2"/>
          <tpl fld="4" item="13"/>
          <tpl hier="42" item="3"/>
          <tpl fld="2" item="11"/>
        </tpls>
      </n>
      <n v="2" in="0">
        <tpls c="4">
          <tpl hier="2" item="2"/>
          <tpl fld="4" item="13"/>
          <tpl hier="42" item="3"/>
          <tpl fld="2" item="4"/>
        </tpls>
      </n>
      <m in="0">
        <tpls c="4">
          <tpl hier="2" item="2"/>
          <tpl fld="4" item="13"/>
          <tpl hier="42" item="3"/>
          <tpl fld="2" item="0"/>
        </tpls>
      </m>
      <n v="2263414.9699999942" in="0">
        <tpls c="4">
          <tpl hier="2" item="2"/>
          <tpl fld="4" item="14"/>
          <tpl hier="42" item="3"/>
          <tpl fld="2" item="16"/>
        </tpls>
      </n>
      <n v="1894.0569092395699" in="0">
        <tpls c="4">
          <tpl hier="2" item="2"/>
          <tpl fld="4" item="14"/>
          <tpl hier="42" item="3"/>
          <tpl fld="2" item="13"/>
        </tpls>
      </n>
      <n v="4364.6900000129826" in="0">
        <tpls c="4">
          <tpl hier="2" item="2"/>
          <tpl fld="4" item="14"/>
          <tpl hier="42" item="3"/>
          <tpl fld="2" item="7"/>
        </tpls>
      </n>
      <n v="2.2887198568695113E-2" in="1">
        <tpls c="4">
          <tpl hier="2" item="2"/>
          <tpl fld="4" item="14"/>
          <tpl hier="42" item="3"/>
          <tpl fld="2" item="11"/>
        </tpls>
      </n>
      <n v="27" in="0">
        <tpls c="4">
          <tpl hier="2" item="2"/>
          <tpl fld="4" item="14"/>
          <tpl hier="42" item="3"/>
          <tpl fld="2" item="4"/>
        </tpls>
      </n>
      <m in="0">
        <tpls c="4">
          <tpl hier="2" item="2"/>
          <tpl fld="4" item="14"/>
          <tpl hier="42" item="3"/>
          <tpl fld="2" item="0"/>
        </tpls>
      </m>
      <n v="742706.08999999892" in="0">
        <tpls c="4">
          <tpl hier="2" item="2"/>
          <tpl fld="4" item="15"/>
          <tpl hier="42" item="3"/>
          <tpl fld="2" item="16"/>
        </tpls>
      </n>
      <n v="2173.9649734042523" in="0">
        <tpls c="4">
          <tpl hier="2" item="2"/>
          <tpl fld="4" item="15"/>
          <tpl hier="42" item="3"/>
          <tpl fld="2" item="13"/>
        </tpls>
      </n>
      <n v="8425.6000000005588" in="0">
        <tpls c="4">
          <tpl hier="2" item="2"/>
          <tpl fld="4" item="15"/>
          <tpl hier="42" item="3"/>
          <tpl fld="2" item="7"/>
        </tpls>
      </n>
      <n v="9.1391913659866861E-2" in="1">
        <tpls c="4">
          <tpl hier="2" item="2"/>
          <tpl fld="4" item="15"/>
          <tpl hier="42" item="3"/>
          <tpl fld="2" item="11"/>
        </tpls>
      </n>
      <n v="10" in="0">
        <tpls c="4">
          <tpl hier="2" item="2"/>
          <tpl fld="4" item="15"/>
          <tpl hier="42" item="3"/>
          <tpl fld="2" item="4"/>
        </tpls>
      </n>
      <m in="0">
        <tpls c="4">
          <tpl hier="2" item="2"/>
          <tpl fld="4" item="15"/>
          <tpl hier="42" item="3"/>
          <tpl fld="2" item="0"/>
        </tpls>
      </m>
      <n v="1563379.8599999915" in="0">
        <tpls c="4">
          <tpl hier="2" item="2"/>
          <tpl fld="4" item="16"/>
          <tpl hier="42" item="3"/>
          <tpl fld="2" item="16"/>
        </tpls>
      </n>
      <n v="2037.2147073791239" in="0">
        <tpls c="4">
          <tpl hier="2" item="2"/>
          <tpl fld="4" item="16"/>
          <tpl hier="42" item="3"/>
          <tpl fld="2" item="13"/>
        </tpls>
      </n>
      <n v="-162.89999999641441" in="0">
        <tpls c="4">
          <tpl hier="2" item="2"/>
          <tpl fld="4" item="16"/>
          <tpl hier="42" item="3"/>
          <tpl fld="2" item="7"/>
        </tpls>
      </n>
      <n v="2.3650824059562169E-2" in="1">
        <tpls c="4">
          <tpl hier="2" item="2"/>
          <tpl fld="4" item="16"/>
          <tpl hier="42" item="3"/>
          <tpl fld="2" item="11"/>
        </tpls>
      </n>
      <n v="15" in="0">
        <tpls c="4">
          <tpl hier="2" item="2"/>
          <tpl fld="4" item="16"/>
          <tpl hier="42" item="3"/>
          <tpl fld="2" item="4"/>
        </tpls>
      </n>
      <m in="0">
        <tpls c="4">
          <tpl hier="2" item="2"/>
          <tpl fld="4" item="16"/>
          <tpl hier="42" item="3"/>
          <tpl fld="2" item="0"/>
        </tpls>
      </m>
      <n v="1911334.9199999825" in="0">
        <tpls c="4">
          <tpl hier="2" item="2"/>
          <tpl fld="4" item="17"/>
          <tpl hier="42" item="3"/>
          <tpl fld="2" item="16"/>
        </tpls>
      </n>
      <n v="1959.3664805583076" in="0">
        <tpls c="4">
          <tpl hier="2" item="2"/>
          <tpl fld="4" item="17"/>
          <tpl hier="42" item="3"/>
          <tpl fld="2" item="13"/>
        </tpls>
      </n>
      <n v="-746.59999998798594" in="0">
        <tpls c="4">
          <tpl hier="2" item="2"/>
          <tpl fld="4" item="17"/>
          <tpl hier="42" item="3"/>
          <tpl fld="2" item="7"/>
        </tpls>
      </n>
      <n v="2.7431527123204423E-2" in="1">
        <tpls c="4">
          <tpl hier="2" item="2"/>
          <tpl fld="4" item="17"/>
          <tpl hier="42" item="3"/>
          <tpl fld="2" item="11"/>
        </tpls>
      </n>
      <n v="24" in="0">
        <tpls c="4">
          <tpl hier="2" item="2"/>
          <tpl fld="4" item="17"/>
          <tpl hier="42" item="3"/>
          <tpl fld="2" item="4"/>
        </tpls>
      </n>
      <m in="0">
        <tpls c="4">
          <tpl hier="2" item="2"/>
          <tpl fld="4" item="17"/>
          <tpl hier="42" item="3"/>
          <tpl fld="2" item="0"/>
        </tpls>
      </m>
      <n v="1339303.2499999919" in="0">
        <tpls c="4">
          <tpl hier="2" item="2"/>
          <tpl fld="4" item="18"/>
          <tpl hier="42" item="3"/>
          <tpl fld="2" item="16"/>
        </tpls>
      </n>
      <n v="1782.6250583657481" in="0">
        <tpls c="4">
          <tpl hier="2" item="2"/>
          <tpl fld="4" item="18"/>
          <tpl hier="42" item="3"/>
          <tpl fld="2" item="13"/>
        </tpls>
      </n>
      <n v="99.990000004181638" in="0">
        <tpls c="4">
          <tpl hier="2" item="2"/>
          <tpl fld="4" item="18"/>
          <tpl hier="42" item="3"/>
          <tpl fld="2" item="7"/>
        </tpls>
      </n>
      <n v="2.5538831408455389E-2" in="1">
        <tpls c="4">
          <tpl hier="2" item="2"/>
          <tpl fld="4" item="18"/>
          <tpl hier="42" item="3"/>
          <tpl fld="2" item="11"/>
        </tpls>
      </n>
      <n v="22" in="0">
        <tpls c="4">
          <tpl hier="2" item="2"/>
          <tpl fld="4" item="18"/>
          <tpl hier="42" item="3"/>
          <tpl fld="2" item="4"/>
        </tpls>
      </n>
      <m in="0">
        <tpls c="4">
          <tpl hier="2" item="2"/>
          <tpl fld="4" item="18"/>
          <tpl hier="42" item="3"/>
          <tpl fld="2" item="0"/>
        </tpls>
      </m>
      <n v="139518.09000000005" in="0">
        <tpls c="4">
          <tpl hier="2" item="2"/>
          <tpl fld="4" item="19"/>
          <tpl hier="42" item="3"/>
          <tpl fld="2" item="16"/>
        </tpls>
      </n>
      <n v="1956.6440540540548" in="0">
        <tpls c="4">
          <tpl hier="2" item="2"/>
          <tpl fld="4" item="19"/>
          <tpl hier="42" item="3"/>
          <tpl fld="2" item="13"/>
        </tpls>
      </n>
      <n v="-8850.0000000000146" in="0">
        <tpls c="4">
          <tpl hier="2" item="2"/>
          <tpl fld="4" item="19"/>
          <tpl hier="42" item="3"/>
          <tpl fld="2" item="7"/>
        </tpls>
      </n>
      <n v="3.6421780094240214E-2" in="1">
        <tpls c="4">
          <tpl hier="2" item="2"/>
          <tpl fld="4" item="19"/>
          <tpl hier="42" item="3"/>
          <tpl fld="2" item="11"/>
        </tpls>
      </n>
      <n v="1" in="0">
        <tpls c="4">
          <tpl hier="2" item="2"/>
          <tpl fld="4" item="19"/>
          <tpl hier="42" item="3"/>
          <tpl fld="2" item="4"/>
        </tpls>
      </n>
      <m in="0">
        <tpls c="4">
          <tpl hier="2" item="2"/>
          <tpl fld="4" item="19"/>
          <tpl hier="42" item="3"/>
          <tpl fld="2" item="0"/>
        </tpls>
      </m>
      <n v="238036.68000000017" in="0">
        <tpls c="4">
          <tpl hier="2" item="2"/>
          <tpl fld="4" item="20"/>
          <tpl hier="42" item="3"/>
          <tpl fld="2" item="16"/>
        </tpls>
      </n>
      <n v="1665.2204137931046" in="0">
        <tpls c="4">
          <tpl hier="2" item="2"/>
          <tpl fld="4" item="20"/>
          <tpl hier="42" item="3"/>
          <tpl fld="2" item="13"/>
        </tpls>
      </n>
      <n v="-1.1641532182693481E-10" in="0">
        <tpls c="4">
          <tpl hier="2" item="2"/>
          <tpl fld="4" item="20"/>
          <tpl hier="42" item="3"/>
          <tpl fld="2" item="7"/>
        </tpls>
      </n>
      <n v="1.4165174613314098E-2" in="1">
        <tpls c="4">
          <tpl hier="2" item="2"/>
          <tpl fld="4" item="20"/>
          <tpl hier="42" item="3"/>
          <tpl fld="2" item="11"/>
        </tpls>
      </n>
      <n v="4" in="0">
        <tpls c="4">
          <tpl hier="2" item="2"/>
          <tpl fld="4" item="20"/>
          <tpl hier="42" item="3"/>
          <tpl fld="2" item="4"/>
        </tpls>
      </n>
      <m in="0">
        <tpls c="4">
          <tpl hier="2" item="2"/>
          <tpl fld="4" item="20"/>
          <tpl hier="42" item="3"/>
          <tpl fld="2" item="0"/>
        </tpls>
      </m>
      <n v="714333.39999999921" in="0">
        <tpls c="4">
          <tpl hier="2" item="2"/>
          <tpl fld="4" item="21"/>
          <tpl hier="42" item="3"/>
          <tpl fld="2" item="16"/>
        </tpls>
      </n>
      <n v="2116.5594492753598" in="0">
        <tpls c="4">
          <tpl hier="2" item="2"/>
          <tpl fld="4" item="21"/>
          <tpl hier="42" item="3"/>
          <tpl fld="2" item="13"/>
        </tpls>
      </n>
      <n v="3444.6100000002189" in="0">
        <tpls c="4">
          <tpl hier="2" item="2"/>
          <tpl fld="4" item="21"/>
          <tpl hier="42" item="3"/>
          <tpl fld="2" item="7"/>
        </tpls>
      </n>
      <n v="2.1746544888319667E-2" in="1">
        <tpls c="4">
          <tpl hier="2" item="2"/>
          <tpl fld="4" item="21"/>
          <tpl hier="42" item="3"/>
          <tpl fld="2" item="11"/>
        </tpls>
      </n>
      <n v="12" in="0">
        <tpls c="4">
          <tpl hier="2" item="2"/>
          <tpl fld="4" item="21"/>
          <tpl hier="42" item="3"/>
          <tpl fld="2" item="4"/>
        </tpls>
      </n>
      <m in="0">
        <tpls c="4">
          <tpl hier="2" item="2"/>
          <tpl fld="4" item="21"/>
          <tpl hier="42" item="3"/>
          <tpl fld="2" item="0"/>
        </tpls>
      </m>
      <n v="2004568.679999982" in="0">
        <tpls c="4">
          <tpl hier="2" item="2"/>
          <tpl fld="4" item="22"/>
          <tpl hier="42" item="3"/>
          <tpl fld="2" item="16"/>
        </tpls>
      </n>
      <n v="2153.5738583509324" in="0">
        <tpls c="4">
          <tpl hier="2" item="2"/>
          <tpl fld="4" item="22"/>
          <tpl hier="42" item="3"/>
          <tpl fld="2" item="13"/>
        </tpls>
      </n>
      <n v="1606.680000012042" in="0">
        <tpls c="4">
          <tpl hier="2" item="2"/>
          <tpl fld="4" item="22"/>
          <tpl hier="42" item="3"/>
          <tpl fld="2" item="7"/>
        </tpls>
      </n>
      <n v="1.6056789459766678E-2" in="1">
        <tpls c="4">
          <tpl hier="2" item="2"/>
          <tpl fld="4" item="22"/>
          <tpl hier="42" item="3"/>
          <tpl fld="2" item="11"/>
        </tpls>
      </n>
      <n v="21" in="0">
        <tpls c="4">
          <tpl hier="2" item="2"/>
          <tpl fld="4" item="22"/>
          <tpl hier="42" item="3"/>
          <tpl fld="2" item="4"/>
        </tpls>
      </n>
      <m in="0">
        <tpls c="4">
          <tpl hier="2" item="2"/>
          <tpl fld="4" item="22"/>
          <tpl hier="42" item="3"/>
          <tpl fld="2" item="0"/>
        </tpls>
      </m>
      <n v="357637.03000000009" in="0">
        <tpls c="4">
          <tpl hier="2" item="2"/>
          <tpl fld="4" item="23"/>
          <tpl hier="42" item="3"/>
          <tpl fld="2" item="16"/>
        </tpls>
      </n>
      <n v="2064.2978735632187" in="0">
        <tpls c="4">
          <tpl hier="2" item="2"/>
          <tpl fld="4" item="23"/>
          <tpl hier="42" item="3"/>
          <tpl fld="2" item="13"/>
        </tpls>
      </n>
      <n v="0" in="0">
        <tpls c="4">
          <tpl hier="2" item="2"/>
          <tpl fld="4" item="23"/>
          <tpl hier="42" item="3"/>
          <tpl fld="2" item="7"/>
        </tpls>
      </n>
      <n v="4.3175182188104752E-3" in="1">
        <tpls c="4">
          <tpl hier="2" item="2"/>
          <tpl fld="4" item="23"/>
          <tpl hier="42" item="3"/>
          <tpl fld="2" item="11"/>
        </tpls>
      </n>
      <n v="6" in="0">
        <tpls c="4">
          <tpl hier="2" item="2"/>
          <tpl fld="4" item="23"/>
          <tpl hier="42" item="3"/>
          <tpl fld="2" item="4"/>
        </tpls>
      </n>
      <m in="0">
        <tpls c="4">
          <tpl hier="2" item="2"/>
          <tpl fld="4" item="23"/>
          <tpl hier="42" item="3"/>
          <tpl fld="2" item="0"/>
        </tpls>
      </m>
      <n v="-1.1641532182693481E-10" in="0">
        <tpls c="5">
          <tpl fld="3" item="1"/>
          <tpl hier="2" item="2"/>
          <tpl fld="4" item="14"/>
          <tpl hier="42" item="3"/>
          <tpl fld="2" item="7"/>
        </tpls>
      </n>
      <n v="32752.910000000091" in="0">
        <tpls c="5">
          <tpl fld="3" item="1"/>
          <tpl hier="2" item="2"/>
          <tpl fld="4" item="9"/>
          <tpl hier="42" item="3"/>
          <tpl fld="2" item="9"/>
        </tpls>
      </n>
      <n v="0.17230867977464787" in="1">
        <tpls c="4">
          <tpl hier="2" item="2"/>
          <tpl fld="4" item="20"/>
          <tpl hier="42" item="3"/>
          <tpl fld="2" item="3"/>
        </tpls>
      </n>
      <n v="0.1888192252255585" in="1">
        <tpls c="4">
          <tpl hier="2" item="2"/>
          <tpl fld="4" item="14"/>
          <tpl hier="42" item="3"/>
          <tpl fld="2" item="3"/>
        </tpls>
      </n>
      <n v="33058.77999999997" in="0">
        <tpls c="5">
          <tpl fld="3" item="1"/>
          <tpl hier="2" item="2"/>
          <tpl fld="4" item="3"/>
          <tpl hier="42" item="3"/>
          <tpl fld="2" item="9"/>
        </tpls>
      </n>
      <n v="0" in="0">
        <tpls c="5">
          <tpl fld="3" item="1"/>
          <tpl hier="2" item="2"/>
          <tpl fld="4" item="19"/>
          <tpl hier="42" item="3"/>
          <tpl fld="2" item="7"/>
        </tpls>
      </n>
      <n v="-22590.289999999688" in="0">
        <tpls c="5">
          <tpl fld="3" item="1"/>
          <tpl hier="2" item="2"/>
          <tpl fld="4" item="14"/>
          <tpl hier="42" item="3"/>
          <tpl fld="2" item="9"/>
        </tpls>
      </n>
      <n v="234.19685741998077" in="0">
        <tpls c="4">
          <tpl hier="2" item="2"/>
          <tpl fld="4" item="20"/>
          <tpl hier="42" item="3"/>
          <tpl fld="2" item="12"/>
        </tpls>
      </n>
      <n v="83880.880000000136" in="0">
        <tpls c="4">
          <tpl hier="2" item="2"/>
          <tpl fld="4" item="14"/>
          <tpl hier="42" item="3"/>
          <tpl fld="2" item="18"/>
        </tpls>
      </n>
      <n v="-19105.630000000005" in="0">
        <tpls c="5">
          <tpl fld="3" item="1"/>
          <tpl hier="2" item="2"/>
          <tpl fld="4" item="19"/>
          <tpl hier="42" item="3"/>
          <tpl fld="2" item="9"/>
        </tpls>
      </n>
      <n v="162.89999999996508" in="0">
        <tpls c="5">
          <tpl fld="3" item="1"/>
          <tpl hier="2" item="2"/>
          <tpl fld="4" item="8"/>
          <tpl hier="42" item="3"/>
          <tpl fld="2" item="7"/>
        </tpls>
      </n>
      <n v="41605.12999999999" in="0">
        <tpls c="5">
          <tpl fld="3" item="1"/>
          <tpl hier="2" item="2"/>
          <tpl fld="4" item="20"/>
          <tpl hier="42" item="3"/>
          <tpl fld="2" item="1"/>
        </tpls>
      </n>
      <n v="2316431.599999994" in="0">
        <tpls c="4">
          <tpl hier="2" item="2"/>
          <tpl fld="4" item="14"/>
          <tpl hier="42" item="3"/>
          <tpl fld="2" item="1"/>
        </tpls>
      </n>
      <n v="869.99999999985448" in="0">
        <tpls c="5">
          <tpl fld="3" item="1"/>
          <tpl hier="2" item="2"/>
          <tpl fld="4" item="2"/>
          <tpl hier="42" item="3"/>
          <tpl fld="2" item="7"/>
        </tpls>
      </n>
      <n v="7191.0300000000207" in="0">
        <tpls c="5">
          <tpl fld="3" item="1"/>
          <tpl hier="2" item="2"/>
          <tpl fld="4" item="13"/>
          <tpl hier="42" item="3"/>
          <tpl fld="2" item="9"/>
        </tpls>
      </n>
      <n v="252950.76000000015" in="0">
        <tpls c="4">
          <tpl hier="2" item="2"/>
          <tpl fld="4" item="20"/>
          <tpl hier="42" item="3"/>
          <tpl fld="2" item="19"/>
        </tpls>
      </n>
      <n v="2245189.37" in="0">
        <tpls c="4">
          <tpl hier="2" item="2"/>
          <tpl fld="4" item="14"/>
          <tpl hier="42" item="3"/>
          <tpl fld="2" item="10"/>
        </tpls>
      </n>
      <n v="67117.99000000002" in="0">
        <tpls c="5">
          <tpl fld="3" item="1"/>
          <tpl hier="2" item="2"/>
          <tpl fld="4" item="2"/>
          <tpl hier="42" item="3"/>
          <tpl fld="2" item="9"/>
        </tpls>
      </n>
      <n v="-64204.169999999547" in="0">
        <tpls c="5">
          <tpl fld="3" item="1"/>
          <tpl hier="2" item="2"/>
          <tpl fld="4" item="18"/>
          <tpl hier="42" item="3"/>
          <tpl fld="2" item="9"/>
        </tpls>
      </n>
      <n v="232459.21" in="0">
        <tpls c="4">
          <tpl hier="2" item="2"/>
          <tpl fld="4" item="20"/>
          <tpl hier="42" item="3"/>
          <tpl fld="2" item="10"/>
        </tpls>
      </n>
      <n v="1.1641532182693481E-10" in="0">
        <tpls c="5">
          <tpl fld="3" item="1"/>
          <tpl hier="2" item="2"/>
          <tpl fld="4" item="12"/>
          <tpl hier="42" item="3"/>
          <tpl fld="2" item="7"/>
        </tpls>
      </n>
      <n v="25.000000000116415" in="0">
        <tpls c="5">
          <tpl fld="3" item="1"/>
          <tpl hier="2" item="2"/>
          <tpl fld="4" item="17"/>
          <tpl hier="42" item="3"/>
          <tpl fld="2" item="7"/>
        </tpls>
      </n>
      <n v="199851.8300000001" in="0">
        <tpls c="5">
          <tpl fld="3" item="0"/>
          <tpl hier="2" item="2"/>
          <tpl fld="4" item="20"/>
          <tpl hier="42" item="3"/>
          <tpl fld="2" item="1"/>
        </tpls>
      </n>
      <n v="-2.9103830456733704E-11" in="0">
        <tpls c="5">
          <tpl fld="3" item="1"/>
          <tpl hier="2" item="2"/>
          <tpl fld="4" item="6"/>
          <tpl hier="42" item="3"/>
          <tpl fld="2" item="7"/>
        </tpls>
      </n>
      <n v="-32983.369999999763" in="0">
        <tpls c="5">
          <tpl fld="3" item="1"/>
          <tpl hier="2" item="2"/>
          <tpl fld="4" item="0"/>
          <tpl hier="42" item="3"/>
          <tpl fld="2" item="9"/>
        </tpls>
      </n>
      <n v="-53038.059999999765" in="0">
        <tpls c="5">
          <tpl fld="3" item="1"/>
          <tpl hier="2" item="2"/>
          <tpl fld="4" item="22"/>
          <tpl hier="42" item="3"/>
          <tpl fld="2" item="9"/>
        </tpls>
      </n>
      <n v="3420.28" in="0">
        <tpls c="4">
          <tpl hier="2" item="2"/>
          <tpl fld="4" item="20"/>
          <tpl hier="42" item="3"/>
          <tpl fld="2" item="17"/>
        </tpls>
      </n>
      <n v="11493.799999999996" in="0">
        <tpls c="4">
          <tpl hier="2" item="2"/>
          <tpl fld="4" item="20"/>
          <tpl hier="42" item="3"/>
          <tpl fld="2" item="18"/>
        </tpls>
      </n>
      <n v="-4564.4999999999854" in="0">
        <tpls c="5">
          <tpl fld="3" item="1"/>
          <tpl hier="2" item="2"/>
          <tpl fld="4" item="23"/>
          <tpl hier="42" item="3"/>
          <tpl fld="2" item="9"/>
        </tpls>
      </n>
      <n v="1.1641532182693481E-10" in="0">
        <tpls c="5">
          <tpl fld="3" item="1"/>
          <tpl hier="2" item="2"/>
          <tpl fld="4" item="0"/>
          <tpl hier="42" item="3"/>
          <tpl fld="2" item="7"/>
        </tpls>
      </n>
      <n v="-3869.4999999999709" in="0">
        <tpls c="5">
          <tpl fld="3" item="1"/>
          <tpl hier="2" item="2"/>
          <tpl fld="4" item="21"/>
          <tpl hier="42" item="3"/>
          <tpl fld="2" item="9"/>
        </tpls>
      </n>
      <n v="241456.96000000017" in="0">
        <tpls c="4">
          <tpl hier="2" item="2"/>
          <tpl fld="4" item="20"/>
          <tpl hier="42" item="3"/>
          <tpl fld="2" item="1"/>
        </tpls>
      </n>
      <n v="-7705.1399999999558" in="0">
        <tpls c="5">
          <tpl fld="3" item="1"/>
          <tpl hier="2" item="2"/>
          <tpl fld="4" item="8"/>
          <tpl hier="42" item="3"/>
          <tpl fld="2" item="9"/>
        </tpls>
      </n>
      <n v="8.7311491370201111E-11" in="0">
        <tpls c="5">
          <tpl fld="3" item="1"/>
          <tpl hier="2" item="2"/>
          <tpl fld="4" item="18"/>
          <tpl hier="42" item="3"/>
          <tpl fld="2" item="7"/>
        </tpls>
      </n>
      <n v="49126.19000000041" in="0">
        <tpls c="5">
          <tpl fld="3" item="1"/>
          <tpl hier="2" item="2"/>
          <tpl fld="4" item="1"/>
          <tpl hier="42" item="3"/>
          <tpl fld="2" item="9"/>
        </tpls>
      </n>
      <n v="10761.389999999985" in="0">
        <tpls c="5">
          <tpl fld="3" item="1"/>
          <tpl hier="2" item="2"/>
          <tpl fld="4" item="12"/>
          <tpl hier="42" item="3"/>
          <tpl fld="2" item="9"/>
        </tpls>
      </n>
      <n v="41120.820000000182" in="0">
        <tpls c="5">
          <tpl fld="3" item="1"/>
          <tpl hier="2" item="2"/>
          <tpl fld="4" item="17"/>
          <tpl hier="42" item="3"/>
          <tpl fld="2" item="9"/>
        </tpls>
      </n>
      <n v="-22812.190000000031" in="0">
        <tpls c="5">
          <tpl fld="3" item="1"/>
          <tpl hier="2" item="2"/>
          <tpl fld="4" item="11"/>
          <tpl hier="42" item="3"/>
          <tpl fld="2" item="9"/>
        </tpls>
      </n>
      <n v="53016.63" in="0">
        <tpls c="4">
          <tpl hier="2" item="2"/>
          <tpl fld="4" item="14"/>
          <tpl hier="42" item="3"/>
          <tpl fld="2" item="17"/>
        </tpls>
      </n>
      <n v="-162.89999999996508" in="0">
        <tpls c="5">
          <tpl fld="3" item="1"/>
          <tpl hier="2" item="2"/>
          <tpl fld="4" item="16"/>
          <tpl hier="42" item="3"/>
          <tpl fld="2" item="7"/>
        </tpls>
      </n>
      <n v="2400312.4799999944" in="0">
        <tpls c="4">
          <tpl hier="2" item="2"/>
          <tpl fld="4" item="14"/>
          <tpl hier="42" item="3"/>
          <tpl fld="2" item="19"/>
        </tpls>
      </n>
      <n v="-1703.9999999999709" in="0">
        <tpls c="5">
          <tpl fld="3" item="1"/>
          <tpl hier="2" item="2"/>
          <tpl fld="4" item="21"/>
          <tpl hier="42" item="3"/>
          <tpl fld="2" item="7"/>
        </tpls>
      </n>
      <n v="-46927.780000000013" in="0">
        <tpls c="5">
          <tpl fld="3" item="1"/>
          <tpl hier="2" item="2"/>
          <tpl fld="4" item="5"/>
          <tpl hier="42" item="3"/>
          <tpl fld="2" item="9"/>
        </tpls>
      </n>
      <n v="1703.9999999998254" in="0">
        <tpls c="5">
          <tpl fld="3" item="1"/>
          <tpl hier="2" item="2"/>
          <tpl fld="4" item="4"/>
          <tpl hier="42" item="3"/>
          <tpl fld="2" item="7"/>
        </tpls>
      </n>
      <n v="4.543888304585441E-2" in="1">
        <tpls c="4">
          <tpl hier="2" item="2"/>
          <tpl fld="4" item="20"/>
          <tpl hier="42" item="3"/>
          <tpl fld="2" item="2"/>
        </tpls>
      </n>
      <n v="-19865" in="0">
        <tpls c="5">
          <tpl fld="3" item="1"/>
          <tpl hier="2" item="2"/>
          <tpl fld="4" item="16"/>
          <tpl hier="42" item="3"/>
          <tpl fld="2" item="9"/>
        </tpls>
      </n>
      <n v="2.9103830456733704E-11" in="0">
        <tpls c="5">
          <tpl fld="3" item="1"/>
          <tpl hier="2" item="2"/>
          <tpl fld="4" item="15"/>
          <tpl hier="42" item="3"/>
          <tpl fld="2" item="7"/>
        </tpls>
      </n>
      <n v="-217.94999999998981" in="0">
        <tpls c="5">
          <tpl fld="3" item="1"/>
          <tpl hier="2" item="2"/>
          <tpl fld="4" item="10"/>
          <tpl hier="42" item="3"/>
          <tpl fld="2" item="9"/>
        </tpls>
      </n>
      <n v="1031" in="0">
        <tpls c="4">
          <tpl hier="2" item="2"/>
          <tpl fld="4" item="20"/>
          <tpl hier="42" item="3"/>
          <tpl fld="2" item="14"/>
        </tpls>
      </n>
      <n v="253.91116957141227" in="0">
        <tpls c="4">
          <tpl hier="2" item="2"/>
          <tpl fld="4" item="14"/>
          <tpl hier="42" item="3"/>
          <tpl fld="2" item="12"/>
        </tpls>
      </n>
      <n v="0" in="0">
        <tpls c="5">
          <tpl fld="3" item="1"/>
          <tpl hier="2" item="2"/>
          <tpl fld="4" item="20"/>
          <tpl hier="42" item="3"/>
          <tpl fld="2" item="7"/>
        </tpls>
      </n>
      <n v="86960.590000000026" in="0">
        <tpls c="5">
          <tpl fld="3" item="1"/>
          <tpl hier="2" item="2"/>
          <tpl fld="4" item="15"/>
          <tpl hier="42" item="3"/>
          <tpl fld="2" item="9"/>
        </tpls>
      </n>
      <n v="-5577.4699999999939" in="0">
        <tpls c="5">
          <tpl fld="3" item="1"/>
          <tpl hier="2" item="2"/>
          <tpl fld="4" item="20"/>
          <tpl hier="42" item="3"/>
          <tpl fld="2" item="9"/>
        </tpls>
      </n>
      <n v="1.1641532182693481E-10" in="0">
        <tpls c="5">
          <tpl fld="3" item="1"/>
          <tpl hier="2" item="2"/>
          <tpl fld="4" item="9"/>
          <tpl hier="42" item="3"/>
          <tpl fld="2" item="7"/>
        </tpls>
      </n>
      <n v="27197.359999999841" in="0">
        <tpls c="5">
          <tpl fld="3" item="1"/>
          <tpl hier="2" item="2"/>
          <tpl fld="4" item="4"/>
          <tpl hier="42" item="3"/>
          <tpl fld="2" item="9"/>
        </tpls>
      </n>
      <n v="437386.81999999972" in="0">
        <tpls c="5">
          <tpl fld="3" item="1"/>
          <tpl hier="2" item="2"/>
          <tpl fld="4" item="14"/>
          <tpl hier="42" item="3"/>
          <tpl fld="2" item="1"/>
        </tpls>
      </n>
      <n v="1.1641532182693481E-10" in="0">
        <tpls c="5">
          <tpl fld="3" item="1"/>
          <tpl hier="2" item="2"/>
          <tpl fld="4" item="3"/>
          <tpl hier="42" item="3"/>
          <tpl fld="2" item="7"/>
        </tpls>
      </n>
      <n v="-7.2759576141834259E-12" in="0">
        <tpls c="5">
          <tpl fld="3" item="1"/>
          <tpl hier="2" item="2"/>
          <tpl fld="4" item="13"/>
          <tpl hier="42" item="3"/>
          <tpl fld="2" item="7"/>
        </tpls>
      </n>
      <n v="1879044.7799999868" in="0">
        <tpls c="5">
          <tpl fld="3" item="0"/>
          <tpl hier="2" item="2"/>
          <tpl fld="4" item="14"/>
          <tpl hier="42" item="3"/>
          <tpl fld="2" item="1"/>
        </tpls>
      </n>
      <n v="1.4551915228366852E-11" in="0">
        <tpls c="5">
          <tpl fld="3" item="1"/>
          <tpl hier="2" item="2"/>
          <tpl fld="4" item="23"/>
          <tpl hier="42" item="3"/>
          <tpl fld="2" item="7"/>
        </tpls>
      </n>
      <n v="-17488.289999999863" in="0">
        <tpls c="5">
          <tpl fld="3" item="1"/>
          <tpl hier="2" item="2"/>
          <tpl fld="4" item="7"/>
          <tpl hier="42" item="3"/>
          <tpl fld="2" item="9"/>
        </tpls>
      </n>
      <n v="9123" in="0">
        <tpls c="4">
          <tpl hier="2" item="2"/>
          <tpl fld="4" item="14"/>
          <tpl hier="42" item="3"/>
          <tpl fld="2" item="14"/>
        </tpls>
      </n>
      <n v="-24.999999999883585" in="0">
        <tpls c="5">
          <tpl fld="3" item="1"/>
          <tpl hier="2" item="2"/>
          <tpl fld="4" item="7"/>
          <tpl hier="42" item="3"/>
          <tpl fld="2" item="7"/>
        </tpls>
      </n>
      <n v="-899.81999999959953" in="0">
        <tpls c="5">
          <tpl fld="3" item="1"/>
          <tpl hier="2" item="2"/>
          <tpl fld="4" item="1"/>
          <tpl hier="42" item="3"/>
          <tpl fld="2" item="7"/>
        </tpls>
      </n>
      <n v="3.4945816721329688E-2" in="1">
        <tpls c="4">
          <tpl hier="2" item="2"/>
          <tpl fld="4" item="14"/>
          <tpl hier="42" item="3"/>
          <tpl fld="2" item="2"/>
        </tpls>
      </n>
      <n v="2.9103830456733704E-10" in="0">
        <tpls c="5">
          <tpl fld="3" item="1"/>
          <tpl hier="2" item="2"/>
          <tpl fld="4" item="22"/>
          <tpl hier="42" item="3"/>
          <tpl fld="2" item="7"/>
        </tpls>
      </n>
      <n v="18513.25999999998" in="0">
        <tpls c="5">
          <tpl fld="3" item="1"/>
          <tpl hier="2" item="2"/>
          <tpl fld="4" item="6"/>
          <tpl hier="42" item="3"/>
          <tpl fld="2" item="9"/>
        </tpls>
      </n>
      <n v="-1.4551915228366852E-11" in="0">
        <tpls c="5">
          <tpl fld="3" item="1"/>
          <tpl hier="2" item="2"/>
          <tpl fld="4" item="11"/>
          <tpl hier="42" item="3"/>
          <tpl fld="2" item="7"/>
        </tpls>
      </n>
      <n v="-869.99999999999636" in="0">
        <tpls c="5">
          <tpl fld="3" item="1"/>
          <tpl hier="2" item="2"/>
          <tpl fld="4" item="5"/>
          <tpl hier="42" item="3"/>
          <tpl fld="2" item="7"/>
        </tpls>
      </n>
      <n v="0" in="0">
        <tpls c="5">
          <tpl fld="3" item="1"/>
          <tpl hier="2" item="2"/>
          <tpl fld="4" item="10"/>
          <tpl hier="42" item="3"/>
          <tpl fld="2" item="7"/>
        </tpls>
      </n>
      <n v="199851.83000000005" in="0">
        <tpls c="4">
          <tpl fld="5" item="0"/>
          <tpl fld="4" item="20"/>
          <tpl hier="42" item="3"/>
          <tpl fld="2" item="1"/>
        </tpls>
      </n>
      <n v="1879044.7799999984" in="0">
        <tpls c="4">
          <tpl fld="5" item="0"/>
          <tpl fld="4" item="14"/>
          <tpl hier="42" item="3"/>
          <tpl fld="2" item="1"/>
        </tpls>
      </n>
      <n v="41605.129999999997" in="0">
        <tpls c="4">
          <tpl fld="5" item="1"/>
          <tpl fld="4" item="20"/>
          <tpl hier="42" item="3"/>
          <tpl fld="2" item="1"/>
        </tpls>
      </n>
      <n v="437386.81999999995" in="0">
        <tpls c="4">
          <tpl fld="5" item="1"/>
          <tpl fld="4" item="14"/>
          <tpl hier="42" item="3"/>
          <tpl fld="2" item="1"/>
        </tpls>
      </n>
      <n v="41605.129999999997" in="0">
        <tpls c="5">
          <tpl hier="2" item="2"/>
          <tpl fld="4" item="20"/>
          <tpl fld="6" item="0"/>
          <tpl hier="42" item="3"/>
          <tpl fld="2" item="1"/>
        </tpls>
      </n>
      <n v="437386.81999999995" in="0">
        <tpls c="5">
          <tpl hier="2" item="2"/>
          <tpl fld="4" item="14"/>
          <tpl fld="6" item="0"/>
          <tpl hier="42" item="3"/>
          <tpl fld="2" item="1"/>
        </tpls>
      </n>
      <n v="3857.0800000000004" in="0">
        <tpls c="5">
          <tpl hier="2" item="2"/>
          <tpl fld="4" item="20"/>
          <tpl fld="6" item="1"/>
          <tpl hier="42" item="3"/>
          <tpl fld="2" item="1"/>
        </tpls>
      </n>
      <n v="66004.760000000009" in="0">
        <tpls c="5">
          <tpl hier="2" item="2"/>
          <tpl fld="4" item="14"/>
          <tpl fld="6" item="1"/>
          <tpl hier="42" item="3"/>
          <tpl fld="2" item="1"/>
        </tpls>
      </n>
      <n v="10216.339999999998" in="0">
        <tpls c="5">
          <tpl hier="2" item="2"/>
          <tpl fld="4" item="20"/>
          <tpl fld="6" item="2"/>
          <tpl hier="42" item="3"/>
          <tpl fld="2" item="1"/>
        </tpls>
      </n>
      <n v="26585.81" in="0">
        <tpls c="5">
          <tpl hier="2" item="2"/>
          <tpl fld="4" item="14"/>
          <tpl fld="6" item="2"/>
          <tpl hier="42" item="3"/>
          <tpl fld="2" item="1"/>
        </tpls>
      </n>
      <n v="6244.1100000000006" in="0">
        <tpls c="5">
          <tpl hier="2" item="2"/>
          <tpl fld="4" item="20"/>
          <tpl fld="6" item="3"/>
          <tpl hier="42" item="3"/>
          <tpl fld="2" item="1"/>
        </tpls>
      </n>
      <n v="48557.020000000004" in="0">
        <tpls c="5">
          <tpl hier="2" item="2"/>
          <tpl fld="4" item="14"/>
          <tpl fld="6" item="3"/>
          <tpl hier="42" item="3"/>
          <tpl fld="2" item="1"/>
        </tpls>
      </n>
      <n v="12284.54" in="0">
        <tpls c="5">
          <tpl hier="2" item="2"/>
          <tpl fld="4" item="20"/>
          <tpl fld="6" item="4"/>
          <tpl hier="42" item="3"/>
          <tpl fld="2" item="1"/>
        </tpls>
      </n>
      <n v="80507.229999999981" in="0">
        <tpls c="5">
          <tpl hier="2" item="2"/>
          <tpl fld="4" item="14"/>
          <tpl fld="6" item="4"/>
          <tpl hier="42" item="3"/>
          <tpl fld="2" item="1"/>
        </tpls>
      </n>
      <m in="0">
        <tpls c="5">
          <tpl hier="2" item="2"/>
          <tpl fld="4" item="20"/>
          <tpl fld="6" item="5"/>
          <tpl hier="42" item="3"/>
          <tpl fld="2" item="1"/>
        </tpls>
      </m>
      <n v="10702.289999999999" in="0">
        <tpls c="5">
          <tpl hier="2" item="2"/>
          <tpl fld="4" item="14"/>
          <tpl fld="6" item="5"/>
          <tpl hier="42" item="3"/>
          <tpl fld="2" item="1"/>
        </tpls>
      </n>
      <n v="5943.71" in="0">
        <tpls c="5">
          <tpl hier="2" item="2"/>
          <tpl fld="4" item="20"/>
          <tpl fld="6" item="6"/>
          <tpl hier="42" item="3"/>
          <tpl fld="2" item="1"/>
        </tpls>
      </n>
      <n v="39286.060000000005" in="0">
        <tpls c="5">
          <tpl hier="2" item="2"/>
          <tpl fld="4" item="14"/>
          <tpl fld="6" item="6"/>
          <tpl hier="42" item="3"/>
          <tpl fld="2" item="1"/>
        </tpls>
      </n>
      <n v="3757.62" in="0">
        <tpls c="5">
          <tpl hier="2" item="2"/>
          <tpl fld="4" item="20"/>
          <tpl fld="6" item="7"/>
          <tpl hier="42" item="3"/>
          <tpl fld="2" item="1"/>
        </tpls>
      </n>
      <n v="40918.15" in="0">
        <tpls c="5">
          <tpl hier="2" item="2"/>
          <tpl fld="4" item="14"/>
          <tpl fld="6" item="7"/>
          <tpl hier="42" item="3"/>
          <tpl fld="2" item="1"/>
        </tpls>
      </n>
      <n v="5226.83" in="0">
        <tpls c="5">
          <tpl hier="2" item="2"/>
          <tpl fld="4" item="20"/>
          <tpl fld="6" item="8"/>
          <tpl hier="42" item="3"/>
          <tpl fld="2" item="1"/>
        </tpls>
      </n>
      <n v="20310.48" in="0">
        <tpls c="5">
          <tpl hier="2" item="2"/>
          <tpl fld="4" item="14"/>
          <tpl fld="6" item="8"/>
          <tpl hier="42" item="3"/>
          <tpl fld="2" item="1"/>
        </tpls>
      </n>
      <n v="9139.0399999999991" in="0">
        <tpls c="5">
          <tpl hier="2" item="2"/>
          <tpl fld="4" item="20"/>
          <tpl fld="6" item="9"/>
          <tpl hier="42" item="3"/>
          <tpl fld="2" item="1"/>
        </tpls>
      </n>
      <n v="14637.72" in="0">
        <tpls c="5">
          <tpl hier="2" item="2"/>
          <tpl fld="4" item="14"/>
          <tpl fld="6" item="9"/>
          <tpl hier="42" item="3"/>
          <tpl fld="2" item="1"/>
        </tpls>
      </n>
      <n v="545642.58999999973" in="0">
        <tpls c="6">
          <tpl fld="3" item="0"/>
          <tpl hier="2" item="2"/>
          <tpl hier="7" item="0"/>
          <tpl hier="9" item="4"/>
          <tpl hier="42" item="3"/>
          <tpl fld="2" item="1"/>
        </tpls>
      </n>
      <n v="184570.41999999998" in="0">
        <tpls c="6">
          <tpl fld="3" item="1"/>
          <tpl hier="2" item="2"/>
          <tpl hier="7" item="0"/>
          <tpl hier="9" item="4"/>
          <tpl hier="42" item="3"/>
          <tpl fld="2" item="1"/>
        </tpls>
      </n>
      <n v="5.3692621371664783E-3" in="1">
        <tpls c="5">
          <tpl hier="2" item="2"/>
          <tpl hier="7" item="0"/>
          <tpl hier="9" item="4"/>
          <tpl hier="42" item="3"/>
          <tpl fld="2" item="2"/>
        </tpls>
      </n>
      <n v="0.25276243708667961" in="1">
        <tpls c="5">
          <tpl hier="2" item="2"/>
          <tpl hier="7" item="0"/>
          <tpl hier="9" item="4"/>
          <tpl hier="42" item="3"/>
          <tpl fld="2" item="3"/>
        </tpls>
      </n>
      <m in="0">
        <tpls c="5">
          <tpl hier="2" item="2"/>
          <tpl hier="7" item="0"/>
          <tpl hier="9" item="4"/>
          <tpl hier="42" item="3"/>
          <tpl fld="2" item="0"/>
        </tpls>
      </m>
      <n v="12" in="0">
        <tpls c="5">
          <tpl hier="2" item="2"/>
          <tpl hier="7" item="0"/>
          <tpl hier="9" item="4"/>
          <tpl hier="42" item="3"/>
          <tpl fld="2" item="4"/>
        </tpls>
      </n>
      <m in="0">
        <tpls c="5">
          <tpl hier="2" item="2"/>
          <tpl hier="7" item="0"/>
          <tpl hier="9" item="4"/>
          <tpl hier="42" item="3"/>
          <tpl fld="2" item="5"/>
        </tpls>
      </m>
      <n v="3" in="0">
        <tpls c="6">
          <tpl fld="3" item="0"/>
          <tpl hier="2" item="2"/>
          <tpl hier="7" item="0"/>
          <tpl hier="9" item="4"/>
          <tpl hier="42" item="3"/>
          <tpl fld="2" item="6"/>
        </tpls>
      </n>
      <n v="4" in="0">
        <tpls c="5">
          <tpl hier="2" item="2"/>
          <tpl hier="7" item="0"/>
          <tpl hier="9" item="4"/>
          <tpl hier="42" item="3"/>
          <tpl fld="2" item="6"/>
        </tpls>
      </n>
      <n v="3444.609999999986" in="0">
        <tpls c="5">
          <tpl hier="2" item="2"/>
          <tpl hier="7" item="0"/>
          <tpl hier="9" item="4"/>
          <tpl hier="42" item="3"/>
          <tpl fld="2" item="7"/>
        </tpls>
      </n>
      <n v="1.7874338166612956E-3" in="1">
        <tpls c="5">
          <tpl hier="2" item="2"/>
          <tpl hier="7" item="0"/>
          <tpl hier="9" item="4"/>
          <tpl hier="42" item="3"/>
          <tpl fld="2" item="8"/>
        </tpls>
      </n>
      <n v="1279.1099999998696" in="0">
        <tpls c="5">
          <tpl hier="2" item="2"/>
          <tpl hier="7" item="0"/>
          <tpl hier="9" item="4"/>
          <tpl hier="42" item="3"/>
          <tpl fld="2" item="9"/>
        </tpls>
      </n>
      <n v="715612.51" in="0">
        <tpls c="5">
          <tpl hier="2" item="2"/>
          <tpl hier="7" item="0"/>
          <tpl hier="9" item="4"/>
          <tpl hier="42" item="3"/>
          <tpl fld="2" item="10"/>
        </tpls>
      </n>
      <n v="2.174654488831964E-2" in="1">
        <tpls c="5">
          <tpl hier="2" item="2"/>
          <tpl hier="7" item="0"/>
          <tpl hier="9" item="4"/>
          <tpl hier="42" item="3"/>
          <tpl fld="2" item="11"/>
        </tpls>
      </n>
      <n v="278.07045316070071" in="0">
        <tpls c="5">
          <tpl hier="2" item="2"/>
          <tpl hier="7" item="0"/>
          <tpl hier="9" item="4"/>
          <tpl hier="42" item="3"/>
          <tpl fld="2" item="12"/>
        </tpls>
      </n>
      <n v="2116.5594492753626" in="0">
        <tpls c="5">
          <tpl hier="2" item="2"/>
          <tpl hier="7" item="0"/>
          <tpl hier="9" item="4"/>
          <tpl hier="42" item="3"/>
          <tpl fld="2" item="13"/>
        </tpls>
      </n>
      <n v="2626" in="0">
        <tpls c="5">
          <tpl hier="2" item="2"/>
          <tpl hier="7" item="0"/>
          <tpl hier="9" item="4"/>
          <tpl hier="42" item="3"/>
          <tpl fld="2" item="14"/>
        </tpls>
      </n>
      <n v="345" in="0">
        <tpls c="5">
          <tpl hier="2" item="2"/>
          <tpl hier="7" item="0"/>
          <tpl hier="9" item="4"/>
          <tpl hier="42" item="3"/>
          <tpl fld="2" item="15"/>
        </tpls>
      </n>
      <n v="714333.40000000014" in="0">
        <tpls c="5">
          <tpl hier="2" item="2"/>
          <tpl hier="7" item="0"/>
          <tpl hier="9" item="4"/>
          <tpl hier="42" item="3"/>
          <tpl fld="2" item="16"/>
        </tpls>
      </n>
      <n v="15879.61" in="0">
        <tpls c="5">
          <tpl hier="2" item="2"/>
          <tpl hier="7" item="0"/>
          <tpl hier="9" item="4"/>
          <tpl hier="42" item="3"/>
          <tpl fld="2" item="17"/>
        </tpls>
      </n>
      <n v="730213.01000000013" in="0">
        <tpls c="5">
          <tpl hier="2" item="2"/>
          <tpl hier="7" item="0"/>
          <tpl hier="9" item="4"/>
          <tpl hier="42" item="3"/>
          <tpl fld="2" item="1"/>
        </tpls>
      </n>
      <n v="3941.8700000000003" in="0">
        <tpls c="5">
          <tpl hier="2" item="2"/>
          <tpl hier="7" item="0"/>
          <tpl hier="9" item="4"/>
          <tpl hier="42" item="3"/>
          <tpl fld="2" item="18"/>
        </tpls>
      </n>
      <n v="734154.88000000012" in="0">
        <tpls c="5">
          <tpl hier="2" item="2"/>
          <tpl hier="7" item="0"/>
          <tpl hier="9" item="4"/>
          <tpl hier="42" item="3"/>
          <tpl fld="2" item="19"/>
        </tpls>
      </n>
      <n v="837310.26000000013" in="0">
        <tpls c="5">
          <tpl hier="2" item="2"/>
          <tpl hier="7" item="0"/>
          <tpl hier="9" item="4"/>
          <tpl hier="42" item="3"/>
          <tpl fld="2" item="20"/>
        </tpls>
      </n>
      <n v="1317235.8800000006" in="0">
        <tpls c="5">
          <tpl hier="2" item="2"/>
          <tpl hier="7" item="0"/>
          <tpl hier="9" item="4"/>
          <tpl hier="42" item="3"/>
          <tpl fld="2" item="21"/>
        </tpls>
      </n>
      <n v="12170.8" in="0">
        <tpls c="5">
          <tpl hier="2" item="2"/>
          <tpl fld="4" item="3"/>
          <tpl fld="6" item="3"/>
          <tpl hier="42" item="3"/>
          <tpl fld="2" item="1"/>
        </tpls>
      </n>
      <n v="20842.78" in="0">
        <tpls c="5">
          <tpl hier="2" item="2"/>
          <tpl fld="4" item="3"/>
          <tpl fld="6" item="7"/>
          <tpl hier="42" item="3"/>
          <tpl fld="2" item="1"/>
        </tpls>
      </n>
      <n v="29701.100000000002" in="0">
        <tpls c="5">
          <tpl hier="2" item="2"/>
          <tpl fld="4" item="3"/>
          <tpl fld="6" item="1"/>
          <tpl hier="42" item="3"/>
          <tpl fld="2" item="1"/>
        </tpls>
      </n>
      <n v="302513.47000000003" in="0">
        <tpls c="5">
          <tpl hier="2" item="2"/>
          <tpl fld="4" item="3"/>
          <tpl fld="6" item="0"/>
          <tpl hier="42" item="3"/>
          <tpl fld="2" item="1"/>
        </tpls>
      </n>
      <n v="302513.47000000003" in="0">
        <tpls c="4">
          <tpl fld="5" item="1"/>
          <tpl fld="4" item="3"/>
          <tpl hier="42" item="3"/>
          <tpl fld="2" item="1"/>
        </tpls>
      </n>
      <n v="1052119.1499999971" in="0">
        <tpls c="4">
          <tpl fld="5" item="0"/>
          <tpl fld="4" item="3"/>
          <tpl hier="42" item="3"/>
          <tpl fld="2" item="1"/>
        </tpls>
      </n>
      <n v="15193.869999999999" in="0">
        <tpls c="5">
          <tpl hier="2" item="2"/>
          <tpl fld="4" item="4"/>
          <tpl fld="6" item="3"/>
          <tpl hier="42" item="3"/>
          <tpl fld="2" item="1"/>
        </tpls>
      </n>
      <n v="3934.13" in="0">
        <tpls c="5">
          <tpl hier="2" item="2"/>
          <tpl fld="4" item="4"/>
          <tpl fld="6" item="7"/>
          <tpl hier="42" item="3"/>
          <tpl fld="2" item="1"/>
        </tpls>
      </n>
      <n v="14581.54" in="0">
        <tpls c="5">
          <tpl hier="2" item="2"/>
          <tpl fld="4" item="4"/>
          <tpl fld="6" item="1"/>
          <tpl hier="42" item="3"/>
          <tpl fld="2" item="1"/>
        </tpls>
      </n>
      <n v="197109.54000000015" in="0">
        <tpls c="5">
          <tpl hier="2" item="2"/>
          <tpl fld="4" item="4"/>
          <tpl fld="6" item="0"/>
          <tpl hier="42" item="3"/>
          <tpl fld="2" item="1"/>
        </tpls>
      </n>
      <n v="197109.54000000015" in="0">
        <tpls c="4">
          <tpl fld="5" item="1"/>
          <tpl fld="4" item="4"/>
          <tpl hier="42" item="3"/>
          <tpl fld="2" item="1"/>
        </tpls>
      </n>
      <n v="660715.11999999883" in="0">
        <tpls c="4">
          <tpl fld="5" item="0"/>
          <tpl fld="4" item="4"/>
          <tpl hier="42" item="3"/>
          <tpl fld="2" item="1"/>
        </tpls>
      </n>
      <n v="0.22977835587053499" in="1">
        <tpls c="4">
          <tpl hier="2" item="2"/>
          <tpl fld="4" item="4"/>
          <tpl hier="42" item="3"/>
          <tpl fld="2" item="3"/>
        </tpls>
      </n>
      <n v="0.22331772137600059" in="1">
        <tpls c="4">
          <tpl hier="2" item="2"/>
          <tpl fld="4" item="3"/>
          <tpl hier="42" item="3"/>
          <tpl fld="2" item="3"/>
        </tpls>
      </n>
      <n v="267.98646048109896" in="0">
        <tpls c="4">
          <tpl hier="2" item="2"/>
          <tpl fld="4" item="4"/>
          <tpl hier="42" item="3"/>
          <tpl fld="2" item="12"/>
        </tpls>
      </n>
      <n v="7813.6500000000015" in="0">
        <tpls c="4">
          <tpl hier="2" item="2"/>
          <tpl fld="4" item="3"/>
          <tpl hier="42" item="3"/>
          <tpl fld="2" item="18"/>
        </tpls>
      </n>
      <n v="197109.54000000015" in="0">
        <tpls c="5">
          <tpl fld="3" item="1"/>
          <tpl hier="2" item="2"/>
          <tpl fld="4" item="4"/>
          <tpl hier="42" item="3"/>
          <tpl fld="2" item="1"/>
        </tpls>
      </n>
      <n v="1354632.6199999927" in="0">
        <tpls c="4">
          <tpl hier="2" item="2"/>
          <tpl fld="4" item="3"/>
          <tpl hier="42" item="3"/>
          <tpl fld="2" item="1"/>
        </tpls>
      </n>
      <n v="865073.47999999765" in="0">
        <tpls c="4">
          <tpl hier="2" item="2"/>
          <tpl fld="4" item="4"/>
          <tpl hier="42" item="3"/>
          <tpl fld="2" item="19"/>
        </tpls>
      </n>
      <n v="1350836.65" in="0">
        <tpls c="4">
          <tpl hier="2" item="2"/>
          <tpl fld="4" item="3"/>
          <tpl hier="42" item="3"/>
          <tpl fld="2" item="10"/>
        </tpls>
      </n>
      <n v="864517.61" in="0">
        <tpls c="4">
          <tpl hier="2" item="2"/>
          <tpl fld="4" item="4"/>
          <tpl hier="42" item="3"/>
          <tpl fld="2" item="10"/>
        </tpls>
      </n>
      <n v="660715.11999999883" in="0">
        <tpls c="5">
          <tpl fld="3" item="0"/>
          <tpl hier="2" item="2"/>
          <tpl fld="4" item="4"/>
          <tpl hier="42" item="3"/>
          <tpl fld="2" item="1"/>
        </tpls>
      </n>
      <n v="20514.400000000001" in="0">
        <tpls c="4">
          <tpl hier="2" item="2"/>
          <tpl fld="4" item="4"/>
          <tpl hier="42" item="3"/>
          <tpl fld="2" item="17"/>
        </tpls>
      </n>
      <n v="7248.8199999999988" in="0">
        <tpls c="4">
          <tpl hier="2" item="2"/>
          <tpl fld="4" item="4"/>
          <tpl hier="42" item="3"/>
          <tpl fld="2" item="18"/>
        </tpls>
      </n>
      <n v="857824.6599999977" in="0">
        <tpls c="4">
          <tpl hier="2" item="2"/>
          <tpl fld="4" item="4"/>
          <tpl hier="42" item="3"/>
          <tpl fld="2" item="1"/>
        </tpls>
      </n>
      <n v="37396.74" in="0">
        <tpls c="4">
          <tpl hier="2" item="2"/>
          <tpl fld="4" item="3"/>
          <tpl hier="42" item="3"/>
          <tpl fld="2" item="17"/>
        </tpls>
      </n>
      <n v="1362446.2699999926" in="0">
        <tpls c="4">
          <tpl hier="2" item="2"/>
          <tpl fld="4" item="3"/>
          <tpl hier="42" item="3"/>
          <tpl fld="2" item="19"/>
        </tpls>
      </n>
      <n v="8.3794269129600623E-3" in="1">
        <tpls c="4">
          <tpl hier="2" item="2"/>
          <tpl fld="4" item="4"/>
          <tpl hier="42" item="3"/>
          <tpl fld="2" item="2"/>
        </tpls>
      </n>
      <n v="3201" in="0">
        <tpls c="4">
          <tpl hier="2" item="2"/>
          <tpl fld="4" item="4"/>
          <tpl hier="42" item="3"/>
          <tpl fld="2" item="14"/>
        </tpls>
      </n>
      <n v="254.96567287784541" in="0">
        <tpls c="4">
          <tpl hier="2" item="2"/>
          <tpl fld="4" item="3"/>
          <tpl hier="42" item="3"/>
          <tpl fld="2" item="12"/>
        </tpls>
      </n>
      <n v="302513.47000000003" in="0">
        <tpls c="5">
          <tpl fld="3" item="1"/>
          <tpl hier="2" item="2"/>
          <tpl fld="4" item="3"/>
          <tpl hier="42" item="3"/>
          <tpl fld="2" item="1"/>
        </tpls>
      </n>
      <n v="1052119.1499999971" in="0">
        <tpls c="5">
          <tpl fld="3" item="0"/>
          <tpl hier="2" item="2"/>
          <tpl fld="4" item="3"/>
          <tpl hier="42" item="3"/>
          <tpl fld="2" item="1"/>
        </tpls>
      </n>
      <n v="5313" in="0">
        <tpls c="4">
          <tpl hier="2" item="2"/>
          <tpl fld="4" item="3"/>
          <tpl hier="42" item="3"/>
          <tpl fld="2" item="14"/>
        </tpls>
      </n>
      <n v="5.7350151503589523E-3" in="1">
        <tpls c="4">
          <tpl hier="2" item="2"/>
          <tpl fld="4" item="3"/>
          <tpl hier="42" item="3"/>
          <tpl fld="2" item="2"/>
        </tpls>
      </n>
      <m in="0">
        <tpls c="3">
          <tpl hier="2" item="2"/>
          <tpl hier="42" item="5"/>
          <tpl fld="2" item="0"/>
        </tpls>
      </m>
      <n v="329454.88999999996" in="0">
        <tpls c="6">
          <tpl fld="3" item="0"/>
          <tpl hier="2" item="2"/>
          <tpl hier="7" item="0"/>
          <tpl hier="9" item="4"/>
          <tpl hier="42" item="5"/>
          <tpl fld="2" item="1"/>
        </tpls>
      </n>
      <m in="0">
        <tpls c="6">
          <tpl fld="3" item="1"/>
          <tpl hier="2" item="2"/>
          <tpl hier="7" item="0"/>
          <tpl hier="9" item="4"/>
          <tpl hier="42" item="5"/>
          <tpl fld="2" item="1"/>
        </tpls>
      </m>
      <n v="0" in="1">
        <tpls c="5">
          <tpl hier="2" item="2"/>
          <tpl hier="7" item="0"/>
          <tpl hier="9" item="4"/>
          <tpl hier="42" item="5"/>
          <tpl fld="2" item="2"/>
        </tpls>
      </n>
      <m in="1">
        <tpls c="5">
          <tpl hier="2" item="2"/>
          <tpl hier="7" item="0"/>
          <tpl hier="9" item="4"/>
          <tpl hier="42" item="5"/>
          <tpl fld="2" item="3"/>
        </tpls>
      </m>
      <m in="0">
        <tpls c="5">
          <tpl hier="2" item="2"/>
          <tpl hier="7" item="0"/>
          <tpl hier="9" item="4"/>
          <tpl hier="42" item="5"/>
          <tpl fld="2" item="0"/>
        </tpls>
      </m>
      <n v="7" in="0">
        <tpls c="5">
          <tpl hier="2" item="2"/>
          <tpl hier="7" item="0"/>
          <tpl hier="9" item="4"/>
          <tpl hier="42" item="5"/>
          <tpl fld="2" item="4"/>
        </tpls>
      </n>
      <m in="0">
        <tpls c="5">
          <tpl hier="2" item="2"/>
          <tpl hier="7" item="0"/>
          <tpl hier="9" item="4"/>
          <tpl hier="42" item="5"/>
          <tpl fld="2" item="5"/>
        </tpls>
      </m>
      <n v="2" in="0">
        <tpls c="6">
          <tpl fld="3" item="0"/>
          <tpl hier="2" item="2"/>
          <tpl hier="7" item="0"/>
          <tpl hier="9" item="4"/>
          <tpl hier="42" item="5"/>
          <tpl fld="2" item="6"/>
        </tpls>
      </n>
      <n v="2" in="0">
        <tpls c="5">
          <tpl hier="2" item="2"/>
          <tpl hier="7" item="0"/>
          <tpl hier="9" item="4"/>
          <tpl hier="42" item="5"/>
          <tpl fld="2" item="6"/>
        </tpls>
      </n>
      <n v="4798.6199999999953" in="0">
        <tpls c="5">
          <tpl hier="2" item="2"/>
          <tpl hier="7" item="0"/>
          <tpl hier="9" item="4"/>
          <tpl hier="42" item="5"/>
          <tpl fld="2" item="7"/>
        </tpls>
      </n>
      <n v="1.4623326427513008E-2" in="1">
        <tpls c="5">
          <tpl hier="2" item="2"/>
          <tpl hier="7" item="0"/>
          <tpl hier="9" item="4"/>
          <tpl hier="42" item="5"/>
          <tpl fld="2" item="8"/>
        </tpls>
      </n>
      <n v="4798.6199999999953" in="0">
        <tpls c="5">
          <tpl hier="2" item="2"/>
          <tpl hier="7" item="0"/>
          <tpl hier="9" item="4"/>
          <tpl hier="42" item="5"/>
          <tpl fld="2" item="9"/>
        </tpls>
      </n>
      <n v="328148.32" in="0">
        <tpls c="5">
          <tpl hier="2" item="2"/>
          <tpl hier="7" item="0"/>
          <tpl hier="9" item="4"/>
          <tpl hier="42" item="5"/>
          <tpl fld="2" item="10"/>
        </tpls>
      </n>
      <n v="1.8531186469868451E-2" in="1">
        <tpls c="5">
          <tpl hier="2" item="2"/>
          <tpl hier="7" item="0"/>
          <tpl hier="9" item="4"/>
          <tpl hier="42" item="5"/>
          <tpl fld="2" item="11"/>
        </tpls>
      </n>
      <n v="275.69446861924689" in="0">
        <tpls c="5">
          <tpl hier="2" item="2"/>
          <tpl hier="7" item="0"/>
          <tpl hier="9" item="4"/>
          <tpl hier="42" item="5"/>
          <tpl fld="2" item="12"/>
        </tpls>
      </n>
      <n v="2181.820463576159" in="0">
        <tpls c="5">
          <tpl hier="2" item="2"/>
          <tpl hier="7" item="0"/>
          <tpl hier="9" item="4"/>
          <tpl hier="42" item="5"/>
          <tpl fld="2" item="13"/>
        </tpls>
      </n>
      <n v="1195" in="0">
        <tpls c="5">
          <tpl hier="2" item="2"/>
          <tpl hier="7" item="0"/>
          <tpl hier="9" item="4"/>
          <tpl hier="42" item="5"/>
          <tpl fld="2" item="14"/>
        </tpls>
      </n>
      <n v="151" in="0">
        <tpls c="5">
          <tpl hier="2" item="2"/>
          <tpl hier="7" item="0"/>
          <tpl hier="9" item="4"/>
          <tpl hier="42" item="5"/>
          <tpl fld="2" item="15"/>
        </tpls>
      </n>
      <n v="323349.7" in="0">
        <tpls c="5">
          <tpl hier="2" item="2"/>
          <tpl hier="7" item="0"/>
          <tpl hier="9" item="4"/>
          <tpl hier="42" item="5"/>
          <tpl fld="2" item="16"/>
        </tpls>
      </n>
      <n v="6105.19" in="0">
        <tpls c="5">
          <tpl hier="2" item="2"/>
          <tpl hier="7" item="0"/>
          <tpl hier="9" item="4"/>
          <tpl hier="42" item="5"/>
          <tpl fld="2" item="17"/>
        </tpls>
      </n>
      <n v="329454.89" in="0">
        <tpls c="5">
          <tpl hier="2" item="2"/>
          <tpl hier="7" item="0"/>
          <tpl hier="9" item="4"/>
          <tpl hier="42" item="5"/>
          <tpl fld="2" item="1"/>
        </tpls>
      </n>
      <n v="0" in="0">
        <tpls c="5">
          <tpl hier="2" item="2"/>
          <tpl hier="7" item="0"/>
          <tpl hier="9" item="4"/>
          <tpl hier="42" item="5"/>
          <tpl fld="2" item="18"/>
        </tpls>
      </n>
      <n v="329454.89" in="0">
        <tpls c="5">
          <tpl hier="2" item="2"/>
          <tpl hier="7" item="0"/>
          <tpl hier="9" item="4"/>
          <tpl hier="42" item="5"/>
          <tpl fld="2" item="19"/>
        </tpls>
      </n>
      <n v="378767.27999999991" in="0">
        <tpls c="5">
          <tpl hier="2" item="2"/>
          <tpl hier="7" item="0"/>
          <tpl hier="9" item="4"/>
          <tpl hier="42" item="5"/>
          <tpl fld="2" item="20"/>
        </tpls>
      </n>
      <n v="481649.62999999989" in="0">
        <tpls c="5">
          <tpl hier="2" item="2"/>
          <tpl hier="7" item="0"/>
          <tpl hier="9" item="4"/>
          <tpl hier="42" item="5"/>
          <tpl fld="2" item="21"/>
        </tpls>
      </n>
      <n v="16536.939999999999" in="0">
        <tpls c="5">
          <tpl hier="2" item="2"/>
          <tpl fld="4" item="3"/>
          <tpl fld="6" item="2"/>
          <tpl hier="42" item="5"/>
          <tpl fld="2" item="1"/>
        </tpls>
      </n>
      <n v="12170.8" in="0">
        <tpls c="5">
          <tpl hier="2" item="2"/>
          <tpl fld="4" item="3"/>
          <tpl fld="6" item="3"/>
          <tpl hier="42" item="5"/>
          <tpl fld="2" item="1"/>
        </tpls>
      </n>
      <n v="37762.740000000005" in="0">
        <tpls c="5">
          <tpl hier="2" item="2"/>
          <tpl fld="4" item="3"/>
          <tpl fld="6" item="10"/>
          <tpl hier="42" item="5"/>
          <tpl fld="2" item="1"/>
        </tpls>
      </n>
      <n v="14595.069999999998" in="0">
        <tpls c="5">
          <tpl hier="2" item="2"/>
          <tpl fld="4" item="3"/>
          <tpl fld="6" item="11"/>
          <tpl hier="42" item="5"/>
          <tpl fld="2" item="1"/>
        </tpls>
      </n>
      <n v="36612.9" in="0">
        <tpls c="5">
          <tpl hier="2" item="2"/>
          <tpl fld="4" item="3"/>
          <tpl fld="6" item="12"/>
          <tpl hier="42" item="5"/>
          <tpl fld="2" item="1"/>
        </tpls>
      </n>
      <n v="26831.310000000005" in="0">
        <tpls c="5">
          <tpl hier="2" item="2"/>
          <tpl fld="4" item="3"/>
          <tpl fld="6" item="13"/>
          <tpl hier="42" item="5"/>
          <tpl fld="2" item="1"/>
        </tpls>
      </n>
      <n v="6712.8" in="0">
        <tpls c="5">
          <tpl hier="2" item="2"/>
          <tpl fld="4" item="3"/>
          <tpl fld="6" item="14"/>
          <tpl hier="42" item="5"/>
          <tpl fld="2" item="1"/>
        </tpls>
      </n>
      <n v="17791.230000000003" in="0">
        <tpls c="5">
          <tpl hier="2" item="2"/>
          <tpl fld="4" item="3"/>
          <tpl fld="6" item="15"/>
          <tpl hier="42" item="5"/>
          <tpl fld="2" item="1"/>
        </tpls>
      </n>
      <n v="29701.100000000002" in="0">
        <tpls c="5">
          <tpl hier="2" item="2"/>
          <tpl fld="4" item="3"/>
          <tpl fld="6" item="1"/>
          <tpl hier="42" item="5"/>
          <tpl fld="2" item="1"/>
        </tpls>
      </n>
      <n v="500691.04999999952" in="0">
        <tpls c="4">
          <tpl fld="5" item="0"/>
          <tpl fld="4" item="3"/>
          <tpl hier="42" item="5"/>
          <tpl fld="2" item="1"/>
        </tpls>
      </n>
      <n v="20385.14" in="0">
        <tpls c="5">
          <tpl hier="2" item="2"/>
          <tpl fld="4" item="4"/>
          <tpl fld="6" item="2"/>
          <tpl hier="42" item="5"/>
          <tpl fld="2" item="1"/>
        </tpls>
      </n>
      <n v="15193.869999999999" in="0">
        <tpls c="5">
          <tpl hier="2" item="2"/>
          <tpl fld="4" item="4"/>
          <tpl fld="6" item="3"/>
          <tpl hier="42" item="5"/>
          <tpl fld="2" item="1"/>
        </tpls>
      </n>
      <n v="18103.899999999998" in="0">
        <tpls c="5">
          <tpl hier="2" item="2"/>
          <tpl fld="4" item="4"/>
          <tpl fld="6" item="10"/>
          <tpl hier="42" item="5"/>
          <tpl fld="2" item="1"/>
        </tpls>
      </n>
      <n v="23680.889999999996" in="0">
        <tpls c="5">
          <tpl hier="2" item="2"/>
          <tpl fld="4" item="4"/>
          <tpl fld="6" item="11"/>
          <tpl hier="42" item="5"/>
          <tpl fld="2" item="1"/>
        </tpls>
      </n>
      <n v="29176.819999999996" in="0">
        <tpls c="5">
          <tpl hier="2" item="2"/>
          <tpl fld="4" item="4"/>
          <tpl fld="6" item="12"/>
          <tpl hier="42" item="5"/>
          <tpl fld="2" item="1"/>
        </tpls>
      </n>
      <n v="6193.0499999999993" in="0">
        <tpls c="5">
          <tpl hier="2" item="2"/>
          <tpl fld="4" item="4"/>
          <tpl fld="6" item="13"/>
          <tpl hier="42" item="5"/>
          <tpl fld="2" item="1"/>
        </tpls>
      </n>
      <n v="14857.529999999999" in="0">
        <tpls c="5">
          <tpl hier="2" item="2"/>
          <tpl fld="4" item="4"/>
          <tpl fld="6" item="14"/>
          <tpl hier="42" item="5"/>
          <tpl fld="2" item="1"/>
        </tpls>
      </n>
      <n v="11724.03" in="0">
        <tpls c="5">
          <tpl hier="2" item="2"/>
          <tpl fld="4" item="4"/>
          <tpl fld="6" item="15"/>
          <tpl hier="42" item="5"/>
          <tpl fld="2" item="1"/>
        </tpls>
      </n>
      <n v="14581.54" in="0">
        <tpls c="5">
          <tpl hier="2" item="2"/>
          <tpl fld="4" item="4"/>
          <tpl fld="6" item="1"/>
          <tpl hier="42" item="5"/>
          <tpl fld="2" item="1"/>
        </tpls>
      </n>
      <n v="388072.41999999981" in="0">
        <tpls c="4">
          <tpl fld="5" item="0"/>
          <tpl fld="4" item="4"/>
          <tpl hier="42" item="5"/>
          <tpl fld="2" item="1"/>
        </tpls>
      </n>
      <n v="261" in="0">
        <tpls c="4">
          <tpl hier="2" item="2"/>
          <tpl fld="4" item="24"/>
          <tpl hier="42" item="5"/>
          <tpl fld="2" item="15"/>
        </tpls>
      </n>
      <n v="0" in="0">
        <tpls c="5">
          <tpl fld="3" item="0"/>
          <tpl hier="2" item="2"/>
          <tpl fld="4" item="24"/>
          <tpl hier="42" item="5"/>
          <tpl fld="2" item="6"/>
        </tpls>
      </n>
      <n v="201" in="0">
        <tpls c="4">
          <tpl hier="2" item="2"/>
          <tpl fld="4" item="25"/>
          <tpl hier="42" item="5"/>
          <tpl fld="2" item="15"/>
        </tpls>
      </n>
      <n v="0" in="0">
        <tpls c="5">
          <tpl fld="3" item="0"/>
          <tpl hier="2" item="2"/>
          <tpl fld="4" item="25"/>
          <tpl hier="42" item="5"/>
          <tpl fld="2" item="6"/>
        </tpls>
      </n>
      <n v="334" in="0">
        <tpls c="4">
          <tpl hier="2" item="2"/>
          <tpl fld="4" item="9"/>
          <tpl hier="42" item="5"/>
          <tpl fld="2" item="15"/>
        </tpls>
      </n>
      <n v="1" in="0">
        <tpls c="5">
          <tpl fld="3" item="0"/>
          <tpl hier="2" item="2"/>
          <tpl fld="4" item="9"/>
          <tpl hier="42" item="5"/>
          <tpl fld="2" item="6"/>
        </tpls>
      </n>
      <n v="428" in="0">
        <tpls c="4">
          <tpl hier="2" item="2"/>
          <tpl fld="4" item="26"/>
          <tpl hier="42" item="5"/>
          <tpl fld="2" item="15"/>
        </tpls>
      </n>
      <n v="0" in="0">
        <tpls c="5">
          <tpl fld="3" item="0"/>
          <tpl hier="2" item="2"/>
          <tpl fld="4" item="26"/>
          <tpl hier="42" item="5"/>
          <tpl fld="2" item="6"/>
        </tpls>
      </n>
      <n v="322" in="0">
        <tpls c="4">
          <tpl hier="2" item="2"/>
          <tpl fld="4" item="16"/>
          <tpl hier="42" item="5"/>
          <tpl fld="2" item="15"/>
        </tpls>
      </n>
      <n v="0" in="0">
        <tpls c="5">
          <tpl fld="3" item="0"/>
          <tpl hier="2" item="2"/>
          <tpl fld="4" item="16"/>
          <tpl hier="42" item="5"/>
          <tpl fld="2" item="6"/>
        </tpls>
      </n>
      <n v="385" in="0">
        <tpls c="4">
          <tpl hier="2" item="2"/>
          <tpl fld="4" item="8"/>
          <tpl hier="42" item="5"/>
          <tpl fld="2" item="15"/>
        </tpls>
      </n>
      <n v="2" in="0">
        <tpls c="5">
          <tpl fld="3" item="0"/>
          <tpl hier="2" item="2"/>
          <tpl fld="4" item="8"/>
          <tpl hier="42" item="5"/>
          <tpl fld="2" item="6"/>
        </tpls>
      </n>
      <n v="461" in="0">
        <tpls c="4">
          <tpl hier="2" item="2"/>
          <tpl fld="4" item="17"/>
          <tpl hier="42" item="5"/>
          <tpl fld="2" item="15"/>
        </tpls>
      </n>
      <n v="2" in="0">
        <tpls c="5">
          <tpl fld="3" item="0"/>
          <tpl hier="2" item="2"/>
          <tpl fld="4" item="17"/>
          <tpl hier="42" item="5"/>
          <tpl fld="2" item="6"/>
        </tpls>
      </n>
      <n v="347" in="0">
        <tpls c="4">
          <tpl hier="2" item="2"/>
          <tpl fld="4" item="18"/>
          <tpl hier="42" item="5"/>
          <tpl fld="2" item="15"/>
        </tpls>
      </n>
      <n v="0" in="0">
        <tpls c="5">
          <tpl fld="3" item="0"/>
          <tpl hier="2" item="2"/>
          <tpl fld="4" item="18"/>
          <tpl hier="42" item="5"/>
          <tpl fld="2" item="6"/>
        </tpls>
      </n>
      <n v="30" in="0">
        <tpls c="4">
          <tpl hier="2" item="2"/>
          <tpl fld="4" item="19"/>
          <tpl hier="42" item="5"/>
          <tpl fld="2" item="15"/>
        </tpls>
      </n>
      <n v="0" in="0">
        <tpls c="5">
          <tpl fld="3" item="0"/>
          <tpl hier="2" item="2"/>
          <tpl fld="4" item="19"/>
          <tpl hier="42" item="5"/>
          <tpl fld="2" item="6"/>
        </tpls>
      </n>
      <n v="146" in="0">
        <tpls c="4">
          <tpl hier="2" item="2"/>
          <tpl fld="4" item="15"/>
          <tpl hier="42" item="5"/>
          <tpl fld="2" item="15"/>
        </tpls>
      </n>
      <n v="1" in="0">
        <tpls c="5">
          <tpl fld="3" item="0"/>
          <tpl hier="2" item="2"/>
          <tpl fld="4" item="15"/>
          <tpl hier="42" item="5"/>
          <tpl fld="2" item="6"/>
        </tpls>
      </n>
      <n v="486" in="0">
        <tpls c="4">
          <tpl hier="2" item="2"/>
          <tpl fld="4" item="7"/>
          <tpl hier="42" item="5"/>
          <tpl fld="2" item="15"/>
        </tpls>
      </n>
      <n v="4" in="0">
        <tpls c="5">
          <tpl fld="3" item="0"/>
          <tpl hier="2" item="2"/>
          <tpl fld="4" item="7"/>
          <tpl hier="42" item="5"/>
          <tpl fld="2" item="6"/>
        </tpls>
      </n>
      <n v="151" in="0">
        <tpls c="4">
          <tpl hier="2" item="2"/>
          <tpl fld="4" item="21"/>
          <tpl hier="42" item="5"/>
          <tpl fld="2" item="15"/>
        </tpls>
      </n>
      <n v="2" in="0">
        <tpls c="5">
          <tpl fld="3" item="0"/>
          <tpl hier="2" item="2"/>
          <tpl fld="4" item="21"/>
          <tpl hier="42" item="5"/>
          <tpl fld="2" item="6"/>
        </tpls>
      </n>
      <n v="377" in="0">
        <tpls c="4">
          <tpl hier="2" item="2"/>
          <tpl fld="4" item="1"/>
          <tpl hier="42" item="5"/>
          <tpl fld="2" item="15"/>
        </tpls>
      </n>
      <n v="1" in="0">
        <tpls c="5">
          <tpl fld="3" item="0"/>
          <tpl hier="2" item="2"/>
          <tpl fld="4" item="1"/>
          <tpl hier="42" item="5"/>
          <tpl fld="2" item="6"/>
        </tpls>
      </n>
      <n v="31" in="0">
        <tpls c="4">
          <tpl hier="2" item="2"/>
          <tpl fld="4" item="5"/>
          <tpl hier="42" item="5"/>
          <tpl fld="2" item="15"/>
        </tpls>
      </n>
      <n v="0" in="0">
        <tpls c="5">
          <tpl fld="3" item="0"/>
          <tpl hier="2" item="2"/>
          <tpl fld="4" item="5"/>
          <tpl hier="42" item="5"/>
          <tpl fld="2" item="6"/>
        </tpls>
      </n>
      <n v="281" in="0">
        <tpls c="4">
          <tpl hier="2" item="2"/>
          <tpl fld="4" item="3"/>
          <tpl hier="42" item="5"/>
          <tpl fld="2" item="15"/>
        </tpls>
      </n>
      <n v="0" in="0">
        <tpls c="5">
          <tpl fld="3" item="0"/>
          <tpl hier="2" item="2"/>
          <tpl fld="4" item="3"/>
          <tpl hier="42" item="5"/>
          <tpl fld="2" item="6"/>
        </tpls>
      </n>
      <n v="241" in="0">
        <tpls c="4">
          <tpl hier="2" item="2"/>
          <tpl fld="4" item="27"/>
          <tpl hier="42" item="5"/>
          <tpl fld="2" item="15"/>
        </tpls>
      </n>
      <n v="0" in="0">
        <tpls c="5">
          <tpl fld="3" item="0"/>
          <tpl hier="2" item="2"/>
          <tpl fld="4" item="27"/>
          <tpl hier="42" item="5"/>
          <tpl fld="2" item="6"/>
        </tpls>
      </n>
      <n v="330" in="0">
        <tpls c="4">
          <tpl hier="2" item="2"/>
          <tpl fld="4" item="0"/>
          <tpl hier="42" item="5"/>
          <tpl fld="2" item="15"/>
        </tpls>
      </n>
      <n v="2" in="0">
        <tpls c="5">
          <tpl fld="3" item="0"/>
          <tpl hier="2" item="2"/>
          <tpl fld="4" item="0"/>
          <tpl hier="42" item="5"/>
          <tpl fld="2" item="6"/>
        </tpls>
      </n>
      <n v="286" in="0">
        <tpls c="4">
          <tpl hier="2" item="2"/>
          <tpl fld="4" item="12"/>
          <tpl hier="42" item="5"/>
          <tpl fld="2" item="15"/>
        </tpls>
      </n>
      <n v="2" in="0">
        <tpls c="5">
          <tpl fld="3" item="0"/>
          <tpl hier="2" item="2"/>
          <tpl fld="4" item="12"/>
          <tpl hier="42" item="5"/>
          <tpl fld="2" item="6"/>
        </tpls>
      </n>
      <n v="397" in="0">
        <tpls c="4">
          <tpl hier="2" item="2"/>
          <tpl fld="4" item="22"/>
          <tpl hier="42" item="5"/>
          <tpl fld="2" item="15"/>
        </tpls>
      </n>
      <n v="1" in="0">
        <tpls c="5">
          <tpl fld="3" item="0"/>
          <tpl hier="2" item="2"/>
          <tpl fld="4" item="22"/>
          <tpl hier="42" item="5"/>
          <tpl fld="2" item="6"/>
        </tpls>
      </n>
      <n v="253" in="0">
        <tpls c="4">
          <tpl hier="2" item="2"/>
          <tpl fld="4" item="28"/>
          <tpl hier="42" item="5"/>
          <tpl fld="2" item="15"/>
        </tpls>
      </n>
      <n v="0" in="0">
        <tpls c="5">
          <tpl fld="3" item="0"/>
          <tpl hier="2" item="2"/>
          <tpl fld="4" item="28"/>
          <tpl hier="42" item="5"/>
          <tpl fld="2" item="6"/>
        </tpls>
      </n>
      <n v="214" in="0">
        <tpls c="4">
          <tpl hier="2" item="2"/>
          <tpl fld="4" item="4"/>
          <tpl hier="42" item="5"/>
          <tpl fld="2" item="15"/>
        </tpls>
      </n>
      <n v="0" in="0">
        <tpls c="5">
          <tpl fld="3" item="0"/>
          <tpl hier="2" item="2"/>
          <tpl fld="4" item="4"/>
          <tpl hier="42" item="5"/>
          <tpl fld="2" item="6"/>
        </tpls>
      </n>
      <n v="515" in="0">
        <tpls c="4">
          <tpl hier="2" item="2"/>
          <tpl fld="4" item="14"/>
          <tpl hier="42" item="5"/>
          <tpl fld="2" item="15"/>
        </tpls>
      </n>
      <n v="2" in="0">
        <tpls c="5">
          <tpl fld="3" item="0"/>
          <tpl hier="2" item="2"/>
          <tpl fld="4" item="14"/>
          <tpl hier="42" item="5"/>
          <tpl fld="2" item="6"/>
        </tpls>
      </n>
      <n v="225" in="0">
        <tpls c="4">
          <tpl hier="2" item="2"/>
          <tpl fld="4" item="29"/>
          <tpl hier="42" item="5"/>
          <tpl fld="2" item="15"/>
        </tpls>
      </n>
      <n v="0" in="0">
        <tpls c="5">
          <tpl fld="3" item="0"/>
          <tpl hier="2" item="2"/>
          <tpl fld="4" item="29"/>
          <tpl hier="42" item="5"/>
          <tpl fld="2" item="6"/>
        </tpls>
      </n>
      <n v="134" in="0">
        <tpls c="4">
          <tpl hier="2" item="2"/>
          <tpl fld="4" item="2"/>
          <tpl hier="42" item="5"/>
          <tpl fld="2" item="15"/>
        </tpls>
      </n>
      <n v="2" in="0">
        <tpls c="5">
          <tpl fld="3" item="0"/>
          <tpl hier="2" item="2"/>
          <tpl fld="4" item="2"/>
          <tpl hier="42" item="5"/>
          <tpl fld="2" item="6"/>
        </tpls>
      </n>
      <n v="575339.91999999958" in="0">
        <tpls c="4">
          <tpl hier="2" item="2"/>
          <tpl fld="4" item="24"/>
          <tpl hier="42" item="5"/>
          <tpl fld="2" item="16"/>
        </tpls>
      </n>
      <n v="2222.2503065134083" in="0">
        <tpls c="4">
          <tpl hier="2" item="2"/>
          <tpl fld="4" item="24"/>
          <tpl hier="42" item="5"/>
          <tpl fld="2" item="13"/>
        </tpls>
      </n>
      <n v="4.6566128730773926E-10" in="0">
        <tpls c="4">
          <tpl hier="2" item="2"/>
          <tpl fld="4" item="24"/>
          <tpl hier="42" item="5"/>
          <tpl fld="2" item="7"/>
        </tpls>
      </n>
      <n v="8.0471569212754654E-3" in="1">
        <tpls c="4">
          <tpl hier="2" item="2"/>
          <tpl fld="4" item="24"/>
          <tpl hier="42" item="5"/>
          <tpl fld="2" item="11"/>
        </tpls>
      </n>
      <n v="7" in="0">
        <tpls c="4">
          <tpl hier="2" item="2"/>
          <tpl fld="4" item="24"/>
          <tpl hier="42" item="5"/>
          <tpl fld="2" item="4"/>
        </tpls>
      </n>
      <m in="0">
        <tpls c="4">
          <tpl hier="2" item="2"/>
          <tpl fld="4" item="24"/>
          <tpl hier="42" item="5"/>
          <tpl fld="2" item="0"/>
        </tpls>
      </m>
      <n v="474790.01999999979" in="0">
        <tpls c="4">
          <tpl hier="2" item="2"/>
          <tpl fld="4" item="25"/>
          <tpl hier="42" item="5"/>
          <tpl fld="2" item="16"/>
        </tpls>
      </n>
      <n v="2469.2810945273618" in="0">
        <tpls c="4">
          <tpl hier="2" item="2"/>
          <tpl fld="4" item="25"/>
          <tpl hier="42" item="5"/>
          <tpl fld="2" item="13"/>
        </tpls>
      </n>
      <n v="2.3283064365386963E-10" in="0">
        <tpls c="4">
          <tpl hier="2" item="2"/>
          <tpl fld="4" item="25"/>
          <tpl hier="42" item="5"/>
          <tpl fld="2" item="7"/>
        </tpls>
      </n>
      <n v="4.3389831874445318E-2" in="1">
        <tpls c="4">
          <tpl hier="2" item="2"/>
          <tpl fld="4" item="25"/>
          <tpl hier="42" item="5"/>
          <tpl fld="2" item="11"/>
        </tpls>
      </n>
      <n v="7" in="0">
        <tpls c="4">
          <tpl hier="2" item="2"/>
          <tpl fld="4" item="25"/>
          <tpl hier="42" item="5"/>
          <tpl fld="2" item="4"/>
        </tpls>
      </n>
      <m in="0">
        <tpls c="4">
          <tpl hier="2" item="2"/>
          <tpl fld="4" item="25"/>
          <tpl hier="42" item="5"/>
          <tpl fld="2" item="0"/>
        </tpls>
      </m>
      <n v="710972.15999999933" in="0">
        <tpls c="4">
          <tpl hier="2" item="2"/>
          <tpl fld="4" item="9"/>
          <tpl hier="42" item="5"/>
          <tpl fld="2" item="16"/>
        </tpls>
      </n>
      <n v="2168.2615868263451" in="0">
        <tpls c="4">
          <tpl hier="2" item="2"/>
          <tpl fld="4" item="9"/>
          <tpl hier="42" item="5"/>
          <tpl fld="2" item="13"/>
        </tpls>
      </n>
      <n v="1079.6400000007125" in="0">
        <tpls c="4">
          <tpl hier="2" item="2"/>
          <tpl fld="4" item="9"/>
          <tpl hier="42" item="5"/>
          <tpl fld="2" item="7"/>
        </tpls>
      </n>
      <n v="1.8264597496128743E-2" in="1">
        <tpls c="4">
          <tpl hier="2" item="2"/>
          <tpl fld="4" item="9"/>
          <tpl hier="42" item="5"/>
          <tpl fld="2" item="11"/>
        </tpls>
      </n>
      <n v="14" in="0">
        <tpls c="4">
          <tpl hier="2" item="2"/>
          <tpl fld="4" item="9"/>
          <tpl hier="42" item="5"/>
          <tpl fld="2" item="4"/>
        </tpls>
      </n>
      <m in="0">
        <tpls c="4">
          <tpl hier="2" item="2"/>
          <tpl fld="4" item="9"/>
          <tpl hier="42" item="5"/>
          <tpl fld="2" item="0"/>
        </tpls>
      </m>
      <n v="795004.12999999803" in="0">
        <tpls c="4">
          <tpl hier="2" item="2"/>
          <tpl fld="4" item="26"/>
          <tpl hier="42" item="5"/>
          <tpl fld="2" item="16"/>
        </tpls>
      </n>
      <n v="1904.7357710280328" in="0">
        <tpls c="4">
          <tpl hier="2" item="2"/>
          <tpl fld="4" item="26"/>
          <tpl hier="42" item="5"/>
          <tpl fld="2" item="13"/>
        </tpls>
      </n>
      <n v="211.99000000196975" in="0">
        <tpls c="4">
          <tpl hier="2" item="2"/>
          <tpl fld="4" item="26"/>
          <tpl hier="42" item="5"/>
          <tpl fld="2" item="7"/>
        </tpls>
      </n>
      <n v="2.4806320488120353E-2" in="1">
        <tpls c="4">
          <tpl hier="2" item="2"/>
          <tpl fld="4" item="26"/>
          <tpl hier="42" item="5"/>
          <tpl fld="2" item="11"/>
        </tpls>
      </n>
      <n v="12" in="0">
        <tpls c="4">
          <tpl hier="2" item="2"/>
          <tpl fld="4" item="26"/>
          <tpl hier="42" item="5"/>
          <tpl fld="2" item="4"/>
        </tpls>
      </n>
      <m in="0">
        <tpls c="4">
          <tpl hier="2" item="2"/>
          <tpl fld="4" item="26"/>
          <tpl hier="42" item="5"/>
          <tpl fld="2" item="0"/>
        </tpls>
      </m>
      <n v="608290.52999999898" in="0">
        <tpls c="4">
          <tpl hier="2" item="2"/>
          <tpl fld="4" item="16"/>
          <tpl hier="42" item="5"/>
          <tpl fld="2" item="16"/>
        </tpls>
      </n>
      <n v="1937.3663354037237" in="0">
        <tpls c="4">
          <tpl hier="2" item="2"/>
          <tpl fld="4" item="16"/>
          <tpl hier="42" item="5"/>
          <tpl fld="2" item="13"/>
        </tpls>
      </n>
      <n v="1.0477378964424133E-9" in="0">
        <tpls c="4">
          <tpl hier="2" item="2"/>
          <tpl fld="4" item="16"/>
          <tpl hier="42" item="5"/>
          <tpl fld="2" item="7"/>
        </tpls>
      </n>
      <n v="2.4912846722377008E-2" in="1">
        <tpls c="4">
          <tpl hier="2" item="2"/>
          <tpl fld="4" item="16"/>
          <tpl hier="42" item="5"/>
          <tpl fld="2" item="11"/>
        </tpls>
      </n>
      <n v="8" in="0">
        <tpls c="4">
          <tpl hier="2" item="2"/>
          <tpl fld="4" item="16"/>
          <tpl hier="42" item="5"/>
          <tpl fld="2" item="4"/>
        </tpls>
      </n>
      <m in="0">
        <tpls c="4">
          <tpl hier="2" item="2"/>
          <tpl fld="4" item="16"/>
          <tpl hier="42" item="5"/>
          <tpl fld="2" item="0"/>
        </tpls>
      </m>
      <n v="746486.16999999888" in="0">
        <tpls c="4">
          <tpl hier="2" item="2"/>
          <tpl fld="4" item="8"/>
          <tpl hier="42" item="5"/>
          <tpl fld="2" item="16"/>
        </tpls>
      </n>
      <n v="1975.0919999999971" in="0">
        <tpls c="4">
          <tpl hier="2" item="2"/>
          <tpl fld="4" item="8"/>
          <tpl hier="42" item="5"/>
          <tpl fld="2" item="13"/>
        </tpls>
      </n>
      <n v="2703.0600000011036" in="0">
        <tpls c="4">
          <tpl hier="2" item="2"/>
          <tpl fld="4" item="8"/>
          <tpl hier="42" item="5"/>
          <tpl fld="2" item="7"/>
        </tpls>
      </n>
      <n v="1.8311492890904914E-2" in="1">
        <tpls c="4">
          <tpl hier="2" item="2"/>
          <tpl fld="4" item="8"/>
          <tpl hier="42" item="5"/>
          <tpl fld="2" item="11"/>
        </tpls>
      </n>
      <n v="12" in="0">
        <tpls c="4">
          <tpl hier="2" item="2"/>
          <tpl fld="4" item="8"/>
          <tpl hier="42" item="5"/>
          <tpl fld="2" item="4"/>
        </tpls>
      </n>
      <m in="0">
        <tpls c="4">
          <tpl hier="2" item="2"/>
          <tpl fld="4" item="8"/>
          <tpl hier="42" item="5"/>
          <tpl fld="2" item="0"/>
        </tpls>
      </m>
      <n v="892054.0899999981" in="0">
        <tpls c="4">
          <tpl hier="2" item="2"/>
          <tpl fld="4" item="17"/>
          <tpl hier="42" item="5"/>
          <tpl fld="2" item="16"/>
        </tpls>
      </n>
      <n v="1965.4308893709288" in="0">
        <tpls c="4">
          <tpl hier="2" item="2"/>
          <tpl fld="4" item="17"/>
          <tpl hier="42" item="5"/>
          <tpl fld="2" item="13"/>
        </tpls>
      </n>
      <n v="-1260.129999998142" in="0">
        <tpls c="4">
          <tpl hier="2" item="2"/>
          <tpl fld="4" item="17"/>
          <tpl hier="42" item="5"/>
          <tpl fld="2" item="7"/>
        </tpls>
      </n>
      <n v="1.5461993376094451E-2" in="1">
        <tpls c="4">
          <tpl hier="2" item="2"/>
          <tpl fld="4" item="17"/>
          <tpl hier="42" item="5"/>
          <tpl fld="2" item="11"/>
        </tpls>
      </n>
      <n v="6" in="0">
        <tpls c="4">
          <tpl hier="2" item="2"/>
          <tpl fld="4" item="17"/>
          <tpl hier="42" item="5"/>
          <tpl fld="2" item="4"/>
        </tpls>
      </n>
      <m in="0">
        <tpls c="4">
          <tpl hier="2" item="2"/>
          <tpl fld="4" item="17"/>
          <tpl hier="42" item="5"/>
          <tpl fld="2" item="0"/>
        </tpls>
      </m>
      <n v="587821.2499999993" in="0">
        <tpls c="4">
          <tpl hier="2" item="2"/>
          <tpl fld="4" item="18"/>
          <tpl hier="42" item="5"/>
          <tpl fld="2" item="16"/>
        </tpls>
      </n>
      <n v="1735.9874927953872" in="0">
        <tpls c="4">
          <tpl hier="2" item="2"/>
          <tpl fld="4" item="18"/>
          <tpl hier="42" item="5"/>
          <tpl fld="2" item="13"/>
        </tpls>
      </n>
      <n v="6.9849193096160889E-10" in="0">
        <tpls c="4">
          <tpl hier="2" item="2"/>
          <tpl fld="4" item="18"/>
          <tpl hier="42" item="5"/>
          <tpl fld="2" item="7"/>
        </tpls>
      </n>
      <n v="2.4181122833757944E-2" in="1">
        <tpls c="4">
          <tpl hier="2" item="2"/>
          <tpl fld="4" item="18"/>
          <tpl hier="42" item="5"/>
          <tpl fld="2" item="11"/>
        </tpls>
      </n>
      <n v="12" in="0">
        <tpls c="4">
          <tpl hier="2" item="2"/>
          <tpl fld="4" item="18"/>
          <tpl hier="42" item="5"/>
          <tpl fld="2" item="4"/>
        </tpls>
      </n>
      <m in="0">
        <tpls c="4">
          <tpl hier="2" item="2"/>
          <tpl fld="4" item="18"/>
          <tpl hier="42" item="5"/>
          <tpl fld="2" item="0"/>
        </tpls>
      </m>
      <n v="55415.450000000004" in="0">
        <tpls c="4">
          <tpl hier="2" item="2"/>
          <tpl fld="4" item="19"/>
          <tpl hier="42" item="5"/>
          <tpl fld="2" item="16"/>
        </tpls>
      </n>
      <n v="1859.71" in="0">
        <tpls c="4">
          <tpl hier="2" item="2"/>
          <tpl fld="4" item="19"/>
          <tpl hier="42" item="5"/>
          <tpl fld="2" item="13"/>
        </tpls>
      </n>
      <n v="-7.2759576141834259E-12" in="0">
        <tpls c="4">
          <tpl hier="2" item="2"/>
          <tpl fld="4" item="19"/>
          <tpl hier="42" item="5"/>
          <tpl fld="2" item="7"/>
        </tpls>
      </n>
      <n v="6.7367134302301615E-3" in="1">
        <tpls c="4">
          <tpl hier="2" item="2"/>
          <tpl fld="4" item="19"/>
          <tpl hier="42" item="5"/>
          <tpl fld="2" item="11"/>
        </tpls>
      </n>
      <n v="1" in="0">
        <tpls c="4">
          <tpl hier="2" item="2"/>
          <tpl fld="4" item="19"/>
          <tpl hier="42" item="5"/>
          <tpl fld="2" item="4"/>
        </tpls>
      </n>
      <m in="0">
        <tpls c="4">
          <tpl hier="2" item="2"/>
          <tpl fld="4" item="19"/>
          <tpl hier="42" item="5"/>
          <tpl fld="2" item="0"/>
        </tpls>
      </m>
      <n v="288303.43000000011" in="0">
        <tpls c="4">
          <tpl hier="2" item="2"/>
          <tpl fld="4" item="15"/>
          <tpl hier="42" item="5"/>
          <tpl fld="2" item="16"/>
        </tpls>
      </n>
      <n v="2080.8626027397268" in="0">
        <tpls c="4">
          <tpl hier="2" item="2"/>
          <tpl fld="4" item="15"/>
          <tpl hier="42" item="5"/>
          <tpl fld="2" item="13"/>
        </tpls>
      </n>
      <n v="-404.4100000000908" in="0">
        <tpls c="4">
          <tpl hier="2" item="2"/>
          <tpl fld="4" item="15"/>
          <tpl hier="42" item="5"/>
          <tpl fld="2" item="7"/>
        </tpls>
      </n>
      <n v="5.1027672467496829E-2" in="1">
        <tpls c="4">
          <tpl hier="2" item="2"/>
          <tpl fld="4" item="15"/>
          <tpl hier="42" item="5"/>
          <tpl fld="2" item="11"/>
        </tpls>
      </n>
      <n v="4" in="0">
        <tpls c="4">
          <tpl hier="2" item="2"/>
          <tpl fld="4" item="15"/>
          <tpl hier="42" item="5"/>
          <tpl fld="2" item="4"/>
        </tpls>
      </n>
      <m in="0">
        <tpls c="4">
          <tpl hier="2" item="2"/>
          <tpl fld="4" item="15"/>
          <tpl hier="42" item="5"/>
          <tpl fld="2" item="0"/>
        </tpls>
      </m>
      <n v="960291.41999999818" in="0">
        <tpls c="4">
          <tpl hier="2" item="2"/>
          <tpl fld="4" item="7"/>
          <tpl hier="42" item="5"/>
          <tpl fld="2" item="16"/>
        </tpls>
      </n>
      <n v="2000.6399176954694" in="0">
        <tpls c="4">
          <tpl hier="2" item="2"/>
          <tpl fld="4" item="7"/>
          <tpl hier="42" item="5"/>
          <tpl fld="2" item="13"/>
        </tpls>
      </n>
      <n v="8286.4100000017788" in="0">
        <tpls c="4">
          <tpl hier="2" item="2"/>
          <tpl fld="4" item="7"/>
          <tpl hier="42" item="5"/>
          <tpl fld="2" item="7"/>
        </tpls>
      </n>
      <n v="1.2361867756304334E-2" in="1">
        <tpls c="4">
          <tpl hier="2" item="2"/>
          <tpl fld="4" item="7"/>
          <tpl hier="42" item="5"/>
          <tpl fld="2" item="11"/>
        </tpls>
      </n>
      <n v="6" in="0">
        <tpls c="4">
          <tpl hier="2" item="2"/>
          <tpl fld="4" item="7"/>
          <tpl hier="42" item="5"/>
          <tpl fld="2" item="4"/>
        </tpls>
      </n>
      <m in="0">
        <tpls c="4">
          <tpl hier="2" item="2"/>
          <tpl fld="4" item="7"/>
          <tpl hier="42" item="5"/>
          <tpl fld="2" item="0"/>
        </tpls>
      </m>
      <n v="323349.69999999995" in="0">
        <tpls c="4">
          <tpl hier="2" item="2"/>
          <tpl fld="4" item="21"/>
          <tpl hier="42" item="5"/>
          <tpl fld="2" item="16"/>
        </tpls>
      </n>
      <n v="2181.8204635761585" in="0">
        <tpls c="4">
          <tpl hier="2" item="2"/>
          <tpl fld="4" item="21"/>
          <tpl hier="42" item="5"/>
          <tpl fld="2" item="13"/>
        </tpls>
      </n>
      <n v="4798.6200000000536" in="0">
        <tpls c="4">
          <tpl hier="2" item="2"/>
          <tpl fld="4" item="21"/>
          <tpl hier="42" item="5"/>
          <tpl fld="2" item="7"/>
        </tpls>
      </n>
      <n v="1.8531186469868455E-2" in="1">
        <tpls c="4">
          <tpl hier="2" item="2"/>
          <tpl fld="4" item="21"/>
          <tpl hier="42" item="5"/>
          <tpl fld="2" item="11"/>
        </tpls>
      </n>
      <n v="7" in="0">
        <tpls c="4">
          <tpl hier="2" item="2"/>
          <tpl fld="4" item="21"/>
          <tpl hier="42" item="5"/>
          <tpl fld="2" item="4"/>
        </tpls>
      </n>
      <m in="0">
        <tpls c="4">
          <tpl hier="2" item="2"/>
          <tpl fld="4" item="21"/>
          <tpl hier="42" item="5"/>
          <tpl fld="2" item="0"/>
        </tpls>
      </m>
      <n v="808148.79999999912" in="0">
        <tpls c="4">
          <tpl hier="2" item="2"/>
          <tpl fld="4" item="1"/>
          <tpl hier="42" item="5"/>
          <tpl fld="2" item="16"/>
        </tpls>
      </n>
      <n v="2186.6227586206874" in="0">
        <tpls c="4">
          <tpl hier="2" item="2"/>
          <tpl fld="4" item="1"/>
          <tpl hier="42" item="5"/>
          <tpl fld="2" item="13"/>
        </tpls>
      </n>
      <n v="567.9800000009127" in="0">
        <tpls c="4">
          <tpl hier="2" item="2"/>
          <tpl fld="4" item="1"/>
          <tpl hier="42" item="5"/>
          <tpl fld="2" item="7"/>
        </tpls>
      </n>
      <n v="1.9661365555821615E-2" in="1">
        <tpls c="4">
          <tpl hier="2" item="2"/>
          <tpl fld="4" item="1"/>
          <tpl hier="42" item="5"/>
          <tpl fld="2" item="11"/>
        </tpls>
      </n>
      <n v="7" in="0">
        <tpls c="4">
          <tpl hier="2" item="2"/>
          <tpl fld="4" item="1"/>
          <tpl hier="42" item="5"/>
          <tpl fld="2" item="4"/>
        </tpls>
      </n>
      <m in="0">
        <tpls c="4">
          <tpl hier="2" item="2"/>
          <tpl fld="4" item="1"/>
          <tpl hier="42" item="5"/>
          <tpl fld="2" item="0"/>
        </tpls>
      </m>
      <n v="70234.78" in="0">
        <tpls c="4">
          <tpl hier="2" item="2"/>
          <tpl fld="4" item="5"/>
          <tpl hier="42" item="5"/>
          <tpl fld="2" item="16"/>
        </tpls>
      </n>
      <n v="2546.4493548387095" in="0">
        <tpls c="4">
          <tpl hier="2" item="2"/>
          <tpl fld="4" item="5"/>
          <tpl hier="42" item="5"/>
          <tpl fld="2" item="13"/>
        </tpls>
      </n>
      <n v="0" in="0">
        <tpls c="4">
          <tpl hier="2" item="2"/>
          <tpl fld="4" item="5"/>
          <tpl hier="42" item="5"/>
          <tpl fld="2" item="7"/>
        </tpls>
      </n>
      <n v="0.11027562350257974" in="1">
        <tpls c="4">
          <tpl hier="2" item="2"/>
          <tpl fld="4" item="5"/>
          <tpl hier="42" item="5"/>
          <tpl fld="2" item="11"/>
        </tpls>
      </n>
      <m in="0">
        <tpls c="4">
          <tpl hier="2" item="2"/>
          <tpl fld="4" item="5"/>
          <tpl hier="42" item="5"/>
          <tpl fld="2" item="4"/>
        </tpls>
      </m>
      <m in="0">
        <tpls c="4">
          <tpl hier="2" item="2"/>
          <tpl fld="4" item="5"/>
          <tpl hier="42" item="5"/>
          <tpl fld="2" item="0"/>
        </tpls>
      </m>
      <n v="481649.62999999954" in="0">
        <tpls c="4">
          <tpl hier="2" item="2"/>
          <tpl fld="4" item="3"/>
          <tpl hier="42" item="5"/>
          <tpl fld="2" item="16"/>
        </tpls>
      </n>
      <n v="1781.8186832740196" in="0">
        <tpls c="4">
          <tpl hier="2" item="2"/>
          <tpl fld="4" item="3"/>
          <tpl hier="42" item="5"/>
          <tpl fld="2" item="13"/>
        </tpls>
      </n>
      <n v="289.99000000045635" in="0">
        <tpls c="4">
          <tpl hier="2" item="2"/>
          <tpl fld="4" item="3"/>
          <tpl hier="42" item="5"/>
          <tpl fld="2" item="7"/>
        </tpls>
      </n>
      <n v="3.803027835228933E-2" in="1">
        <tpls c="4">
          <tpl hier="2" item="2"/>
          <tpl fld="4" item="3"/>
          <tpl hier="42" item="5"/>
          <tpl fld="2" item="11"/>
        </tpls>
      </n>
      <n v="12" in="0">
        <tpls c="4">
          <tpl hier="2" item="2"/>
          <tpl fld="4" item="3"/>
          <tpl hier="42" item="5"/>
          <tpl fld="2" item="4"/>
        </tpls>
      </n>
      <m in="0">
        <tpls c="4">
          <tpl hier="2" item="2"/>
          <tpl fld="4" item="3"/>
          <tpl hier="42" item="5"/>
          <tpl fld="2" item="0"/>
        </tpls>
      </m>
      <n v="454615.94" in="0">
        <tpls c="4">
          <tpl hier="2" item="2"/>
          <tpl fld="4" item="27"/>
          <tpl hier="42" item="5"/>
          <tpl fld="2" item="16"/>
        </tpls>
      </n>
      <n v="1913.9122821576764" in="0">
        <tpls c="4">
          <tpl hier="2" item="2"/>
          <tpl fld="4" item="27"/>
          <tpl hier="42" item="5"/>
          <tpl fld="2" item="13"/>
        </tpls>
      </n>
      <n v="0" in="0">
        <tpls c="4">
          <tpl hier="2" item="2"/>
          <tpl fld="4" item="27"/>
          <tpl hier="42" item="5"/>
          <tpl fld="2" item="7"/>
        </tpls>
      </n>
      <n v="1.4388897230902807E-2" in="1">
        <tpls c="4">
          <tpl hier="2" item="2"/>
          <tpl fld="4" item="27"/>
          <tpl hier="42" item="5"/>
          <tpl fld="2" item="11"/>
        </tpls>
      </n>
      <n v="8" in="0">
        <tpls c="4">
          <tpl hier="2" item="2"/>
          <tpl fld="4" item="27"/>
          <tpl hier="42" item="5"/>
          <tpl fld="2" item="4"/>
        </tpls>
      </n>
      <m in="0">
        <tpls c="4">
          <tpl hier="2" item="2"/>
          <tpl fld="4" item="27"/>
          <tpl hier="42" item="5"/>
          <tpl fld="2" item="0"/>
        </tpls>
      </m>
      <n v="654707.99" in="0">
        <tpls c="4">
          <tpl hier="2" item="2"/>
          <tpl fld="4" item="0"/>
          <tpl hier="42" item="5"/>
          <tpl fld="2" item="16"/>
        </tpls>
      </n>
      <n v="2026.2535757575756" in="0">
        <tpls c="4">
          <tpl hier="2" item="2"/>
          <tpl fld="4" item="0"/>
          <tpl hier="42" item="5"/>
          <tpl fld="2" item="13"/>
        </tpls>
      </n>
      <n v="5348.2399999999907" in="0">
        <tpls c="4">
          <tpl hier="2" item="2"/>
          <tpl fld="4" item="0"/>
          <tpl hier="42" item="5"/>
          <tpl fld="2" item="7"/>
        </tpls>
      </n>
      <n v="2.0871015455781898E-2" in="1">
        <tpls c="4">
          <tpl hier="2" item="2"/>
          <tpl fld="4" item="0"/>
          <tpl hier="42" item="5"/>
          <tpl fld="2" item="11"/>
        </tpls>
      </n>
      <n v="11" in="0">
        <tpls c="4">
          <tpl hier="2" item="2"/>
          <tpl fld="4" item="0"/>
          <tpl hier="42" item="5"/>
          <tpl fld="2" item="4"/>
        </tpls>
      </n>
      <m in="0">
        <tpls c="4">
          <tpl hier="2" item="2"/>
          <tpl fld="4" item="0"/>
          <tpl hier="42" item="5"/>
          <tpl fld="2" item="0"/>
        </tpls>
      </m>
      <n v="545967.38" in="0">
        <tpls c="4">
          <tpl hier="2" item="2"/>
          <tpl fld="4" item="12"/>
          <tpl hier="42" item="5"/>
          <tpl fld="2" item="16"/>
        </tpls>
      </n>
      <n v="1950.6095104895103" in="0">
        <tpls c="4">
          <tpl hier="2" item="2"/>
          <tpl fld="4" item="12"/>
          <tpl hier="42" item="5"/>
          <tpl fld="2" item="13"/>
        </tpls>
      </n>
      <n v="4008.9399999999441" in="0">
        <tpls c="4">
          <tpl hier="2" item="2"/>
          <tpl fld="4" item="12"/>
          <tpl hier="42" item="5"/>
          <tpl fld="2" item="7"/>
        </tpls>
      </n>
      <n v="2.1343409390129308E-2" in="1">
        <tpls c="4">
          <tpl hier="2" item="2"/>
          <tpl fld="4" item="12"/>
          <tpl hier="42" item="5"/>
          <tpl fld="2" item="11"/>
        </tpls>
      </n>
      <n v="12" in="0">
        <tpls c="4">
          <tpl hier="2" item="2"/>
          <tpl fld="4" item="12"/>
          <tpl hier="42" item="5"/>
          <tpl fld="2" item="4"/>
        </tpls>
      </n>
      <m in="0">
        <tpls c="4">
          <tpl hier="2" item="2"/>
          <tpl fld="4" item="12"/>
          <tpl hier="42" item="5"/>
          <tpl fld="2" item="0"/>
        </tpls>
      </m>
      <n v="839660.60999999754" in="0">
        <tpls c="4">
          <tpl hier="2" item="2"/>
          <tpl fld="4" item="22"/>
          <tpl hier="42" item="5"/>
          <tpl fld="2" item="16"/>
        </tpls>
      </n>
      <n v="2153.5659949622104" in="0">
        <tpls c="4">
          <tpl hier="2" item="2"/>
          <tpl fld="4" item="22"/>
          <tpl hier="42" item="5"/>
          <tpl fld="2" item="13"/>
        </tpls>
      </n>
      <n v="1586.6900000025053" in="0">
        <tpls c="4">
          <tpl hier="2" item="2"/>
          <tpl fld="4" item="22"/>
          <tpl hier="42" item="5"/>
          <tpl fld="2" item="7"/>
        </tpls>
      </n>
      <n v="1.790140820853988E-2" in="1">
        <tpls c="4">
          <tpl hier="2" item="2"/>
          <tpl fld="4" item="22"/>
          <tpl hier="42" item="5"/>
          <tpl fld="2" item="11"/>
        </tpls>
      </n>
      <n v="15" in="0">
        <tpls c="4">
          <tpl hier="2" item="2"/>
          <tpl fld="4" item="22"/>
          <tpl hier="42" item="5"/>
          <tpl fld="2" item="4"/>
        </tpls>
      </n>
      <m in="0">
        <tpls c="4">
          <tpl hier="2" item="2"/>
          <tpl fld="4" item="22"/>
          <tpl hier="42" item="5"/>
          <tpl fld="2" item="0"/>
        </tpls>
      </m>
      <n v="506911.04999999946" in="0">
        <tpls c="4">
          <tpl hier="2" item="2"/>
          <tpl fld="4" item="28"/>
          <tpl hier="42" item="5"/>
          <tpl fld="2" item="16"/>
        </tpls>
      </n>
      <n v="2076.8198023715395" in="0">
        <tpls c="4">
          <tpl hier="2" item="2"/>
          <tpl fld="4" item="28"/>
          <tpl hier="42" item="5"/>
          <tpl fld="2" item="13"/>
        </tpls>
      </n>
      <n v="5.2386894822120667E-10" in="0">
        <tpls c="4">
          <tpl hier="2" item="2"/>
          <tpl fld="4" item="28"/>
          <tpl hier="42" item="5"/>
          <tpl fld="2" item="7"/>
        </tpls>
      </n>
      <n v="3.5255256207418567E-2" in="1">
        <tpls c="4">
          <tpl hier="2" item="2"/>
          <tpl fld="4" item="28"/>
          <tpl hier="42" item="5"/>
          <tpl fld="2" item="11"/>
        </tpls>
      </n>
      <n v="2" in="0">
        <tpls c="4">
          <tpl hier="2" item="2"/>
          <tpl fld="4" item="28"/>
          <tpl hier="42" item="5"/>
          <tpl fld="2" item="4"/>
        </tpls>
      </n>
      <m in="0">
        <tpls c="4">
          <tpl hier="2" item="2"/>
          <tpl fld="4" item="28"/>
          <tpl hier="42" item="5"/>
          <tpl fld="2" item="0"/>
        </tpls>
      </m>
      <n v="378767.2799999998" in="0">
        <tpls c="4">
          <tpl hier="2" item="2"/>
          <tpl fld="4" item="4"/>
          <tpl hier="42" item="5"/>
          <tpl fld="2" item="16"/>
        </tpls>
      </n>
      <n v="1813.4225233644852" in="0">
        <tpls c="4">
          <tpl hier="2" item="2"/>
          <tpl fld="4" item="4"/>
          <tpl hier="42" item="5"/>
          <tpl fld="2" item="13"/>
        </tpls>
      </n>
      <n v="9.9900000002235174" in="0">
        <tpls c="4">
          <tpl hier="2" item="2"/>
          <tpl fld="4" item="4"/>
          <tpl hier="42" item="5"/>
          <tpl fld="2" item="7"/>
        </tpls>
      </n>
      <n v="2.3977844135380722E-2" in="1">
        <tpls c="4">
          <tpl hier="2" item="2"/>
          <tpl fld="4" item="4"/>
          <tpl hier="42" item="5"/>
          <tpl fld="2" item="11"/>
        </tpls>
      </n>
      <n v="3" in="0">
        <tpls c="4">
          <tpl hier="2" item="2"/>
          <tpl fld="4" item="4"/>
          <tpl hier="42" item="5"/>
          <tpl fld="2" item="4"/>
        </tpls>
      </n>
      <m in="0">
        <tpls c="4">
          <tpl hier="2" item="2"/>
          <tpl fld="4" item="4"/>
          <tpl hier="42" item="5"/>
          <tpl fld="2" item="0"/>
        </tpls>
      </m>
      <n v="950735.78999999748" in="0">
        <tpls c="4">
          <tpl hier="2" item="2"/>
          <tpl fld="4" item="14"/>
          <tpl hier="42" item="5"/>
          <tpl fld="2" item="16"/>
        </tpls>
      </n>
      <n v="1885.3916310679563" in="0">
        <tpls c="4">
          <tpl hier="2" item="2"/>
          <tpl fld="4" item="14"/>
          <tpl hier="42" item="5"/>
          <tpl fld="2" item="13"/>
        </tpls>
      </n>
      <n v="4364.6900000025053" in="0">
        <tpls c="4">
          <tpl hier="2" item="2"/>
          <tpl fld="4" item="14"/>
          <tpl hier="42" item="5"/>
          <tpl fld="2" item="7"/>
        </tpls>
      </n>
      <n v="2.0845917526609269E-2" in="1">
        <tpls c="4">
          <tpl hier="2" item="2"/>
          <tpl fld="4" item="14"/>
          <tpl hier="42" item="5"/>
          <tpl fld="2" item="11"/>
        </tpls>
      </n>
      <n v="14" in="0">
        <tpls c="4">
          <tpl hier="2" item="2"/>
          <tpl fld="4" item="14"/>
          <tpl hier="42" item="5"/>
          <tpl fld="2" item="4"/>
        </tpls>
      </n>
      <m in="0">
        <tpls c="4">
          <tpl hier="2" item="2"/>
          <tpl fld="4" item="14"/>
          <tpl hier="42" item="5"/>
          <tpl fld="2" item="0"/>
        </tpls>
      </m>
      <n v="398236.77000000008" in="0">
        <tpls c="4">
          <tpl hier="2" item="2"/>
          <tpl fld="4" item="29"/>
          <tpl hier="42" item="5"/>
          <tpl fld="2" item="16"/>
        </tpls>
      </n>
      <n v="1828.997955555556" in="0">
        <tpls c="4">
          <tpl hier="2" item="2"/>
          <tpl fld="4" item="29"/>
          <tpl hier="42" item="5"/>
          <tpl fld="2" item="13"/>
        </tpls>
      </n>
      <n v="-5.8207660913467407E-11" in="0">
        <tpls c="4">
          <tpl hier="2" item="2"/>
          <tpl fld="4" item="29"/>
          <tpl hier="42" item="5"/>
          <tpl fld="2" item="7"/>
        </tpls>
      </n>
      <n v="3.2289131530284919E-2" in="1">
        <tpls c="4">
          <tpl hier="2" item="2"/>
          <tpl fld="4" item="29"/>
          <tpl hier="42" item="5"/>
          <tpl fld="2" item="11"/>
        </tpls>
      </n>
      <n v="3" in="0">
        <tpls c="4">
          <tpl hier="2" item="2"/>
          <tpl fld="4" item="29"/>
          <tpl hier="42" item="5"/>
          <tpl fld="2" item="4"/>
        </tpls>
      </n>
      <m in="0">
        <tpls c="4">
          <tpl hier="2" item="2"/>
          <tpl fld="4" item="29"/>
          <tpl hier="42" item="5"/>
          <tpl fld="2" item="0"/>
        </tpls>
      </m>
      <n v="262136.95" in="0">
        <tpls c="4">
          <tpl hier="2" item="2"/>
          <tpl fld="4" item="2"/>
          <tpl hier="42" item="5"/>
          <tpl fld="2" item="16"/>
        </tpls>
      </n>
      <n v="2030.4473880597016" in="0">
        <tpls c="4">
          <tpl hier="2" item="2"/>
          <tpl fld="4" item="2"/>
          <tpl hier="42" item="5"/>
          <tpl fld="2" item="13"/>
        </tpls>
      </n>
      <n v="-638.98000000001048" in="0">
        <tpls c="4">
          <tpl hier="2" item="2"/>
          <tpl fld="4" item="2"/>
          <tpl hier="42" item="5"/>
          <tpl fld="2" item="7"/>
        </tpls>
      </n>
      <n v="3.6544405422009228E-2" in="1">
        <tpls c="4">
          <tpl hier="2" item="2"/>
          <tpl fld="4" item="2"/>
          <tpl hier="42" item="5"/>
          <tpl fld="2" item="11"/>
        </tpls>
      </n>
      <n v="4" in="0">
        <tpls c="4">
          <tpl hier="2" item="2"/>
          <tpl fld="4" item="2"/>
          <tpl hier="42" item="5"/>
          <tpl fld="2" item="4"/>
        </tpls>
      </n>
      <m in="0">
        <tpls c="4">
          <tpl hier="2" item="2"/>
          <tpl fld="4" item="2"/>
          <tpl hier="42" item="5"/>
          <tpl fld="2" item="0"/>
        </tpls>
      </m>
      <m in="1">
        <tpls c="4">
          <tpl hier="2" item="2"/>
          <tpl fld="4" item="4"/>
          <tpl hier="42" item="5"/>
          <tpl fld="2" item="3"/>
        </tpls>
      </m>
      <m in="1">
        <tpls c="4">
          <tpl hier="2" item="2"/>
          <tpl fld="4" item="3"/>
          <tpl hier="42" item="5"/>
          <tpl fld="2" item="3"/>
        </tpls>
      </m>
      <n v="257.51321831453208" in="0">
        <tpls c="4">
          <tpl hier="2" item="2"/>
          <tpl fld="4" item="4"/>
          <tpl hier="42" item="5"/>
          <tpl fld="2" item="12"/>
        </tpls>
      </n>
      <n v="0" in="0">
        <tpls c="4">
          <tpl hier="2" item="2"/>
          <tpl fld="4" item="3"/>
          <tpl hier="42" item="5"/>
          <tpl fld="2" item="18"/>
        </tpls>
      </n>
      <m in="0">
        <tpls c="5">
          <tpl fld="3" item="1"/>
          <tpl hier="2" item="2"/>
          <tpl fld="4" item="4"/>
          <tpl hier="42" item="5"/>
          <tpl fld="2" item="1"/>
        </tpls>
      </m>
      <n v="500691.04999999952" in="0">
        <tpls c="4">
          <tpl hier="2" item="2"/>
          <tpl fld="4" item="3"/>
          <tpl hier="42" item="5"/>
          <tpl fld="2" item="1"/>
        </tpls>
      </n>
      <n v="388072.41999999981" in="0">
        <tpls c="4">
          <tpl hier="2" item="2"/>
          <tpl fld="4" item="4"/>
          <tpl hier="42" item="5"/>
          <tpl fld="2" item="19"/>
        </tpls>
      </n>
      <n v="481939.62" in="0">
        <tpls c="4">
          <tpl hier="2" item="2"/>
          <tpl fld="4" item="3"/>
          <tpl hier="42" item="5"/>
          <tpl fld="2" item="10"/>
        </tpls>
      </n>
      <n v="378777.27" in="0">
        <tpls c="4">
          <tpl hier="2" item="2"/>
          <tpl fld="4" item="4"/>
          <tpl hier="42" item="5"/>
          <tpl fld="2" item="10"/>
        </tpls>
      </n>
      <n v="388072.41999999981" in="0">
        <tpls c="5">
          <tpl fld="3" item="0"/>
          <tpl hier="2" item="2"/>
          <tpl fld="4" item="4"/>
          <tpl hier="42" item="5"/>
          <tpl fld="2" item="1"/>
        </tpls>
      </n>
      <n v="9305.14" in="0">
        <tpls c="4">
          <tpl hier="2" item="2"/>
          <tpl fld="4" item="4"/>
          <tpl hier="42" item="5"/>
          <tpl fld="2" item="17"/>
        </tpls>
      </n>
      <n v="0" in="0">
        <tpls c="4">
          <tpl hier="2" item="2"/>
          <tpl fld="4" item="4"/>
          <tpl hier="42" item="5"/>
          <tpl fld="2" item="18"/>
        </tpls>
      </n>
      <n v="388072.41999999981" in="0">
        <tpls c="4">
          <tpl hier="2" item="2"/>
          <tpl fld="4" item="4"/>
          <tpl hier="42" item="5"/>
          <tpl fld="2" item="1"/>
        </tpls>
      </n>
      <n v="19041.419999999998" in="0">
        <tpls c="4">
          <tpl hier="2" item="2"/>
          <tpl fld="4" item="3"/>
          <tpl hier="42" item="5"/>
          <tpl fld="2" item="17"/>
        </tpls>
      </n>
      <n v="500691.04999999952" in="0">
        <tpls c="4">
          <tpl hier="2" item="2"/>
          <tpl fld="4" item="3"/>
          <tpl hier="42" item="5"/>
          <tpl fld="2" item="19"/>
        </tpls>
      </n>
      <n v="0" in="1">
        <tpls c="4">
          <tpl hier="2" item="2"/>
          <tpl fld="4" item="4"/>
          <tpl hier="42" item="5"/>
          <tpl fld="2" item="2"/>
        </tpls>
      </n>
      <n v="1507" in="0">
        <tpls c="4">
          <tpl hier="2" item="2"/>
          <tpl fld="4" item="4"/>
          <tpl hier="42" item="5"/>
          <tpl fld="2" item="14"/>
        </tpls>
      </n>
      <n v="255.58501786625806" in="0">
        <tpls c="4">
          <tpl hier="2" item="2"/>
          <tpl fld="4" item="3"/>
          <tpl hier="42" item="5"/>
          <tpl fld="2" item="12"/>
        </tpls>
      </n>
      <m in="0">
        <tpls c="5">
          <tpl fld="3" item="1"/>
          <tpl hier="2" item="2"/>
          <tpl fld="4" item="3"/>
          <tpl hier="42" item="5"/>
          <tpl fld="2" item="1"/>
        </tpls>
      </m>
      <n v="500691.04999999952" in="0">
        <tpls c="5">
          <tpl fld="3" item="0"/>
          <tpl hier="2" item="2"/>
          <tpl fld="4" item="3"/>
          <tpl hier="42" item="5"/>
          <tpl fld="2" item="1"/>
        </tpls>
      </n>
      <n v="1959" in="0">
        <tpls c="4">
          <tpl hier="2" item="2"/>
          <tpl fld="4" item="3"/>
          <tpl hier="42" item="5"/>
          <tpl fld="2" item="14"/>
        </tpls>
      </n>
      <n v="0" in="1">
        <tpls c="4">
          <tpl hier="2" item="2"/>
          <tpl fld="4" item="3"/>
          <tpl hier="42" item="5"/>
          <tpl fld="2" item="2"/>
        </tpls>
      </n>
      <n v="42805.62" in="0">
        <tpls c="5">
          <tpl hier="2" item="2"/>
          <tpl fld="4" item="3"/>
          <tpl fld="6" item="16"/>
          <tpl hier="42" item="5"/>
          <tpl fld="2" item="1"/>
        </tpls>
      </n>
      <n v="9410.4599999999991" in="0">
        <tpls c="5">
          <tpl hier="2" item="2"/>
          <tpl fld="4" item="4"/>
          <tpl fld="6" item="16"/>
          <tpl hier="42" item="5"/>
          <tpl fld="2" item="1"/>
        </tpls>
      </n>
      <n v="972310.9999999979" in="0">
        <tpls c="6">
          <tpl fld="3" item="0"/>
          <tpl hier="2" item="2"/>
          <tpl hier="7" item="0"/>
          <tpl hier="9" item="6"/>
          <tpl hier="42" item="5"/>
          <tpl fld="2" item="1"/>
        </tpls>
      </n>
      <m in="0">
        <tpls c="6">
          <tpl fld="3" item="1"/>
          <tpl hier="2" item="2"/>
          <tpl hier="7" item="0"/>
          <tpl hier="9" item="6"/>
          <tpl hier="42" item="5"/>
          <tpl fld="2" item="1"/>
        </tpls>
      </m>
      <n v="0" in="1">
        <tpls c="5">
          <tpl hier="2" item="2"/>
          <tpl hier="7" item="0"/>
          <tpl hier="9" item="6"/>
          <tpl hier="42" item="5"/>
          <tpl fld="2" item="2"/>
        </tpls>
      </n>
      <m in="1">
        <tpls c="5">
          <tpl hier="2" item="2"/>
          <tpl hier="7" item="0"/>
          <tpl hier="9" item="6"/>
          <tpl hier="42" item="5"/>
          <tpl fld="2" item="3"/>
        </tpls>
      </m>
      <m in="0">
        <tpls c="5">
          <tpl hier="2" item="2"/>
          <tpl hier="7" item="0"/>
          <tpl hier="9" item="6"/>
          <tpl hier="42" item="5"/>
          <tpl fld="2" item="0"/>
        </tpls>
      </m>
      <n v="6" in="0">
        <tpls c="5">
          <tpl hier="2" item="2"/>
          <tpl hier="7" item="0"/>
          <tpl hier="9" item="6"/>
          <tpl hier="42" item="5"/>
          <tpl fld="2" item="4"/>
        </tpls>
      </n>
      <m in="0">
        <tpls c="5">
          <tpl hier="2" item="2"/>
          <tpl hier="7" item="0"/>
          <tpl hier="9" item="6"/>
          <tpl hier="42" item="5"/>
          <tpl fld="2" item="5"/>
        </tpls>
      </m>
      <n v="4" in="0">
        <tpls c="6">
          <tpl fld="3" item="0"/>
          <tpl hier="2" item="2"/>
          <tpl hier="7" item="0"/>
          <tpl hier="9" item="6"/>
          <tpl hier="42" item="5"/>
          <tpl fld="2" item="6"/>
        </tpls>
      </n>
      <n v="4" in="0">
        <tpls c="5">
          <tpl hier="2" item="2"/>
          <tpl hier="7" item="0"/>
          <tpl hier="9" item="6"/>
          <tpl hier="42" item="5"/>
          <tpl fld="2" item="6"/>
        </tpls>
      </n>
      <n v="8286.410000000149" in="0">
        <tpls c="5">
          <tpl hier="2" item="2"/>
          <tpl hier="7" item="0"/>
          <tpl hier="9" item="6"/>
          <tpl hier="42" item="5"/>
          <tpl fld="2" item="7"/>
        </tpls>
      </n>
      <n v="8.5552340176939107E-3" in="1">
        <tpls c="5">
          <tpl hier="2" item="2"/>
          <tpl hier="7" item="0"/>
          <tpl hier="9" item="6"/>
          <tpl hier="42" item="5"/>
          <tpl fld="2" item="8"/>
        </tpls>
      </n>
      <n v="8286.410000000149" in="0">
        <tpls c="5">
          <tpl hier="2" item="2"/>
          <tpl hier="7" item="0"/>
          <tpl hier="9" item="6"/>
          <tpl hier="42" item="5"/>
          <tpl fld="2" item="9"/>
        </tpls>
      </n>
      <n v="968577.83" in="0">
        <tpls c="5">
          <tpl hier="2" item="2"/>
          <tpl hier="7" item="0"/>
          <tpl hier="9" item="6"/>
          <tpl hier="42" item="5"/>
          <tpl fld="2" item="10"/>
        </tpls>
      </n>
      <n v="1.2361867756304313E-2" in="1">
        <tpls c="5">
          <tpl hier="2" item="2"/>
          <tpl hier="7" item="0"/>
          <tpl hier="9" item="6"/>
          <tpl hier="42" item="5"/>
          <tpl fld="2" item="11"/>
        </tpls>
      </n>
      <n v="268.37179133314942" in="0">
        <tpls c="5">
          <tpl hier="2" item="2"/>
          <tpl hier="7" item="0"/>
          <tpl hier="9" item="6"/>
          <tpl hier="42" item="5"/>
          <tpl fld="2" item="12"/>
        </tpls>
      </n>
      <n v="2000.6399176954728" in="0">
        <tpls c="5">
          <tpl hier="2" item="2"/>
          <tpl hier="7" item="0"/>
          <tpl hier="9" item="6"/>
          <tpl hier="42" item="5"/>
          <tpl fld="2" item="13"/>
        </tpls>
      </n>
      <n v="3623" in="0">
        <tpls c="5">
          <tpl hier="2" item="2"/>
          <tpl hier="7" item="0"/>
          <tpl hier="9" item="6"/>
          <tpl hier="42" item="5"/>
          <tpl fld="2" item="14"/>
        </tpls>
      </n>
      <n v="486" in="0">
        <tpls c="5">
          <tpl hier="2" item="2"/>
          <tpl hier="7" item="0"/>
          <tpl hier="9" item="6"/>
          <tpl hier="42" item="5"/>
          <tpl fld="2" item="15"/>
        </tpls>
      </n>
      <n v="960291.41999999981" in="0">
        <tpls c="5">
          <tpl hier="2" item="2"/>
          <tpl hier="7" item="0"/>
          <tpl hier="9" item="6"/>
          <tpl hier="42" item="5"/>
          <tpl fld="2" item="16"/>
        </tpls>
      </n>
      <n v="12019.58" in="0">
        <tpls c="5">
          <tpl hier="2" item="2"/>
          <tpl hier="7" item="0"/>
          <tpl hier="9" item="6"/>
          <tpl hier="42" item="5"/>
          <tpl fld="2" item="17"/>
        </tpls>
      </n>
      <n v="972310.99999999977" in="0">
        <tpls c="5">
          <tpl hier="2" item="2"/>
          <tpl hier="7" item="0"/>
          <tpl hier="9" item="6"/>
          <tpl hier="42" item="5"/>
          <tpl fld="2" item="1"/>
        </tpls>
      </n>
      <n v="0" in="0">
        <tpls c="5">
          <tpl hier="2" item="2"/>
          <tpl hier="7" item="0"/>
          <tpl hier="9" item="6"/>
          <tpl hier="42" item="5"/>
          <tpl fld="2" item="18"/>
        </tpls>
      </n>
      <n v="972310.99999999977" in="0">
        <tpls c="5">
          <tpl hier="2" item="2"/>
          <tpl hier="7" item="0"/>
          <tpl hier="9" item="6"/>
          <tpl hier="42" item="5"/>
          <tpl fld="2" item="19"/>
        </tpls>
      </n>
      <n v="892054.09000000008" in="0">
        <tpls c="5">
          <tpl hier="2" item="2"/>
          <tpl hier="7" item="0"/>
          <tpl hier="9" item="6"/>
          <tpl hier="42" item="5"/>
          <tpl fld="2" item="20"/>
        </tpls>
      </n>
      <n v="839660.61000000022" in="0">
        <tpls c="5">
          <tpl hier="2" item="2"/>
          <tpl hier="7" item="0"/>
          <tpl hier="9" item="6"/>
          <tpl hier="42" item="5"/>
          <tpl fld="2" item="21"/>
        </tpls>
      </n>
      <n v="28459.580000000009" in="0">
        <tpls c="5">
          <tpl hier="2" item="2"/>
          <tpl fld="4" item="22"/>
          <tpl fld="6" item="15"/>
          <tpl hier="42" item="5"/>
          <tpl fld="2" item="1"/>
        </tpls>
      </n>
      <n v="34193.710000000006" in="0">
        <tpls c="5">
          <tpl hier="2" item="2"/>
          <tpl fld="4" item="22"/>
          <tpl fld="6" item="12"/>
          <tpl hier="42" item="5"/>
          <tpl fld="2" item="1"/>
        </tpls>
      </n>
      <n v="36837.509999999995" in="0">
        <tpls c="5">
          <tpl hier="2" item="2"/>
          <tpl fld="4" item="22"/>
          <tpl fld="6" item="3"/>
          <tpl hier="42" item="5"/>
          <tpl fld="2" item="1"/>
        </tpls>
      </n>
      <n v="36707.479999999996" in="0">
        <tpls c="5">
          <tpl hier="2" item="2"/>
          <tpl fld="4" item="22"/>
          <tpl fld="6" item="10"/>
          <tpl hier="42" item="5"/>
          <tpl fld="2" item="1"/>
        </tpls>
      </n>
      <n v="854965.69999999751" in="0">
        <tpls c="4">
          <tpl fld="5" item="0"/>
          <tpl fld="4" item="22"/>
          <tpl hier="42" item="5"/>
          <tpl fld="2" item="1"/>
        </tpls>
      </n>
      <n v="56552.12" in="0">
        <tpls c="5">
          <tpl hier="2" item="2"/>
          <tpl fld="4" item="17"/>
          <tpl fld="6" item="15"/>
          <tpl hier="42" item="5"/>
          <tpl fld="2" item="1"/>
        </tpls>
      </n>
      <n v="61307.510000000017" in="0">
        <tpls c="5">
          <tpl hier="2" item="2"/>
          <tpl fld="4" item="17"/>
          <tpl fld="6" item="12"/>
          <tpl hier="42" item="5"/>
          <tpl fld="2" item="1"/>
        </tpls>
      </n>
      <n v="25136.429999999993" in="0">
        <tpls c="5">
          <tpl hier="2" item="2"/>
          <tpl fld="4" item="17"/>
          <tpl fld="6" item="3"/>
          <tpl hier="42" item="5"/>
          <tpl fld="2" item="1"/>
        </tpls>
      </n>
      <n v="37947.85" in="0">
        <tpls c="5">
          <tpl hier="2" item="2"/>
          <tpl fld="4" item="17"/>
          <tpl fld="6" item="10"/>
          <tpl hier="42" item="5"/>
          <tpl fld="2" item="1"/>
        </tpls>
      </n>
      <n v="906063.63999999815" in="0">
        <tpls c="4">
          <tpl fld="5" item="0"/>
          <tpl fld="4" item="17"/>
          <tpl hier="42" item="5"/>
          <tpl fld="2" item="1"/>
        </tpls>
      </n>
      <m in="1">
        <tpls c="4">
          <tpl hier="2" item="2"/>
          <tpl fld="4" item="17"/>
          <tpl hier="42" item="5"/>
          <tpl fld="2" item="3"/>
        </tpls>
      </m>
      <m in="1">
        <tpls c="4">
          <tpl hier="2" item="2"/>
          <tpl fld="4" item="22"/>
          <tpl hier="42" item="5"/>
          <tpl fld="2" item="3"/>
        </tpls>
      </m>
      <n v="259.69149899684669" in="0">
        <tpls c="4">
          <tpl hier="2" item="2"/>
          <tpl fld="4" item="17"/>
          <tpl hier="42" item="5"/>
          <tpl fld="2" item="12"/>
        </tpls>
      </n>
      <n v="0" in="0">
        <tpls c="4">
          <tpl hier="2" item="2"/>
          <tpl fld="4" item="22"/>
          <tpl hier="42" item="5"/>
          <tpl fld="2" item="18"/>
        </tpls>
      </n>
      <m in="0">
        <tpls c="5">
          <tpl fld="3" item="1"/>
          <tpl hier="2" item="2"/>
          <tpl fld="4" item="17"/>
          <tpl hier="42" item="5"/>
          <tpl fld="2" item="1"/>
        </tpls>
      </m>
      <n v="854965.69999999751" in="0">
        <tpls c="4">
          <tpl hier="2" item="2"/>
          <tpl fld="4" item="22"/>
          <tpl hier="42" item="5"/>
          <tpl fld="2" item="1"/>
        </tpls>
      </n>
      <n v="922473.02999999817" in="0">
        <tpls c="4">
          <tpl hier="2" item="2"/>
          <tpl fld="4" item="17"/>
          <tpl hier="42" item="5"/>
          <tpl fld="2" item="19"/>
        </tpls>
      </n>
      <n v="841247.3" in="0">
        <tpls c="4">
          <tpl hier="2" item="2"/>
          <tpl fld="4" item="22"/>
          <tpl hier="42" item="5"/>
          <tpl fld="2" item="10"/>
        </tpls>
      </n>
      <n v="890793.96" in="0">
        <tpls c="4">
          <tpl hier="2" item="2"/>
          <tpl fld="4" item="17"/>
          <tpl hier="42" item="5"/>
          <tpl fld="2" item="10"/>
        </tpls>
      </n>
      <n v="906063.63999999815" in="0">
        <tpls c="5">
          <tpl fld="3" item="0"/>
          <tpl hier="2" item="2"/>
          <tpl fld="4" item="17"/>
          <tpl hier="42" item="5"/>
          <tpl fld="2" item="1"/>
        </tpls>
      </n>
      <n v="14009.55" in="0">
        <tpls c="4">
          <tpl hier="2" item="2"/>
          <tpl fld="4" item="17"/>
          <tpl hier="42" item="5"/>
          <tpl fld="2" item="17"/>
        </tpls>
      </n>
      <n v="16409.390000000003" in="0">
        <tpls c="4">
          <tpl hier="2" item="2"/>
          <tpl fld="4" item="17"/>
          <tpl hier="42" item="5"/>
          <tpl fld="2" item="18"/>
        </tpls>
      </n>
      <n v="906063.63999999815" in="0">
        <tpls c="4">
          <tpl hier="2" item="2"/>
          <tpl fld="4" item="17"/>
          <tpl hier="42" item="5"/>
          <tpl fld="2" item="1"/>
        </tpls>
      </n>
      <n v="15305.09" in="0">
        <tpls c="4">
          <tpl hier="2" item="2"/>
          <tpl fld="4" item="22"/>
          <tpl hier="42" item="5"/>
          <tpl fld="2" item="17"/>
        </tpls>
      </n>
      <n v="854965.69999999751" in="0">
        <tpls c="4">
          <tpl hier="2" item="2"/>
          <tpl fld="4" item="22"/>
          <tpl hier="42" item="5"/>
          <tpl fld="2" item="19"/>
        </tpls>
      </n>
      <n v="1.778847669942181E-2" in="1">
        <tpls c="4">
          <tpl hier="2" item="2"/>
          <tpl fld="4" item="17"/>
          <tpl hier="42" item="5"/>
          <tpl fld="2" item="2"/>
        </tpls>
      </n>
      <n v="3489" in="0">
        <tpls c="4">
          <tpl hier="2" item="2"/>
          <tpl fld="4" item="17"/>
          <tpl hier="42" item="5"/>
          <tpl fld="2" item="14"/>
        </tpls>
      </n>
      <n v="279.8578396072005" in="0">
        <tpls c="4">
          <tpl hier="2" item="2"/>
          <tpl fld="4" item="22"/>
          <tpl hier="42" item="5"/>
          <tpl fld="2" item="12"/>
        </tpls>
      </n>
      <m in="0">
        <tpls c="5">
          <tpl fld="3" item="1"/>
          <tpl hier="2" item="2"/>
          <tpl fld="4" item="22"/>
          <tpl hier="42" item="5"/>
          <tpl fld="2" item="1"/>
        </tpls>
      </m>
      <n v="854965.69999999751" in="0">
        <tpls c="5">
          <tpl fld="3" item="0"/>
          <tpl hier="2" item="2"/>
          <tpl fld="4" item="22"/>
          <tpl hier="42" item="5"/>
          <tpl fld="2" item="1"/>
        </tpls>
      </n>
      <n v="3055" in="0">
        <tpls c="4">
          <tpl hier="2" item="2"/>
          <tpl fld="4" item="22"/>
          <tpl hier="42" item="5"/>
          <tpl fld="2" item="14"/>
        </tpls>
      </n>
      <n v="0" in="1">
        <tpls c="4">
          <tpl hier="2" item="2"/>
          <tpl fld="4" item="22"/>
          <tpl hier="42" item="5"/>
          <tpl fld="2" item="2"/>
        </tpls>
      </n>
      <n v="1763752.7299999928" in="0">
        <tpls c="6">
          <tpl fld="3" item="0"/>
          <tpl hier="2" item="2"/>
          <tpl hier="7" item="0"/>
          <tpl hier="9" item="6"/>
          <tpl hier="42" item="3"/>
          <tpl fld="2" item="1"/>
        </tpls>
      </n>
      <n v="419144.79999999993" in="0">
        <tpls c="6">
          <tpl fld="3" item="1"/>
          <tpl hier="2" item="2"/>
          <tpl hier="7" item="0"/>
          <tpl hier="9" item="6"/>
          <tpl hier="42" item="3"/>
          <tpl fld="2" item="1"/>
        </tpls>
      </n>
      <n v="3.4798946922341058E-3" in="1">
        <tpls c="5">
          <tpl hier="2" item="2"/>
          <tpl hier="7" item="0"/>
          <tpl hier="9" item="6"/>
          <tpl hier="42" item="3"/>
          <tpl fld="2" item="2"/>
        </tpls>
      </n>
      <n v="0.1920130442403315" in="1">
        <tpls c="5">
          <tpl hier="2" item="2"/>
          <tpl hier="7" item="0"/>
          <tpl hier="9" item="6"/>
          <tpl hier="42" item="3"/>
          <tpl fld="2" item="3"/>
        </tpls>
      </n>
      <m in="0">
        <tpls c="5">
          <tpl hier="2" item="2"/>
          <tpl hier="7" item="0"/>
          <tpl hier="9" item="6"/>
          <tpl hier="42" item="3"/>
          <tpl fld="2" item="0"/>
        </tpls>
      </m>
      <n v="24" in="0">
        <tpls c="5">
          <tpl hier="2" item="2"/>
          <tpl hier="7" item="0"/>
          <tpl hier="9" item="6"/>
          <tpl hier="42" item="3"/>
          <tpl fld="2" item="4"/>
        </tpls>
      </n>
      <m in="0">
        <tpls c="5">
          <tpl hier="2" item="2"/>
          <tpl hier="7" item="0"/>
          <tpl hier="9" item="6"/>
          <tpl hier="42" item="3"/>
          <tpl fld="2" item="5"/>
        </tpls>
      </m>
      <n v="10" in="0">
        <tpls c="6">
          <tpl fld="3" item="0"/>
          <tpl hier="2" item="2"/>
          <tpl hier="7" item="0"/>
          <tpl hier="9" item="6"/>
          <tpl hier="42" item="3"/>
          <tpl fld="2" item="6"/>
        </tpls>
      </n>
      <n v="11" in="0">
        <tpls c="5">
          <tpl hier="2" item="2"/>
          <tpl hier="7" item="0"/>
          <tpl hier="9" item="6"/>
          <tpl hier="42" item="3"/>
          <tpl fld="2" item="6"/>
        </tpls>
      </n>
      <n v="-11343.539999997243" in="0">
        <tpls c="5">
          <tpl hier="2" item="2"/>
          <tpl hier="7" item="0"/>
          <tpl hier="9" item="6"/>
          <tpl hier="42" item="3"/>
          <tpl fld="2" item="7"/>
        </tpls>
      </n>
      <n v="-1.3527792447020664E-2" in="1">
        <tpls c="5">
          <tpl hier="2" item="2"/>
          <tpl hier="7" item="0"/>
          <tpl hier="9" item="6"/>
          <tpl hier="42" item="3"/>
          <tpl fld="2" item="8"/>
        </tpls>
      </n>
      <n v="-28806.829999997746" in="0">
        <tpls c="5">
          <tpl hier="2" item="2"/>
          <tpl hier="7" item="0"/>
          <tpl hier="9" item="6"/>
          <tpl hier="42" item="3"/>
          <tpl fld="2" item="9"/>
        </tpls>
      </n>
      <n v="2129455.35" in="0">
        <tpls c="5">
          <tpl hier="2" item="2"/>
          <tpl hier="7" item="0"/>
          <tpl hier="9" item="6"/>
          <tpl hier="42" item="3"/>
          <tpl fld="2" item="10"/>
        </tpls>
      </n>
      <n v="1.1285619073470674E-2" in="1">
        <tpls c="5">
          <tpl hier="2" item="2"/>
          <tpl hier="7" item="0"/>
          <tpl hier="9" item="6"/>
          <tpl hier="42" item="3"/>
          <tpl fld="2" item="11"/>
        </tpls>
      </n>
      <n v="265.20441380148213" in="0">
        <tpls c="5">
          <tpl hier="2" item="2"/>
          <tpl hier="7" item="0"/>
          <tpl hier="9" item="6"/>
          <tpl hier="42" item="3"/>
          <tpl fld="2" item="12"/>
        </tpls>
      </n>
      <n v="1984.4522999999981" in="0">
        <tpls c="5">
          <tpl hier="2" item="2"/>
          <tpl hier="7" item="0"/>
          <tpl hier="9" item="6"/>
          <tpl hier="42" item="3"/>
          <tpl fld="2" item="13"/>
        </tpls>
      </n>
      <n v="8231" in="0">
        <tpls c="5">
          <tpl hier="2" item="2"/>
          <tpl hier="7" item="0"/>
          <tpl hier="9" item="6"/>
          <tpl hier="42" item="3"/>
          <tpl fld="2" item="14"/>
        </tpls>
      </n>
      <n v="1100" in="0">
        <tpls c="5">
          <tpl hier="2" item="2"/>
          <tpl hier="7" item="0"/>
          <tpl hier="9" item="6"/>
          <tpl hier="42" item="3"/>
          <tpl fld="2" item="15"/>
        </tpls>
      </n>
      <n v="2158262.1799999978" in="0">
        <tpls c="5">
          <tpl hier="2" item="2"/>
          <tpl hier="7" item="0"/>
          <tpl hier="9" item="6"/>
          <tpl hier="42" item="3"/>
          <tpl fld="2" item="16"/>
        </tpls>
      </n>
      <n v="24635.35" in="0">
        <tpls c="5">
          <tpl hier="2" item="2"/>
          <tpl hier="7" item="0"/>
          <tpl hier="9" item="6"/>
          <tpl hier="42" item="3"/>
          <tpl fld="2" item="17"/>
        </tpls>
      </n>
      <n v="2182897.5299999979" in="0">
        <tpls c="5">
          <tpl hier="2" item="2"/>
          <tpl hier="7" item="0"/>
          <tpl hier="9" item="6"/>
          <tpl hier="42" item="3"/>
          <tpl fld="2" item="1"/>
        </tpls>
      </n>
      <n v="7622.78" in="0">
        <tpls c="5">
          <tpl hier="2" item="2"/>
          <tpl hier="7" item="0"/>
          <tpl hier="9" item="6"/>
          <tpl hier="42" item="3"/>
          <tpl fld="2" item="18"/>
        </tpls>
      </n>
      <n v="2190520.3099999977" in="0">
        <tpls c="5">
          <tpl hier="2" item="2"/>
          <tpl hier="7" item="0"/>
          <tpl hier="9" item="6"/>
          <tpl hier="42" item="3"/>
          <tpl fld="2" item="19"/>
        </tpls>
      </n>
      <n v="1911334.92" in="0">
        <tpls c="5">
          <tpl hier="2" item="2"/>
          <tpl hier="7" item="0"/>
          <tpl hier="9" item="6"/>
          <tpl hier="42" item="3"/>
          <tpl fld="2" item="20"/>
        </tpls>
      </n>
      <n v="2004568.6800000002" in="0">
        <tpls c="5">
          <tpl hier="2" item="2"/>
          <tpl hier="7" item="0"/>
          <tpl hier="9" item="6"/>
          <tpl hier="42" item="3"/>
          <tpl fld="2" item="21"/>
        </tpls>
      </n>
      <n v="29374.500000000007" in="0">
        <tpls c="5">
          <tpl hier="2" item="2"/>
          <tpl fld="4" item="22"/>
          <tpl fld="6" item="4"/>
          <tpl hier="42" item="3"/>
          <tpl fld="2" item="1"/>
        </tpls>
      </n>
      <n v="36837.509999999995" in="0">
        <tpls c="5">
          <tpl hier="2" item="2"/>
          <tpl fld="4" item="22"/>
          <tpl fld="6" item="3"/>
          <tpl hier="42" item="3"/>
          <tpl fld="2" item="1"/>
        </tpls>
      </n>
      <n v="36707.479999999996" in="0">
        <tpls c="5">
          <tpl hier="2" item="2"/>
          <tpl fld="4" item="22"/>
          <tpl fld="6" item="10"/>
          <tpl hier="42" item="3"/>
          <tpl fld="2" item="1"/>
        </tpls>
      </n>
      <n v="472242.12999999977" in="0">
        <tpls c="5">
          <tpl hier="2" item="2"/>
          <tpl fld="4" item="22"/>
          <tpl fld="6" item="0"/>
          <tpl hier="42" item="3"/>
          <tpl fld="2" item="1"/>
        </tpls>
      </n>
      <n v="472242.12999999977" in="0">
        <tpls c="4">
          <tpl fld="5" item="1"/>
          <tpl fld="4" item="22"/>
          <tpl hier="42" item="3"/>
          <tpl fld="2" item="1"/>
        </tpls>
      </n>
      <n v="1565038.7399999881" in="0">
        <tpls c="4">
          <tpl fld="5" item="0"/>
          <tpl fld="4" item="22"/>
          <tpl hier="42" item="3"/>
          <tpl fld="2" item="1"/>
        </tpls>
      </n>
      <n v="28524.600000000006" in="0">
        <tpls c="5">
          <tpl hier="2" item="2"/>
          <tpl fld="4" item="17"/>
          <tpl fld="6" item="4"/>
          <tpl hier="42" item="3"/>
          <tpl fld="2" item="1"/>
        </tpls>
      </n>
      <n v="25136.429999999993" in="0">
        <tpls c="5">
          <tpl hier="2" item="2"/>
          <tpl fld="4" item="17"/>
          <tpl fld="6" item="3"/>
          <tpl hier="42" item="3"/>
          <tpl fld="2" item="1"/>
        </tpls>
      </n>
      <n v="37947.85" in="0">
        <tpls c="5">
          <tpl hier="2" item="2"/>
          <tpl fld="4" item="17"/>
          <tpl fld="6" item="10"/>
          <tpl hier="42" item="3"/>
          <tpl fld="2" item="1"/>
        </tpls>
      </n>
      <n v="391910.79999999981" in="0">
        <tpls c="5">
          <tpl hier="2" item="2"/>
          <tpl fld="4" item="17"/>
          <tpl fld="6" item="0"/>
          <tpl hier="42" item="3"/>
          <tpl fld="2" item="1"/>
        </tpls>
      </n>
      <n v="391910.79999999981" in="0">
        <tpls c="4">
          <tpl fld="5" item="1"/>
          <tpl fld="4" item="17"/>
          <tpl hier="42" item="3"/>
          <tpl fld="2" item="1"/>
        </tpls>
      </n>
      <n v="1573333.7799999879" in="0">
        <tpls c="4">
          <tpl fld="5" item="0"/>
          <tpl fld="4" item="17"/>
          <tpl hier="42" item="3"/>
          <tpl fld="2" item="1"/>
        </tpls>
      </n>
      <n v="435" in="0">
        <tpls c="4">
          <tpl hier="2" item="2"/>
          <tpl fld="4" item="25"/>
          <tpl hier="42" item="3"/>
          <tpl fld="2" item="15"/>
        </tpls>
      </n>
      <n v="0" in="0">
        <tpls c="5">
          <tpl fld="3" item="0"/>
          <tpl hier="2" item="2"/>
          <tpl fld="4" item="25"/>
          <tpl hier="42" item="3"/>
          <tpl fld="2" item="6"/>
        </tpls>
      </n>
      <n v="499" in="0">
        <tpls c="4">
          <tpl hier="2" item="2"/>
          <tpl fld="4" item="29"/>
          <tpl hier="42" item="3"/>
          <tpl fld="2" item="15"/>
        </tpls>
      </n>
      <n v="0" in="0">
        <tpls c="5">
          <tpl fld="3" item="0"/>
          <tpl hier="2" item="2"/>
          <tpl fld="4" item="29"/>
          <tpl hier="42" item="3"/>
          <tpl fld="2" item="6"/>
        </tpls>
      </n>
      <n v="1066" in="0">
        <tpls c="4">
          <tpl hier="2" item="2"/>
          <tpl fld="4" item="26"/>
          <tpl hier="42" item="3"/>
          <tpl fld="2" item="15"/>
        </tpls>
      </n>
      <n v="1" in="0">
        <tpls c="5">
          <tpl fld="3" item="0"/>
          <tpl hier="2" item="2"/>
          <tpl fld="4" item="26"/>
          <tpl hier="42" item="3"/>
          <tpl fld="2" item="6"/>
        </tpls>
      </n>
      <n v="611" in="0">
        <tpls c="4">
          <tpl hier="2" item="2"/>
          <tpl fld="4" item="24"/>
          <tpl hier="42" item="3"/>
          <tpl fld="2" item="15"/>
        </tpls>
      </n>
      <n v="0" in="0">
        <tpls c="5">
          <tpl fld="3" item="0"/>
          <tpl hier="2" item="2"/>
          <tpl fld="4" item="24"/>
          <tpl hier="42" item="3"/>
          <tpl fld="2" item="6"/>
        </tpls>
      </n>
      <n v="549" in="0">
        <tpls c="4">
          <tpl hier="2" item="2"/>
          <tpl fld="4" item="27"/>
          <tpl hier="42" item="3"/>
          <tpl fld="2" item="15"/>
        </tpls>
      </n>
      <n v="1" in="0">
        <tpls c="5">
          <tpl fld="3" item="0"/>
          <tpl hier="2" item="2"/>
          <tpl fld="4" item="27"/>
          <tpl hier="42" item="3"/>
          <tpl fld="2" item="6"/>
        </tpls>
      </n>
      <n v="593" in="0">
        <tpls c="4">
          <tpl hier="2" item="2"/>
          <tpl fld="4" item="28"/>
          <tpl hier="42" item="3"/>
          <tpl fld="2" item="15"/>
        </tpls>
      </n>
      <n v="1" in="0">
        <tpls c="5">
          <tpl fld="3" item="0"/>
          <tpl hier="2" item="2"/>
          <tpl fld="4" item="28"/>
          <tpl hier="42" item="3"/>
          <tpl fld="2" item="6"/>
        </tpls>
      </n>
      <n v="887699.1399999985" in="0">
        <tpls c="4">
          <tpl hier="2" item="2"/>
          <tpl fld="4" item="25"/>
          <tpl hier="42" item="3"/>
          <tpl fld="2" item="16"/>
        </tpls>
      </n>
      <n v="2164.5659080459736" in="0">
        <tpls c="4">
          <tpl hier="2" item="2"/>
          <tpl fld="4" item="25"/>
          <tpl hier="42" item="3"/>
          <tpl fld="2" item="13"/>
        </tpls>
      </n>
      <n v="5.8207660913467407E-10" in="0">
        <tpls c="4">
          <tpl hier="2" item="2"/>
          <tpl fld="4" item="25"/>
          <tpl hier="42" item="3"/>
          <tpl fld="2" item="7"/>
        </tpls>
      </n>
      <n v="5.7230056809351906E-2" in="1">
        <tpls c="4">
          <tpl hier="2" item="2"/>
          <tpl fld="4" item="25"/>
          <tpl hier="42" item="3"/>
          <tpl fld="2" item="11"/>
        </tpls>
      </n>
      <n v="11" in="0">
        <tpls c="4">
          <tpl hier="2" item="2"/>
          <tpl fld="4" item="25"/>
          <tpl hier="42" item="3"/>
          <tpl fld="2" item="4"/>
        </tpls>
      </n>
      <m in="0">
        <tpls c="4">
          <tpl hier="2" item="2"/>
          <tpl fld="4" item="25"/>
          <tpl hier="42" item="3"/>
          <tpl fld="2" item="0"/>
        </tpls>
      </m>
      <n v="934250.44999999728" in="0">
        <tpls c="4">
          <tpl hier="2" item="2"/>
          <tpl fld="4" item="29"/>
          <tpl hier="42" item="3"/>
          <tpl fld="2" item="16"/>
        </tpls>
      </n>
      <n v="1913.1102404809565" in="0">
        <tpls c="4">
          <tpl hier="2" item="2"/>
          <tpl fld="4" item="29"/>
          <tpl hier="42" item="3"/>
          <tpl fld="2" item="13"/>
        </tpls>
      </n>
      <n v="179.95000000169966" in="0">
        <tpls c="4">
          <tpl hier="2" item="2"/>
          <tpl fld="4" item="29"/>
          <tpl hier="42" item="3"/>
          <tpl fld="2" item="7"/>
        </tpls>
      </n>
      <n v="2.1360425988376584E-2" in="1">
        <tpls c="4">
          <tpl hier="2" item="2"/>
          <tpl fld="4" item="29"/>
          <tpl hier="42" item="3"/>
          <tpl fld="2" item="11"/>
        </tpls>
      </n>
      <n v="9" in="0">
        <tpls c="4">
          <tpl hier="2" item="2"/>
          <tpl fld="4" item="29"/>
          <tpl hier="42" item="3"/>
          <tpl fld="2" item="4"/>
        </tpls>
      </n>
      <m in="0">
        <tpls c="4">
          <tpl hier="2" item="2"/>
          <tpl fld="4" item="29"/>
          <tpl hier="42" item="3"/>
          <tpl fld="2" item="0"/>
        </tpls>
      </m>
      <n v="1947315.9699999825" in="0">
        <tpls c="4">
          <tpl hier="2" item="2"/>
          <tpl fld="4" item="26"/>
          <tpl hier="42" item="3"/>
          <tpl fld="2" item="16"/>
        </tpls>
      </n>
      <n v="1871.1573827391956" in="0">
        <tpls c="4">
          <tpl hier="2" item="2"/>
          <tpl fld="4" item="26"/>
          <tpl hier="42" item="3"/>
          <tpl fld="2" item="13"/>
        </tpls>
      </n>
      <n v="2182.110000011744" in="0">
        <tpls c="4">
          <tpl hier="2" item="2"/>
          <tpl fld="4" item="26"/>
          <tpl hier="42" item="3"/>
          <tpl fld="2" item="7"/>
        </tpls>
      </n>
      <n v="2.373233927209353E-2" in="1">
        <tpls c="4">
          <tpl hier="2" item="2"/>
          <tpl fld="4" item="26"/>
          <tpl hier="42" item="3"/>
          <tpl fld="2" item="11"/>
        </tpls>
      </n>
      <n v="23" in="0">
        <tpls c="4">
          <tpl hier="2" item="2"/>
          <tpl fld="4" item="26"/>
          <tpl hier="42" item="3"/>
          <tpl fld="2" item="4"/>
        </tpls>
      </n>
      <m in="0">
        <tpls c="4">
          <tpl hier="2" item="2"/>
          <tpl fld="4" item="26"/>
          <tpl hier="42" item="3"/>
          <tpl fld="2" item="0"/>
        </tpls>
      </m>
      <n v="1347916.8799999922" in="0">
        <tpls c="4">
          <tpl hier="2" item="2"/>
          <tpl fld="4" item="24"/>
          <tpl hier="42" item="3"/>
          <tpl fld="2" item="16"/>
        </tpls>
      </n>
      <n v="2271.2545826513783" in="0">
        <tpls c="4">
          <tpl hier="2" item="2"/>
          <tpl fld="4" item="24"/>
          <tpl hier="42" item="3"/>
          <tpl fld="2" item="13"/>
        </tpls>
      </n>
      <n v="919.60000000405125" in="0">
        <tpls c="4">
          <tpl hier="2" item="2"/>
          <tpl fld="4" item="24"/>
          <tpl hier="42" item="3"/>
          <tpl fld="2" item="7"/>
        </tpls>
      </n>
      <n v="2.8693969327247468E-2" in="1">
        <tpls c="4">
          <tpl hier="2" item="2"/>
          <tpl fld="4" item="24"/>
          <tpl hier="42" item="3"/>
          <tpl fld="2" item="11"/>
        </tpls>
      </n>
      <n v="18" in="0">
        <tpls c="4">
          <tpl hier="2" item="2"/>
          <tpl fld="4" item="24"/>
          <tpl hier="42" item="3"/>
          <tpl fld="2" item="4"/>
        </tpls>
      </n>
      <m in="0">
        <tpls c="4">
          <tpl hier="2" item="2"/>
          <tpl fld="4" item="24"/>
          <tpl hier="42" item="3"/>
          <tpl fld="2" item="0"/>
        </tpls>
      </m>
      <n v="1088390.1999999955" in="0">
        <tpls c="4">
          <tpl hier="2" item="2"/>
          <tpl fld="4" item="27"/>
          <tpl hier="42" item="3"/>
          <tpl fld="2" item="16"/>
        </tpls>
      </n>
      <n v="2034.3487249544546" in="0">
        <tpls c="4">
          <tpl hier="2" item="2"/>
          <tpl fld="4" item="27"/>
          <tpl hier="42" item="3"/>
          <tpl fld="2" item="13"/>
        </tpls>
      </n>
      <n v="15885.050000001676" in="0">
        <tpls c="4">
          <tpl hier="2" item="2"/>
          <tpl fld="4" item="27"/>
          <tpl hier="42" item="3"/>
          <tpl fld="2" item="7"/>
        </tpls>
      </n>
      <n v="2.5488704937232692E-2" in="1">
        <tpls c="4">
          <tpl hier="2" item="2"/>
          <tpl fld="4" item="27"/>
          <tpl hier="42" item="3"/>
          <tpl fld="2" item="11"/>
        </tpls>
      </n>
      <n v="12" in="0">
        <tpls c="4">
          <tpl hier="2" item="2"/>
          <tpl fld="4" item="27"/>
          <tpl hier="42" item="3"/>
          <tpl fld="2" item="4"/>
        </tpls>
      </n>
      <m in="0">
        <tpls c="4">
          <tpl hier="2" item="2"/>
          <tpl fld="4" item="27"/>
          <tpl hier="42" item="3"/>
          <tpl fld="2" item="0"/>
        </tpls>
      </m>
      <n v="1174059.9799999937" in="0">
        <tpls c="4">
          <tpl hier="2" item="2"/>
          <tpl fld="4" item="28"/>
          <tpl hier="42" item="3"/>
          <tpl fld="2" item="16"/>
        </tpls>
      </n>
      <n v="2032.265935919045" in="0">
        <tpls c="4">
          <tpl hier="2" item="2"/>
          <tpl fld="4" item="28"/>
          <tpl hier="42" item="3"/>
          <tpl fld="2" item="13"/>
        </tpls>
      </n>
      <n v="-16064.999999997439" in="0">
        <tpls c="4">
          <tpl hier="2" item="2"/>
          <tpl fld="4" item="28"/>
          <tpl hier="42" item="3"/>
          <tpl fld="2" item="7"/>
        </tpls>
      </n>
      <n v="2.5784458604053779E-2" in="1">
        <tpls c="4">
          <tpl hier="2" item="2"/>
          <tpl fld="4" item="28"/>
          <tpl hier="42" item="3"/>
          <tpl fld="2" item="11"/>
        </tpls>
      </n>
      <n v="13" in="0">
        <tpls c="4">
          <tpl hier="2" item="2"/>
          <tpl fld="4" item="28"/>
          <tpl hier="42" item="3"/>
          <tpl fld="2" item="4"/>
        </tpls>
      </n>
      <m in="0">
        <tpls c="4">
          <tpl hier="2" item="2"/>
          <tpl fld="4" item="28"/>
          <tpl hier="42" item="3"/>
          <tpl fld="2" item="0"/>
        </tpls>
      </m>
      <n v="5386.9799999999232" in="0">
        <tpls c="5">
          <tpl fld="3" item="1"/>
          <tpl hier="2" item="2"/>
          <tpl fld="4" item="24"/>
          <tpl hier="42" item="3"/>
          <tpl fld="2" item="9"/>
        </tpls>
      </n>
      <n v="0.19942087818911747" in="1">
        <tpls c="4">
          <tpl hier="2" item="2"/>
          <tpl fld="4" item="17"/>
          <tpl hier="42" item="3"/>
          <tpl fld="2" item="3"/>
        </tpls>
      </n>
      <n v="0.2318002082844885" in="1">
        <tpls c="4">
          <tpl hier="2" item="2"/>
          <tpl fld="4" item="22"/>
          <tpl hier="42" item="3"/>
          <tpl fld="2" item="3"/>
        </tpls>
      </n>
      <n v="-24950.820000000065" in="0">
        <tpls c="5">
          <tpl fld="3" item="1"/>
          <tpl hier="2" item="2"/>
          <tpl fld="4" item="29"/>
          <tpl hier="42" item="3"/>
          <tpl fld="2" item="9"/>
        </tpls>
      </n>
      <n v="262.41748965148651" in="0">
        <tpls c="4">
          <tpl hier="2" item="2"/>
          <tpl fld="4" item="17"/>
          <tpl hier="42" item="3"/>
          <tpl fld="2" item="12"/>
        </tpls>
      </n>
      <n v="12462.259999999997" in="0">
        <tpls c="4">
          <tpl hier="2" item="2"/>
          <tpl fld="4" item="22"/>
          <tpl hier="42" item="3"/>
          <tpl fld="2" item="18"/>
        </tpls>
      </n>
      <n v="-19.779999999853317" in="0">
        <tpls c="5">
          <tpl fld="3" item="1"/>
          <tpl hier="2" item="2"/>
          <tpl fld="4" item="26"/>
          <tpl hier="42" item="3"/>
          <tpl fld="2" item="7"/>
        </tpls>
      </n>
      <n v="391910.79999999981" in="0">
        <tpls c="5">
          <tpl fld="3" item="1"/>
          <tpl hier="2" item="2"/>
          <tpl fld="4" item="17"/>
          <tpl hier="42" item="3"/>
          <tpl fld="2" item="1"/>
        </tpls>
      </n>
      <n v="2037280.869999982" in="0">
        <tpls c="4">
          <tpl hier="2" item="2"/>
          <tpl fld="4" item="22"/>
          <tpl hier="42" item="3"/>
          <tpl fld="2" item="1"/>
        </tpls>
      </n>
      <n v="2008047.5199999823" in="0">
        <tpls c="4">
          <tpl hier="2" item="2"/>
          <tpl fld="4" item="17"/>
          <tpl hier="42" item="3"/>
          <tpl fld="2" item="19"/>
        </tpls>
      </n>
      <n v="1953137.3" in="0">
        <tpls c="4">
          <tpl hier="2" item="2"/>
          <tpl fld="4" item="22"/>
          <tpl hier="42" item="3"/>
          <tpl fld="2" item="10"/>
        </tpls>
      </n>
      <n v="-550.53999999986263" in="0">
        <tpls c="5">
          <tpl fld="3" item="1"/>
          <tpl hier="2" item="2"/>
          <tpl fld="4" item="28"/>
          <tpl hier="42" item="3"/>
          <tpl fld="2" item="9"/>
        </tpls>
      </n>
      <n v="1951684.14" in="0">
        <tpls c="4">
          <tpl hier="2" item="2"/>
          <tpl fld="4" item="17"/>
          <tpl hier="42" item="3"/>
          <tpl fld="2" item="10"/>
        </tpls>
      </n>
      <n v="5.8207660913467407E-11" in="0">
        <tpls c="5">
          <tpl fld="3" item="1"/>
          <tpl hier="2" item="2"/>
          <tpl fld="4" item="27"/>
          <tpl hier="42" item="3"/>
          <tpl fld="2" item="7"/>
        </tpls>
      </n>
      <n v="1573333.7799999879" in="0">
        <tpls c="5">
          <tpl fld="3" item="0"/>
          <tpl hier="2" item="2"/>
          <tpl fld="4" item="17"/>
          <tpl hier="42" item="3"/>
          <tpl fld="2" item="1"/>
        </tpls>
      </n>
      <n v="14663.46000000005" in="0">
        <tpls c="5">
          <tpl fld="3" item="1"/>
          <tpl hier="2" item="2"/>
          <tpl fld="4" item="25"/>
          <tpl hier="42" item="3"/>
          <tpl fld="2" item="9"/>
        </tpls>
      </n>
      <n v="53909.66" in="0">
        <tpls c="4">
          <tpl hier="2" item="2"/>
          <tpl fld="4" item="17"/>
          <tpl hier="42" item="3"/>
          <tpl fld="2" item="17"/>
        </tpls>
      </n>
      <n v="42802.939999999966" in="0">
        <tpls c="4">
          <tpl hier="2" item="2"/>
          <tpl fld="4" item="17"/>
          <tpl hier="42" item="3"/>
          <tpl fld="2" item="18"/>
        </tpls>
      </n>
      <n v="-2.9103830456733704E-11" in="0">
        <tpls c="5">
          <tpl fld="3" item="1"/>
          <tpl hier="2" item="2"/>
          <tpl fld="4" item="25"/>
          <tpl hier="42" item="3"/>
          <tpl fld="2" item="7"/>
        </tpls>
      </n>
      <n v="1965244.5799999824" in="0">
        <tpls c="4">
          <tpl hier="2" item="2"/>
          <tpl fld="4" item="17"/>
          <tpl hier="42" item="3"/>
          <tpl fld="2" item="1"/>
        </tpls>
      </n>
      <n v="-61367.149999999732" in="0">
        <tpls c="5">
          <tpl fld="3" item="1"/>
          <tpl hier="2" item="2"/>
          <tpl fld="4" item="26"/>
          <tpl hier="42" item="3"/>
          <tpl fld="2" item="9"/>
        </tpls>
      </n>
      <n v="8.7311491370201111E-11" in="0">
        <tpls c="5">
          <tpl fld="3" item="1"/>
          <tpl hier="2" item="2"/>
          <tpl fld="4" item="28"/>
          <tpl hier="42" item="3"/>
          <tpl fld="2" item="7"/>
        </tpls>
      </n>
      <n v="14394.850000000035" in="0">
        <tpls c="5">
          <tpl fld="3" item="1"/>
          <tpl hier="2" item="2"/>
          <tpl fld="4" item="27"/>
          <tpl hier="42" item="3"/>
          <tpl fld="2" item="9"/>
        </tpls>
      </n>
      <n v="32712.19" in="0">
        <tpls c="4">
          <tpl hier="2" item="2"/>
          <tpl fld="4" item="22"/>
          <tpl hier="42" item="3"/>
          <tpl fld="2" item="17"/>
        </tpls>
      </n>
      <n v="2049743.129999982" in="0">
        <tpls c="4">
          <tpl hier="2" item="2"/>
          <tpl fld="4" item="22"/>
          <tpl hier="42" item="3"/>
          <tpl fld="2" item="19"/>
        </tpls>
      </n>
      <n v="2.1315700736006658E-2" in="1">
        <tpls c="4">
          <tpl hier="2" item="2"/>
          <tpl fld="4" item="17"/>
          <tpl hier="42" item="3"/>
          <tpl fld="2" item="2"/>
        </tpls>
      </n>
      <n v="7489" in="0">
        <tpls c="4">
          <tpl hier="2" item="2"/>
          <tpl fld="4" item="17"/>
          <tpl hier="42" item="3"/>
          <tpl fld="2" item="14"/>
        </tpls>
      </n>
      <n v="282.60242335968678" in="0">
        <tpls c="4">
          <tpl hier="2" item="2"/>
          <tpl fld="4" item="22"/>
          <tpl hier="42" item="3"/>
          <tpl fld="2" item="12"/>
        </tpls>
      </n>
      <n v="919.59999999997672" in="0">
        <tpls c="5">
          <tpl fld="3" item="1"/>
          <tpl hier="2" item="2"/>
          <tpl fld="4" item="24"/>
          <tpl hier="42" item="3"/>
          <tpl fld="2" item="7"/>
        </tpls>
      </n>
      <n v="472242.12999999977" in="0">
        <tpls c="5">
          <tpl fld="3" item="1"/>
          <tpl hier="2" item="2"/>
          <tpl fld="4" item="22"/>
          <tpl hier="42" item="3"/>
          <tpl fld="2" item="1"/>
        </tpls>
      </n>
      <n v="-2.9103830456733704E-11" in="0">
        <tpls c="5">
          <tpl fld="3" item="1"/>
          <tpl hier="2" item="2"/>
          <tpl fld="4" item="29"/>
          <tpl hier="42" item="3"/>
          <tpl fld="2" item="7"/>
        </tpls>
      </n>
      <n v="1565038.7399999881" in="0">
        <tpls c="5">
          <tpl fld="3" item="0"/>
          <tpl hier="2" item="2"/>
          <tpl fld="4" item="22"/>
          <tpl hier="42" item="3"/>
          <tpl fld="2" item="1"/>
        </tpls>
      </n>
      <n v="7209" in="0">
        <tpls c="4">
          <tpl hier="2" item="2"/>
          <tpl fld="4" item="22"/>
          <tpl hier="42" item="3"/>
          <tpl fld="2" item="14"/>
        </tpls>
      </n>
      <n v="6.0799130474461479E-3" in="1">
        <tpls c="4">
          <tpl hier="2" item="2"/>
          <tpl fld="4" item="22"/>
          <tpl hier="42" item="3"/>
          <tpl fld="2" item="2"/>
        </tpls>
      </n>
      <n v="36696.899999999994" in="0">
        <tpls c="5">
          <tpl hier="2" item="2"/>
          <tpl fld="4" item="22"/>
          <tpl fld="6" item="18"/>
          <tpl hier="42" item="3"/>
          <tpl fld="2" item="1"/>
        </tpls>
      </n>
      <n v="34755.11" in="0">
        <tpls c="5">
          <tpl hier="2" item="2"/>
          <tpl fld="4" item="22"/>
          <tpl fld="6" item="19"/>
          <tpl hier="42" item="3"/>
          <tpl fld="2" item="1"/>
        </tpls>
      </n>
      <n v="75179.690000000031" in="0">
        <tpls c="5">
          <tpl hier="2" item="2"/>
          <tpl fld="4" item="22"/>
          <tpl fld="6" item="20"/>
          <tpl hier="42" item="3"/>
          <tpl fld="2" item="1"/>
        </tpls>
      </n>
      <n v="45169.66" in="0">
        <tpls c="5">
          <tpl hier="2" item="2"/>
          <tpl fld="4" item="22"/>
          <tpl fld="6" item="23"/>
          <tpl hier="42" item="3"/>
          <tpl fld="2" item="1"/>
        </tpls>
      </n>
      <n v="71608.94" in="0">
        <tpls c="5">
          <tpl hier="2" item="2"/>
          <tpl fld="4" item="22"/>
          <tpl fld="6" item="21"/>
          <tpl hier="42" item="3"/>
          <tpl fld="2" item="1"/>
        </tpls>
      </n>
      <n v="33598.43" in="0">
        <tpls c="5">
          <tpl hier="2" item="2"/>
          <tpl fld="4" item="22"/>
          <tpl fld="6" item="22"/>
          <tpl hier="42" item="3"/>
          <tpl fld="2" item="1"/>
        </tpls>
      </n>
      <n v="49493.270000000004" in="0">
        <tpls c="5">
          <tpl hier="2" item="2"/>
          <tpl fld="4" item="17"/>
          <tpl fld="6" item="18"/>
          <tpl hier="42" item="3"/>
          <tpl fld="2" item="1"/>
        </tpls>
      </n>
      <n v="43525.409999999996" in="0">
        <tpls c="5">
          <tpl hier="2" item="2"/>
          <tpl fld="4" item="17"/>
          <tpl fld="6" item="19"/>
          <tpl hier="42" item="3"/>
          <tpl fld="2" item="1"/>
        </tpls>
      </n>
      <n v="46341.160000000011" in="0">
        <tpls c="5">
          <tpl hier="2" item="2"/>
          <tpl fld="4" item="17"/>
          <tpl fld="6" item="20"/>
          <tpl hier="42" item="3"/>
          <tpl fld="2" item="1"/>
        </tpls>
      </n>
      <n v="17545.21" in="0">
        <tpls c="5">
          <tpl hier="2" item="2"/>
          <tpl fld="4" item="17"/>
          <tpl fld="6" item="23"/>
          <tpl hier="42" item="3"/>
          <tpl fld="2" item="1"/>
        </tpls>
      </n>
      <n v="73960.12999999999" in="0">
        <tpls c="5">
          <tpl hier="2" item="2"/>
          <tpl fld="4" item="17"/>
          <tpl fld="6" item="21"/>
          <tpl hier="42" item="3"/>
          <tpl fld="2" item="1"/>
        </tpls>
      </n>
      <n v="31847.46" in="0">
        <tpls c="5">
          <tpl hier="2" item="2"/>
          <tpl fld="4" item="17"/>
          <tpl fld="6" item="22"/>
          <tpl hier="42" item="3"/>
          <tpl fld="2" item="1"/>
        </tpls>
      </n>
      <n v="189" in="0">
        <tpls c="4">
          <tpl hier="2" item="2"/>
          <tpl fld="4" item="30"/>
          <tpl hier="42" item="3"/>
          <tpl fld="2" item="15"/>
        </tpls>
      </n>
      <n v="0" in="0">
        <tpls c="5">
          <tpl fld="3" item="0"/>
          <tpl hier="2" item="2"/>
          <tpl fld="4" item="30"/>
          <tpl hier="42" item="3"/>
          <tpl fld="2" item="6"/>
        </tpls>
      </n>
      <n v="452" in="0">
        <tpls c="4">
          <tpl hier="2" item="2"/>
          <tpl fld="4" item="31"/>
          <tpl hier="42" item="3"/>
          <tpl fld="2" item="15"/>
        </tpls>
      </n>
      <n v="1" in="0">
        <tpls c="5">
          <tpl fld="3" item="0"/>
          <tpl hier="2" item="2"/>
          <tpl fld="4" item="31"/>
          <tpl hier="42" item="3"/>
          <tpl fld="2" item="6"/>
        </tpls>
      </n>
      <n v="466" in="0">
        <tpls c="4">
          <tpl hier="2" item="2"/>
          <tpl fld="4" item="32"/>
          <tpl hier="42" item="3"/>
          <tpl fld="2" item="15"/>
        </tpls>
      </n>
      <n v="1" in="0">
        <tpls c="5">
          <tpl fld="3" item="0"/>
          <tpl hier="2" item="2"/>
          <tpl fld="4" item="32"/>
          <tpl hier="42" item="3"/>
          <tpl fld="2" item="6"/>
        </tpls>
      </n>
      <n v="43" in="0">
        <tpls c="4">
          <tpl hier="2" item="2"/>
          <tpl fld="4" item="33"/>
          <tpl hier="42" item="3"/>
          <tpl fld="2" item="15"/>
        </tpls>
      </n>
      <n v="0" in="0">
        <tpls c="5">
          <tpl fld="3" item="0"/>
          <tpl hier="2" item="2"/>
          <tpl fld="4" item="33"/>
          <tpl hier="42" item="3"/>
          <tpl fld="2" item="6"/>
        </tpls>
      </n>
      <n v="390766.85999999981" in="0">
        <tpls c="4">
          <tpl hier="2" item="2"/>
          <tpl fld="4" item="30"/>
          <tpl hier="42" item="3"/>
          <tpl fld="2" item="16"/>
        </tpls>
      </n>
      <n v="2237.5967724867714" in="0">
        <tpls c="4">
          <tpl hier="2" item="2"/>
          <tpl fld="4" item="30"/>
          <tpl hier="42" item="3"/>
          <tpl fld="2" item="13"/>
        </tpls>
      </n>
      <n v="-5.8207660913467407E-11" in="0">
        <tpls c="4">
          <tpl hier="2" item="2"/>
          <tpl fld="4" item="30"/>
          <tpl hier="42" item="3"/>
          <tpl fld="2" item="7"/>
        </tpls>
      </n>
      <n v="7.5995483533105604E-2" in="1">
        <tpls c="4">
          <tpl hier="2" item="2"/>
          <tpl fld="4" item="30"/>
          <tpl hier="42" item="3"/>
          <tpl fld="2" item="11"/>
        </tpls>
      </n>
      <n v="4" in="0">
        <tpls c="4">
          <tpl hier="2" item="2"/>
          <tpl fld="4" item="30"/>
          <tpl hier="42" item="3"/>
          <tpl fld="2" item="4"/>
        </tpls>
      </n>
      <m in="0">
        <tpls c="4">
          <tpl hier="2" item="2"/>
          <tpl fld="4" item="30"/>
          <tpl hier="42" item="3"/>
          <tpl fld="2" item="0"/>
        </tpls>
      </m>
      <n v="1032582.529999997" in="0">
        <tpls c="4">
          <tpl hier="2" item="2"/>
          <tpl fld="4" item="31"/>
          <tpl hier="42" item="3"/>
          <tpl fld="2" item="16"/>
        </tpls>
      </n>
      <n v="2322.8865707964533" in="0">
        <tpls c="4">
          <tpl hier="2" item="2"/>
          <tpl fld="4" item="31"/>
          <tpl hier="42" item="3"/>
          <tpl fld="2" item="13"/>
        </tpls>
      </n>
      <n v="592.00000000221189" in="0">
        <tpls c="4">
          <tpl hier="2" item="2"/>
          <tpl fld="4" item="31"/>
          <tpl hier="42" item="3"/>
          <tpl fld="2" item="7"/>
        </tpls>
      </n>
      <n v="1.6536299010710832E-2" in="1">
        <tpls c="4">
          <tpl hier="2" item="2"/>
          <tpl fld="4" item="31"/>
          <tpl hier="42" item="3"/>
          <tpl fld="2" item="11"/>
        </tpls>
      </n>
      <n v="12" in="0">
        <tpls c="4">
          <tpl hier="2" item="2"/>
          <tpl fld="4" item="31"/>
          <tpl hier="42" item="3"/>
          <tpl fld="2" item="4"/>
        </tpls>
      </n>
      <m in="0">
        <tpls c="4">
          <tpl hier="2" item="2"/>
          <tpl fld="4" item="31"/>
          <tpl hier="42" item="3"/>
          <tpl fld="2" item="0"/>
        </tpls>
      </m>
      <n v="934860.39999999758" in="0">
        <tpls c="4">
          <tpl hier="2" item="2"/>
          <tpl fld="4" item="32"/>
          <tpl hier="42" item="3"/>
          <tpl fld="2" item="16"/>
        </tpls>
      </n>
      <n v="2045.9513519313255" in="0">
        <tpls c="4">
          <tpl hier="2" item="2"/>
          <tpl fld="4" item="32"/>
          <tpl hier="42" item="3"/>
          <tpl fld="2" item="13"/>
        </tpls>
      </n>
      <n v="-591.9999999984866" in="0">
        <tpls c="4">
          <tpl hier="2" item="2"/>
          <tpl fld="4" item="32"/>
          <tpl hier="42" item="3"/>
          <tpl fld="2" item="7"/>
        </tpls>
      </n>
      <n v="1.9459482489090064E-2" in="1">
        <tpls c="4">
          <tpl hier="2" item="2"/>
          <tpl fld="4" item="32"/>
          <tpl hier="42" item="3"/>
          <tpl fld="2" item="11"/>
        </tpls>
      </n>
      <n v="8" in="0">
        <tpls c="4">
          <tpl hier="2" item="2"/>
          <tpl fld="4" item="32"/>
          <tpl hier="42" item="3"/>
          <tpl fld="2" item="4"/>
        </tpls>
      </n>
      <m in="0">
        <tpls c="4">
          <tpl hier="2" item="2"/>
          <tpl fld="4" item="32"/>
          <tpl hier="42" item="3"/>
          <tpl fld="2" item="0"/>
        </tpls>
      </m>
      <n v="69490.459999999992" in="0">
        <tpls c="4">
          <tpl hier="2" item="2"/>
          <tpl fld="4" item="33"/>
          <tpl hier="42" item="3"/>
          <tpl fld="2" item="16"/>
        </tpls>
      </n>
      <n v="1642.137906976744" in="0">
        <tpls c="4">
          <tpl hier="2" item="2"/>
          <tpl fld="4" item="33"/>
          <tpl hier="42" item="3"/>
          <tpl fld="2" item="13"/>
        </tpls>
      </n>
      <n v="1.4551915228366852E-11" in="0">
        <tpls c="4">
          <tpl hier="2" item="2"/>
          <tpl fld="4" item="33"/>
          <tpl hier="42" item="3"/>
          <tpl fld="2" item="7"/>
        </tpls>
      </n>
      <n v="1.5882160422466856E-2" in="1">
        <tpls c="4">
          <tpl hier="2" item="2"/>
          <tpl fld="4" item="33"/>
          <tpl hier="42" item="3"/>
          <tpl fld="2" item="11"/>
        </tpls>
      </n>
      <m in="0">
        <tpls c="4">
          <tpl hier="2" item="2"/>
          <tpl fld="4" item="33"/>
          <tpl hier="42" item="3"/>
          <tpl fld="2" item="4"/>
        </tpls>
      </m>
      <m in="0">
        <tpls c="4">
          <tpl hier="2" item="2"/>
          <tpl fld="4" item="33"/>
          <tpl hier="42" item="3"/>
          <tpl fld="2" item="0"/>
        </tpls>
      </m>
      <n v="2.9103830456733704E-11" in="0">
        <tpls c="5">
          <tpl fld="3" item="1"/>
          <tpl hier="2" item="2"/>
          <tpl fld="4" item="32"/>
          <tpl hier="42" item="3"/>
          <tpl fld="2" item="7"/>
        </tpls>
      </n>
      <n v="-4418.5299999999988" in="0">
        <tpls c="5">
          <tpl fld="3" item="1"/>
          <tpl hier="2" item="2"/>
          <tpl fld="4" item="32"/>
          <tpl hier="42" item="3"/>
          <tpl fld="2" item="9"/>
        </tpls>
      </n>
      <n v="-8716.3599999999988" in="0">
        <tpls c="5">
          <tpl fld="3" item="1"/>
          <tpl hier="2" item="2"/>
          <tpl fld="4" item="33"/>
          <tpl hier="42" item="3"/>
          <tpl fld="2" item="9"/>
        </tpls>
      </n>
      <n v="17032.509999999995" in="0">
        <tpls c="5">
          <tpl fld="3" item="1"/>
          <tpl hier="2" item="2"/>
          <tpl fld="4" item="30"/>
          <tpl hier="42" item="3"/>
          <tpl fld="2" item="9"/>
        </tpls>
      </n>
      <n v="-2.9103830456733704E-11" in="0">
        <tpls c="5">
          <tpl fld="3" item="1"/>
          <tpl hier="2" item="2"/>
          <tpl fld="4" item="31"/>
          <tpl hier="42" item="3"/>
          <tpl fld="2" item="7"/>
        </tpls>
      </n>
      <n v="-17490.609999999986" in="0">
        <tpls c="5">
          <tpl fld="3" item="1"/>
          <tpl hier="2" item="2"/>
          <tpl fld="4" item="31"/>
          <tpl hier="42" item="3"/>
          <tpl fld="2" item="9"/>
        </tpls>
      </n>
      <n v="-1.4551915228366852E-11" in="0">
        <tpls c="5">
          <tpl fld="3" item="1"/>
          <tpl hier="2" item="2"/>
          <tpl fld="4" item="30"/>
          <tpl hier="42" item="3"/>
          <tpl fld="2" item="7"/>
        </tpls>
      </n>
      <n v="0" in="0">
        <tpls c="5">
          <tpl fld="3" item="1"/>
          <tpl hier="2" item="2"/>
          <tpl fld="4" item="33"/>
          <tpl hier="42" item="3"/>
          <tpl fld="2" item="7"/>
        </tpls>
      </n>
      <n v="437386.81999999972" in="0">
        <tpls c="5">
          <tpl hier="2" item="7"/>
          <tpl fld="4" item="14"/>
          <tpl fld="6" item="0"/>
          <tpl hier="42" item="3"/>
          <tpl fld="2" item="1"/>
        </tpls>
      </n>
      <n v="41605.12999999999" in="0">
        <tpls c="5">
          <tpl hier="2" item="7"/>
          <tpl fld="4" item="20"/>
          <tpl fld="6" item="0"/>
          <tpl hier="42" item="3"/>
          <tpl fld="2" item="1"/>
        </tpls>
      </n>
      <n v="29" in="0">
        <tpls c="3">
          <tpl hier="2" item="7"/>
          <tpl hier="42" item="3"/>
          <tpl fld="2" item="0"/>
        </tpls>
      </n>
      <m>
        <tpls c="6">
          <tpl fld="3" item="0"/>
          <tpl hier="2" item="7"/>
          <tpl hier="7" item="0"/>
          <tpl hier="9" item="1"/>
          <tpl hier="42" item="3"/>
          <tpl fld="2" item="1"/>
        </tpls>
      </m>
      <n v="154892.96000000005" in="0">
        <tpls c="6">
          <tpl fld="3" item="1"/>
          <tpl hier="2" item="7"/>
          <tpl hier="7" item="0"/>
          <tpl hier="9" item="1"/>
          <tpl hier="42" item="3"/>
          <tpl fld="2" item="1"/>
        </tpls>
      </n>
      <n v="4.7584742831581164E-2" in="1">
        <tpls c="5">
          <tpl hier="2" item="7"/>
          <tpl hier="7" item="0"/>
          <tpl hier="9" item="1"/>
          <tpl hier="42" item="3"/>
          <tpl fld="2" item="2"/>
        </tpls>
      </n>
      <n v="1" in="1">
        <tpls c="5">
          <tpl hier="2" item="7"/>
          <tpl hier="7" item="0"/>
          <tpl hier="9" item="1"/>
          <tpl hier="42" item="3"/>
          <tpl fld="2" item="3"/>
        </tpls>
      </n>
      <m in="0">
        <tpls c="5">
          <tpl hier="2" item="7"/>
          <tpl hier="7" item="0"/>
          <tpl hier="9" item="1"/>
          <tpl hier="42" item="3"/>
          <tpl fld="2" item="0"/>
        </tpls>
      </m>
      <m in="0">
        <tpls c="5">
          <tpl hier="2" item="7"/>
          <tpl hier="7" item="0"/>
          <tpl hier="9" item="1"/>
          <tpl hier="42" item="3"/>
          <tpl fld="2" item="4"/>
        </tpls>
      </m>
      <m in="0">
        <tpls c="5">
          <tpl hier="2" item="7"/>
          <tpl hier="7" item="0"/>
          <tpl hier="9" item="1"/>
          <tpl hier="42" item="3"/>
          <tpl fld="2" item="5"/>
        </tpls>
      </m>
      <m>
        <tpls c="6">
          <tpl fld="3" item="0"/>
          <tpl hier="2" item="7"/>
          <tpl hier="7" item="0"/>
          <tpl hier="9" item="1"/>
          <tpl hier="42" item="3"/>
          <tpl fld="2" item="6"/>
        </tpls>
      </m>
      <n v="1" in="0">
        <tpls c="5">
          <tpl hier="2" item="7"/>
          <tpl hier="7" item="0"/>
          <tpl hier="9" item="1"/>
          <tpl hier="42" item="3"/>
          <tpl fld="2" item="6"/>
        </tpls>
      </n>
      <n v="-1.4551915228366852E-11" in="0">
        <tpls c="5">
          <tpl hier="2" item="7"/>
          <tpl hier="7" item="0"/>
          <tpl hier="9" item="1"/>
          <tpl hier="42" item="3"/>
          <tpl fld="2" item="7"/>
        </tpls>
      </n>
      <n v="-0.17507302323082755" in="1">
        <tpls c="5">
          <tpl hier="2" item="7"/>
          <tpl hier="7" item="0"/>
          <tpl hier="9" item="1"/>
          <tpl hier="42" item="3"/>
          <tpl fld="2" item="8"/>
        </tpls>
      </n>
      <n v="-22812.190000000061" in="0">
        <tpls c="5">
          <tpl hier="2" item="7"/>
          <tpl hier="7" item="0"/>
          <tpl hier="9" item="1"/>
          <tpl hier="42" item="3"/>
          <tpl fld="2" item="9"/>
        </tpls>
      </n>
      <n v="130301" in="0">
        <tpls c="5">
          <tpl hier="2" item="7"/>
          <tpl hier="7" item="0"/>
          <tpl hier="9" item="1"/>
          <tpl hier="42" item="3"/>
          <tpl fld="2" item="10"/>
        </tpls>
      </n>
      <n v="1.1490322090816777E-2" in="1">
        <tpls c="5">
          <tpl hier="2" item="7"/>
          <tpl hier="7" item="0"/>
          <tpl hier="9" item="1"/>
          <tpl hier="42" item="3"/>
          <tpl fld="2" item="11"/>
        </tpls>
      </n>
      <n v="246.25271860095387" in="0">
        <tpls c="5">
          <tpl hier="2" item="7"/>
          <tpl hier="7" item="0"/>
          <tpl hier="9" item="1"/>
          <tpl hier="42" item="3"/>
          <tpl fld="2" item="12"/>
        </tpls>
      </n>
      <n v="1801.0809302325588" in="0">
        <tpls c="5">
          <tpl hier="2" item="7"/>
          <tpl hier="7" item="0"/>
          <tpl hier="9" item="1"/>
          <tpl hier="42" item="3"/>
          <tpl fld="2" item="13"/>
        </tpls>
      </n>
      <n v="629" in="0">
        <tpls c="5">
          <tpl hier="2" item="7"/>
          <tpl hier="7" item="0"/>
          <tpl hier="9" item="1"/>
          <tpl hier="42" item="3"/>
          <tpl fld="2" item="14"/>
        </tpls>
      </n>
      <n v="86" in="0">
        <tpls c="5">
          <tpl hier="2" item="7"/>
          <tpl hier="7" item="0"/>
          <tpl hier="9" item="1"/>
          <tpl hier="42" item="3"/>
          <tpl fld="2" item="15"/>
        </tpls>
      </n>
      <n v="153113.19000000006" in="0">
        <tpls c="5">
          <tpl hier="2" item="7"/>
          <tpl hier="7" item="0"/>
          <tpl hier="9" item="1"/>
          <tpl hier="42" item="3"/>
          <tpl fld="2" item="16"/>
        </tpls>
      </n>
      <n v="1779.77" in="0">
        <tpls c="5">
          <tpl hier="2" item="7"/>
          <tpl hier="7" item="0"/>
          <tpl hier="9" item="1"/>
          <tpl hier="42" item="3"/>
          <tpl fld="2" item="17"/>
        </tpls>
      </n>
      <n v="154892.96000000005" in="0">
        <tpls c="5">
          <tpl hier="2" item="7"/>
          <tpl hier="7" item="0"/>
          <tpl hier="9" item="1"/>
          <tpl hier="42" item="3"/>
          <tpl fld="2" item="1"/>
        </tpls>
      </n>
      <n v="7738.7900000000027" in="0">
        <tpls c="5">
          <tpl hier="2" item="7"/>
          <tpl hier="7" item="0"/>
          <tpl hier="9" item="1"/>
          <tpl hier="42" item="3"/>
          <tpl fld="2" item="18"/>
        </tpls>
      </n>
      <n v="162631.75000000003" in="0">
        <tpls c="5">
          <tpl hier="2" item="7"/>
          <tpl hier="7" item="0"/>
          <tpl hier="9" item="1"/>
          <tpl hier="42" item="3"/>
          <tpl fld="2" item="19"/>
        </tpls>
      </n>
      <n v="41565.040000000008" in="0">
        <tpls c="5">
          <tpl hier="2" item="7"/>
          <tpl hier="7" item="0"/>
          <tpl hier="9" item="1"/>
          <tpl hier="42" item="3"/>
          <tpl fld="2" item="20"/>
        </tpls>
      </n>
      <n v="429547.05000000005" in="0">
        <tpls c="5">
          <tpl hier="2" item="7"/>
          <tpl hier="7" item="0"/>
          <tpl hier="9" item="1"/>
          <tpl hier="42" item="3"/>
          <tpl fld="2" item="21"/>
        </tpls>
      </n>
      <n v="182" in="0">
        <tpls c="4">
          <tpl hier="2" item="7"/>
          <tpl fld="4" item="0"/>
          <tpl hier="42" item="3"/>
          <tpl fld="2" item="15"/>
        </tpls>
      </n>
      <m>
        <tpls c="5">
          <tpl fld="3" item="0"/>
          <tpl hier="2" item="7"/>
          <tpl fld="4" item="0"/>
          <tpl hier="42" item="3"/>
          <tpl fld="2" item="6"/>
        </tpls>
      </m>
      <n v="184" in="0">
        <tpls c="4">
          <tpl hier="2" item="7"/>
          <tpl fld="4" item="1"/>
          <tpl hier="42" item="3"/>
          <tpl fld="2" item="15"/>
        </tpls>
      </n>
      <m>
        <tpls c="5">
          <tpl fld="3" item="0"/>
          <tpl hier="2" item="7"/>
          <tpl fld="4" item="1"/>
          <tpl hier="42" item="3"/>
          <tpl fld="2" item="6"/>
        </tpls>
      </m>
      <n v="83" in="0">
        <tpls c="4">
          <tpl hier="2" item="7"/>
          <tpl fld="4" item="2"/>
          <tpl hier="42" item="3"/>
          <tpl fld="2" item="15"/>
        </tpls>
      </n>
      <m>
        <tpls c="5">
          <tpl fld="3" item="0"/>
          <tpl hier="2" item="7"/>
          <tpl fld="4" item="2"/>
          <tpl hier="42" item="3"/>
          <tpl fld="2" item="6"/>
        </tpls>
      </m>
      <n v="188" in="0">
        <tpls c="4">
          <tpl hier="2" item="7"/>
          <tpl fld="4" item="3"/>
          <tpl hier="42" item="3"/>
          <tpl fld="2" item="15"/>
        </tpls>
      </n>
      <m>
        <tpls c="5">
          <tpl fld="3" item="0"/>
          <tpl hier="2" item="7"/>
          <tpl fld="4" item="3"/>
          <tpl hier="42" item="3"/>
          <tpl fld="2" item="6"/>
        </tpls>
      </m>
      <n v="96" in="0">
        <tpls c="4">
          <tpl hier="2" item="7"/>
          <tpl fld="4" item="4"/>
          <tpl hier="42" item="3"/>
          <tpl fld="2" item="15"/>
        </tpls>
      </n>
      <m>
        <tpls c="5">
          <tpl fld="3" item="0"/>
          <tpl hier="2" item="7"/>
          <tpl fld="4" item="4"/>
          <tpl hier="42" item="3"/>
          <tpl fld="2" item="6"/>
        </tpls>
      </m>
      <n v="22" in="0">
        <tpls c="4">
          <tpl hier="2" item="7"/>
          <tpl fld="4" item="5"/>
          <tpl hier="42" item="3"/>
          <tpl fld="2" item="15"/>
        </tpls>
      </n>
      <m>
        <tpls c="5">
          <tpl fld="3" item="0"/>
          <tpl hier="2" item="7"/>
          <tpl fld="4" item="5"/>
          <tpl hier="42" item="3"/>
          <tpl fld="2" item="6"/>
        </tpls>
      </m>
      <n v="67" in="0">
        <tpls c="4">
          <tpl hier="2" item="7"/>
          <tpl fld="4" item="6"/>
          <tpl hier="42" item="3"/>
          <tpl fld="2" item="15"/>
        </tpls>
      </n>
      <m>
        <tpls c="5">
          <tpl fld="3" item="0"/>
          <tpl hier="2" item="7"/>
          <tpl fld="4" item="6"/>
          <tpl hier="42" item="3"/>
          <tpl fld="2" item="6"/>
        </tpls>
      </m>
      <n v="242" in="0">
        <tpls c="4">
          <tpl hier="2" item="7"/>
          <tpl fld="4" item="7"/>
          <tpl hier="42" item="3"/>
          <tpl fld="2" item="15"/>
        </tpls>
      </n>
      <m>
        <tpls c="5">
          <tpl fld="3" item="0"/>
          <tpl hier="2" item="7"/>
          <tpl fld="4" item="7"/>
          <tpl hier="42" item="3"/>
          <tpl fld="2" item="6"/>
        </tpls>
      </m>
      <n v="171" in="0">
        <tpls c="4">
          <tpl hier="2" item="7"/>
          <tpl fld="4" item="8"/>
          <tpl hier="42" item="3"/>
          <tpl fld="2" item="15"/>
        </tpls>
      </n>
      <m>
        <tpls c="5">
          <tpl fld="3" item="0"/>
          <tpl hier="2" item="7"/>
          <tpl fld="4" item="8"/>
          <tpl hier="42" item="3"/>
          <tpl fld="2" item="6"/>
        </tpls>
      </m>
      <n v="160" in="0">
        <tpls c="4">
          <tpl hier="2" item="7"/>
          <tpl fld="4" item="9"/>
          <tpl hier="42" item="3"/>
          <tpl fld="2" item="15"/>
        </tpls>
      </n>
      <m>
        <tpls c="5">
          <tpl fld="3" item="0"/>
          <tpl hier="2" item="7"/>
          <tpl fld="4" item="9"/>
          <tpl hier="42" item="3"/>
          <tpl fld="2" item="6"/>
        </tpls>
      </m>
      <n v="34" in="0">
        <tpls c="4">
          <tpl hier="2" item="7"/>
          <tpl fld="4" item="10"/>
          <tpl hier="42" item="3"/>
          <tpl fld="2" item="15"/>
        </tpls>
      </n>
      <m>
        <tpls c="5">
          <tpl fld="3" item="0"/>
          <tpl hier="2" item="7"/>
          <tpl fld="4" item="10"/>
          <tpl hier="42" item="3"/>
          <tpl fld="2" item="6"/>
        </tpls>
      </m>
      <n v="86" in="0">
        <tpls c="4">
          <tpl hier="2" item="7"/>
          <tpl fld="4" item="11"/>
          <tpl hier="42" item="3"/>
          <tpl fld="2" item="15"/>
        </tpls>
      </n>
      <m>
        <tpls c="5">
          <tpl fld="3" item="0"/>
          <tpl hier="2" item="7"/>
          <tpl fld="4" item="11"/>
          <tpl hier="42" item="3"/>
          <tpl fld="2" item="6"/>
        </tpls>
      </m>
      <n v="151" in="0">
        <tpls c="4">
          <tpl hier="2" item="7"/>
          <tpl fld="4" item="12"/>
          <tpl hier="42" item="3"/>
          <tpl fld="2" item="15"/>
        </tpls>
      </n>
      <m>
        <tpls c="5">
          <tpl fld="3" item="0"/>
          <tpl hier="2" item="7"/>
          <tpl fld="4" item="12"/>
          <tpl hier="42" item="3"/>
          <tpl fld="2" item="6"/>
        </tpls>
      </m>
      <n v="36" in="0">
        <tpls c="4">
          <tpl hier="2" item="7"/>
          <tpl fld="4" item="13"/>
          <tpl hier="42" item="3"/>
          <tpl fld="2" item="15"/>
        </tpls>
      </n>
      <m>
        <tpls c="5">
          <tpl fld="3" item="0"/>
          <tpl hier="2" item="7"/>
          <tpl fld="4" item="13"/>
          <tpl hier="42" item="3"/>
          <tpl fld="2" item="6"/>
        </tpls>
      </m>
      <n v="266" in="0">
        <tpls c="4">
          <tpl hier="2" item="7"/>
          <tpl fld="4" item="14"/>
          <tpl hier="42" item="3"/>
          <tpl fld="2" item="15"/>
        </tpls>
      </n>
      <m>
        <tpls c="5">
          <tpl fld="3" item="0"/>
          <tpl hier="2" item="7"/>
          <tpl fld="4" item="14"/>
          <tpl hier="42" item="3"/>
          <tpl fld="2" item="6"/>
        </tpls>
      </m>
      <n v="73" in="0">
        <tpls c="4">
          <tpl hier="2" item="7"/>
          <tpl fld="4" item="15"/>
          <tpl hier="42" item="3"/>
          <tpl fld="2" item="15"/>
        </tpls>
      </n>
      <m>
        <tpls c="5">
          <tpl fld="3" item="0"/>
          <tpl hier="2" item="7"/>
          <tpl fld="4" item="15"/>
          <tpl hier="42" item="3"/>
          <tpl fld="2" item="6"/>
        </tpls>
      </m>
      <n v="185" in="0">
        <tpls c="4">
          <tpl hier="2" item="7"/>
          <tpl fld="4" item="16"/>
          <tpl hier="42" item="3"/>
          <tpl fld="2" item="15"/>
        </tpls>
      </n>
      <m>
        <tpls c="5">
          <tpl fld="3" item="0"/>
          <tpl hier="2" item="7"/>
          <tpl fld="4" item="16"/>
          <tpl hier="42" item="3"/>
          <tpl fld="2" item="6"/>
        </tpls>
      </m>
      <n v="227" in="0">
        <tpls c="4">
          <tpl hier="2" item="7"/>
          <tpl fld="4" item="17"/>
          <tpl hier="42" item="3"/>
          <tpl fld="2" item="15"/>
        </tpls>
      </n>
      <m>
        <tpls c="5">
          <tpl fld="3" item="0"/>
          <tpl hier="2" item="7"/>
          <tpl fld="4" item="17"/>
          <tpl hier="42" item="3"/>
          <tpl fld="2" item="6"/>
        </tpls>
      </m>
      <n v="178" in="0">
        <tpls c="4">
          <tpl hier="2" item="7"/>
          <tpl fld="4" item="18"/>
          <tpl hier="42" item="3"/>
          <tpl fld="2" item="15"/>
        </tpls>
      </n>
      <m>
        <tpls c="5">
          <tpl fld="3" item="0"/>
          <tpl hier="2" item="7"/>
          <tpl fld="4" item="18"/>
          <tpl hier="42" item="3"/>
          <tpl fld="2" item="6"/>
        </tpls>
      </m>
      <n v="17" in="0">
        <tpls c="4">
          <tpl hier="2" item="7"/>
          <tpl fld="4" item="19"/>
          <tpl hier="42" item="3"/>
          <tpl fld="2" item="15"/>
        </tpls>
      </n>
      <m>
        <tpls c="5">
          <tpl fld="3" item="0"/>
          <tpl hier="2" item="7"/>
          <tpl fld="4" item="19"/>
          <tpl hier="42" item="3"/>
          <tpl fld="2" item="6"/>
        </tpls>
      </m>
      <n v="34" in="0">
        <tpls c="4">
          <tpl hier="2" item="7"/>
          <tpl fld="4" item="20"/>
          <tpl hier="42" item="3"/>
          <tpl fld="2" item="15"/>
        </tpls>
      </n>
      <m>
        <tpls c="5">
          <tpl fld="3" item="0"/>
          <tpl hier="2" item="7"/>
          <tpl fld="4" item="20"/>
          <tpl hier="42" item="3"/>
          <tpl fld="2" item="6"/>
        </tpls>
      </m>
      <n v="72" in="0">
        <tpls c="4">
          <tpl hier="2" item="7"/>
          <tpl fld="4" item="21"/>
          <tpl hier="42" item="3"/>
          <tpl fld="2" item="15"/>
        </tpls>
      </n>
      <m>
        <tpls c="5">
          <tpl fld="3" item="0"/>
          <tpl hier="2" item="7"/>
          <tpl fld="4" item="21"/>
          <tpl hier="42" item="3"/>
          <tpl fld="2" item="6"/>
        </tpls>
      </m>
      <n v="210" in="0">
        <tpls c="4">
          <tpl hier="2" item="7"/>
          <tpl fld="4" item="22"/>
          <tpl hier="42" item="3"/>
          <tpl fld="2" item="15"/>
        </tpls>
      </n>
      <m>
        <tpls c="5">
          <tpl fld="3" item="0"/>
          <tpl hier="2" item="7"/>
          <tpl fld="4" item="22"/>
          <tpl hier="42" item="3"/>
          <tpl fld="2" item="6"/>
        </tpls>
      </m>
      <n v="50" in="0">
        <tpls c="4">
          <tpl hier="2" item="7"/>
          <tpl fld="4" item="23"/>
          <tpl hier="42" item="3"/>
          <tpl fld="2" item="15"/>
        </tpls>
      </n>
      <m>
        <tpls c="5">
          <tpl fld="3" item="0"/>
          <tpl hier="2" item="7"/>
          <tpl fld="4" item="23"/>
          <tpl hier="42" item="3"/>
          <tpl fld="2" item="6"/>
        </tpls>
      </m>
      <n v="327843.41999999975" in="0">
        <tpls c="4">
          <tpl hier="2" item="7"/>
          <tpl fld="4" item="0"/>
          <tpl hier="42" item="3"/>
          <tpl fld="2" item="16"/>
        </tpls>
      </n>
      <n v="1807.4141208791195" in="0">
        <tpls c="4">
          <tpl hier="2" item="7"/>
          <tpl fld="4" item="0"/>
          <tpl hier="42" item="3"/>
          <tpl fld="2" item="13"/>
        </tpls>
      </n>
      <n v="1.1641532182693481E-10" in="0">
        <tpls c="4">
          <tpl hier="2" item="7"/>
          <tpl fld="4" item="0"/>
          <tpl hier="42" item="3"/>
          <tpl fld="2" item="7"/>
        </tpls>
      </n>
      <n v="3.3620675424914201E-3" in="1">
        <tpls c="4">
          <tpl hier="2" item="7"/>
          <tpl fld="4" item="0"/>
          <tpl hier="42" item="3"/>
          <tpl fld="2" item="11"/>
        </tpls>
      </n>
      <n v="5" in="0">
        <tpls c="4">
          <tpl hier="2" item="7"/>
          <tpl fld="4" item="0"/>
          <tpl hier="42" item="3"/>
          <tpl fld="2" item="4"/>
        </tpls>
      </n>
      <m in="0">
        <tpls c="4">
          <tpl hier="2" item="7"/>
          <tpl fld="4" item="0"/>
          <tpl hier="42" item="3"/>
          <tpl fld="2" item="0"/>
        </tpls>
      </m>
      <n v="333306.0699999996" in="0">
        <tpls c="4">
          <tpl hier="2" item="7"/>
          <tpl fld="4" item="1"/>
          <tpl hier="42" item="3"/>
          <tpl fld="2" item="16"/>
        </tpls>
      </n>
      <n v="1865.9023913043454" in="0">
        <tpls c="4">
          <tpl hier="2" item="7"/>
          <tpl fld="4" item="1"/>
          <tpl hier="42" item="3"/>
          <tpl fld="2" item="13"/>
        </tpls>
      </n>
      <n v="-899.81999999959953" in="0">
        <tpls c="4">
          <tpl hier="2" item="7"/>
          <tpl fld="4" item="1"/>
          <tpl hier="42" item="3"/>
          <tpl fld="2" item="7"/>
        </tpls>
      </n>
      <n v="2.918499860948506E-2" in="1">
        <tpls c="4">
          <tpl hier="2" item="7"/>
          <tpl fld="4" item="1"/>
          <tpl hier="42" item="3"/>
          <tpl fld="2" item="11"/>
        </tpls>
      </n>
      <n v="1" in="0">
        <tpls c="4">
          <tpl hier="2" item="7"/>
          <tpl fld="4" item="1"/>
          <tpl hier="42" item="3"/>
          <tpl fld="2" item="4"/>
        </tpls>
      </n>
      <m in="0">
        <tpls c="4">
          <tpl hier="2" item="7"/>
          <tpl fld="4" item="1"/>
          <tpl hier="42" item="3"/>
          <tpl fld="2" item="0"/>
        </tpls>
      </m>
      <n v="163973.81999999998" in="0">
        <tpls c="4">
          <tpl hier="2" item="7"/>
          <tpl fld="4" item="2"/>
          <tpl hier="42" item="3"/>
          <tpl fld="2" item="16"/>
        </tpls>
      </n>
      <n v="2096.5363855421688" in="0">
        <tpls c="4">
          <tpl hier="2" item="7"/>
          <tpl fld="4" item="2"/>
          <tpl hier="42" item="3"/>
          <tpl fld="2" item="13"/>
        </tpls>
      </n>
      <n v="869.99999999985448" in="0">
        <tpls c="4">
          <tpl hier="2" item="7"/>
          <tpl fld="4" item="2"/>
          <tpl hier="42" item="3"/>
          <tpl fld="2" item="7"/>
        </tpls>
      </n>
      <n v="5.768952716735555E-2" in="1">
        <tpls c="4">
          <tpl hier="2" item="7"/>
          <tpl fld="4" item="2"/>
          <tpl hier="42" item="3"/>
          <tpl fld="2" item="11"/>
        </tpls>
      </n>
      <n v="2" in="0">
        <tpls c="4">
          <tpl hier="2" item="7"/>
          <tpl fld="4" item="2"/>
          <tpl hier="42" item="3"/>
          <tpl fld="2" item="4"/>
        </tpls>
      </n>
      <m in="0">
        <tpls c="4">
          <tpl hier="2" item="7"/>
          <tpl fld="4" item="2"/>
          <tpl hier="42" item="3"/>
          <tpl fld="2" item="0"/>
        </tpls>
      </m>
      <n v="295242.29000000004" in="0">
        <tpls c="4">
          <tpl hier="2" item="7"/>
          <tpl fld="4" item="3"/>
          <tpl hier="42" item="3"/>
          <tpl fld="2" item="16"/>
        </tpls>
      </n>
      <n v="1609.1142021276598" in="0">
        <tpls c="4">
          <tpl hier="2" item="7"/>
          <tpl fld="4" item="3"/>
          <tpl hier="42" item="3"/>
          <tpl fld="2" item="13"/>
        </tpls>
      </n>
      <n v="1.1641532182693481E-10" in="0">
        <tpls c="4">
          <tpl hier="2" item="7"/>
          <tpl fld="4" item="3"/>
          <tpl hier="42" item="3"/>
          <tpl fld="2" item="7"/>
        </tpls>
      </n>
      <n v="2.4035888385399828E-2" in="1">
        <tpls c="4">
          <tpl hier="2" item="7"/>
          <tpl fld="4" item="3"/>
          <tpl hier="42" item="3"/>
          <tpl fld="2" item="11"/>
        </tpls>
      </n>
      <n v="6" in="0">
        <tpls c="4">
          <tpl hier="2" item="7"/>
          <tpl fld="4" item="3"/>
          <tpl hier="42" item="3"/>
          <tpl fld="2" item="4"/>
        </tpls>
      </n>
      <m in="0">
        <tpls c="4">
          <tpl hier="2" item="7"/>
          <tpl fld="4" item="3"/>
          <tpl hier="42" item="3"/>
          <tpl fld="2" item="0"/>
        </tpls>
      </m>
      <n v="190036.46000000017" in="0">
        <tpls c="4">
          <tpl hier="2" item="7"/>
          <tpl fld="4" item="4"/>
          <tpl hier="42" item="3"/>
          <tpl fld="2" item="16"/>
        </tpls>
      </n>
      <n v="2053.2243750000016" in="0">
        <tpls c="4">
          <tpl hier="2" item="7"/>
          <tpl fld="4" item="4"/>
          <tpl hier="42" item="3"/>
          <tpl fld="2" item="13"/>
        </tpls>
      </n>
      <n v="1703.9999999998254" in="0">
        <tpls c="4">
          <tpl hier="2" item="7"/>
          <tpl fld="4" item="4"/>
          <tpl hier="42" item="3"/>
          <tpl fld="2" item="7"/>
        </tpls>
      </n>
      <n v="3.5884006426071487E-2" in="1">
        <tpls c="4">
          <tpl hier="2" item="7"/>
          <tpl fld="4" item="4"/>
          <tpl hier="42" item="3"/>
          <tpl fld="2" item="11"/>
        </tpls>
      </n>
      <n v="4" in="0">
        <tpls c="4">
          <tpl hier="2" item="7"/>
          <tpl fld="4" item="4"/>
          <tpl hier="42" item="3"/>
          <tpl fld="2" item="4"/>
        </tpls>
      </n>
      <m in="0">
        <tpls c="4">
          <tpl hier="2" item="7"/>
          <tpl fld="4" item="4"/>
          <tpl hier="42" item="3"/>
          <tpl fld="2" item="0"/>
        </tpls>
      </m>
      <n v="64735.520000000019" in="0">
        <tpls c="4">
          <tpl hier="2" item="7"/>
          <tpl fld="4" item="5"/>
          <tpl hier="42" item="3"/>
          <tpl fld="2" item="16"/>
        </tpls>
      </n>
      <n v="2975.2050000000008" in="0">
        <tpls c="4">
          <tpl hier="2" item="7"/>
          <tpl fld="4" item="5"/>
          <tpl hier="42" item="3"/>
          <tpl fld="2" item="13"/>
        </tpls>
      </n>
      <n v="-869.99999999999636" in="0">
        <tpls c="4">
          <tpl hier="2" item="7"/>
          <tpl fld="4" item="5"/>
          <tpl hier="42" item="3"/>
          <tpl fld="2" item="7"/>
        </tpls>
      </n>
      <n v="1.0984575394422781E-2" in="1">
        <tpls c="4">
          <tpl hier="2" item="7"/>
          <tpl fld="4" item="5"/>
          <tpl hier="42" item="3"/>
          <tpl fld="2" item="11"/>
        </tpls>
      </n>
      <n v="1" in="0">
        <tpls c="4">
          <tpl hier="2" item="7"/>
          <tpl fld="4" item="5"/>
          <tpl hier="42" item="3"/>
          <tpl fld="2" item="4"/>
        </tpls>
      </n>
      <m in="0">
        <tpls c="4">
          <tpl hier="2" item="7"/>
          <tpl fld="4" item="5"/>
          <tpl hier="42" item="3"/>
          <tpl fld="2" item="0"/>
        </tpls>
      </m>
      <n v="115361.83000000002" in="0">
        <tpls c="4">
          <tpl hier="2" item="7"/>
          <tpl fld="4" item="6"/>
          <tpl hier="42" item="3"/>
          <tpl fld="2" item="16"/>
        </tpls>
      </n>
      <n v="1757.6046268656719" in="0">
        <tpls c="4">
          <tpl hier="2" item="7"/>
          <tpl fld="4" item="6"/>
          <tpl hier="42" item="3"/>
          <tpl fld="2" item="13"/>
        </tpls>
      </n>
      <n v="-2.9103830456733704E-11" in="0">
        <tpls c="4">
          <tpl hier="2" item="7"/>
          <tpl fld="4" item="6"/>
          <tpl hier="42" item="3"/>
          <tpl fld="2" item="7"/>
        </tpls>
      </n>
      <n v="2.0360818417128262E-2" in="1">
        <tpls c="4">
          <tpl hier="2" item="7"/>
          <tpl fld="4" item="6"/>
          <tpl hier="42" item="3"/>
          <tpl fld="2" item="11"/>
        </tpls>
      </n>
      <n v="2" in="0">
        <tpls c="4">
          <tpl hier="2" item="7"/>
          <tpl fld="4" item="6"/>
          <tpl hier="42" item="3"/>
          <tpl fld="2" item="4"/>
        </tpls>
      </n>
      <m in="0">
        <tpls c="4">
          <tpl hier="2" item="7"/>
          <tpl fld="4" item="6"/>
          <tpl hier="42" item="3"/>
          <tpl fld="2" item="0"/>
        </tpls>
      </m>
      <n v="415706.72999999986" in="0">
        <tpls c="4">
          <tpl hier="2" item="7"/>
          <tpl fld="4" item="7"/>
          <tpl hier="42" item="3"/>
          <tpl fld="2" item="16"/>
        </tpls>
      </n>
      <n v="1732.0033057851235" in="0">
        <tpls c="4">
          <tpl hier="2" item="7"/>
          <tpl fld="4" item="7"/>
          <tpl hier="42" item="3"/>
          <tpl fld="2" item="13"/>
        </tpls>
      </n>
      <n v="-24.999999999883585" in="0">
        <tpls c="4">
          <tpl hier="2" item="7"/>
          <tpl fld="4" item="7"/>
          <tpl hier="42" item="3"/>
          <tpl fld="2" item="7"/>
        </tpls>
      </n>
      <n v="8.2025829737121907E-3" in="1">
        <tpls c="4">
          <tpl hier="2" item="7"/>
          <tpl fld="4" item="7"/>
          <tpl hier="42" item="3"/>
          <tpl fld="2" item="11"/>
        </tpls>
      </n>
      <n v="3" in="0">
        <tpls c="4">
          <tpl hier="2" item="7"/>
          <tpl fld="4" item="7"/>
          <tpl hier="42" item="3"/>
          <tpl fld="2" item="4"/>
        </tpls>
      </n>
      <m in="0">
        <tpls c="4">
          <tpl hier="2" item="7"/>
          <tpl fld="4" item="7"/>
          <tpl hier="42" item="3"/>
          <tpl fld="2" item="0"/>
        </tpls>
      </m>
      <n v="291812.93999999994" in="0">
        <tpls c="4">
          <tpl hier="2" item="7"/>
          <tpl fld="4" item="8"/>
          <tpl hier="42" item="3"/>
          <tpl fld="2" item="16"/>
        </tpls>
      </n>
      <n v="1761.5176608187132" in="0">
        <tpls c="4">
          <tpl hier="2" item="7"/>
          <tpl fld="4" item="8"/>
          <tpl hier="42" item="3"/>
          <tpl fld="2" item="13"/>
        </tpls>
      </n>
      <n v="162.89999999996508" in="0">
        <tpls c="4">
          <tpl hier="2" item="7"/>
          <tpl fld="4" item="8"/>
          <tpl hier="42" item="3"/>
          <tpl fld="2" item="7"/>
        </tpls>
      </n>
      <n v="3.1228321458051593E-2" in="1">
        <tpls c="4">
          <tpl hier="2" item="7"/>
          <tpl fld="4" item="8"/>
          <tpl hier="42" item="3"/>
          <tpl fld="2" item="11"/>
        </tpls>
      </n>
      <n v="6" in="0">
        <tpls c="4">
          <tpl hier="2" item="7"/>
          <tpl fld="4" item="8"/>
          <tpl hier="42" item="3"/>
          <tpl fld="2" item="4"/>
        </tpls>
      </n>
      <m in="0">
        <tpls c="4">
          <tpl hier="2" item="7"/>
          <tpl fld="4" item="8"/>
          <tpl hier="42" item="3"/>
          <tpl fld="2" item="0"/>
        </tpls>
      </m>
      <n v="281303.49999999988" in="0">
        <tpls c="4">
          <tpl hier="2" item="7"/>
          <tpl fld="4" item="9"/>
          <tpl hier="42" item="3"/>
          <tpl fld="2" item="16"/>
        </tpls>
      </n>
      <n v="1781.0023749999993" in="0">
        <tpls c="4">
          <tpl hier="2" item="7"/>
          <tpl fld="4" item="9"/>
          <tpl hier="42" item="3"/>
          <tpl fld="2" item="13"/>
        </tpls>
      </n>
      <n v="1.1641532182693481E-10" in="0">
        <tpls c="4">
          <tpl hier="2" item="7"/>
          <tpl fld="4" item="9"/>
          <tpl hier="42" item="3"/>
          <tpl fld="2" item="7"/>
        </tpls>
      </n>
      <n v="1.2832941898800113E-2" in="1">
        <tpls c="4">
          <tpl hier="2" item="7"/>
          <tpl fld="4" item="9"/>
          <tpl hier="42" item="3"/>
          <tpl fld="2" item="11"/>
        </tpls>
      </n>
      <n v="8" in="0">
        <tpls c="4">
          <tpl hier="2" item="7"/>
          <tpl fld="4" item="9"/>
          <tpl hier="42" item="3"/>
          <tpl fld="2" item="4"/>
        </tpls>
      </n>
      <m in="0">
        <tpls c="4">
          <tpl hier="2" item="7"/>
          <tpl fld="4" item="9"/>
          <tpl hier="42" item="3"/>
          <tpl fld="2" item="0"/>
        </tpls>
      </m>
      <n v="55283.62999999999" in="0">
        <tpls c="4">
          <tpl hier="2" item="7"/>
          <tpl fld="4" item="10"/>
          <tpl hier="42" item="3"/>
          <tpl fld="2" item="16"/>
        </tpls>
      </n>
      <n v="1692.2917647058821" in="0">
        <tpls c="4">
          <tpl hier="2" item="7"/>
          <tpl fld="4" item="10"/>
          <tpl hier="42" item="3"/>
          <tpl fld="2" item="13"/>
        </tpls>
      </n>
      <n v="0" in="0">
        <tpls c="4">
          <tpl hier="2" item="7"/>
          <tpl fld="4" item="10"/>
          <tpl hier="42" item="3"/>
          <tpl fld="2" item="7"/>
        </tpls>
      </n>
      <n v="3.9179205643860612E-2" in="1">
        <tpls c="4">
          <tpl hier="2" item="7"/>
          <tpl fld="4" item="10"/>
          <tpl hier="42" item="3"/>
          <tpl fld="2" item="11"/>
        </tpls>
      </n>
      <n v="1" in="0">
        <tpls c="4">
          <tpl hier="2" item="7"/>
          <tpl fld="4" item="10"/>
          <tpl hier="42" item="3"/>
          <tpl fld="2" item="4"/>
        </tpls>
      </n>
      <m in="0">
        <tpls c="4">
          <tpl hier="2" item="7"/>
          <tpl fld="4" item="10"/>
          <tpl hier="42" item="3"/>
          <tpl fld="2" item="0"/>
        </tpls>
      </m>
      <n v="153113.19000000003" in="0">
        <tpls c="4">
          <tpl hier="2" item="7"/>
          <tpl fld="4" item="11"/>
          <tpl hier="42" item="3"/>
          <tpl fld="2" item="16"/>
        </tpls>
      </n>
      <n v="1801.0809302325583" in="0">
        <tpls c="4">
          <tpl hier="2" item="7"/>
          <tpl fld="4" item="11"/>
          <tpl hier="42" item="3"/>
          <tpl fld="2" item="13"/>
        </tpls>
      </n>
      <n v="-1.4551915228366852E-11" in="0">
        <tpls c="4">
          <tpl hier="2" item="7"/>
          <tpl fld="4" item="11"/>
          <tpl hier="42" item="3"/>
          <tpl fld="2" item="7"/>
        </tpls>
      </n>
      <n v="1.1490322090816778E-2" in="1">
        <tpls c="4">
          <tpl hier="2" item="7"/>
          <tpl fld="4" item="11"/>
          <tpl hier="42" item="3"/>
          <tpl fld="2" item="11"/>
        </tpls>
      </n>
      <m in="0">
        <tpls c="4">
          <tpl hier="2" item="7"/>
          <tpl fld="4" item="11"/>
          <tpl hier="42" item="3"/>
          <tpl fld="2" item="4"/>
        </tpls>
      </m>
      <m in="0">
        <tpls c="4">
          <tpl hier="2" item="7"/>
          <tpl fld="4" item="11"/>
          <tpl hier="42" item="3"/>
          <tpl fld="2" item="0"/>
        </tpls>
      </m>
      <n v="254080.63000000003" in="0">
        <tpls c="4">
          <tpl hier="2" item="7"/>
          <tpl fld="4" item="12"/>
          <tpl hier="42" item="3"/>
          <tpl fld="2" item="16"/>
        </tpls>
      </n>
      <n v="1725.0731125827817" in="0">
        <tpls c="4">
          <tpl hier="2" item="7"/>
          <tpl fld="4" item="12"/>
          <tpl hier="42" item="3"/>
          <tpl fld="2" item="13"/>
        </tpls>
      </n>
      <n v="1.1641532182693481E-10" in="0">
        <tpls c="4">
          <tpl hier="2" item="7"/>
          <tpl fld="4" item="12"/>
          <tpl hier="42" item="3"/>
          <tpl fld="2" item="7"/>
        </tpls>
      </n>
      <n v="2.4590223721777948E-2" in="1">
        <tpls c="4">
          <tpl hier="2" item="7"/>
          <tpl fld="4" item="12"/>
          <tpl hier="42" item="3"/>
          <tpl fld="2" item="11"/>
        </tpls>
      </n>
      <n v="5" in="0">
        <tpls c="4">
          <tpl hier="2" item="7"/>
          <tpl fld="4" item="12"/>
          <tpl hier="42" item="3"/>
          <tpl fld="2" item="4"/>
        </tpls>
      </n>
      <m in="0">
        <tpls c="4">
          <tpl hier="2" item="7"/>
          <tpl fld="4" item="12"/>
          <tpl hier="42" item="3"/>
          <tpl fld="2" item="0"/>
        </tpls>
      </m>
      <n v="58169.699999999983" in="0">
        <tpls c="4">
          <tpl hier="2" item="7"/>
          <tpl fld="4" item="13"/>
          <tpl hier="42" item="3"/>
          <tpl fld="2" item="16"/>
        </tpls>
      </n>
      <n v="1633.3944444444439" in="0">
        <tpls c="4">
          <tpl hier="2" item="7"/>
          <tpl fld="4" item="13"/>
          <tpl hier="42" item="3"/>
          <tpl fld="2" item="13"/>
        </tpls>
      </n>
      <n v="-7.2759576141834259E-12" in="0">
        <tpls c="4">
          <tpl hier="2" item="7"/>
          <tpl fld="4" item="13"/>
          <tpl hier="42" item="3"/>
          <tpl fld="2" item="7"/>
        </tpls>
      </n>
      <n v="1.0756400270738172E-2" in="1">
        <tpls c="4">
          <tpl hier="2" item="7"/>
          <tpl fld="4" item="13"/>
          <tpl hier="42" item="3"/>
          <tpl fld="2" item="11"/>
        </tpls>
      </n>
      <n v="1" in="0">
        <tpls c="4">
          <tpl hier="2" item="7"/>
          <tpl fld="4" item="13"/>
          <tpl hier="42" item="3"/>
          <tpl fld="2" item="4"/>
        </tpls>
      </n>
      <m in="0">
        <tpls c="4">
          <tpl hier="2" item="7"/>
          <tpl fld="4" item="13"/>
          <tpl hier="42" item="3"/>
          <tpl fld="2" item="0"/>
        </tpls>
      </m>
      <n v="429547.0499999997" in="0">
        <tpls c="4">
          <tpl hier="2" item="7"/>
          <tpl fld="4" item="14"/>
          <tpl hier="42" item="3"/>
          <tpl fld="2" item="16"/>
        </tpls>
      </n>
      <n v="1644.3113533834576" in="0">
        <tpls c="4">
          <tpl hier="2" item="7"/>
          <tpl fld="4" item="14"/>
          <tpl hier="42" item="3"/>
          <tpl fld="2" item="13"/>
        </tpls>
      </n>
      <n v="-1.1641532182693481E-10" in="0">
        <tpls c="4">
          <tpl hier="2" item="7"/>
          <tpl fld="4" item="14"/>
          <tpl hier="42" item="3"/>
          <tpl fld="2" item="7"/>
        </tpls>
      </n>
      <n v="1.7924111202070526E-2" in="1">
        <tpls c="4">
          <tpl hier="2" item="7"/>
          <tpl fld="4" item="14"/>
          <tpl hier="42" item="3"/>
          <tpl fld="2" item="11"/>
        </tpls>
      </n>
      <n v="4" in="0">
        <tpls c="4">
          <tpl hier="2" item="7"/>
          <tpl fld="4" item="14"/>
          <tpl hier="42" item="3"/>
          <tpl fld="2" item="4"/>
        </tpls>
      </n>
      <m in="0">
        <tpls c="4">
          <tpl hier="2" item="7"/>
          <tpl fld="4" item="14"/>
          <tpl hier="42" item="3"/>
          <tpl fld="2" item="0"/>
        </tpls>
      </m>
      <n v="152948.18999999997" in="0">
        <tpls c="4">
          <tpl hier="2" item="7"/>
          <tpl fld="4" item="15"/>
          <tpl hier="42" item="3"/>
          <tpl fld="2" item="16"/>
        </tpls>
      </n>
      <n v="2339.0130136986299" in="0">
        <tpls c="4">
          <tpl hier="2" item="7"/>
          <tpl fld="4" item="15"/>
          <tpl hier="42" item="3"/>
          <tpl fld="2" item="13"/>
        </tpls>
      </n>
      <n v="2.9103830456733704E-11" in="0">
        <tpls c="4">
          <tpl hier="2" item="7"/>
          <tpl fld="4" item="15"/>
          <tpl hier="42" item="3"/>
          <tpl fld="2" item="7"/>
        </tpls>
      </n>
      <n v="0.10424581964234417" in="1">
        <tpls c="4">
          <tpl hier="2" item="7"/>
          <tpl fld="4" item="15"/>
          <tpl hier="42" item="3"/>
          <tpl fld="2" item="11"/>
        </tpls>
      </n>
      <n v="2" in="0">
        <tpls c="4">
          <tpl hier="2" item="7"/>
          <tpl fld="4" item="15"/>
          <tpl hier="42" item="3"/>
          <tpl fld="2" item="4"/>
        </tpls>
      </n>
      <m in="0">
        <tpls c="4">
          <tpl hier="2" item="7"/>
          <tpl fld="4" item="15"/>
          <tpl hier="42" item="3"/>
          <tpl fld="2" item="0"/>
        </tpls>
      </m>
      <n v="405796.98" in="0">
        <tpls c="4">
          <tpl hier="2" item="7"/>
          <tpl fld="4" item="16"/>
          <tpl hier="42" item="3"/>
          <tpl fld="2" item="16"/>
        </tpls>
      </n>
      <n v="2235.6577297297299" in="0">
        <tpls c="4">
          <tpl hier="2" item="7"/>
          <tpl fld="4" item="16"/>
          <tpl hier="42" item="3"/>
          <tpl fld="2" item="13"/>
        </tpls>
      </n>
      <n v="-162.89999999996508" in="0">
        <tpls c="4">
          <tpl hier="2" item="7"/>
          <tpl fld="4" item="16"/>
          <tpl hier="42" item="3"/>
          <tpl fld="2" item="7"/>
        </tpls>
      </n>
      <n v="1.8858226811685239E-2" in="1">
        <tpls c="4">
          <tpl hier="2" item="7"/>
          <tpl fld="4" item="16"/>
          <tpl hier="42" item="3"/>
          <tpl fld="2" item="11"/>
        </tpls>
      </n>
      <n v="1" in="0">
        <tpls c="4">
          <tpl hier="2" item="7"/>
          <tpl fld="4" item="16"/>
          <tpl hier="42" item="3"/>
          <tpl fld="2" item="4"/>
        </tpls>
      </n>
      <m in="0">
        <tpls c="4">
          <tpl hier="2" item="7"/>
          <tpl fld="4" item="16"/>
          <tpl hier="42" item="3"/>
          <tpl fld="2" item="0"/>
        </tpls>
      </m>
      <n v="381597.35999999981" in="0">
        <tpls c="4">
          <tpl hier="2" item="7"/>
          <tpl fld="4" item="17"/>
          <tpl hier="42" item="3"/>
          <tpl fld="2" item="16"/>
        </tpls>
      </n>
      <n v="1726.4792951541842" in="0">
        <tpls c="4">
          <tpl hier="2" item="7"/>
          <tpl fld="4" item="17"/>
          <tpl hier="42" item="3"/>
          <tpl fld="2" item="13"/>
        </tpls>
      </n>
      <n v="25.000000000116415" in="0">
        <tpls c="4">
          <tpl hier="2" item="7"/>
          <tpl fld="4" item="17"/>
          <tpl hier="42" item="3"/>
          <tpl fld="2" item="7"/>
        </tpls>
      </n>
      <n v="2.6315784101892586E-2" in="1">
        <tpls c="4">
          <tpl hier="2" item="7"/>
          <tpl fld="4" item="17"/>
          <tpl hier="42" item="3"/>
          <tpl fld="2" item="11"/>
        </tpls>
      </n>
      <n v="3" in="0">
        <tpls c="4">
          <tpl hier="2" item="7"/>
          <tpl fld="4" item="17"/>
          <tpl hier="42" item="3"/>
          <tpl fld="2" item="4"/>
        </tpls>
      </n>
      <m in="0">
        <tpls c="4">
          <tpl hier="2" item="7"/>
          <tpl fld="4" item="17"/>
          <tpl hier="42" item="3"/>
          <tpl fld="2" item="0"/>
        </tpls>
      </m>
      <n v="326014.76999999955" in="0">
        <tpls c="4">
          <tpl hier="2" item="7"/>
          <tpl fld="4" item="18"/>
          <tpl hier="42" item="3"/>
          <tpl fld="2" item="16"/>
        </tpls>
      </n>
      <n v="1851.8326966292111" in="0">
        <tpls c="4">
          <tpl hier="2" item="7"/>
          <tpl fld="4" item="18"/>
          <tpl hier="42" item="3"/>
          <tpl fld="2" item="13"/>
        </tpls>
      </n>
      <n v="8.7311491370201111E-11" in="0">
        <tpls c="4">
          <tpl hier="2" item="7"/>
          <tpl fld="4" item="18"/>
          <tpl hier="42" item="3"/>
          <tpl fld="2" item="7"/>
        </tpls>
      </n>
      <n v="1.0956197598601242E-2" in="1">
        <tpls c="4">
          <tpl hier="2" item="7"/>
          <tpl fld="4" item="18"/>
          <tpl hier="42" item="3"/>
          <tpl fld="2" item="11"/>
        </tpls>
      </n>
      <n v="2" in="0">
        <tpls c="4">
          <tpl hier="2" item="7"/>
          <tpl fld="4" item="18"/>
          <tpl hier="42" item="3"/>
          <tpl fld="2" item="4"/>
        </tpls>
      </n>
      <m in="0">
        <tpls c="4">
          <tpl hier="2" item="7"/>
          <tpl fld="4" item="18"/>
          <tpl hier="42" item="3"/>
          <tpl fld="2" item="0"/>
        </tpls>
      </m>
      <n v="27178.410000000003" in="0">
        <tpls c="4">
          <tpl hier="2" item="7"/>
          <tpl fld="4" item="19"/>
          <tpl hier="42" item="3"/>
          <tpl fld="2" item="16"/>
        </tpls>
      </n>
      <n v="1720.5364705882355" in="0">
        <tpls c="4">
          <tpl hier="2" item="7"/>
          <tpl fld="4" item="19"/>
          <tpl hier="42" item="3"/>
          <tpl fld="2" item="13"/>
        </tpls>
      </n>
      <n v="0" in="0">
        <tpls c="4">
          <tpl hier="2" item="7"/>
          <tpl fld="4" item="19"/>
          <tpl hier="42" item="3"/>
          <tpl fld="2" item="7"/>
        </tpls>
      </n>
      <n v="7.0795634193438983E-2" in="1">
        <tpls c="4">
          <tpl hier="2" item="7"/>
          <tpl fld="4" item="19"/>
          <tpl hier="42" item="3"/>
          <tpl fld="2" item="11"/>
        </tpls>
      </n>
      <m in="0">
        <tpls c="4">
          <tpl hier="2" item="7"/>
          <tpl fld="4" item="19"/>
          <tpl hier="42" item="3"/>
          <tpl fld="2" item="4"/>
        </tpls>
      </m>
      <m in="0">
        <tpls c="4">
          <tpl hier="2" item="7"/>
          <tpl fld="4" item="19"/>
          <tpl hier="42" item="3"/>
          <tpl fld="2" item="0"/>
        </tpls>
      </m>
      <n v="41565.039999999994" in="0">
        <tpls c="4">
          <tpl hier="2" item="7"/>
          <tpl fld="4" item="20"/>
          <tpl hier="42" item="3"/>
          <tpl fld="2" item="16"/>
        </tpls>
      </n>
      <n v="1223.6802941176468" in="0">
        <tpls c="4">
          <tpl hier="2" item="7"/>
          <tpl fld="4" item="20"/>
          <tpl hier="42" item="3"/>
          <tpl fld="2" item="13"/>
        </tpls>
      </n>
      <n v="0" in="0">
        <tpls c="4">
          <tpl hier="2" item="7"/>
          <tpl fld="4" item="20"/>
          <tpl hier="42" item="3"/>
          <tpl fld="2" item="7"/>
        </tpls>
      </n>
      <n v="9.635830966037124E-4" in="1">
        <tpls c="4">
          <tpl hier="2" item="7"/>
          <tpl fld="4" item="20"/>
          <tpl hier="42" item="3"/>
          <tpl fld="2" item="11"/>
        </tpls>
      </n>
      <n v="1" in="0">
        <tpls c="4">
          <tpl hier="2" item="7"/>
          <tpl fld="4" item="20"/>
          <tpl hier="42" item="3"/>
          <tpl fld="2" item="4"/>
        </tpls>
      </n>
      <m in="0">
        <tpls c="4">
          <tpl hier="2" item="7"/>
          <tpl fld="4" item="20"/>
          <tpl hier="42" item="3"/>
          <tpl fld="2" item="0"/>
        </tpls>
      </m>
      <n v="181235.47999999998" in="0">
        <tpls c="4">
          <tpl hier="2" item="7"/>
          <tpl fld="4" item="21"/>
          <tpl hier="42" item="3"/>
          <tpl fld="2" item="16"/>
        </tpls>
      </n>
      <n v="2563.4780555555553" in="0">
        <tpls c="4">
          <tpl hier="2" item="7"/>
          <tpl fld="4" item="21"/>
          <tpl hier="42" item="3"/>
          <tpl fld="2" item="13"/>
        </tpls>
      </n>
      <n v="-1703.9999999999709" in="0">
        <tpls c="4">
          <tpl hier="2" item="7"/>
          <tpl fld="4" item="21"/>
          <tpl hier="42" item="3"/>
          <tpl fld="2" item="7"/>
        </tpls>
      </n>
      <n v="1.806865910583072E-2" in="1">
        <tpls c="4">
          <tpl hier="2" item="7"/>
          <tpl fld="4" item="21"/>
          <tpl hier="42" item="3"/>
          <tpl fld="2" item="11"/>
        </tpls>
      </n>
      <n v="1" in="0">
        <tpls c="4">
          <tpl hier="2" item="7"/>
          <tpl fld="4" item="21"/>
          <tpl hier="42" item="3"/>
          <tpl fld="2" item="4"/>
        </tpls>
      </n>
      <m in="0">
        <tpls c="4">
          <tpl hier="2" item="7"/>
          <tpl fld="4" item="21"/>
          <tpl hier="42" item="3"/>
          <tpl fld="2" item="0"/>
        </tpls>
      </m>
      <n v="467238.17999999976" in="0">
        <tpls c="4">
          <tpl hier="2" item="7"/>
          <tpl fld="4" item="22"/>
          <tpl hier="42" item="3"/>
          <tpl fld="2" item="16"/>
        </tpls>
      </n>
      <n v="2248.7720476190466" in="0">
        <tpls c="4">
          <tpl hier="2" item="7"/>
          <tpl fld="4" item="22"/>
          <tpl hier="42" item="3"/>
          <tpl fld="2" item="13"/>
        </tpls>
      </n>
      <n v="2.9103830456733704E-10" in="0">
        <tpls c="4">
          <tpl hier="2" item="7"/>
          <tpl fld="4" item="22"/>
          <tpl hier="42" item="3"/>
          <tpl fld="2" item="7"/>
        </tpls>
      </n>
      <n v="1.0596153291109377E-2" in="1">
        <tpls c="4">
          <tpl hier="2" item="7"/>
          <tpl fld="4" item="22"/>
          <tpl hier="42" item="3"/>
          <tpl fld="2" item="11"/>
        </tpls>
      </n>
      <n v="1" in="0">
        <tpls c="4">
          <tpl hier="2" item="7"/>
          <tpl fld="4" item="22"/>
          <tpl hier="42" item="3"/>
          <tpl fld="2" item="4"/>
        </tpls>
      </n>
      <m in="0">
        <tpls c="4">
          <tpl hier="2" item="7"/>
          <tpl fld="4" item="22"/>
          <tpl hier="42" item="3"/>
          <tpl fld="2" item="0"/>
        </tpls>
      </m>
      <n v="85753.089999999982" in="0">
        <tpls c="4">
          <tpl hier="2" item="7"/>
          <tpl fld="4" item="23"/>
          <tpl hier="42" item="3"/>
          <tpl fld="2" item="16"/>
        </tpls>
      </n>
      <n v="1715.0617999999997" in="0">
        <tpls c="4">
          <tpl hier="2" item="7"/>
          <tpl fld="4" item="23"/>
          <tpl hier="42" item="3"/>
          <tpl fld="2" item="13"/>
        </tpls>
      </n>
      <n v="1.4551915228366852E-11" in="0">
        <tpls c="4">
          <tpl hier="2" item="7"/>
          <tpl fld="4" item="23"/>
          <tpl hier="42" item="3"/>
          <tpl fld="2" item="7"/>
        </tpls>
      </n>
      <m in="1">
        <tpls c="4">
          <tpl hier="2" item="7"/>
          <tpl fld="4" item="23"/>
          <tpl hier="42" item="3"/>
          <tpl fld="2" item="11"/>
        </tpls>
      </m>
      <n v="3" in="0">
        <tpls c="4">
          <tpl hier="2" item="7"/>
          <tpl fld="4" item="23"/>
          <tpl hier="42" item="3"/>
          <tpl fld="2" item="4"/>
        </tpls>
      </n>
      <m in="0">
        <tpls c="4">
          <tpl hier="2" item="7"/>
          <tpl fld="4" item="23"/>
          <tpl hier="42" item="3"/>
          <tpl fld="2" item="0"/>
        </tpls>
      </m>
      <n v="-1.1641532182693481E-10" in="0">
        <tpls c="5">
          <tpl fld="3" item="1"/>
          <tpl hier="2" item="7"/>
          <tpl fld="4" item="14"/>
          <tpl hier="42" item="3"/>
          <tpl fld="2" item="7"/>
        </tpls>
      </n>
      <n v="32752.910000000091" in="0">
        <tpls c="5">
          <tpl fld="3" item="1"/>
          <tpl hier="2" item="7"/>
          <tpl fld="4" item="9"/>
          <tpl hier="42" item="3"/>
          <tpl fld="2" item="9"/>
        </tpls>
      </n>
      <n v="1" in="1">
        <tpls c="4">
          <tpl hier="2" item="7"/>
          <tpl fld="4" item="20"/>
          <tpl hier="42" item="3"/>
          <tpl fld="2" item="3"/>
        </tpls>
      </n>
      <n v="1" in="1">
        <tpls c="4">
          <tpl hier="2" item="7"/>
          <tpl fld="4" item="14"/>
          <tpl hier="42" item="3"/>
          <tpl fld="2" item="3"/>
        </tpls>
      </n>
      <n v="33058.77999999997" in="0">
        <tpls c="5">
          <tpl fld="3" item="1"/>
          <tpl hier="2" item="7"/>
          <tpl fld="4" item="3"/>
          <tpl hier="42" item="3"/>
          <tpl fld="2" item="9"/>
        </tpls>
      </n>
      <n v="0" in="0">
        <tpls c="5">
          <tpl fld="3" item="1"/>
          <tpl hier="2" item="7"/>
          <tpl fld="4" item="19"/>
          <tpl hier="42" item="3"/>
          <tpl fld="2" item="7"/>
        </tpls>
      </n>
      <n v="-22590.289999999688" in="0">
        <tpls c="5">
          <tpl fld="3" item="1"/>
          <tpl hier="2" item="7"/>
          <tpl fld="4" item="14"/>
          <tpl hier="42" item="3"/>
          <tpl fld="2" item="9"/>
        </tpls>
      </n>
      <n v="182.47864035087716" in="0">
        <tpls c="4">
          <tpl hier="2" item="7"/>
          <tpl fld="4" item="20"/>
          <tpl hier="42" item="3"/>
          <tpl fld="2" item="12"/>
        </tpls>
      </n>
      <n v="18641.739999999998" in="0">
        <tpls c="4">
          <tpl hier="2" item="7"/>
          <tpl fld="4" item="14"/>
          <tpl hier="42" item="3"/>
          <tpl fld="2" item="18"/>
        </tpls>
      </n>
      <n v="-19105.630000000005" in="0">
        <tpls c="5">
          <tpl fld="3" item="1"/>
          <tpl hier="2" item="7"/>
          <tpl fld="4" item="19"/>
          <tpl hier="42" item="3"/>
          <tpl fld="2" item="9"/>
        </tpls>
      </n>
      <n v="162.89999999996508" in="0">
        <tpls c="5">
          <tpl fld="3" item="1"/>
          <tpl hier="2" item="7"/>
          <tpl fld="4" item="8"/>
          <tpl hier="42" item="3"/>
          <tpl fld="2" item="7"/>
        </tpls>
      </n>
      <n v="41605.12999999999" in="0">
        <tpls c="5">
          <tpl fld="3" item="1"/>
          <tpl hier="2" item="7"/>
          <tpl fld="4" item="20"/>
          <tpl hier="42" item="3"/>
          <tpl fld="2" item="1"/>
        </tpls>
      </n>
      <n v="437386.81999999972" in="0">
        <tpls c="4">
          <tpl hier="2" item="7"/>
          <tpl fld="4" item="14"/>
          <tpl hier="42" item="3"/>
          <tpl fld="2" item="1"/>
        </tpls>
      </n>
      <n v="869.99999999985448" in="0">
        <tpls c="5">
          <tpl fld="3" item="1"/>
          <tpl hier="2" item="7"/>
          <tpl fld="4" item="2"/>
          <tpl hier="42" item="3"/>
          <tpl fld="2" item="7"/>
        </tpls>
      </n>
      <n v="7191.0300000000207" in="0">
        <tpls c="5">
          <tpl fld="3" item="1"/>
          <tpl hier="2" item="7"/>
          <tpl fld="4" item="13"/>
          <tpl hier="42" item="3"/>
          <tpl fld="2" item="9"/>
        </tpls>
      </n>
      <n v="44615.659999999989" in="0">
        <tpls c="4">
          <tpl hier="2" item="7"/>
          <tpl fld="4" item="20"/>
          <tpl hier="42" item="3"/>
          <tpl fld="2" item="19"/>
        </tpls>
      </n>
      <n v="406956.76" in="0">
        <tpls c="4">
          <tpl hier="2" item="7"/>
          <tpl fld="4" item="14"/>
          <tpl hier="42" item="3"/>
          <tpl fld="2" item="10"/>
        </tpls>
      </n>
      <n v="67117.99000000002" in="0">
        <tpls c="5">
          <tpl fld="3" item="1"/>
          <tpl hier="2" item="7"/>
          <tpl fld="4" item="2"/>
          <tpl hier="42" item="3"/>
          <tpl fld="2" item="9"/>
        </tpls>
      </n>
      <n v="-64204.169999999547" in="0">
        <tpls c="5">
          <tpl fld="3" item="1"/>
          <tpl hier="2" item="7"/>
          <tpl fld="4" item="18"/>
          <tpl hier="42" item="3"/>
          <tpl fld="2" item="9"/>
        </tpls>
      </n>
      <n v="35987.57" in="0">
        <tpls c="4">
          <tpl hier="2" item="7"/>
          <tpl fld="4" item="20"/>
          <tpl hier="42" item="3"/>
          <tpl fld="2" item="10"/>
        </tpls>
      </n>
      <n v="1.1641532182693481E-10" in="0">
        <tpls c="5">
          <tpl fld="3" item="1"/>
          <tpl hier="2" item="7"/>
          <tpl fld="4" item="12"/>
          <tpl hier="42" item="3"/>
          <tpl fld="2" item="7"/>
        </tpls>
      </n>
      <n v="25.000000000116415" in="0">
        <tpls c="5">
          <tpl fld="3" item="1"/>
          <tpl hier="2" item="7"/>
          <tpl fld="4" item="17"/>
          <tpl hier="42" item="3"/>
          <tpl fld="2" item="7"/>
        </tpls>
      </n>
      <m>
        <tpls c="5">
          <tpl fld="3" item="0"/>
          <tpl hier="2" item="7"/>
          <tpl fld="4" item="20"/>
          <tpl hier="42" item="3"/>
          <tpl fld="2" item="1"/>
        </tpls>
      </m>
      <n v="-2.9103830456733704E-11" in="0">
        <tpls c="5">
          <tpl fld="3" item="1"/>
          <tpl hier="2" item="7"/>
          <tpl fld="4" item="6"/>
          <tpl hier="42" item="3"/>
          <tpl fld="2" item="7"/>
        </tpls>
      </n>
      <n v="-32983.369999999763" in="0">
        <tpls c="5">
          <tpl fld="3" item="1"/>
          <tpl hier="2" item="7"/>
          <tpl fld="4" item="0"/>
          <tpl hier="42" item="3"/>
          <tpl fld="2" item="9"/>
        </tpls>
      </n>
      <n v="-53038.059999999765" in="0">
        <tpls c="5">
          <tpl fld="3" item="1"/>
          <tpl hier="2" item="7"/>
          <tpl fld="4" item="22"/>
          <tpl hier="42" item="3"/>
          <tpl fld="2" item="9"/>
        </tpls>
      </n>
      <n v="40.090000000000003" in="0">
        <tpls c="4">
          <tpl hier="2" item="7"/>
          <tpl fld="4" item="20"/>
          <tpl hier="42" item="3"/>
          <tpl fld="2" item="17"/>
        </tpls>
      </n>
      <n v="3010.5299999999997" in="0">
        <tpls c="4">
          <tpl hier="2" item="7"/>
          <tpl fld="4" item="20"/>
          <tpl hier="42" item="3"/>
          <tpl fld="2" item="18"/>
        </tpls>
      </n>
      <n v="-4564.4999999999854" in="0">
        <tpls c="5">
          <tpl fld="3" item="1"/>
          <tpl hier="2" item="7"/>
          <tpl fld="4" item="23"/>
          <tpl hier="42" item="3"/>
          <tpl fld="2" item="9"/>
        </tpls>
      </n>
      <n v="1.1641532182693481E-10" in="0">
        <tpls c="5">
          <tpl fld="3" item="1"/>
          <tpl hier="2" item="7"/>
          <tpl fld="4" item="0"/>
          <tpl hier="42" item="3"/>
          <tpl fld="2" item="7"/>
        </tpls>
      </n>
      <n v="-3869.4999999999709" in="0">
        <tpls c="5">
          <tpl fld="3" item="1"/>
          <tpl hier="2" item="7"/>
          <tpl fld="4" item="21"/>
          <tpl hier="42" item="3"/>
          <tpl fld="2" item="9"/>
        </tpls>
      </n>
      <n v="41605.12999999999" in="0">
        <tpls c="4">
          <tpl hier="2" item="7"/>
          <tpl fld="4" item="20"/>
          <tpl hier="42" item="3"/>
          <tpl fld="2" item="1"/>
        </tpls>
      </n>
      <n v="-7705.1399999999558" in="0">
        <tpls c="5">
          <tpl fld="3" item="1"/>
          <tpl hier="2" item="7"/>
          <tpl fld="4" item="8"/>
          <tpl hier="42" item="3"/>
          <tpl fld="2" item="9"/>
        </tpls>
      </n>
      <n v="8.7311491370201111E-11" in="0">
        <tpls c="5">
          <tpl fld="3" item="1"/>
          <tpl hier="2" item="7"/>
          <tpl fld="4" item="18"/>
          <tpl hier="42" item="3"/>
          <tpl fld="2" item="7"/>
        </tpls>
      </n>
      <n v="49126.19000000041" in="0">
        <tpls c="5">
          <tpl fld="3" item="1"/>
          <tpl hier="2" item="7"/>
          <tpl fld="4" item="1"/>
          <tpl hier="42" item="3"/>
          <tpl fld="2" item="9"/>
        </tpls>
      </n>
      <n v="10761.389999999985" in="0">
        <tpls c="5">
          <tpl fld="3" item="1"/>
          <tpl hier="2" item="7"/>
          <tpl fld="4" item="12"/>
          <tpl hier="42" item="3"/>
          <tpl fld="2" item="9"/>
        </tpls>
      </n>
      <n v="41120.820000000182" in="0">
        <tpls c="5">
          <tpl fld="3" item="1"/>
          <tpl hier="2" item="7"/>
          <tpl fld="4" item="17"/>
          <tpl hier="42" item="3"/>
          <tpl fld="2" item="9"/>
        </tpls>
      </n>
      <n v="-22812.190000000031" in="0">
        <tpls c="5">
          <tpl fld="3" item="1"/>
          <tpl hier="2" item="7"/>
          <tpl fld="4" item="11"/>
          <tpl hier="42" item="3"/>
          <tpl fld="2" item="9"/>
        </tpls>
      </n>
      <n v="7839.77" in="0">
        <tpls c="4">
          <tpl hier="2" item="7"/>
          <tpl fld="4" item="14"/>
          <tpl hier="42" item="3"/>
          <tpl fld="2" item="17"/>
        </tpls>
      </n>
      <n v="-162.89999999996508" in="0">
        <tpls c="5">
          <tpl fld="3" item="1"/>
          <tpl hier="2" item="7"/>
          <tpl fld="4" item="16"/>
          <tpl hier="42" item="3"/>
          <tpl fld="2" item="7"/>
        </tpls>
      </n>
      <n v="456028.55999999971" in="0">
        <tpls c="4">
          <tpl hier="2" item="7"/>
          <tpl fld="4" item="14"/>
          <tpl hier="42" item="3"/>
          <tpl fld="2" item="19"/>
        </tpls>
      </n>
      <n v="-1703.9999999999709" in="0">
        <tpls c="5">
          <tpl fld="3" item="1"/>
          <tpl hier="2" item="7"/>
          <tpl fld="4" item="21"/>
          <tpl hier="42" item="3"/>
          <tpl fld="2" item="7"/>
        </tpls>
      </n>
      <n v="-46927.780000000013" in="0">
        <tpls c="5">
          <tpl fld="3" item="1"/>
          <tpl hier="2" item="7"/>
          <tpl fld="4" item="5"/>
          <tpl hier="42" item="3"/>
          <tpl fld="2" item="9"/>
        </tpls>
      </n>
      <n v="1703.9999999998254" in="0">
        <tpls c="5">
          <tpl fld="3" item="1"/>
          <tpl hier="2" item="7"/>
          <tpl fld="4" item="4"/>
          <tpl hier="42" item="3"/>
          <tpl fld="2" item="7"/>
        </tpls>
      </n>
      <n v="6.7476980055881736E-2" in="1">
        <tpls c="4">
          <tpl hier="2" item="7"/>
          <tpl fld="4" item="20"/>
          <tpl hier="42" item="3"/>
          <tpl fld="2" item="2"/>
        </tpls>
      </n>
      <n v="-19865" in="0">
        <tpls c="5">
          <tpl fld="3" item="1"/>
          <tpl hier="2" item="7"/>
          <tpl fld="4" item="16"/>
          <tpl hier="42" item="3"/>
          <tpl fld="2" item="9"/>
        </tpls>
      </n>
      <n v="2.9103830456733704E-11" in="0">
        <tpls c="5">
          <tpl fld="3" item="1"/>
          <tpl hier="2" item="7"/>
          <tpl fld="4" item="15"/>
          <tpl hier="42" item="3"/>
          <tpl fld="2" item="7"/>
        </tpls>
      </n>
      <n v="-217.94999999998981" in="0">
        <tpls c="5">
          <tpl fld="3" item="1"/>
          <tpl hier="2" item="7"/>
          <tpl fld="4" item="10"/>
          <tpl hier="42" item="3"/>
          <tpl fld="2" item="9"/>
        </tpls>
      </n>
      <n v="228" in="0">
        <tpls c="4">
          <tpl hier="2" item="7"/>
          <tpl fld="4" item="20"/>
          <tpl hier="42" item="3"/>
          <tpl fld="2" item="14"/>
        </tpls>
      </n>
      <n v="216.10020750988127" in="0">
        <tpls c="4">
          <tpl hier="2" item="7"/>
          <tpl fld="4" item="14"/>
          <tpl hier="42" item="3"/>
          <tpl fld="2" item="12"/>
        </tpls>
      </n>
      <n v="0" in="0">
        <tpls c="5">
          <tpl fld="3" item="1"/>
          <tpl hier="2" item="7"/>
          <tpl fld="4" item="20"/>
          <tpl hier="42" item="3"/>
          <tpl fld="2" item="7"/>
        </tpls>
      </n>
      <n v="86960.590000000026" in="0">
        <tpls c="5">
          <tpl fld="3" item="1"/>
          <tpl hier="2" item="7"/>
          <tpl fld="4" item="15"/>
          <tpl hier="42" item="3"/>
          <tpl fld="2" item="9"/>
        </tpls>
      </n>
      <n v="-5577.4699999999939" in="0">
        <tpls c="5">
          <tpl fld="3" item="1"/>
          <tpl hier="2" item="7"/>
          <tpl fld="4" item="20"/>
          <tpl hier="42" item="3"/>
          <tpl fld="2" item="9"/>
        </tpls>
      </n>
      <n v="1.1641532182693481E-10" in="0">
        <tpls c="5">
          <tpl fld="3" item="1"/>
          <tpl hier="2" item="7"/>
          <tpl fld="4" item="9"/>
          <tpl hier="42" item="3"/>
          <tpl fld="2" item="7"/>
        </tpls>
      </n>
      <n v="27197.359999999841" in="0">
        <tpls c="5">
          <tpl fld="3" item="1"/>
          <tpl hier="2" item="7"/>
          <tpl fld="4" item="4"/>
          <tpl hier="42" item="3"/>
          <tpl fld="2" item="9"/>
        </tpls>
      </n>
      <n v="437386.81999999972" in="0">
        <tpls c="5">
          <tpl fld="3" item="1"/>
          <tpl hier="2" item="7"/>
          <tpl fld="4" item="14"/>
          <tpl hier="42" item="3"/>
          <tpl fld="2" item="1"/>
        </tpls>
      </n>
      <n v="1.1641532182693481E-10" in="0">
        <tpls c="5">
          <tpl fld="3" item="1"/>
          <tpl hier="2" item="7"/>
          <tpl fld="4" item="3"/>
          <tpl hier="42" item="3"/>
          <tpl fld="2" item="7"/>
        </tpls>
      </n>
      <n v="-7.2759576141834259E-12" in="0">
        <tpls c="5">
          <tpl fld="3" item="1"/>
          <tpl hier="2" item="7"/>
          <tpl fld="4" item="13"/>
          <tpl hier="42" item="3"/>
          <tpl fld="2" item="7"/>
        </tpls>
      </n>
      <m>
        <tpls c="5">
          <tpl fld="3" item="0"/>
          <tpl hier="2" item="7"/>
          <tpl fld="4" item="14"/>
          <tpl hier="42" item="3"/>
          <tpl fld="2" item="1"/>
        </tpls>
      </m>
      <n v="1.4551915228366852E-11" in="0">
        <tpls c="5">
          <tpl fld="3" item="1"/>
          <tpl hier="2" item="7"/>
          <tpl fld="4" item="23"/>
          <tpl hier="42" item="3"/>
          <tpl fld="2" item="7"/>
        </tpls>
      </n>
      <n v="-17488.289999999863" in="0">
        <tpls c="5">
          <tpl fld="3" item="1"/>
          <tpl hier="2" item="7"/>
          <tpl fld="4" item="7"/>
          <tpl hier="42" item="3"/>
          <tpl fld="2" item="9"/>
        </tpls>
      </n>
      <n v="2024" in="0">
        <tpls c="4">
          <tpl hier="2" item="7"/>
          <tpl fld="4" item="14"/>
          <tpl hier="42" item="3"/>
          <tpl fld="2" item="14"/>
        </tpls>
      </n>
      <n v="-24.999999999883585" in="0">
        <tpls c="5">
          <tpl fld="3" item="1"/>
          <tpl hier="2" item="7"/>
          <tpl fld="4" item="7"/>
          <tpl hier="42" item="3"/>
          <tpl fld="2" item="7"/>
        </tpls>
      </n>
      <n v="-899.81999999959953" in="0">
        <tpls c="5">
          <tpl fld="3" item="1"/>
          <tpl hier="2" item="7"/>
          <tpl fld="4" item="1"/>
          <tpl hier="42" item="3"/>
          <tpl fld="2" item="7"/>
        </tpls>
      </n>
      <n v="4.087844849015599E-2" in="1">
        <tpls c="4">
          <tpl hier="2" item="7"/>
          <tpl fld="4" item="14"/>
          <tpl hier="42" item="3"/>
          <tpl fld="2" item="2"/>
        </tpls>
      </n>
      <n v="2.9103830456733704E-10" in="0">
        <tpls c="5">
          <tpl fld="3" item="1"/>
          <tpl hier="2" item="7"/>
          <tpl fld="4" item="22"/>
          <tpl hier="42" item="3"/>
          <tpl fld="2" item="7"/>
        </tpls>
      </n>
      <n v="18513.25999999998" in="0">
        <tpls c="5">
          <tpl fld="3" item="1"/>
          <tpl hier="2" item="7"/>
          <tpl fld="4" item="6"/>
          <tpl hier="42" item="3"/>
          <tpl fld="2" item="9"/>
        </tpls>
      </n>
      <n v="-1.4551915228366852E-11" in="0">
        <tpls c="5">
          <tpl fld="3" item="1"/>
          <tpl hier="2" item="7"/>
          <tpl fld="4" item="11"/>
          <tpl hier="42" item="3"/>
          <tpl fld="2" item="7"/>
        </tpls>
      </n>
      <n v="-869.99999999999636" in="0">
        <tpls c="5">
          <tpl fld="3" item="1"/>
          <tpl hier="2" item="7"/>
          <tpl fld="4" item="5"/>
          <tpl hier="42" item="3"/>
          <tpl fld="2" item="7"/>
        </tpls>
      </n>
      <n v="0" in="0">
        <tpls c="5">
          <tpl fld="3" item="1"/>
          <tpl hier="2" item="7"/>
          <tpl fld="4" item="10"/>
          <tpl hier="42" item="3"/>
          <tpl fld="2" item="7"/>
        </tpls>
      </n>
      <n v="55623.570000000007" in="0">
        <tpls c="5">
          <tpl hier="2" item="8"/>
          <tpl fld="4" item="14"/>
          <tpl fld="6" item="17"/>
          <tpl hier="42" item="3"/>
          <tpl fld="2" item="1"/>
        </tpls>
      </n>
      <n v="14637.72" in="0">
        <tpls c="5">
          <tpl hier="2" item="8"/>
          <tpl fld="4" item="14"/>
          <tpl fld="6" item="9"/>
          <tpl hier="42" item="3"/>
          <tpl fld="2" item="1"/>
        </tpls>
      </n>
      <n v="20310.480000000003" in="0">
        <tpls c="5">
          <tpl hier="2" item="8"/>
          <tpl fld="4" item="14"/>
          <tpl fld="6" item="8"/>
          <tpl hier="42" item="3"/>
          <tpl fld="2" item="1"/>
        </tpls>
      </n>
      <n v="40918.15" in="0">
        <tpls c="5">
          <tpl hier="2" item="8"/>
          <tpl fld="4" item="14"/>
          <tpl fld="6" item="7"/>
          <tpl hier="42" item="3"/>
          <tpl fld="2" item="1"/>
        </tpls>
      </n>
      <n v="39286.060000000005" in="0">
        <tpls c="5">
          <tpl hier="2" item="8"/>
          <tpl fld="4" item="14"/>
          <tpl fld="6" item="6"/>
          <tpl hier="42" item="3"/>
          <tpl fld="2" item="1"/>
        </tpls>
      </n>
      <n v="10702.289999999999" in="0">
        <tpls c="5">
          <tpl hier="2" item="8"/>
          <tpl fld="4" item="14"/>
          <tpl fld="6" item="5"/>
          <tpl hier="42" item="3"/>
          <tpl fld="2" item="1"/>
        </tpls>
      </n>
      <n v="80507.23" in="0">
        <tpls c="5">
          <tpl hier="2" item="8"/>
          <tpl fld="4" item="14"/>
          <tpl fld="6" item="4"/>
          <tpl hier="42" item="3"/>
          <tpl fld="2" item="1"/>
        </tpls>
      </n>
      <n v="48557.020000000011" in="0">
        <tpls c="5">
          <tpl hier="2" item="8"/>
          <tpl fld="4" item="14"/>
          <tpl fld="6" item="3"/>
          <tpl hier="42" item="3"/>
          <tpl fld="2" item="1"/>
        </tpls>
      </n>
      <n v="26585.81" in="0">
        <tpls c="5">
          <tpl hier="2" item="8"/>
          <tpl fld="4" item="14"/>
          <tpl fld="6" item="2"/>
          <tpl hier="42" item="3"/>
          <tpl fld="2" item="1"/>
        </tpls>
      </n>
      <n v="66004.75999999998" in="0">
        <tpls c="5">
          <tpl hier="2" item="8"/>
          <tpl fld="4" item="14"/>
          <tpl fld="6" item="1"/>
          <tpl hier="42" item="3"/>
          <tpl fld="2" item="1"/>
        </tpls>
      </n>
      <m in="0">
        <tpls c="5">
          <tpl hier="2" item="8"/>
          <tpl fld="4" item="20"/>
          <tpl fld="6" item="17"/>
          <tpl hier="42" item="3"/>
          <tpl fld="2" item="1"/>
        </tpls>
      </m>
      <n v="9139.0400000000009" in="0">
        <tpls c="5">
          <tpl hier="2" item="8"/>
          <tpl fld="4" item="20"/>
          <tpl fld="6" item="9"/>
          <tpl hier="42" item="3"/>
          <tpl fld="2" item="1"/>
        </tpls>
      </n>
      <n v="5226.83" in="0">
        <tpls c="5">
          <tpl hier="2" item="8"/>
          <tpl fld="4" item="20"/>
          <tpl fld="6" item="8"/>
          <tpl hier="42" item="3"/>
          <tpl fld="2" item="1"/>
        </tpls>
      </n>
      <n v="3757.62" in="0">
        <tpls c="5">
          <tpl hier="2" item="8"/>
          <tpl fld="4" item="20"/>
          <tpl fld="6" item="7"/>
          <tpl hier="42" item="3"/>
          <tpl fld="2" item="1"/>
        </tpls>
      </n>
      <n v="5943.7100000000009" in="0">
        <tpls c="5">
          <tpl hier="2" item="8"/>
          <tpl fld="4" item="20"/>
          <tpl fld="6" item="6"/>
          <tpl hier="42" item="3"/>
          <tpl fld="2" item="1"/>
        </tpls>
      </n>
      <m in="0">
        <tpls c="5">
          <tpl hier="2" item="8"/>
          <tpl fld="4" item="20"/>
          <tpl fld="6" item="5"/>
          <tpl hier="42" item="3"/>
          <tpl fld="2" item="1"/>
        </tpls>
      </m>
      <n v="12284.54" in="0">
        <tpls c="5">
          <tpl hier="2" item="8"/>
          <tpl fld="4" item="20"/>
          <tpl fld="6" item="4"/>
          <tpl hier="42" item="3"/>
          <tpl fld="2" item="1"/>
        </tpls>
      </n>
      <n v="6244.1100000000006" in="0">
        <tpls c="5">
          <tpl hier="2" item="8"/>
          <tpl fld="4" item="20"/>
          <tpl fld="6" item="3"/>
          <tpl hier="42" item="3"/>
          <tpl fld="2" item="1"/>
        </tpls>
      </n>
      <n v="10216.34" in="0">
        <tpls c="5">
          <tpl hier="2" item="8"/>
          <tpl fld="4" item="20"/>
          <tpl fld="6" item="2"/>
          <tpl hier="42" item="3"/>
          <tpl fld="2" item="1"/>
        </tpls>
      </n>
      <n v="3857.08" in="0">
        <tpls c="5">
          <tpl hier="2" item="8"/>
          <tpl fld="4" item="20"/>
          <tpl fld="6" item="1"/>
          <tpl hier="42" item="3"/>
          <tpl fld="2" item="1"/>
        </tpls>
      </n>
      <m in="0">
        <tpls c="3">
          <tpl hier="2" item="8"/>
          <tpl hier="42" item="3"/>
          <tpl fld="2" item="0"/>
        </tpls>
      </m>
      <n v="460918.77999999991" in="0">
        <tpls c="6">
          <tpl fld="3" item="0"/>
          <tpl hier="2" item="8"/>
          <tpl hier="7" item="0"/>
          <tpl hier="9" item="1"/>
          <tpl hier="42" item="3"/>
          <tpl fld="2" item="1"/>
        </tpls>
      </n>
      <m>
        <tpls c="6">
          <tpl fld="3" item="1"/>
          <tpl hier="2" item="8"/>
          <tpl hier="7" item="0"/>
          <tpl hier="9" item="1"/>
          <tpl hier="42" item="3"/>
          <tpl fld="2" item="1"/>
        </tpls>
      </m>
      <n v="3.5572068057673982E-2" in="1">
        <tpls c="5">
          <tpl hier="2" item="8"/>
          <tpl hier="7" item="0"/>
          <tpl hier="9" item="1"/>
          <tpl hier="42" item="3"/>
          <tpl fld="2" item="2"/>
        </tpls>
      </n>
      <m in="1">
        <tpls c="5">
          <tpl hier="2" item="8"/>
          <tpl hier="7" item="0"/>
          <tpl hier="9" item="1"/>
          <tpl hier="42" item="3"/>
          <tpl fld="2" item="3"/>
        </tpls>
      </m>
      <m in="0">
        <tpls c="5">
          <tpl hier="2" item="8"/>
          <tpl hier="7" item="0"/>
          <tpl hier="9" item="1"/>
          <tpl hier="42" item="3"/>
          <tpl fld="2" item="0"/>
        </tpls>
      </m>
      <n v="8" in="0">
        <tpls c="5">
          <tpl hier="2" item="8"/>
          <tpl hier="7" item="0"/>
          <tpl hier="9" item="1"/>
          <tpl hier="42" item="3"/>
          <tpl fld="2" item="4"/>
        </tpls>
      </n>
      <m in="0">
        <tpls c="5">
          <tpl hier="2" item="8"/>
          <tpl hier="7" item="0"/>
          <tpl hier="9" item="1"/>
          <tpl hier="42" item="3"/>
          <tpl fld="2" item="5"/>
        </tpls>
      </m>
      <n v="1" in="0">
        <tpls c="6">
          <tpl fld="3" item="0"/>
          <tpl hier="2" item="8"/>
          <tpl hier="7" item="0"/>
          <tpl hier="9" item="1"/>
          <tpl hier="42" item="3"/>
          <tpl fld="2" item="6"/>
        </tpls>
      </n>
      <n v="1" in="0">
        <tpls c="5">
          <tpl hier="2" item="8"/>
          <tpl hier="7" item="0"/>
          <tpl hier="9" item="1"/>
          <tpl hier="42" item="3"/>
          <tpl fld="2" item="6"/>
        </tpls>
      </n>
      <n v="10275.960000000137" in="0">
        <tpls c="5">
          <tpl hier="2" item="8"/>
          <tpl hier="7" item="0"/>
          <tpl hier="9" item="1"/>
          <tpl hier="42" item="3"/>
          <tpl fld="2" item="7"/>
        </tpls>
      </n>
      <n v="2.218050877398409E-2" in="1">
        <tpls c="5">
          <tpl hier="2" item="8"/>
          <tpl hier="7" item="0"/>
          <tpl hier="9" item="1"/>
          <tpl hier="42" item="3"/>
          <tpl fld="2" item="8"/>
        </tpls>
      </n>
      <n v="10275.960000000137" in="0">
        <tpls c="5">
          <tpl hier="2" item="8"/>
          <tpl hier="7" item="0"/>
          <tpl hier="9" item="1"/>
          <tpl hier="42" item="3"/>
          <tpl fld="2" item="9"/>
        </tpls>
      </n>
      <n v="463287.84" in="0">
        <tpls c="5">
          <tpl hier="2" item="8"/>
          <tpl hier="7" item="0"/>
          <tpl hier="9" item="1"/>
          <tpl hier="42" item="3"/>
          <tpl fld="2" item="10"/>
        </tpls>
      </n>
      <n v="1.7154649242107255E-2" in="1">
        <tpls c="5">
          <tpl hier="2" item="8"/>
          <tpl hier="7" item="0"/>
          <tpl hier="9" item="1"/>
          <tpl hier="42" item="3"/>
          <tpl fld="2" item="11"/>
        </tpls>
      </n>
      <n v="266.42704046242767" in="0">
        <tpls c="5">
          <tpl hier="2" item="8"/>
          <tpl hier="7" item="0"/>
          <tpl hier="9" item="1"/>
          <tpl hier="42" item="3"/>
          <tpl fld="2" item="12"/>
        </tpls>
      </n>
      <n v="2057.6731249999998" in="0">
        <tpls c="5">
          <tpl hier="2" item="8"/>
          <tpl hier="7" item="0"/>
          <tpl hier="9" item="1"/>
          <tpl hier="42" item="3"/>
          <tpl fld="2" item="13"/>
        </tpls>
      </n>
      <n v="1730" in="0">
        <tpls c="5">
          <tpl hier="2" item="8"/>
          <tpl hier="7" item="0"/>
          <tpl hier="9" item="1"/>
          <tpl hier="42" item="3"/>
          <tpl fld="2" item="14"/>
        </tpls>
      </n>
      <n v="224" in="0">
        <tpls c="5">
          <tpl hier="2" item="8"/>
          <tpl hier="7" item="0"/>
          <tpl hier="9" item="1"/>
          <tpl hier="42" item="3"/>
          <tpl fld="2" item="15"/>
        </tpls>
      </n>
      <n v="453011.87999999989" in="0">
        <tpls c="5">
          <tpl hier="2" item="8"/>
          <tpl hier="7" item="0"/>
          <tpl hier="9" item="1"/>
          <tpl hier="42" item="3"/>
          <tpl fld="2" item="16"/>
        </tpls>
      </n>
      <n v="7906.9" in="0">
        <tpls c="5">
          <tpl hier="2" item="8"/>
          <tpl hier="7" item="0"/>
          <tpl hier="9" item="1"/>
          <tpl hier="42" item="3"/>
          <tpl fld="2" item="17"/>
        </tpls>
      </n>
      <n v="460918.77999999991" in="0">
        <tpls c="5">
          <tpl hier="2" item="8"/>
          <tpl hier="7" item="0"/>
          <tpl hier="9" item="1"/>
          <tpl hier="42" item="3"/>
          <tpl fld="2" item="1"/>
        </tpls>
      </n>
      <n v="17000.579999999991" in="0">
        <tpls c="5">
          <tpl hier="2" item="8"/>
          <tpl hier="7" item="0"/>
          <tpl hier="9" item="1"/>
          <tpl hier="42" item="3"/>
          <tpl fld="2" item="18"/>
        </tpls>
      </n>
      <n v="477919.35999999993" in="0">
        <tpls c="5">
          <tpl hier="2" item="8"/>
          <tpl hier="7" item="0"/>
          <tpl hier="9" item="1"/>
          <tpl hier="42" item="3"/>
          <tpl fld="2" item="19"/>
        </tpls>
      </n>
      <n v="196471.63999999998" in="0">
        <tpls c="5">
          <tpl hier="2" item="8"/>
          <tpl hier="7" item="0"/>
          <tpl hier="9" item="1"/>
          <tpl hier="42" item="3"/>
          <tpl fld="2" item="20"/>
        </tpls>
      </n>
      <n v="1833867.9200000002" in="0">
        <tpls c="5">
          <tpl hier="2" item="8"/>
          <tpl hier="7" item="0"/>
          <tpl hier="9" item="1"/>
          <tpl hier="42" item="3"/>
          <tpl fld="2" item="21"/>
        </tpls>
      </n>
      <n v="602" in="0">
        <tpls c="4">
          <tpl hier="2" item="8"/>
          <tpl fld="4" item="0"/>
          <tpl hier="42" item="3"/>
          <tpl fld="2" item="15"/>
        </tpls>
      </n>
      <n v="3" in="0">
        <tpls c="5">
          <tpl fld="3" item="0"/>
          <tpl hier="2" item="8"/>
          <tpl fld="4" item="0"/>
          <tpl hier="42" item="3"/>
          <tpl fld="2" item="6"/>
        </tpls>
      </n>
      <n v="690" in="0">
        <tpls c="4">
          <tpl hier="2" item="8"/>
          <tpl fld="4" item="1"/>
          <tpl hier="42" item="3"/>
          <tpl fld="2" item="15"/>
        </tpls>
      </n>
      <n v="3" in="0">
        <tpls c="5">
          <tpl fld="3" item="0"/>
          <tpl hier="2" item="8"/>
          <tpl fld="4" item="1"/>
          <tpl hier="42" item="3"/>
          <tpl fld="2" item="6"/>
        </tpls>
      </n>
      <n v="242" in="0">
        <tpls c="4">
          <tpl hier="2" item="8"/>
          <tpl fld="4" item="2"/>
          <tpl hier="42" item="3"/>
          <tpl fld="2" item="15"/>
        </tpls>
      </n>
      <n v="3" in="0">
        <tpls c="5">
          <tpl fld="3" item="0"/>
          <tpl hier="2" item="8"/>
          <tpl fld="4" item="2"/>
          <tpl hier="42" item="3"/>
          <tpl fld="2" item="6"/>
        </tpls>
      </n>
      <n v="559" in="0">
        <tpls c="4">
          <tpl hier="2" item="8"/>
          <tpl fld="4" item="3"/>
          <tpl hier="42" item="3"/>
          <tpl fld="2" item="15"/>
        </tpls>
      </n>
      <n v="0" in="0">
        <tpls c="5">
          <tpl fld="3" item="0"/>
          <tpl hier="2" item="8"/>
          <tpl fld="4" item="3"/>
          <tpl hier="42" item="3"/>
          <tpl fld="2" item="6"/>
        </tpls>
      </n>
      <n v="352" in="0">
        <tpls c="4">
          <tpl hier="2" item="8"/>
          <tpl fld="4" item="4"/>
          <tpl hier="42" item="3"/>
          <tpl fld="2" item="15"/>
        </tpls>
      </n>
      <n v="0" in="0">
        <tpls c="5">
          <tpl fld="3" item="0"/>
          <tpl hier="2" item="8"/>
          <tpl fld="4" item="4"/>
          <tpl hier="42" item="3"/>
          <tpl fld="2" item="6"/>
        </tpls>
      </n>
      <n v="57" in="0">
        <tpls c="4">
          <tpl hier="2" item="8"/>
          <tpl fld="4" item="5"/>
          <tpl hier="42" item="3"/>
          <tpl fld="2" item="15"/>
        </tpls>
      </n>
      <n v="0" in="0">
        <tpls c="5">
          <tpl fld="3" item="0"/>
          <tpl hier="2" item="8"/>
          <tpl fld="4" item="5"/>
          <tpl hier="42" item="3"/>
          <tpl fld="2" item="6"/>
        </tpls>
      </n>
      <n v="178" in="0">
        <tpls c="4">
          <tpl hier="2" item="8"/>
          <tpl fld="4" item="6"/>
          <tpl hier="42" item="3"/>
          <tpl fld="2" item="15"/>
        </tpls>
      </n>
      <n v="1" in="0">
        <tpls c="5">
          <tpl fld="3" item="0"/>
          <tpl hier="2" item="8"/>
          <tpl fld="4" item="6"/>
          <tpl hier="42" item="3"/>
          <tpl fld="2" item="6"/>
        </tpls>
      </n>
      <n v="858" in="0">
        <tpls c="4">
          <tpl hier="2" item="8"/>
          <tpl fld="4" item="7"/>
          <tpl hier="42" item="3"/>
          <tpl fld="2" item="15"/>
        </tpls>
      </n>
      <n v="10" in="0">
        <tpls c="5">
          <tpl fld="3" item="0"/>
          <tpl hier="2" item="8"/>
          <tpl fld="4" item="7"/>
          <tpl hier="42" item="3"/>
          <tpl fld="2" item="6"/>
        </tpls>
      </n>
      <n v="647" in="0">
        <tpls c="4">
          <tpl hier="2" item="8"/>
          <tpl fld="4" item="8"/>
          <tpl hier="42" item="3"/>
          <tpl fld="2" item="15"/>
        </tpls>
      </n>
      <n v="2" in="0">
        <tpls c="5">
          <tpl fld="3" item="0"/>
          <tpl hier="2" item="8"/>
          <tpl fld="4" item="8"/>
          <tpl hier="42" item="3"/>
          <tpl fld="2" item="6"/>
        </tpls>
      </n>
      <n v="590" in="0">
        <tpls c="4">
          <tpl hier="2" item="8"/>
          <tpl fld="4" item="9"/>
          <tpl hier="42" item="3"/>
          <tpl fld="2" item="15"/>
        </tpls>
      </n>
      <n v="2" in="0">
        <tpls c="5">
          <tpl fld="3" item="0"/>
          <tpl hier="2" item="8"/>
          <tpl fld="4" item="9"/>
          <tpl hier="42" item="3"/>
          <tpl fld="2" item="6"/>
        </tpls>
      </n>
      <n v="163" in="0">
        <tpls c="4">
          <tpl hier="2" item="8"/>
          <tpl fld="4" item="10"/>
          <tpl hier="42" item="3"/>
          <tpl fld="2" item="15"/>
        </tpls>
      </n>
      <n v="0" in="0">
        <tpls c="5">
          <tpl fld="3" item="0"/>
          <tpl hier="2" item="8"/>
          <tpl fld="4" item="10"/>
          <tpl hier="42" item="3"/>
          <tpl fld="2" item="6"/>
        </tpls>
      </n>
      <n v="224" in="0">
        <tpls c="4">
          <tpl hier="2" item="8"/>
          <tpl fld="4" item="11"/>
          <tpl hier="42" item="3"/>
          <tpl fld="2" item="15"/>
        </tpls>
      </n>
      <n v="1" in="0">
        <tpls c="5">
          <tpl fld="3" item="0"/>
          <tpl hier="2" item="8"/>
          <tpl fld="4" item="11"/>
          <tpl hier="42" item="3"/>
          <tpl fld="2" item="6"/>
        </tpls>
      </n>
      <n v="542" in="0">
        <tpls c="4">
          <tpl hier="2" item="8"/>
          <tpl fld="4" item="12"/>
          <tpl hier="42" item="3"/>
          <tpl fld="2" item="15"/>
        </tpls>
      </n>
      <n v="2" in="0">
        <tpls c="5">
          <tpl fld="3" item="0"/>
          <tpl hier="2" item="8"/>
          <tpl fld="4" item="12"/>
          <tpl hier="42" item="3"/>
          <tpl fld="2" item="6"/>
        </tpls>
      </n>
      <n v="121" in="0">
        <tpls c="4">
          <tpl hier="2" item="8"/>
          <tpl fld="4" item="13"/>
          <tpl hier="42" item="3"/>
          <tpl fld="2" item="15"/>
        </tpls>
      </n>
      <n v="0" in="0">
        <tpls c="5">
          <tpl fld="3" item="0"/>
          <tpl hier="2" item="8"/>
          <tpl fld="4" item="13"/>
          <tpl hier="42" item="3"/>
          <tpl fld="2" item="6"/>
        </tpls>
      </n>
      <n v="957" in="0">
        <tpls c="4">
          <tpl hier="2" item="8"/>
          <tpl fld="4" item="14"/>
          <tpl hier="42" item="3"/>
          <tpl fld="2" item="15"/>
        </tpls>
      </n>
      <n v="2" in="0">
        <tpls c="5">
          <tpl fld="3" item="0"/>
          <tpl hier="2" item="8"/>
          <tpl fld="4" item="14"/>
          <tpl hier="42" item="3"/>
          <tpl fld="2" item="6"/>
        </tpls>
      </n>
      <n v="303" in="0">
        <tpls c="4">
          <tpl hier="2" item="8"/>
          <tpl fld="4" item="15"/>
          <tpl hier="42" item="3"/>
          <tpl fld="2" item="15"/>
        </tpls>
      </n>
      <n v="2" in="0">
        <tpls c="5">
          <tpl fld="3" item="0"/>
          <tpl hier="2" item="8"/>
          <tpl fld="4" item="15"/>
          <tpl hier="42" item="3"/>
          <tpl fld="2" item="6"/>
        </tpls>
      </n>
      <n v="601" in="0">
        <tpls c="4">
          <tpl hier="2" item="8"/>
          <tpl fld="4" item="16"/>
          <tpl hier="42" item="3"/>
          <tpl fld="2" item="15"/>
        </tpls>
      </n>
      <n v="0" in="0">
        <tpls c="5">
          <tpl fld="3" item="0"/>
          <tpl hier="2" item="8"/>
          <tpl fld="4" item="16"/>
          <tpl hier="42" item="3"/>
          <tpl fld="2" item="6"/>
        </tpls>
      </n>
      <n v="776" in="0">
        <tpls c="4">
          <tpl hier="2" item="8"/>
          <tpl fld="4" item="17"/>
          <tpl hier="42" item="3"/>
          <tpl fld="2" item="15"/>
        </tpls>
      </n>
      <n v="3" in="0">
        <tpls c="5">
          <tpl fld="3" item="0"/>
          <tpl hier="2" item="8"/>
          <tpl fld="4" item="17"/>
          <tpl hier="42" item="3"/>
          <tpl fld="2" item="6"/>
        </tpls>
      </n>
      <n v="593" in="0">
        <tpls c="4">
          <tpl hier="2" item="8"/>
          <tpl fld="4" item="18"/>
          <tpl hier="42" item="3"/>
          <tpl fld="2" item="15"/>
        </tpls>
      </n>
      <n v="0" in="0">
        <tpls c="5">
          <tpl fld="3" item="0"/>
          <tpl hier="2" item="8"/>
          <tpl fld="4" item="18"/>
          <tpl hier="42" item="3"/>
          <tpl fld="2" item="6"/>
        </tpls>
      </n>
      <n v="57" in="0">
        <tpls c="4">
          <tpl hier="2" item="8"/>
          <tpl fld="4" item="19"/>
          <tpl hier="42" item="3"/>
          <tpl fld="2" item="15"/>
        </tpls>
      </n>
      <n v="1" in="0">
        <tpls c="5">
          <tpl fld="3" item="0"/>
          <tpl hier="2" item="8"/>
          <tpl fld="4" item="19"/>
          <tpl hier="42" item="3"/>
          <tpl fld="2" item="6"/>
        </tpls>
      </n>
      <n v="111" in="0">
        <tpls c="4">
          <tpl hier="2" item="8"/>
          <tpl fld="4" item="20"/>
          <tpl hier="42" item="3"/>
          <tpl fld="2" item="15"/>
        </tpls>
      </n>
      <n v="0" in="0">
        <tpls c="5">
          <tpl fld="3" item="0"/>
          <tpl hier="2" item="8"/>
          <tpl fld="4" item="20"/>
          <tpl hier="42" item="3"/>
          <tpl fld="2" item="6"/>
        </tpls>
      </n>
      <n v="273" in="0">
        <tpls c="4">
          <tpl hier="2" item="8"/>
          <tpl fld="4" item="21"/>
          <tpl hier="42" item="3"/>
          <tpl fld="2" item="15"/>
        </tpls>
      </n>
      <n v="3" in="0">
        <tpls c="5">
          <tpl fld="3" item="0"/>
          <tpl hier="2" item="8"/>
          <tpl fld="4" item="21"/>
          <tpl hier="42" item="3"/>
          <tpl fld="2" item="6"/>
        </tpls>
      </n>
      <n v="736" in="0">
        <tpls c="4">
          <tpl hier="2" item="8"/>
          <tpl fld="4" item="22"/>
          <tpl hier="42" item="3"/>
          <tpl fld="2" item="15"/>
        </tpls>
      </n>
      <n v="1" in="0">
        <tpls c="5">
          <tpl fld="3" item="0"/>
          <tpl hier="2" item="8"/>
          <tpl fld="4" item="22"/>
          <tpl hier="42" item="3"/>
          <tpl fld="2" item="6"/>
        </tpls>
      </n>
      <n v="124" in="0">
        <tpls c="4">
          <tpl hier="2" item="8"/>
          <tpl fld="4" item="23"/>
          <tpl hier="42" item="3"/>
          <tpl fld="2" item="15"/>
        </tpls>
      </n>
      <n v="0" in="0">
        <tpls c="5">
          <tpl fld="3" item="0"/>
          <tpl hier="2" item="8"/>
          <tpl fld="4" item="23"/>
          <tpl hier="42" item="3"/>
          <tpl fld="2" item="6"/>
        </tpls>
      </n>
      <n v="1186869.6099999971" in="0">
        <tpls c="4">
          <tpl hier="2" item="8"/>
          <tpl fld="4" item="0"/>
          <tpl hier="42" item="3"/>
          <tpl fld="2" item="16"/>
        </tpls>
      </n>
      <n v="2006.6017940199285" in="0">
        <tpls c="4">
          <tpl hier="2" item="8"/>
          <tpl fld="4" item="0"/>
          <tpl hier="42" item="3"/>
          <tpl fld="2" item="13"/>
        </tpls>
      </n>
      <n v="5918.1800000029616" in="0">
        <tpls c="4">
          <tpl hier="2" item="8"/>
          <tpl fld="4" item="0"/>
          <tpl hier="42" item="3"/>
          <tpl fld="2" item="7"/>
        </tpls>
      </n>
      <n v="1.7471125295813461E-2" in="1">
        <tpls c="4">
          <tpl hier="2" item="8"/>
          <tpl fld="4" item="0"/>
          <tpl hier="42" item="3"/>
          <tpl fld="2" item="11"/>
        </tpls>
      </n>
      <n v="19" in="0">
        <tpls c="4">
          <tpl hier="2" item="8"/>
          <tpl fld="4" item="0"/>
          <tpl hier="42" item="3"/>
          <tpl fld="2" item="4"/>
        </tpls>
      </n>
      <m in="0">
        <tpls c="4">
          <tpl hier="2" item="8"/>
          <tpl fld="4" item="0"/>
          <tpl hier="42" item="3"/>
          <tpl fld="2" item="0"/>
        </tpls>
      </m>
      <n v="1464662.7999999914" in="0">
        <tpls c="4">
          <tpl hier="2" item="8"/>
          <tpl fld="4" item="1"/>
          <tpl hier="42" item="3"/>
          <tpl fld="2" item="16"/>
        </tpls>
      </n>
      <n v="2173.8737681159296" in="0">
        <tpls c="4">
          <tpl hier="2" item="8"/>
          <tpl fld="4" item="1"/>
          <tpl hier="42" item="3"/>
          <tpl fld="2" item="13"/>
        </tpls>
      </n>
      <n v="970.07000000867993" in="0">
        <tpls c="4">
          <tpl hier="2" item="8"/>
          <tpl fld="4" item="1"/>
          <tpl hier="42" item="3"/>
          <tpl fld="2" item="7"/>
        </tpls>
      </n>
      <n v="2.3540491964888298E-2" in="1">
        <tpls c="4">
          <tpl hier="2" item="8"/>
          <tpl fld="4" item="1"/>
          <tpl hier="42" item="3"/>
          <tpl fld="2" item="11"/>
        </tpls>
      </n>
      <n v="17" in="0">
        <tpls c="4">
          <tpl hier="2" item="8"/>
          <tpl fld="4" item="1"/>
          <tpl hier="42" item="3"/>
          <tpl fld="2" item="4"/>
        </tpls>
      </n>
      <m in="0">
        <tpls c="4">
          <tpl hier="2" item="8"/>
          <tpl fld="4" item="1"/>
          <tpl hier="42" item="3"/>
          <tpl fld="2" item="0"/>
        </tpls>
      </m>
      <n v="450171.38999999955" in="0">
        <tpls c="4">
          <tpl hier="2" item="8"/>
          <tpl fld="4" item="2"/>
          <tpl hier="42" item="3"/>
          <tpl fld="2" item="16"/>
        </tpls>
      </n>
      <n v="1980.8279338842958" in="0">
        <tpls c="4">
          <tpl hier="2" item="8"/>
          <tpl fld="4" item="2"/>
          <tpl hier="42" item="3"/>
          <tpl fld="2" item="13"/>
        </tpls>
      </n>
      <n v="-1236.949999999546" in="0">
        <tpls c="4">
          <tpl hier="2" item="8"/>
          <tpl fld="4" item="2"/>
          <tpl hier="42" item="3"/>
          <tpl fld="2" item="7"/>
        </tpls>
      </n>
      <n v="6.0891497160925089E-2" in="1">
        <tpls c="4">
          <tpl hier="2" item="8"/>
          <tpl fld="4" item="2"/>
          <tpl hier="42" item="3"/>
          <tpl fld="2" item="11"/>
        </tpls>
      </n>
      <n v="5" in="0">
        <tpls c="4">
          <tpl hier="2" item="8"/>
          <tpl fld="4" item="2"/>
          <tpl hier="42" item="3"/>
          <tpl fld="2" item="4"/>
        </tpls>
      </n>
      <m in="0">
        <tpls c="4">
          <tpl hier="2" item="8"/>
          <tpl fld="4" item="2"/>
          <tpl hier="42" item="3"/>
          <tpl fld="2" item="0"/>
        </tpls>
      </m>
      <n v="1021993.5899999971" in="0">
        <tpls c="4">
          <tpl hier="2" item="8"/>
          <tpl fld="4" item="3"/>
          <tpl hier="42" item="3"/>
          <tpl fld="2" item="16"/>
        </tpls>
      </n>
      <n v="1882.1451699463275" in="0">
        <tpls c="4">
          <tpl hier="2" item="8"/>
          <tpl fld="4" item="3"/>
          <tpl hier="42" item="3"/>
          <tpl fld="2" item="13"/>
        </tpls>
      </n>
      <n v="541.99000000290107" in="0">
        <tpls c="4">
          <tpl hier="2" item="8"/>
          <tpl fld="4" item="3"/>
          <tpl hier="42" item="3"/>
          <tpl fld="2" item="7"/>
        </tpls>
      </n>
      <n v="2.8633220866667131E-2" in="1">
        <tpls c="4">
          <tpl hier="2" item="8"/>
          <tpl fld="4" item="3"/>
          <tpl hier="42" item="3"/>
          <tpl fld="2" item="11"/>
        </tpls>
      </n>
      <n v="19" in="0">
        <tpls c="4">
          <tpl hier="2" item="8"/>
          <tpl fld="4" item="3"/>
          <tpl hier="42" item="3"/>
          <tpl fld="2" item="4"/>
        </tpls>
      </n>
      <m in="0">
        <tpls c="4">
          <tpl hier="2" item="8"/>
          <tpl fld="4" item="3"/>
          <tpl hier="42" item="3"/>
          <tpl fld="2" item="0"/>
        </tpls>
      </m>
      <n v="647273.79999999888" in="0">
        <tpls c="4">
          <tpl hier="2" item="8"/>
          <tpl fld="4" item="4"/>
          <tpl hier="42" item="3"/>
          <tpl fld="2" item="16"/>
        </tpls>
      </n>
      <n v="1877.0315909090875" in="0">
        <tpls c="4">
          <tpl hier="2" item="8"/>
          <tpl fld="4" item="4"/>
          <tpl hier="42" item="3"/>
          <tpl fld="2" item="13"/>
        </tpls>
      </n>
      <n v="9.99000000115484" in="0">
        <tpls c="4">
          <tpl hier="2" item="8"/>
          <tpl fld="4" item="4"/>
          <tpl hier="42" item="3"/>
          <tpl fld="2" item="7"/>
        </tpls>
      </n>
      <n v="2.0343593771548658E-2" in="1">
        <tpls c="4">
          <tpl hier="2" item="8"/>
          <tpl fld="4" item="4"/>
          <tpl hier="42" item="3"/>
          <tpl fld="2" item="11"/>
        </tpls>
      </n>
      <n v="3" in="0">
        <tpls c="4">
          <tpl hier="2" item="8"/>
          <tpl fld="4" item="4"/>
          <tpl hier="42" item="3"/>
          <tpl fld="2" item="4"/>
        </tpls>
      </n>
      <m in="0">
        <tpls c="4">
          <tpl hier="2" item="8"/>
          <tpl fld="4" item="4"/>
          <tpl hier="42" item="3"/>
          <tpl fld="2" item="0"/>
        </tpls>
      </m>
      <n v="138206.69" in="0">
        <tpls c="4">
          <tpl hier="2" item="8"/>
          <tpl fld="4" item="5"/>
          <tpl hier="42" item="3"/>
          <tpl fld="2" item="16"/>
        </tpls>
      </n>
      <n v="2583.5759649122806" in="0">
        <tpls c="4">
          <tpl hier="2" item="8"/>
          <tpl fld="4" item="5"/>
          <tpl hier="42" item="3"/>
          <tpl fld="2" item="13"/>
        </tpls>
      </n>
      <n v="0" in="0">
        <tpls c="4">
          <tpl hier="2" item="8"/>
          <tpl fld="4" item="5"/>
          <tpl hier="42" item="3"/>
          <tpl fld="2" item="7"/>
        </tpls>
      </n>
      <n v="6.1502814370643491E-2" in="1">
        <tpls c="4">
          <tpl hier="2" item="8"/>
          <tpl fld="4" item="5"/>
          <tpl hier="42" item="3"/>
          <tpl fld="2" item="11"/>
        </tpls>
      </n>
      <m in="0">
        <tpls c="4">
          <tpl hier="2" item="8"/>
          <tpl fld="4" item="5"/>
          <tpl hier="42" item="3"/>
          <tpl fld="2" item="4"/>
        </tpls>
      </m>
      <m in="0">
        <tpls c="4">
          <tpl hier="2" item="8"/>
          <tpl fld="4" item="5"/>
          <tpl hier="42" item="3"/>
          <tpl fld="2" item="0"/>
        </tpls>
      </m>
      <n v="361701.83999999939" in="0">
        <tpls c="4">
          <tpl hier="2" item="8"/>
          <tpl fld="4" item="6"/>
          <tpl hier="42" item="3"/>
          <tpl fld="2" item="16"/>
        </tpls>
      </n>
      <n v="2114.342247191008" in="0">
        <tpls c="4">
          <tpl hier="2" item="8"/>
          <tpl fld="4" item="6"/>
          <tpl hier="42" item="3"/>
          <tpl fld="2" item="13"/>
        </tpls>
      </n>
      <n v="2831.9300000006333" in="0">
        <tpls c="4">
          <tpl hier="2" item="8"/>
          <tpl fld="4" item="6"/>
          <tpl hier="42" item="3"/>
          <tpl fld="2" item="7"/>
        </tpls>
      </n>
      <n v="3.8929098783131597E-2" in="1">
        <tpls c="4">
          <tpl hier="2" item="8"/>
          <tpl fld="4" item="6"/>
          <tpl hier="42" item="3"/>
          <tpl fld="2" item="11"/>
        </tpls>
      </n>
      <n v="6" in="0">
        <tpls c="4">
          <tpl hier="2" item="8"/>
          <tpl fld="4" item="6"/>
          <tpl hier="42" item="3"/>
          <tpl fld="2" item="4"/>
        </tpls>
      </n>
      <m in="0">
        <tpls c="4">
          <tpl hier="2" item="8"/>
          <tpl fld="4" item="6"/>
          <tpl hier="42" item="3"/>
          <tpl fld="2" item="0"/>
        </tpls>
      </m>
      <n v="1742555.4499999895" in="0">
        <tpls c="4">
          <tpl hier="2" item="8"/>
          <tpl fld="4" item="7"/>
          <tpl hier="42" item="3"/>
          <tpl fld="2" item="16"/>
        </tpls>
      </n>
      <n v="2055.65586247085" in="0">
        <tpls c="4">
          <tpl hier="2" item="8"/>
          <tpl fld="4" item="7"/>
          <tpl hier="42" item="3"/>
          <tpl fld="2" item="13"/>
        </tpls>
      </n>
      <n v="-11318.53999998956" in="0">
        <tpls c="4">
          <tpl hier="2" item="8"/>
          <tpl fld="4" item="7"/>
          <tpl hier="42" item="3"/>
          <tpl fld="2" item="7"/>
        </tpls>
      </n>
      <n v="1.2018283311176008E-2" in="1">
        <tpls c="4">
          <tpl hier="2" item="8"/>
          <tpl fld="4" item="7"/>
          <tpl hier="42" item="3"/>
          <tpl fld="2" item="11"/>
        </tpls>
      </n>
      <n v="21" in="0">
        <tpls c="4">
          <tpl hier="2" item="8"/>
          <tpl fld="4" item="7"/>
          <tpl hier="42" item="3"/>
          <tpl fld="2" item="4"/>
        </tpls>
      </n>
      <m in="0">
        <tpls c="4">
          <tpl hier="2" item="8"/>
          <tpl fld="4" item="7"/>
          <tpl hier="42" item="3"/>
          <tpl fld="2" item="0"/>
        </tpls>
      </m>
      <n v="1196492.9299999946" in="0">
        <tpls c="4">
          <tpl hier="2" item="8"/>
          <tpl fld="4" item="8"/>
          <tpl hier="42" item="3"/>
          <tpl fld="2" item="16"/>
        </tpls>
      </n>
      <n v="1890.3349768160658" in="0">
        <tpls c="4">
          <tpl hier="2" item="8"/>
          <tpl fld="4" item="8"/>
          <tpl hier="42" item="3"/>
          <tpl fld="2" item="13"/>
        </tpls>
      </n>
      <n v="2699.4100000055041" in="0">
        <tpls c="4">
          <tpl hier="2" item="8"/>
          <tpl fld="4" item="8"/>
          <tpl hier="42" item="3"/>
          <tpl fld="2" item="7"/>
        </tpls>
      </n>
      <n v="2.1711190054038342E-2" in="1">
        <tpls c="4">
          <tpl hier="2" item="8"/>
          <tpl fld="4" item="8"/>
          <tpl hier="42" item="3"/>
          <tpl fld="2" item="11"/>
        </tpls>
      </n>
      <n v="18" in="0">
        <tpls c="4">
          <tpl hier="2" item="8"/>
          <tpl fld="4" item="8"/>
          <tpl hier="42" item="3"/>
          <tpl fld="2" item="4"/>
        </tpls>
      </n>
      <m in="0">
        <tpls c="4">
          <tpl hier="2" item="8"/>
          <tpl fld="4" item="8"/>
          <tpl hier="42" item="3"/>
          <tpl fld="2" item="0"/>
        </tpls>
      </m>
      <n v="1148923.4799999965" in="0">
        <tpls c="4">
          <tpl hier="2" item="8"/>
          <tpl fld="4" item="9"/>
          <tpl hier="42" item="3"/>
          <tpl fld="2" item="16"/>
        </tpls>
      </n>
      <n v="1994.3433220338925" in="0">
        <tpls c="4">
          <tpl hier="2" item="8"/>
          <tpl fld="4" item="9"/>
          <tpl hier="42" item="3"/>
          <tpl fld="2" item="13"/>
        </tpls>
      </n>
      <n v="2935.3800000036135" in="0">
        <tpls c="4">
          <tpl hier="2" item="8"/>
          <tpl fld="4" item="9"/>
          <tpl hier="42" item="3"/>
          <tpl fld="2" item="7"/>
        </tpls>
      </n>
      <n v="2.3574371228400504E-2" in="1">
        <tpls c="4">
          <tpl hier="2" item="8"/>
          <tpl fld="4" item="9"/>
          <tpl hier="42" item="3"/>
          <tpl fld="2" item="11"/>
        </tpls>
      </n>
      <n v="23" in="0">
        <tpls c="4">
          <tpl hier="2" item="8"/>
          <tpl fld="4" item="9"/>
          <tpl hier="42" item="3"/>
          <tpl fld="2" item="4"/>
        </tpls>
      </n>
      <m in="0">
        <tpls c="4">
          <tpl hier="2" item="8"/>
          <tpl fld="4" item="9"/>
          <tpl hier="42" item="3"/>
          <tpl fld="2" item="0"/>
        </tpls>
      </m>
      <n v="323146.26000000013" in="0">
        <tpls c="4">
          <tpl hier="2" item="8"/>
          <tpl fld="4" item="10"/>
          <tpl hier="42" item="3"/>
          <tpl fld="2" item="16"/>
        </tpls>
      </n>
      <n v="2021.1357668711664" in="0">
        <tpls c="4">
          <tpl hier="2" item="8"/>
          <tpl fld="4" item="10"/>
          <tpl hier="42" item="3"/>
          <tpl fld="2" item="13"/>
        </tpls>
      </n>
      <n v="-1.1641532182693481E-10" in="0">
        <tpls c="4">
          <tpl hier="2" item="8"/>
          <tpl fld="4" item="10"/>
          <tpl hier="42" item="3"/>
          <tpl fld="2" item="7"/>
        </tpls>
      </n>
      <n v="1.9119633063023264E-2" in="1">
        <tpls c="4">
          <tpl hier="2" item="8"/>
          <tpl fld="4" item="10"/>
          <tpl hier="42" item="3"/>
          <tpl fld="2" item="11"/>
        </tpls>
      </n>
      <n v="3" in="0">
        <tpls c="4">
          <tpl hier="2" item="8"/>
          <tpl fld="4" item="10"/>
          <tpl hier="42" item="3"/>
          <tpl fld="2" item="4"/>
        </tpls>
      </n>
      <m in="0">
        <tpls c="4">
          <tpl hier="2" item="8"/>
          <tpl fld="4" item="10"/>
          <tpl hier="42" item="3"/>
          <tpl fld="2" item="0"/>
        </tpls>
      </m>
      <n v="453011.87999999995" in="0">
        <tpls c="4">
          <tpl hier="2" item="8"/>
          <tpl fld="4" item="11"/>
          <tpl hier="42" item="3"/>
          <tpl fld="2" item="16"/>
        </tpls>
      </n>
      <n v="2057.6731249999998" in="0">
        <tpls c="4">
          <tpl hier="2" item="8"/>
          <tpl fld="4" item="11"/>
          <tpl hier="42" item="3"/>
          <tpl fld="2" item="13"/>
        </tpls>
      </n>
      <n v="10275.960000000079" in="0">
        <tpls c="4">
          <tpl hier="2" item="8"/>
          <tpl fld="4" item="11"/>
          <tpl hier="42" item="3"/>
          <tpl fld="2" item="7"/>
        </tpls>
      </n>
      <n v="1.7154649242107255E-2" in="1">
        <tpls c="4">
          <tpl hier="2" item="8"/>
          <tpl fld="4" item="11"/>
          <tpl hier="42" item="3"/>
          <tpl fld="2" item="11"/>
        </tpls>
      </n>
      <n v="8" in="0">
        <tpls c="4">
          <tpl hier="2" item="8"/>
          <tpl fld="4" item="11"/>
          <tpl hier="42" item="3"/>
          <tpl fld="2" item="4"/>
        </tpls>
      </n>
      <m in="0">
        <tpls c="4">
          <tpl hier="2" item="8"/>
          <tpl fld="4" item="11"/>
          <tpl hier="42" item="3"/>
          <tpl fld="2" item="0"/>
        </tpls>
      </m>
      <n v="1068810.9199999978" in="0">
        <tpls c="4">
          <tpl hier="2" item="8"/>
          <tpl fld="4" item="12"/>
          <tpl hier="42" item="3"/>
          <tpl fld="2" item="16"/>
        </tpls>
      </n>
      <n v="2034.2568634686309" in="0">
        <tpls c="4">
          <tpl hier="2" item="8"/>
          <tpl fld="4" item="12"/>
          <tpl hier="42" item="3"/>
          <tpl fld="2" item="13"/>
        </tpls>
      </n>
      <n v="3814.9200000022538" in="0">
        <tpls c="4">
          <tpl hier="2" item="8"/>
          <tpl fld="4" item="12"/>
          <tpl hier="42" item="3"/>
          <tpl fld="2" item="7"/>
        </tpls>
      </n>
      <n v="3.0616092504545951E-2" in="1">
        <tpls c="4">
          <tpl hier="2" item="8"/>
          <tpl fld="4" item="12"/>
          <tpl hier="42" item="3"/>
          <tpl fld="2" item="11"/>
        </tpls>
      </n>
      <n v="18" in="0">
        <tpls c="4">
          <tpl hier="2" item="8"/>
          <tpl fld="4" item="12"/>
          <tpl hier="42" item="3"/>
          <tpl fld="2" item="4"/>
        </tpls>
      </n>
      <m in="0">
        <tpls c="4">
          <tpl hier="2" item="8"/>
          <tpl fld="4" item="12"/>
          <tpl hier="42" item="3"/>
          <tpl fld="2" item="0"/>
        </tpls>
      </m>
      <n v="178958.01000000013" in="0">
        <tpls c="4">
          <tpl hier="2" item="8"/>
          <tpl fld="4" item="13"/>
          <tpl hier="42" item="3"/>
          <tpl fld="2" item="16"/>
        </tpls>
      </n>
      <n v="1510.6448760330588" in="0">
        <tpls c="4">
          <tpl hier="2" item="8"/>
          <tpl fld="4" item="13"/>
          <tpl hier="42" item="3"/>
          <tpl fld="2" item="13"/>
        </tpls>
      </n>
      <n v="-1.1641532182693481E-10" in="0">
        <tpls c="4">
          <tpl hier="2" item="8"/>
          <tpl fld="4" item="13"/>
          <tpl hier="42" item="3"/>
          <tpl fld="2" item="7"/>
        </tpls>
      </n>
      <n v="2.0953341419566684E-2" in="1">
        <tpls c="4">
          <tpl hier="2" item="8"/>
          <tpl fld="4" item="13"/>
          <tpl hier="42" item="3"/>
          <tpl fld="2" item="11"/>
        </tpls>
      </n>
      <n v="1" in="0">
        <tpls c="4">
          <tpl hier="2" item="8"/>
          <tpl fld="4" item="13"/>
          <tpl hier="42" item="3"/>
          <tpl fld="2" item="4"/>
        </tpls>
      </n>
      <m in="0">
        <tpls c="4">
          <tpl hier="2" item="8"/>
          <tpl fld="4" item="13"/>
          <tpl hier="42" item="3"/>
          <tpl fld="2" item="0"/>
        </tpls>
      </m>
      <n v="1833867.9199999867" in="0">
        <tpls c="4">
          <tpl hier="2" item="8"/>
          <tpl fld="4" item="14"/>
          <tpl hier="42" item="3"/>
          <tpl fld="2" item="16"/>
        </tpls>
      </n>
      <n v="1963.474169278983" in="0">
        <tpls c="4">
          <tpl hier="2" item="8"/>
          <tpl fld="4" item="14"/>
          <tpl hier="42" item="3"/>
          <tpl fld="2" item="13"/>
        </tpls>
      </n>
      <n v="4364.6900000134483" in="0">
        <tpls c="4">
          <tpl hier="2" item="8"/>
          <tpl fld="4" item="14"/>
          <tpl hier="42" item="3"/>
          <tpl fld="2" item="7"/>
        </tpls>
      </n>
      <n v="2.4042460552749743E-2" in="1">
        <tpls c="4">
          <tpl hier="2" item="8"/>
          <tpl fld="4" item="14"/>
          <tpl hier="42" item="3"/>
          <tpl fld="2" item="11"/>
        </tpls>
      </n>
      <n v="23" in="0">
        <tpls c="4">
          <tpl hier="2" item="8"/>
          <tpl fld="4" item="14"/>
          <tpl hier="42" item="3"/>
          <tpl fld="2" item="4"/>
        </tpls>
      </n>
      <m in="0">
        <tpls c="4">
          <tpl hier="2" item="8"/>
          <tpl fld="4" item="14"/>
          <tpl hier="42" item="3"/>
          <tpl fld="2" item="0"/>
        </tpls>
      </m>
      <n v="589757.89999999944" in="0">
        <tpls c="4">
          <tpl hier="2" item="8"/>
          <tpl fld="4" item="15"/>
          <tpl hier="42" item="3"/>
          <tpl fld="2" item="16"/>
        </tpls>
      </n>
      <n v="2134.2009240924071" in="0">
        <tpls c="4">
          <tpl hier="2" item="8"/>
          <tpl fld="4" item="15"/>
          <tpl hier="42" item="3"/>
          <tpl fld="2" item="13"/>
        </tpls>
      </n>
      <n v="8425.6000000005588" in="0">
        <tpls c="4">
          <tpl hier="2" item="8"/>
          <tpl fld="4" item="15"/>
          <tpl hier="42" item="3"/>
          <tpl fld="2" item="7"/>
        </tpls>
      </n>
      <n v="8.7997907039290793E-2" in="1">
        <tpls c="4">
          <tpl hier="2" item="8"/>
          <tpl fld="4" item="15"/>
          <tpl hier="42" item="3"/>
          <tpl fld="2" item="11"/>
        </tpls>
      </n>
      <n v="8" in="0">
        <tpls c="4">
          <tpl hier="2" item="8"/>
          <tpl fld="4" item="15"/>
          <tpl hier="42" item="3"/>
          <tpl fld="2" item="4"/>
        </tpls>
      </n>
      <m in="0">
        <tpls c="4">
          <tpl hier="2" item="8"/>
          <tpl fld="4" item="15"/>
          <tpl hier="42" item="3"/>
          <tpl fld="2" item="0"/>
        </tpls>
      </m>
      <n v="1157582.8799999964" in="0">
        <tpls c="4">
          <tpl hier="2" item="8"/>
          <tpl fld="4" item="16"/>
          <tpl hier="42" item="3"/>
          <tpl fld="2" item="16"/>
        </tpls>
      </n>
      <n v="1976.1299168053183" in="0">
        <tpls c="4">
          <tpl hier="2" item="8"/>
          <tpl fld="4" item="16"/>
          <tpl hier="42" item="3"/>
          <tpl fld="2" item="13"/>
        </tpls>
      </n>
      <n v="3.4924596548080444E-9" in="0">
        <tpls c="4">
          <tpl hier="2" item="8"/>
          <tpl fld="4" item="16"/>
          <tpl hier="42" item="3"/>
          <tpl fld="2" item="7"/>
        </tpls>
      </n>
      <n v="2.5319830501487516E-2" in="1">
        <tpls c="4">
          <tpl hier="2" item="8"/>
          <tpl fld="4" item="16"/>
          <tpl hier="42" item="3"/>
          <tpl fld="2" item="11"/>
        </tpls>
      </n>
      <n v="14" in="0">
        <tpls c="4">
          <tpl hier="2" item="8"/>
          <tpl fld="4" item="16"/>
          <tpl hier="42" item="3"/>
          <tpl fld="2" item="4"/>
        </tpls>
      </n>
      <m in="0">
        <tpls c="4">
          <tpl hier="2" item="8"/>
          <tpl fld="4" item="16"/>
          <tpl hier="42" item="3"/>
          <tpl fld="2" item="0"/>
        </tpls>
      </m>
      <n v="1529737.5599999879" in="0">
        <tpls c="4">
          <tpl hier="2" item="8"/>
          <tpl fld="4" item="17"/>
          <tpl hier="42" item="3"/>
          <tpl fld="2" item="16"/>
        </tpls>
      </n>
      <n v="2027.4919845360669" in="0">
        <tpls c="4">
          <tpl hier="2" item="8"/>
          <tpl fld="4" item="17"/>
          <tpl hier="42" item="3"/>
          <tpl fld="2" item="13"/>
        </tpls>
      </n>
      <n v="-771.59999998798594" in="0">
        <tpls c="4">
          <tpl hier="2" item="8"/>
          <tpl fld="4" item="17"/>
          <tpl hier="42" item="3"/>
          <tpl fld="2" item="7"/>
        </tpls>
      </n>
      <n v="2.7709453997739969E-2" in="1">
        <tpls c="4">
          <tpl hier="2" item="8"/>
          <tpl fld="4" item="17"/>
          <tpl hier="42" item="3"/>
          <tpl fld="2" item="11"/>
        </tpls>
      </n>
      <n v="21" in="0">
        <tpls c="4">
          <tpl hier="2" item="8"/>
          <tpl fld="4" item="17"/>
          <tpl hier="42" item="3"/>
          <tpl fld="2" item="4"/>
        </tpls>
      </n>
      <m in="0">
        <tpls c="4">
          <tpl hier="2" item="8"/>
          <tpl fld="4" item="17"/>
          <tpl hier="42" item="3"/>
          <tpl fld="2" item="0"/>
        </tpls>
      </m>
      <n v="1013288.479999996" in="0">
        <tpls c="4">
          <tpl hier="2" item="8"/>
          <tpl fld="4" item="18"/>
          <tpl hier="42" item="3"/>
          <tpl fld="2" item="16"/>
        </tpls>
      </n>
      <n v="1761.8510961214097" in="0">
        <tpls c="4">
          <tpl hier="2" item="8"/>
          <tpl fld="4" item="18"/>
          <tpl hier="42" item="3"/>
          <tpl fld="2" item="13"/>
        </tpls>
      </n>
      <n v="99.990000003948808" in="0">
        <tpls c="4">
          <tpl hier="2" item="8"/>
          <tpl fld="4" item="18"/>
          <tpl hier="42" item="3"/>
          <tpl fld="2" item="7"/>
        </tpls>
      </n>
      <n v="3.0139636403035901E-2" in="1">
        <tpls c="4">
          <tpl hier="2" item="8"/>
          <tpl fld="4" item="18"/>
          <tpl hier="42" item="3"/>
          <tpl fld="2" item="11"/>
        </tpls>
      </n>
      <n v="20" in="0">
        <tpls c="4">
          <tpl hier="2" item="8"/>
          <tpl fld="4" item="18"/>
          <tpl hier="42" item="3"/>
          <tpl fld="2" item="4"/>
        </tpls>
      </n>
      <m in="0">
        <tpls c="4">
          <tpl hier="2" item="8"/>
          <tpl fld="4" item="18"/>
          <tpl hier="42" item="3"/>
          <tpl fld="2" item="0"/>
        </tpls>
      </m>
      <n v="112339.68000000001" in="0">
        <tpls c="4">
          <tpl hier="2" item="8"/>
          <tpl fld="4" item="19"/>
          <tpl hier="42" item="3"/>
          <tpl fld="2" item="16"/>
        </tpls>
      </n>
      <n v="2027.0621052631579" in="0">
        <tpls c="4">
          <tpl hier="2" item="8"/>
          <tpl fld="4" item="19"/>
          <tpl hier="42" item="3"/>
          <tpl fld="2" item="13"/>
        </tpls>
      </n>
      <n v="-8850.0000000000146" in="0">
        <tpls c="4">
          <tpl hier="2" item="8"/>
          <tpl fld="4" item="19"/>
          <tpl hier="42" item="3"/>
          <tpl fld="2" item="7"/>
        </tpls>
      </n>
      <n v="2.772017994411409E-2" in="1">
        <tpls c="4">
          <tpl hier="2" item="8"/>
          <tpl fld="4" item="19"/>
          <tpl hier="42" item="3"/>
          <tpl fld="2" item="11"/>
        </tpls>
      </n>
      <n v="1" in="0">
        <tpls c="4">
          <tpl hier="2" item="8"/>
          <tpl fld="4" item="19"/>
          <tpl hier="42" item="3"/>
          <tpl fld="2" item="4"/>
        </tpls>
      </n>
      <m in="0">
        <tpls c="4">
          <tpl hier="2" item="8"/>
          <tpl fld="4" item="19"/>
          <tpl hier="42" item="3"/>
          <tpl fld="2" item="0"/>
        </tpls>
      </m>
      <n v="196471.6400000001" in="0">
        <tpls c="4">
          <tpl hier="2" item="8"/>
          <tpl fld="4" item="20"/>
          <tpl hier="42" item="3"/>
          <tpl fld="2" item="16"/>
        </tpls>
      </n>
      <n v="1800.4669369369378" in="0">
        <tpls c="4">
          <tpl hier="2" item="8"/>
          <tpl fld="4" item="20"/>
          <tpl hier="42" item="3"/>
          <tpl fld="2" item="13"/>
        </tpls>
      </n>
      <n v="-8.7311491370201111E-11" in="0">
        <tpls c="4">
          <tpl hier="2" item="8"/>
          <tpl fld="4" item="20"/>
          <tpl hier="42" item="3"/>
          <tpl fld="2" item="7"/>
        </tpls>
      </n>
      <n v="1.6913480351918711E-2" in="1">
        <tpls c="4">
          <tpl hier="2" item="8"/>
          <tpl fld="4" item="20"/>
          <tpl hier="42" item="3"/>
          <tpl fld="2" item="11"/>
        </tpls>
      </n>
      <n v="3" in="0">
        <tpls c="4">
          <tpl hier="2" item="8"/>
          <tpl fld="4" item="20"/>
          <tpl hier="42" item="3"/>
          <tpl fld="2" item="4"/>
        </tpls>
      </n>
      <m in="0">
        <tpls c="4">
          <tpl hier="2" item="8"/>
          <tpl fld="4" item="20"/>
          <tpl hier="42" item="3"/>
          <tpl fld="2" item="0"/>
        </tpls>
      </m>
      <n v="533097.91999999969" in="0">
        <tpls c="4">
          <tpl hier="2" item="8"/>
          <tpl fld="4" item="21"/>
          <tpl hier="42" item="3"/>
          <tpl fld="2" item="16"/>
        </tpls>
      </n>
      <n v="1998.6908058608049" in="0">
        <tpls c="4">
          <tpl hier="2" item="8"/>
          <tpl fld="4" item="21"/>
          <tpl hier="42" item="3"/>
          <tpl fld="2" item="13"/>
        </tpls>
      </n>
      <n v="5148.6100000003353" in="0">
        <tpls c="4">
          <tpl hier="2" item="8"/>
          <tpl fld="4" item="21"/>
          <tpl hier="42" item="3"/>
          <tpl fld="2" item="7"/>
        </tpls>
      </n>
      <n v="2.2990635683332577E-2" in="1">
        <tpls c="4">
          <tpl hier="2" item="8"/>
          <tpl fld="4" item="21"/>
          <tpl hier="42" item="3"/>
          <tpl fld="2" item="11"/>
        </tpls>
      </n>
      <n v="11" in="0">
        <tpls c="4">
          <tpl hier="2" item="8"/>
          <tpl fld="4" item="21"/>
          <tpl hier="42" item="3"/>
          <tpl fld="2" item="4"/>
        </tpls>
      </n>
      <m in="0">
        <tpls c="4">
          <tpl hier="2" item="8"/>
          <tpl fld="4" item="21"/>
          <tpl hier="42" item="3"/>
          <tpl fld="2" item="0"/>
        </tpls>
      </m>
      <n v="1537330.4999999881" in="0">
        <tpls c="4">
          <tpl hier="2" item="8"/>
          <tpl fld="4" item="22"/>
          <tpl hier="42" item="3"/>
          <tpl fld="2" item="16"/>
        </tpls>
      </n>
      <n v="2126.4113315217228" in="0">
        <tpls c="4">
          <tpl hier="2" item="8"/>
          <tpl fld="4" item="22"/>
          <tpl hier="42" item="3"/>
          <tpl fld="2" item="13"/>
        </tpls>
      </n>
      <n v="1606.6800000118092" in="0">
        <tpls c="4">
          <tpl hier="2" item="8"/>
          <tpl fld="4" item="22"/>
          <tpl hier="42" item="3"/>
          <tpl fld="2" item="7"/>
        </tpls>
      </n>
      <n v="1.770450742963731E-2" in="1">
        <tpls c="4">
          <tpl hier="2" item="8"/>
          <tpl fld="4" item="22"/>
          <tpl hier="42" item="3"/>
          <tpl fld="2" item="11"/>
        </tpls>
      </n>
      <n v="20" in="0">
        <tpls c="4">
          <tpl hier="2" item="8"/>
          <tpl fld="4" item="22"/>
          <tpl hier="42" item="3"/>
          <tpl fld="2" item="4"/>
        </tpls>
      </n>
      <m in="0">
        <tpls c="4">
          <tpl hier="2" item="8"/>
          <tpl fld="4" item="22"/>
          <tpl hier="42" item="3"/>
          <tpl fld="2" item="0"/>
        </tpls>
      </m>
      <n v="271883.94000000006" in="0">
        <tpls c="4">
          <tpl hier="2" item="8"/>
          <tpl fld="4" item="23"/>
          <tpl hier="42" item="3"/>
          <tpl fld="2" item="16"/>
        </tpls>
      </n>
      <n v="2205.1188709677422" in="0">
        <tpls c="4">
          <tpl hier="2" item="8"/>
          <tpl fld="4" item="23"/>
          <tpl hier="42" item="3"/>
          <tpl fld="2" item="13"/>
        </tpls>
      </n>
      <n v="-5.8207660913467407E-11" in="0">
        <tpls c="4">
          <tpl hier="2" item="8"/>
          <tpl fld="4" item="23"/>
          <tpl hier="42" item="3"/>
          <tpl fld="2" item="7"/>
        </tpls>
      </n>
      <n v="5.671554389906709E-3" in="1">
        <tpls c="4">
          <tpl hier="2" item="8"/>
          <tpl fld="4" item="23"/>
          <tpl hier="42" item="3"/>
          <tpl fld="2" item="11"/>
        </tpls>
      </n>
      <n v="3" in="0">
        <tpls c="4">
          <tpl hier="2" item="8"/>
          <tpl fld="4" item="23"/>
          <tpl hier="42" item="3"/>
          <tpl fld="2" item="4"/>
        </tpls>
      </n>
      <m in="0">
        <tpls c="4">
          <tpl hier="2" item="8"/>
          <tpl fld="4" item="23"/>
          <tpl hier="42" item="3"/>
          <tpl fld="2" item="0"/>
        </tpls>
      </m>
      <m in="1">
        <tpls c="4">
          <tpl hier="2" item="8"/>
          <tpl fld="4" item="20"/>
          <tpl hier="42" item="3"/>
          <tpl fld="2" item="3"/>
        </tpls>
      </m>
      <m in="1">
        <tpls c="4">
          <tpl hier="2" item="8"/>
          <tpl fld="4" item="14"/>
          <tpl hier="42" item="3"/>
          <tpl fld="2" item="3"/>
        </tpls>
      </m>
      <n v="248.88148194271494" in="0">
        <tpls c="4">
          <tpl hier="2" item="8"/>
          <tpl fld="4" item="20"/>
          <tpl hier="42" item="3"/>
          <tpl fld="2" item="12"/>
        </tpls>
      </n>
      <n v="65239.140000000029" in="0">
        <tpls c="4">
          <tpl hier="2" item="8"/>
          <tpl fld="4" item="14"/>
          <tpl hier="42" item="3"/>
          <tpl fld="2" item="18"/>
        </tpls>
      </n>
      <m>
        <tpls c="5">
          <tpl fld="3" item="1"/>
          <tpl hier="2" item="8"/>
          <tpl fld="4" item="20"/>
          <tpl hier="42" item="3"/>
          <tpl fld="2" item="1"/>
        </tpls>
      </m>
      <n v="1879044.7799999868" in="0">
        <tpls c="4">
          <tpl hier="2" item="8"/>
          <tpl fld="4" item="14"/>
          <tpl hier="42" item="3"/>
          <tpl fld="2" item="1"/>
        </tpls>
      </n>
      <n v="208335.10000000009" in="0">
        <tpls c="4">
          <tpl hier="2" item="8"/>
          <tpl fld="4" item="20"/>
          <tpl hier="42" item="3"/>
          <tpl fld="2" item="19"/>
        </tpls>
      </n>
      <n v="1838232.61" in="0">
        <tpls c="4">
          <tpl hier="2" item="8"/>
          <tpl fld="4" item="14"/>
          <tpl hier="42" item="3"/>
          <tpl fld="2" item="10"/>
        </tpls>
      </n>
      <n v="196471.64" in="0">
        <tpls c="4">
          <tpl hier="2" item="8"/>
          <tpl fld="4" item="20"/>
          <tpl hier="42" item="3"/>
          <tpl fld="2" item="10"/>
        </tpls>
      </n>
      <n v="199851.8300000001" in="0">
        <tpls c="5">
          <tpl fld="3" item="0"/>
          <tpl hier="2" item="8"/>
          <tpl fld="4" item="20"/>
          <tpl hier="42" item="3"/>
          <tpl fld="2" item="1"/>
        </tpls>
      </n>
      <n v="3380.19" in="0">
        <tpls c="4">
          <tpl hier="2" item="8"/>
          <tpl fld="4" item="20"/>
          <tpl hier="42" item="3"/>
          <tpl fld="2" item="17"/>
        </tpls>
      </n>
      <n v="8483.27" in="0">
        <tpls c="4">
          <tpl hier="2" item="8"/>
          <tpl fld="4" item="20"/>
          <tpl hier="42" item="3"/>
          <tpl fld="2" item="18"/>
        </tpls>
      </n>
      <n v="199851.8300000001" in="0">
        <tpls c="4">
          <tpl hier="2" item="8"/>
          <tpl fld="4" item="20"/>
          <tpl hier="42" item="3"/>
          <tpl fld="2" item="1"/>
        </tpls>
      </n>
      <n v="45176.86" in="0">
        <tpls c="4">
          <tpl hier="2" item="8"/>
          <tpl fld="4" item="14"/>
          <tpl hier="42" item="3"/>
          <tpl fld="2" item="17"/>
        </tpls>
      </n>
      <n v="1944283.9199999869" in="0">
        <tpls c="4">
          <tpl hier="2" item="8"/>
          <tpl fld="4" item="14"/>
          <tpl hier="42" item="3"/>
          <tpl fld="2" item="19"/>
        </tpls>
      </n>
      <n v="4.0719350699906051E-2" in="1">
        <tpls c="4">
          <tpl hier="2" item="8"/>
          <tpl fld="4" item="20"/>
          <tpl hier="42" item="3"/>
          <tpl fld="2" item="2"/>
        </tpls>
      </n>
      <n v="803" in="0">
        <tpls c="4">
          <tpl hier="2" item="8"/>
          <tpl fld="4" item="20"/>
          <tpl hier="42" item="3"/>
          <tpl fld="2" item="14"/>
        </tpls>
      </n>
      <n v="264.6914748556116" in="0">
        <tpls c="4">
          <tpl hier="2" item="8"/>
          <tpl fld="4" item="14"/>
          <tpl hier="42" item="3"/>
          <tpl fld="2" item="12"/>
        </tpls>
      </n>
      <m>
        <tpls c="5">
          <tpl fld="3" item="1"/>
          <tpl hier="2" item="8"/>
          <tpl fld="4" item="14"/>
          <tpl hier="42" item="3"/>
          <tpl fld="2" item="1"/>
        </tpls>
      </m>
      <n v="1879044.7799999868" in="0">
        <tpls c="5">
          <tpl fld="3" item="0"/>
          <tpl hier="2" item="8"/>
          <tpl fld="4" item="14"/>
          <tpl hier="42" item="3"/>
          <tpl fld="2" item="1"/>
        </tpls>
      </n>
      <n v="7099" in="0">
        <tpls c="4">
          <tpl hier="2" item="8"/>
          <tpl fld="4" item="14"/>
          <tpl hier="42" item="3"/>
          <tpl fld="2" item="14"/>
        </tpls>
      </n>
      <n v="3.3554327806198422E-2" in="1">
        <tpls c="4">
          <tpl hier="2" item="8"/>
          <tpl fld="4" item="14"/>
          <tpl hier="42" item="3"/>
          <tpl fld="2" item="2"/>
        </tpls>
      </n>
    </entries>
    <sets count="9">
      <set count="1" maxRank="1" setDefinition="{[dim_date].[year].&amp;[2020]}">
        <tpls c="1">
          <tpl fld="0" item="0"/>
        </tpls>
      </set>
      <set count="1" maxRank="1" setDefinition="{[dim_date].[month].&amp;[12]}">
        <tpls c="1">
          <tpl fld="1" item="0"/>
        </tpls>
      </set>
      <set count="1" maxRank="1" setDefinition="{[dim_channel].[channel_name].[All]}">
        <tpls c="1">
          <tpl hier="2" item="4294967295"/>
        </tpls>
      </set>
      <set count="1" maxRank="1" setDefinition="{[dim_store].[country].[All]}">
        <tpls c="1">
          <tpl hier="42" item="4294967295"/>
        </tpls>
      </set>
      <set count="1" maxRank="1" setDefinition="{[dim_date].[month].&amp;[6]}">
        <tpls c="1">
          <tpl fld="1" item="1"/>
        </tpls>
      </set>
      <set count="1" maxRank="1" setDefinition="{[dim_store].[country].&amp;[United States]}">
        <tpls c="1">
          <tpl fld="7" item="0"/>
        </tpls>
      </set>
      <set count="1" maxRank="1" setDefinition="{[dim_date].[month].&amp;[2]}">
        <tpls c="1">
          <tpl fld="1" item="2"/>
        </tpls>
      </set>
      <set count="1" maxRank="1" setDefinition="{[dim_channel].[channel_name].&amp;[Website/app]}">
        <tpls c="1">
          <tpl fld="5" item="1"/>
        </tpls>
      </set>
      <set count="1" maxRank="1" setDefinition="{[dim_channel].[channel_name].&amp;[Cửa hàng]}">
        <tpls c="1">
          <tpl fld="5" item="0"/>
        </tpls>
      </set>
    </sets>
    <queryCache count="84">
      <query mdx="[Measures].[Pending Orders]">
        <tpls c="1">
          <tpl fld="2" item="0"/>
        </tpls>
      </query>
      <query mdx="[Measures].[Net Sales]">
        <tpls c="1">
          <tpl fld="2" item="1"/>
        </tpls>
      </query>
      <query mdx="[Measures].[Tỷ lệ chiết khấu]">
        <tpls c="1">
          <tpl fld="2" item="2"/>
        </tpls>
      </query>
      <query mdx="[Measures].[Tỷ trọng online]">
        <tpls c="1">
          <tpl fld="2" item="3"/>
        </tpls>
      </query>
      <query mdx="[Measures].[Cancelled Orders]">
        <tpls c="1">
          <tpl fld="2" item="4"/>
        </tpls>
      </query>
      <query mdx="[Measures].[HQ Adjustment]">
        <tpls c="1">
          <tpl fld="2" item="5"/>
        </tpls>
      </query>
      <query mdx="[Measures].[Số cửa hàng vượt ngưỡng]">
        <tpls c="1">
          <tpl fld="2" item="6"/>
        </tpls>
      </query>
      <query mdx="[Measures].[Δ sau quy đổi]">
        <tpls c="1">
          <tpl fld="2" item="7"/>
        </tpls>
      </query>
      <query mdx="[Measures].[Δ Finance %]">
        <tpls c="1">
          <tpl fld="2" item="8"/>
        </tpls>
      </query>
      <query mdx="[Measures].[Δ Finance]">
        <tpls c="1">
          <tpl fld="2" item="9"/>
        </tpls>
      </query>
      <query mdx="[Measures].[Finance Net Revenue]">
        <tpls c="1">
          <tpl fld="2" item="10"/>
        </tpls>
      </query>
      <query mdx="[Measures].[Return Rate]">
        <tpls c="1">
          <tpl fld="2" item="11"/>
        </tpls>
      </query>
      <query mdx="[Measures].[ASP]">
        <tpls c="1">
          <tpl fld="2" item="12"/>
        </tpls>
      </query>
      <query mdx="[Measures].[AOV]">
        <tpls c="1">
          <tpl fld="2" item="13"/>
        </tpls>
      </query>
      <query mdx="[Measures].[Units]">
        <tpls c="1">
          <tpl fld="2" item="14"/>
        </tpls>
      </query>
      <query mdx="[Measures].[Orders]">
        <tpls c="1">
          <tpl fld="2" item="15"/>
        </tpls>
      </query>
      <query mdx="[Measures].[Net Revenue]">
        <tpls c="1">
          <tpl fld="2" item="16"/>
        </tpls>
      </query>
      <query mdx="[Measures].[Returns]">
        <tpls c="1">
          <tpl fld="2" item="17"/>
        </tpls>
      </query>
      <query mdx="[Measures].[Discounts]">
        <tpls c="1">
          <tpl fld="2" item="18"/>
        </tpls>
      </query>
      <query mdx="[Measures].[Gross Sales]">
        <tpls c="1">
          <tpl fld="2" item="19"/>
        </tpls>
      </query>
      <query mdx="[Measures].[Net Revenue LM]">
        <tpls c="1">
          <tpl fld="2" item="20"/>
        </tpls>
      </query>
      <query mdx="[Measures].[Net Revenue SPLY]">
        <tpls c="1">
          <tpl fld="2" item="21"/>
        </tpls>
      </query>
      <query mdx="[dim_channel].[channel_code].&amp;[POS]">
        <tpls c="1">
          <tpl fld="3" item="0"/>
        </tpls>
      </query>
      <query mdx="[dim_channel].[channel_code].&amp;[ONLINE]">
        <tpls c="1">
          <tpl fld="3" item="1"/>
        </tpls>
      </query>
      <query mdx="[dim_date].[month_id].&amp;[201905]">
        <tpls c="1">
          <tpl fld="4" item="0"/>
        </tpls>
      </query>
      <query mdx="[dim_date].[month_id].&amp;[201901]">
        <tpls c="1">
          <tpl fld="4" item="1"/>
        </tpls>
      </query>
      <query mdx="[dim_date].[month_id].&amp;[202003]">
        <tpls c="1">
          <tpl fld="4" item="2"/>
        </tpls>
      </query>
      <query mdx="[dim_date].[month_id].&amp;[201906]">
        <tpls c="1">
          <tpl fld="4" item="3"/>
        </tpls>
      </query>
      <query mdx="[dim_date].[month_id].&amp;[202005]">
        <tpls c="1">
          <tpl fld="4" item="4"/>
        </tpls>
      </query>
      <query mdx="[dim_date].[month_id].&amp;[202004]">
        <tpls c="1">
          <tpl fld="4" item="5"/>
        </tpls>
      </query>
      <query mdx="[dim_date].[month_id].&amp;[202007]">
        <tpls c="1">
          <tpl fld="4" item="6"/>
        </tpls>
      </query>
      <query mdx="[dim_date].[month_id].&amp;[202002]">
        <tpls c="1">
          <tpl fld="4" item="7"/>
        </tpls>
      </query>
      <query mdx="[dim_date].[month_id].&amp;[201910]">
        <tpls c="1">
          <tpl fld="4" item="8"/>
        </tpls>
      </query>
      <query mdx="[dim_date].[month_id].&amp;[201909]">
        <tpls c="1">
          <tpl fld="4" item="9"/>
        </tpls>
      </query>
      <query mdx="[dim_date].[month_id].&amp;[202008]">
        <tpls c="1">
          <tpl fld="4" item="10"/>
        </tpls>
      </query>
      <query mdx="[dim_date].[month_id].&amp;[202012]">
        <tpls c="1">
          <tpl fld="4" item="11"/>
        </tpls>
      </query>
      <query mdx="[dim_date].[month_id].&amp;[201907]">
        <tpls c="1">
          <tpl fld="4" item="12"/>
        </tpls>
      </query>
      <query mdx="[dim_date].[month_id].&amp;[202010]">
        <tpls c="1">
          <tpl fld="4" item="13"/>
        </tpls>
      </query>
      <query mdx="[dim_date].[month_id].&amp;[201912]">
        <tpls c="1">
          <tpl fld="4" item="14"/>
        </tpls>
      </query>
      <query mdx="[dim_date].[month_id].&amp;[201903]">
        <tpls c="1">
          <tpl fld="4" item="15"/>
        </tpls>
      </query>
      <query mdx="[dim_date].[month_id].&amp;[201911]">
        <tpls c="1">
          <tpl fld="4" item="16"/>
        </tpls>
      </query>
      <query mdx="[dim_date].[month_id].&amp;[202001]">
        <tpls c="1">
          <tpl fld="4" item="17"/>
        </tpls>
      </query>
      <query mdx="[dim_date].[month_id].&amp;[201908]">
        <tpls c="1">
          <tpl fld="4" item="18"/>
        </tpls>
      </query>
      <query mdx="[dim_date].[month_id].&amp;[201904]">
        <tpls c="1">
          <tpl fld="4" item="19"/>
        </tpls>
      </query>
      <query mdx="[dim_date].[month_id].&amp;[202011]">
        <tpls c="1">
          <tpl fld="4" item="20"/>
        </tpls>
      </query>
      <query mdx="[dim_date].[month_id].&amp;[202006]">
        <tpls c="1">
          <tpl fld="4" item="21"/>
        </tpls>
      </query>
      <query mdx="[dim_date].[month_id].&amp;[201902]">
        <tpls c="1">
          <tpl fld="4" item="22"/>
        </tpls>
      </query>
      <query mdx="[dim_date].[month_id].&amp;[202009]">
        <tpls c="1">
          <tpl fld="4" item="23"/>
        </tpls>
      </query>
      <query mdx="[dim_channel].[channel_name].&amp;[Cửa hàng]">
        <tpls c="1">
          <tpl fld="5" item="0"/>
        </tpls>
      </query>
      <query mdx="[dim_channel].[channel_name].&amp;[Website/app]">
        <tpls c="1">
          <tpl fld="5" item="1"/>
        </tpls>
      </query>
      <query mdx="[dim_store].[store_name].&amp;[Nexa Online (website/app)]">
        <tpls c="1">
          <tpl fld="6" item="0"/>
        </tpls>
      </query>
      <query mdx="[dim_store].[store_name].&amp;[Nexa Nebraska (S54)]">
        <tpls c="1">
          <tpl fld="6" item="1"/>
        </tpls>
      </query>
      <query mdx="[dim_store].[store_name].&amp;[Nexa Montana (S53)]">
        <tpls c="1">
          <tpl fld="6" item="2"/>
        </tpls>
      </query>
      <query mdx="[dim_store].[store_name].&amp;[Nexa Hawaii (S47)]">
        <tpls c="1">
          <tpl fld="6" item="3"/>
        </tpls>
      </query>
      <query mdx="[dim_store].[store_name].&amp;[Nexa Northwest Territories (S09)]">
        <tpls c="1">
          <tpl fld="6" item="4"/>
        </tpls>
      </query>
      <query mdx="[dim_store].[store_name].&amp;[Nexa Basse-Normandie (S12)]">
        <tpls c="1">
          <tpl fld="6" item="5"/>
        </tpls>
      </query>
      <query mdx="[dim_store].[store_name].&amp;[Nexa Newfoundland and Labrador (S08)]">
        <tpls c="1">
          <tpl fld="6" item="6"/>
        </tpls>
      </query>
      <query mdx="[dim_store].[store_name].&amp;[Nexa Belfast (S38)]">
        <tpls c="1">
          <tpl fld="6" item="7"/>
        </tpls>
      </query>
      <query mdx="[dim_store].[store_name].&amp;[Nexa Sachsen-Anhalt (S27)]">
        <tpls c="1">
          <tpl fld="6" item="8"/>
        </tpls>
      </query>
      <query mdx="[dim_store].[store_name].&amp;[Nexa Hamburg (S23)]">
        <tpls c="1">
          <tpl fld="6" item="9"/>
        </tpls>
      </query>
      <query mdx="[dim_store].[store_name].&amp;[Nexa New Mexico (S57)]">
        <tpls c="1">
          <tpl fld="6" item="10"/>
        </tpls>
      </query>
      <query mdx="[dim_store].[store_name].&amp;[Nexa Idaho (S48)]">
        <tpls c="1">
          <tpl fld="6" item="11"/>
        </tpls>
      </query>
      <query mdx="[dim_store].[store_name].&amp;[Nexa Connecticut (S45)]">
        <tpls c="1">
          <tpl fld="6" item="12"/>
        </tpls>
      </query>
      <query mdx="[dim_store].[store_name].&amp;[Nexa West Virginia (S65)]">
        <tpls c="1">
          <tpl fld="6" item="13"/>
        </tpls>
      </query>
      <query mdx="[dim_store].[store_name].&amp;[Nexa Wyoming (S66)]">
        <tpls c="1">
          <tpl fld="6" item="14"/>
        </tpls>
      </query>
      <query mdx="[dim_store].[store_name].&amp;[Nexa South Carolina (S61)]">
        <tpls c="1">
          <tpl fld="6" item="15"/>
        </tpls>
      </query>
      <query mdx="[dim_date].[month_id].&amp;[201811]">
        <tpls c="1">
          <tpl fld="4" item="24"/>
        </tpls>
      </query>
      <query mdx="[dim_date].[month_id].&amp;[201807]">
        <tpls c="1">
          <tpl fld="4" item="25"/>
        </tpls>
      </query>
      <query mdx="[dim_date].[month_id].&amp;[201812]">
        <tpls c="1">
          <tpl fld="4" item="26"/>
        </tpls>
      </query>
      <query mdx="[dim_date].[month_id].&amp;[201809]">
        <tpls c="1">
          <tpl fld="4" item="27"/>
        </tpls>
      </query>
      <query mdx="[dim_date].[month_id].&amp;[201810]">
        <tpls c="1">
          <tpl fld="4" item="28"/>
        </tpls>
      </query>
      <query mdx="[dim_date].[month_id].&amp;[201808]">
        <tpls c="1">
          <tpl fld="4" item="29"/>
        </tpls>
      </query>
      <query mdx="[dim_store].[store_name].&amp;[Nexa Oregon (S59)]">
        <tpls c="1">
          <tpl fld="6" item="16"/>
        </tpls>
      </query>
      <query mdx="[dim_store].[store_name].&amp;[Nexa Maine (S51)]">
        <tpls c="1">
          <tpl fld="6" item="17"/>
        </tpls>
      </query>
      <query mdx="[dim_store].[store_name].&amp;[Nexa New Hampshire (S56)]">
        <tpls c="1">
          <tpl fld="6" item="18"/>
        </tpls>
      </query>
      <query mdx="[dim_store].[store_name].&amp;[Nexa Arkansas (S44)]">
        <tpls c="1">
          <tpl fld="6" item="19"/>
        </tpls>
      </query>
      <query mdx="[dim_store].[store_name].&amp;[Nexa Nevada (S55)]">
        <tpls c="1">
          <tpl fld="6" item="20"/>
        </tpls>
      </query>
      <query mdx="[dim_store].[store_name].&amp;[Nexa Alaska (S43)]">
        <tpls c="1">
          <tpl fld="6" item="21"/>
        </tpls>
      </query>
      <query mdx="[dim_store].[store_name].&amp;[Nexa Washington DC (S64)]">
        <tpls c="1">
          <tpl fld="6" item="22"/>
        </tpls>
      </query>
      <query mdx="[dim_date].[month_id].&amp;[201803]">
        <tpls c="1">
          <tpl fld="4" item="30"/>
        </tpls>
      </query>
      <query mdx="[dim_date].[month_id].&amp;[201805]">
        <tpls c="1">
          <tpl fld="4" item="31"/>
        </tpls>
      </query>
      <query mdx="[dim_date].[month_id].&amp;[201806]">
        <tpls c="1">
          <tpl fld="4" item="32"/>
        </tpls>
      </query>
      <query mdx="[dim_date].[month_id].&amp;[201804]">
        <tpls c="1">
          <tpl fld="4" item="33"/>
        </tpls>
      </query>
      <query mdx="[dim_store].[store_name].&amp;[Nexa Nunavut (S10)]">
        <tpls c="1">
          <tpl fld="6" item="23"/>
        </tpls>
      </query>
    </queryCache>
    <serverFormats count="2">
      <serverFormat format="#,0"/>
      <serverFormat format="0.00%;-0.00%;0.00%"/>
    </serverFormats>
  </tupleCache>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2499997" createdVersion="6" refreshedVersion="8" minRefreshableVersion="3" recordCount="0" supportSubquery="1" supportAdvancedDrill="1" xr:uid="{D6B11290-C884-4A89-9664-2FE5CC5F8110}">
  <cacheSource type="external" connectionId="11"/>
  <cacheFields count="5">
    <cacheField name="[dim_product].[category].[category]" caption="category" numFmtId="0" hierarchy="29" level="1">
      <sharedItems count="8">
        <s v="Audio"/>
        <s v="Cameras and camcorders"/>
        <s v="Cell phones"/>
        <s v="Computers"/>
        <s v="Games and Toys"/>
        <s v="Home Appliances"/>
        <s v="Music, Movies and Audio Books"/>
        <s v="TV and Video"/>
      </sharedItems>
    </cacheField>
    <cacheField name="[Measures].[Net Sales]" caption="Net Sales" numFmtId="0" hierarchy="86"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0" memberValueDatatype="130" unbalanced="0"/>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4"/>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oneField="1">
      <fieldsUsage count="1">
        <fieldUsage x="1"/>
      </fieldsUsage>
    </cacheHierarchy>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3194443" createdVersion="6" refreshedVersion="8" minRefreshableVersion="3" recordCount="0" supportSubquery="1" supportAdvancedDrill="1" xr:uid="{72F9F3AB-5328-40E1-BDA7-40506949E593}">
  <cacheSource type="external" connectionId="11"/>
  <cacheFields count="5">
    <cacheField name="[fact_return].[return_reason].[return_reason]" caption="return_reason" numFmtId="0" hierarchy="63" level="1">
      <sharedItems count="4">
        <s v="CHANGE_MIND"/>
        <s v="DEFECT"/>
        <s v="LATE_DELIVERY"/>
        <s v="WRONG_ITEM"/>
      </sharedItems>
    </cacheField>
    <cacheField name="[Measures].[Returns]" caption="Returns" numFmtId="0" hierarchy="87"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0" memberValueDatatype="130" unbalanced="0"/>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4"/>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2" memberValueDatatype="130" unbalanced="0">
      <fieldsUsage count="2">
        <fieldUsage x="-1"/>
        <fieldUsage x="0"/>
      </fieldsUsage>
    </cacheHierarchy>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cacheHierarchy uniqueName="[Measures].[Returns]" caption="Returns" measure="1" displayFolder="" measureGroup="_Measures" count="0" oneField="1">
      <fieldsUsage count="1">
        <fieldUsage x="1"/>
      </fieldsUsage>
    </cacheHierarchy>
    <cacheHierarchy uniqueName="[Measures].[Net Revenue]" caption="Net Revenue" measure="1" displayFolder="" measureGroup="_Measures" count="0"/>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3541667" createdVersion="6" refreshedVersion="8" minRefreshableVersion="3" recordCount="0" supportSubquery="1" supportAdvancedDrill="1" xr:uid="{2F4DBDCF-D6EA-4777-8395-3FC6497769F9}">
  <cacheSource type="external" connectionId="11"/>
  <cacheFields count="6">
    <cacheField name="[dim_product].[category].[category]" caption="category" numFmtId="0" hierarchy="29" level="1">
      <sharedItems count="8">
        <s v="Audio"/>
        <s v="Cameras and camcorders"/>
        <s v="Cell phones"/>
        <s v="Computers"/>
        <s v="Games and Toys"/>
        <s v="Home Appliances"/>
        <s v="Music, Movies and Audio Books"/>
        <s v="TV and Video"/>
      </sharedItems>
    </cacheField>
    <cacheField name="[Measures].[Return Rate]" caption="Return Rate" numFmtId="0" hierarchy="93" level="32767"/>
    <cacheField name="[Measures].[Net Sales]" caption="Net Sales" numFmtId="0" hierarchy="86"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4"/>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0" memberValueDatatype="130" unbalanced="0"/>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5"/>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oneField="1">
      <fieldsUsage count="1">
        <fieldUsage x="2"/>
      </fieldsUsage>
    </cacheHierarchy>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oneField="1">
      <fieldsUsage count="1">
        <fieldUsage x="1"/>
      </fieldsUsage>
    </cacheHierarchy>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388889" createdVersion="6" refreshedVersion="8" minRefreshableVersion="3" recordCount="0" supportSubquery="1" supportAdvancedDrill="1" xr:uid="{0E5AB148-B246-4000-AFE4-2176BE7943BE}">
  <cacheSource type="external" connectionId="11"/>
  <cacheFields count="7">
    <cacheField name="[dim_channel].[channel_name].[channel_name]" caption="channel_name" numFmtId="0" hierarchy="2" level="1">
      <sharedItems count="2">
        <s v="Cửa hàng"/>
        <s v="Website/app"/>
      </sharedItems>
    </cacheField>
    <cacheField name="[Measures].[Net Sales]" caption="Net Sales" numFmtId="0" hierarchy="86" level="32767"/>
    <cacheField name="[Measures].[Orders]" caption="Orders" numFmtId="0" hierarchy="89" level="32767"/>
    <cacheField name="[Measures].[AOV]" caption="AOV" numFmtId="0" hierarchy="91"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fieldsUsage count="2">
        <fieldUsage x="-1"/>
        <fieldUsage x="0"/>
      </fieldsUsage>
    </cacheHierarchy>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5"/>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0" memberValueDatatype="130" unbalanced="0"/>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6"/>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oneField="1">
      <fieldsUsage count="1">
        <fieldUsage x="1"/>
      </fieldsUsage>
    </cacheHierarchy>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oneField="1">
      <fieldsUsage count="1">
        <fieldUsage x="2"/>
      </fieldsUsage>
    </cacheHierarchy>
    <cacheHierarchy uniqueName="[Measures].[Units]" caption="Units" measure="1" displayFolder="" measureGroup="_Measures" count="0"/>
    <cacheHierarchy uniqueName="[Measures].[AOV]" caption="AOV" measure="1" displayFolder="" measureGroup="_Measures" count="0" oneField="1">
      <fieldsUsage count="1">
        <fieldUsage x="3"/>
      </fieldsUsage>
    </cacheHierarchy>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4236113" createdVersion="6" refreshedVersion="8" minRefreshableVersion="3" recordCount="0" supportSubquery="1" supportAdvancedDrill="1" xr:uid="{9AA3D8D1-853A-4D81-92E2-701BD26815EC}">
  <cacheSource type="external" connectionId="11"/>
  <cacheFields count="7">
    <cacheField name="[dim_store].[store_name].[store_name]" caption="store_name" numFmtId="0" hierarchy="40" level="1">
      <sharedItems count="10">
        <s v="Nexa Basse-Normandie (S12)"/>
        <s v="Nexa Belfast (S38)"/>
        <s v="Nexa Hamburg (S23)"/>
        <s v="Nexa Hawaii (S47)"/>
        <s v="Nexa Montana (S53)"/>
        <s v="Nexa Nebraska (S54)"/>
        <s v="Nexa Newfoundland and Labrador (S08)"/>
        <s v="Nexa Northwest Territories (S09)"/>
        <s v="Nexa Online (website/app)"/>
        <s v="Nexa Sachsen-Anhalt (S27)"/>
      </sharedItems>
    </cacheField>
    <cacheField name="[Measures].[Net Sales]" caption="Net Sales" numFmtId="0" hierarchy="86" level="32767"/>
    <cacheField name="[Measures].[Orders]" caption="Orders" numFmtId="0" hierarchy="89" level="32767"/>
    <cacheField name="[Measures].[AOV]" caption="AOV" numFmtId="0" hierarchy="91"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5"/>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0" memberValueDatatype="130" unbalanced="0"/>
    <cacheHierarchy uniqueName="[dim_store].[store_name]" caption="store_name" attribute="1" defaultMemberUniqueName="[dim_store].[store_name].[All]" allUniqueName="[dim_store].[store_name].[All]" dimensionUniqueName="[dim_store]" displayFolder="" count="2" memberValueDatatype="130" unbalanced="0">
      <fieldsUsage count="2">
        <fieldUsage x="-1"/>
        <fieldUsage x="0"/>
      </fieldsUsage>
    </cacheHierarchy>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6"/>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oneField="1">
      <fieldsUsage count="1">
        <fieldUsage x="1"/>
      </fieldsUsage>
    </cacheHierarchy>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oneField="1">
      <fieldsUsage count="1">
        <fieldUsage x="2"/>
      </fieldsUsage>
    </cacheHierarchy>
    <cacheHierarchy uniqueName="[Measures].[Units]" caption="Units" measure="1" displayFolder="" measureGroup="_Measures" count="0"/>
    <cacheHierarchy uniqueName="[Measures].[AOV]" caption="AOV" measure="1" displayFolder="" measureGroup="_Measures" count="0" oneField="1">
      <fieldsUsage count="1">
        <fieldUsage x="3"/>
      </fieldsUsage>
    </cacheHierarchy>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4583336" createdVersion="6" refreshedVersion="8" minRefreshableVersion="3" recordCount="0" supportSubquery="1" supportAdvancedDrill="1" xr:uid="{124B4D8B-CA57-4D90-94B0-AC2E53252B61}">
  <cacheSource type="external" connectionId="11"/>
  <cacheFields count="11">
    <cacheField name="[dim_store].[store_code].[store_code]" caption="store_code" numFmtId="0" hierarchy="39" level="1">
      <sharedItems count="10">
        <s v="ONL"/>
        <s v="S08"/>
        <s v="S09"/>
        <s v="S12"/>
        <s v="S27"/>
        <s v="S47"/>
        <s v="S53"/>
        <s v="S54"/>
        <s v="S62"/>
        <s v="S64"/>
      </sharedItems>
    </cacheField>
    <cacheField name="[Measures].[Net Revenue]" caption="Net Revenue" numFmtId="0" hierarchy="88" level="32767"/>
    <cacheField name="[Measures].[Finance Net Revenue]" caption="Finance Net Revenue" numFmtId="0" hierarchy="94" level="32767"/>
    <cacheField name="[Measures].[Δ Finance]" caption="Δ Finance" numFmtId="0" hierarchy="95" level="32767"/>
    <cacheField name="[Measures].[Δ Finance %]" caption="Δ Finance %" numFmtId="0" hierarchy="96" level="32767"/>
    <cacheField name="[Measures].[Δ sau quy đổi]" caption="Δ sau quy đổi" numFmtId="0" hierarchy="101" level="32767"/>
    <cacheField name="[Measures].[Vượt ngưỡng]" caption="Vượt ngưỡng" numFmtId="0" hierarchy="98" level="32767"/>
    <cacheField name="[Measures].[Δ tuyệt đối]" caption="Δ tuyệt đối" numFmtId="0" hierarchy="97"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9"/>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2" memberValueDatatype="130" unbalanced="0">
      <fieldsUsage count="2">
        <fieldUsage x="-1"/>
        <fieldUsage x="0"/>
      </fieldsUsage>
    </cacheHierarchy>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10"/>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cacheHierarchy uniqueName="[Measures].[Returns]" caption="Returns" measure="1" displayFolder="" measureGroup="_Measures" count="0"/>
    <cacheHierarchy uniqueName="[Measures].[Net Revenue]" caption="Net Revenue" measure="1" displayFolder="" measureGroup="_Measures" count="0" oneField="1">
      <fieldsUsage count="1">
        <fieldUsage x="1"/>
      </fieldsUsage>
    </cacheHierarchy>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oneField="1">
      <fieldsUsage count="1">
        <fieldUsage x="2"/>
      </fieldsUsage>
    </cacheHierarchy>
    <cacheHierarchy uniqueName="[Measures].[Δ Finance]" caption="Δ Finance" measure="1" displayFolder="" measureGroup="_Measures" count="0" oneField="1">
      <fieldsUsage count="1">
        <fieldUsage x="3"/>
      </fieldsUsage>
    </cacheHierarchy>
    <cacheHierarchy uniqueName="[Measures].[Δ Finance %]" caption="Δ Finance %" measure="1" displayFolder="" measureGroup="_Measures" count="0" oneField="1">
      <fieldsUsage count="1">
        <fieldUsage x="4"/>
      </fieldsUsage>
    </cacheHierarchy>
    <cacheHierarchy uniqueName="[Measures].[Δ tuyệt đối]" caption="Δ tuyệt đối" measure="1" displayFolder="" measureGroup="_Measures" count="0" oneField="1">
      <fieldsUsage count="1">
        <fieldUsage x="7"/>
      </fieldsUsage>
    </cacheHierarchy>
    <cacheHierarchy uniqueName="[Measures].[Vượt ngưỡng]" caption="Vượt ngưỡng" measure="1" displayFolder="" measureGroup="_Measures" count="0" oneField="1">
      <fieldsUsage count="1">
        <fieldUsage x="6"/>
      </fieldsUsage>
    </cacheHierarchy>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oneField="1">
      <fieldsUsage count="1">
        <fieldUsage x="5"/>
      </fieldsUsage>
    </cacheHierarchy>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4930552" createdVersion="6" refreshedVersion="8" minRefreshableVersion="3" recordCount="0" supportSubquery="1" supportAdvancedDrill="1" xr:uid="{BD30E005-0FA9-4371-A57E-ADC455E6BD83}">
  <cacheSource type="external" connectionId="11"/>
  <cacheFields count="6">
    <cacheField name="[dim_store].[store_code].[store_code]" caption="store_code" numFmtId="0" hierarchy="39" level="1">
      <sharedItems count="50">
        <s v="ONL"/>
        <s v="S01"/>
        <s v="S05"/>
        <s v="S06"/>
        <s v="S08"/>
        <s v="S09"/>
        <s v="S10"/>
        <s v="S12"/>
        <s v="S13"/>
        <s v="S14"/>
        <s v="S16"/>
        <s v="S18"/>
        <s v="S19"/>
        <s v="S21"/>
        <s v="S22"/>
        <s v="S23"/>
        <s v="S24"/>
        <s v="S26"/>
        <s v="S27"/>
        <s v="S29"/>
        <s v="S30"/>
        <s v="S31"/>
        <s v="S32"/>
        <s v="S33"/>
        <s v="S34"/>
        <s v="S36"/>
        <s v="S37"/>
        <s v="S38"/>
        <s v="S39"/>
        <s v="S40"/>
        <s v="S42"/>
        <s v="S43"/>
        <s v="S44"/>
        <s v="S45"/>
        <s v="S47"/>
        <s v="S48"/>
        <s v="S49"/>
        <s v="S50"/>
        <s v="S51"/>
        <s v="S53"/>
        <s v="S54"/>
        <s v="S55"/>
        <s v="S56"/>
        <s v="S57"/>
        <s v="S59"/>
        <s v="S61"/>
        <s v="S62"/>
        <s v="S64"/>
        <s v="S65"/>
        <s v="S66"/>
      </sharedItems>
    </cacheField>
    <cacheField name="[Measures].[Net Revenue]" caption="Net Revenue" numFmtId="0" hierarchy="88" level="32767"/>
    <cacheField name="[Measures].[Finance Net Revenue]" caption="Finance Net Revenue" numFmtId="0" hierarchy="94"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 name="[dim_store].[country].[country]" caption="country" numFmtId="0" hierarchy="42"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4"/>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2" memberValueDatatype="130" unbalanced="0">
      <fieldsUsage count="2">
        <fieldUsage x="-1"/>
        <fieldUsage x="0"/>
      </fieldsUsage>
    </cacheHierarchy>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5"/>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cacheHierarchy uniqueName="[Measures].[Returns]" caption="Returns" measure="1" displayFolder="" measureGroup="_Measures" count="0"/>
    <cacheHierarchy uniqueName="[Measures].[Net Revenue]" caption="Net Revenue" measure="1" displayFolder="" measureGroup="_Measures" count="0" oneField="1">
      <fieldsUsage count="1">
        <fieldUsage x="1"/>
      </fieldsUsage>
    </cacheHierarchy>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oneField="1">
      <fieldsUsage count="1">
        <fieldUsage x="2"/>
      </fieldsUsage>
    </cacheHierarchy>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936284722" createdVersion="6" refreshedVersion="8" minRefreshableVersion="3" recordCount="0" supportSubquery="1" supportAdvancedDrill="1" xr:uid="{D8A5E53E-4C4D-4746-8A53-D989A0182B01}">
  <cacheSource type="external" connectionId="11"/>
  <cacheFields count="4">
    <cacheField name="[dim_store].[country].[country]" caption="country" numFmtId="0" hierarchy="42" level="1">
      <sharedItems count="9">
        <s v="Australia"/>
        <s v="Canada"/>
        <s v="France"/>
        <s v="Germany"/>
        <s v="Italy"/>
        <s v="Netherlands"/>
        <s v="Online"/>
        <s v="United Kingdom"/>
        <s v="United States"/>
      </sharedItems>
    </cacheField>
    <cacheField name="[Measures].[Net Sales]" caption="Net Sales" numFmtId="0" hierarchy="86" level="32767"/>
    <cacheField name="[dim_date].[year].[year]" caption="year" numFmtId="0" hierarchy="7" level="1">
      <sharedItems containsSemiMixedTypes="0" containsNonDate="0" containsString="0"/>
    </cacheField>
    <cacheField name="[dim_date].[month].[month]" caption="month" numFmtId="0" hierarchy="9" level="1">
      <sharedItems containsSemiMixedTypes="0" containsNonDate="0" containsString="0"/>
    </cacheField>
  </cacheFields>
  <cacheHierarchies count="124">
    <cacheHierarchy uniqueName="[_Measures].[ghi_chu]" caption="ghi_chu" attribute="1" defaultMemberUniqueName="[_Measures].[ghi_chu].[All]" allUniqueName="[_Measures].[ghi_chu].[All]" dimensionUniqueName="[_Measures]" displayFolder="" count="0" memberValueDatatype="130" unbalanced="0"/>
    <cacheHierarchy uniqueName="[dim_channel].[channel_code]" caption="channel_code" attribute="1" defaultMemberUniqueName="[dim_channel].[channel_code].[All]" allUniqueName="[dim_channel].[channel_code].[All]" dimensionUniqueName="[dim_channel]" displayFolder="" count="0"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0"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0" memberValueDatatype="130" unbalanced="0"/>
    <cacheHierarchy uniqueName="[dim_date].[date]" caption="date" attribute="1" time="1" defaultMemberUniqueName="[dim_date].[date].[All]" allUniqueName="[dim_date].[date].[All]" dimensionUniqueName="[dim_date]" displayFolder="" count="0" memberValueDatatype="7" unbalanced="0"/>
    <cacheHierarchy uniqueName="[dim_date].[date_key]" caption="date_key" attribute="1" defaultMemberUniqueName="[dim_date].[date_key].[All]" allUniqueName="[dim_date].[date_key].[All]" dimensionUniqueName="[dim_date]" displayFolder="" count="0"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month]" caption="month" attribute="1" defaultMemberUniqueName="[dim_date].[month].[All]" allUniqueName="[dim_date].[month].[All]" dimensionUniqueName="[dim_date]" displayFolder="" count="2" memberValueDatatype="20" unbalanced="0">
      <fieldsUsage count="2">
        <fieldUsage x="-1"/>
        <fieldUsage x="3"/>
      </fieldsUsage>
    </cacheHierarchy>
    <cacheHierarchy uniqueName="[dim_date].[month_id]" caption="month_id" attribute="1" defaultMemberUniqueName="[dim_date].[month_id].[All]" allUniqueName="[dim_date].[month_id].[All]" dimensionUniqueName="[dim_date]" displayFolder="" count="0" memberValueDatatype="20" unbalanced="0"/>
    <cacheHierarchy uniqueName="[dim_date].[month_label]" caption="month_label" attribute="1" defaultMemberUniqueName="[dim_date].[month_label].[All]" allUniqueName="[dim_date].[month_label].[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weekday_no]" caption="weekday_no" attribute="1" defaultMemberUniqueName="[dim_date].[weekday_no].[All]" allUniqueName="[dim_date].[weekday_no].[All]" dimensionUniqueName="[dim_date]" displayFolder="" count="0" memberValueDatatype="20" unbalanced="0"/>
    <cacheHierarchy uniqueName="[dim_date].[weekday_name]" caption="weekday_name" attribute="1" defaultMemberUniqueName="[dim_date].[weekday_name].[All]" allUniqueName="[dim_date].[weekday_name].[All]" dimensionUniqueName="[dim_date]" displayFolder="" count="0" memberValueDatatype="130" unbalanced="0"/>
    <cacheHierarchy uniqueName="[dim_date].[is_weekend]" caption="is_weekend" attribute="1" defaultMemberUniqueName="[dim_date].[is_weekend].[All]" allUniqueName="[dim_date].[is_weekend].[All]" dimensionUniqueName="[dim_date]" displayFolder="" count="0" memberValueDatatype="11" unbalanced="0"/>
    <cacheHierarchy uniqueName="[dim_date].[has_data]" caption="has_data" attribute="1" defaultMemberUniqueName="[dim_date].[has_data].[All]" allUniqueName="[dim_date].[has_data].[All]" dimensionUniqueName="[dim_date]" displayFolder="" count="0" memberValueDatatype="11" unbalanced="0"/>
    <cacheHierarchy uniqueName="[dim_date].[month_end_date]" caption="month_end_date" attribute="1" time="1" defaultMemberUniqueName="[dim_date].[month_end_date].[All]" allUniqueName="[dim_date].[month_end_date].[All]" dimensionUniqueName="[dim_date]" displayFolder="" count="0" memberValueDatatype="7" unbalanced="0"/>
    <cacheHierarchy uniqueName="[dim_order_status].[order_status]" caption="order_status" attribute="1" defaultMemberUniqueName="[dim_order_status].[order_status].[All]" allUniqueName="[dim_order_status].[order_status].[All]" dimensionUniqueName="[dim_order_status]" displayFolder="" count="0" memberValueDatatype="130" unbalanced="0"/>
    <cacheHierarchy uniqueName="[dim_order_status].[status_name]" caption="status_name" attribute="1" defaultMemberUniqueName="[dim_order_status].[status_name].[All]" allUniqueName="[dim_order_status].[status_name].[All]" dimensionUniqueName="[dim_order_status]" displayFolder="" count="0"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0" memberValueDatatype="130" unbalanced="0"/>
    <cacheHierarchy uniqueName="[dim_order_status].[rule]" caption="rule" attribute="1" defaultMemberUniqueName="[dim_order_status].[rule].[All]" allUniqueName="[dim_order_status].[rule].[All]" dimensionUniqueName="[dim_order_status]"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_key]" caption="subcategory_key" attribute="1" defaultMemberUniqueName="[dim_product].[subcategory_key].[All]" allUniqueName="[dim_product].[subcategory_ke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_key]" caption="category_key" attribute="1" defaultMemberUniqueName="[dim_product].[category_key].[All]" allUniqueName="[dim_product].[category_ke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list_price_usd]" caption="list_price_usd" attribute="1" defaultMemberUniqueName="[dim_product].[list_price_usd].[All]" allUniqueName="[dim_product].[list_price_usd].[All]" dimensionUniqueName="[dim_product]" displayFolder="" count="0" memberValueDatatype="5" unbalanced="0"/>
    <cacheHierarchy uniqueName="[dim_product].[unit_cost_usd]" caption="unit_cost_usd" attribute="1" defaultMemberUniqueName="[dim_product].[unit_cost_usd].[All]" allUniqueName="[dim_product].[unit_cost_usd].[All]" dimensionUniqueName="[dim_product]" displayFolder="" count="0" memberValueDatatype="5" unbalanced="0"/>
    <cacheHierarchy uniqueName="[dim_promotion].[promo_code]" caption="promo_code" attribute="1" defaultMemberUniqueName="[dim_promotion].[promo_code].[All]" allUniqueName="[dim_promotion].[promo_code].[All]" dimensionUniqueName="[dim_promotion]" displayFolder="" count="0" memberValueDatatype="130" unbalanced="0"/>
    <cacheHierarchy uniqueName="[dim_promotion].[promo_name]" caption="promo_name" attribute="1" defaultMemberUniqueName="[dim_promotion].[promo_name].[All]" allUniqueName="[dim_promotion].[promo_name].[All]" dimensionUniqueName="[dim_promotion]" displayFolder="" count="0" memberValueDatatype="130" unbalanced="0"/>
    <cacheHierarchy uniqueName="[dim_promotion].[discount_pct]" caption="discount_pct" attribute="1" defaultMemberUniqueName="[dim_promotion].[discount_pct].[All]" allUniqueName="[dim_promotion].[discount_pct].[All]" dimensionUniqueName="[dim_promotion]" displayFolder="" count="0" memberValueDatatype="5" unbalanced="0"/>
    <cacheHierarchy uniqueName="[dim_promotion].[window_from_mmdd]" caption="window_from_mmdd" attribute="1" defaultMemberUniqueName="[dim_promotion].[window_from_mmdd].[All]" allUniqueName="[dim_promotion].[window_from_mmdd].[All]" dimensionUniqueName="[dim_promotion]" displayFolder="" count="0" memberValueDatatype="130" unbalanced="0"/>
    <cacheHierarchy uniqueName="[dim_promotion].[window_to_mmdd]" caption="window_to_mmdd" attribute="1" defaultMemberUniqueName="[dim_promotion].[window_to_mmdd].[All]" allUniqueName="[dim_promotion].[window_to_mmdd].[All]" dimensionUniqueName="[dim_promotion]" displayFolder="" count="0" memberValueDatatype="130" unbalanced="0"/>
    <cacheHierarchy uniqueName="[dim_promotion].[channel]" caption="channel" attribute="1" defaultMemberUniqueName="[dim_promotion].[channel].[All]" allUniqueName="[dim_promotion].[channel].[All]" dimensionUniqueName="[dim_promotion]" displayFolder="" count="0" memberValueDatatype="130" unbalanced="0"/>
    <cacheHierarchy uniqueName="[dim_store].[store_key]" caption="store_key" attribute="1" defaultMemberUniqueName="[dim_store].[store_key].[All]" allUniqueName="[dim_store].[store_key].[All]" dimensionUniqueName="[dim_store]" displayFolder="" count="0" memberValueDatatype="20" unbalanced="0"/>
    <cacheHierarchy uniqueName="[dim_store].[store_code]" caption="store_code" attribute="1" defaultMemberUniqueName="[dim_store].[store_code].[All]" allUniqueName="[dim_store].[store_code].[All]" dimensionUniqueName="[dim_store]" displayFolder="" count="0" memberValueDatatype="130" unbalanced="0"/>
    <cacheHierarchy uniqueName="[dim_store].[store_name]" caption="store_name" attribute="1" defaultMemberUniqueName="[dim_store].[store_name].[All]" allUniqueName="[dim_store].[store_name].[All]" dimensionUniqueName="[dim_store]" displayFolder="" count="0" memberValueDatatype="130" unbalanced="0"/>
    <cacheHierarchy uniqueName="[dim_store].[channel_code]" caption="channel_code" attribute="1" defaultMemberUniqueName="[dim_store].[channel_code].[All]" allUniqueName="[dim_store].[channel_code].[All]" dimensionUniqueName="[dim_store]" displayFolder="" count="0" memberValueDatatype="130" unbalanced="0"/>
    <cacheHierarchy uniqueName="[dim_store].[country]" caption="country" attribute="1" defaultMemberUniqueName="[dim_store].[country].[All]" allUniqueName="[dim_store].[country].[All]" dimensionUniqueName="[dim_store]" displayFolder="" count="2" memberValueDatatype="130" unbalanced="0">
      <fieldsUsage count="2">
        <fieldUsage x="-1"/>
        <fieldUsage x="0"/>
      </fieldsUsage>
    </cacheHierarchy>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oneField="1">
      <fieldsUsage count="1">
        <fieldUsage x="1"/>
      </fieldsUsage>
    </cacheHierarchy>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nguyennp" refreshedDate="46305.738922800927" backgroundQuery="1" createdVersion="3" refreshedVersion="8" minRefreshableVersion="3" recordCount="0" supportSubquery="1" supportAdvancedDrill="1" xr:uid="{54214826-8D02-4CEF-A509-2DAFD9307BDD}">
  <cacheSource type="external" connectionId="11">
    <extLst>
      <ext xmlns:x14="http://schemas.microsoft.com/office/spreadsheetml/2009/9/main" uri="{F057638F-6D5F-4e77-A914-E7F072B9BCA8}">
        <x14:sourceConnection name="ThisWorkbookDataModel"/>
      </ext>
    </extLst>
  </cacheSource>
  <cacheFields count="0"/>
  <cacheHierarchies count="124">
    <cacheHierarchy uniqueName="[_Measures].[ghi_chu]" caption="ghi_chu" attribute="1" defaultMemberUniqueName="[_Measures].[ghi_chu].[All]" allUniqueName="[_Measures].[ghi_chu].[All]" dimensionUniqueName="[_Measures]" displayFolder="" count="2" memberValueDatatype="130" unbalanced="0"/>
    <cacheHierarchy uniqueName="[dim_channel].[channel_code]" caption="channel_code" attribute="1" defaultMemberUniqueName="[dim_channel].[channel_code].[All]" allUniqueName="[dim_channel].[channel_code].[All]" dimensionUniqueName="[dim_channel]" displayFolder="" count="2" memberValueDatatype="130" unbalanced="0"/>
    <cacheHierarchy uniqueName="[dim_channel].[channel_name]" caption="channel_name" attribute="1" defaultMemberUniqueName="[dim_channel].[channel_name].[All]" allUniqueName="[dim_channel].[channel_name].[All]" dimensionUniqueName="[dim_channel]" displayFolder="" count="2" memberValueDatatype="130" unbalanced="0"/>
    <cacheHierarchy uniqueName="[dim_channel].[fin_channel]" caption="fin_channel" attribute="1" defaultMemberUniqueName="[dim_channel].[fin_channel].[All]" allUniqueName="[dim_channel].[fin_channel].[All]" dimensionUniqueName="[dim_channel]" displayFolder="" count="2" memberValueDatatype="130" unbalanced="0"/>
    <cacheHierarchy uniqueName="[dim_channel].[revenue_recognition_rule]" caption="revenue_recognition_rule" attribute="1" defaultMemberUniqueName="[dim_channel].[revenue_recognition_rule].[All]" allUniqueName="[dim_channel].[revenue_recognition_rule].[All]" dimensionUniqueName="[dim_channel]" displayFolder="" count="2" memberValueDatatype="130" unbalanced="0"/>
    <cacheHierarchy uniqueName="[dim_date].[date]" caption="date" attribute="1" time="1" defaultMemberUniqueName="[dim_date].[date].[All]" allUniqueName="[dim_date].[date].[All]" dimensionUniqueName="[dim_date]" displayFolder="" count="2" memberValueDatatype="7" unbalanced="0"/>
    <cacheHierarchy uniqueName="[dim_date].[date_key]" caption="date_key" attribute="1" defaultMemberUniqueName="[dim_date].[date_key].[All]" allUniqueName="[dim_date].[date_key].[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quarter]" caption="quarter" attribute="1" defaultMemberUniqueName="[dim_date].[quarter].[All]" allUniqueName="[dim_date].[quarter].[All]" dimensionUniqueName="[dim_date]" displayFolder="" count="2" memberValueDatatype="130" unbalanced="0"/>
    <cacheHierarchy uniqueName="[dim_date].[month]" caption="month" attribute="1" defaultMemberUniqueName="[dim_date].[month].[All]" allUniqueName="[dim_date].[month].[All]" dimensionUniqueName="[dim_date]" displayFolder="" count="2" memberValueDatatype="20" unbalanced="0"/>
    <cacheHierarchy uniqueName="[dim_date].[month_id]" caption="month_id" attribute="1" defaultMemberUniqueName="[dim_date].[month_id].[All]" allUniqueName="[dim_date].[month_id].[All]" dimensionUniqueName="[dim_date]" displayFolder="" count="2" memberValueDatatype="20" unbalanced="0"/>
    <cacheHierarchy uniqueName="[dim_date].[month_label]" caption="month_label" attribute="1" defaultMemberUniqueName="[dim_date].[month_label].[All]" allUniqueName="[dim_date].[month_label].[All]" dimensionUniqueName="[dim_date]" displayFolder="" count="2" memberValueDatatype="130" unbalanced="0"/>
    <cacheHierarchy uniqueName="[dim_date].[day]" caption="day" attribute="1" defaultMemberUniqueName="[dim_date].[day].[All]" allUniqueName="[dim_date].[day].[All]" dimensionUniqueName="[dim_date]" displayFolder="" count="2" memberValueDatatype="20" unbalanced="0"/>
    <cacheHierarchy uniqueName="[dim_date].[weekday_no]" caption="weekday_no" attribute="1" defaultMemberUniqueName="[dim_date].[weekday_no].[All]" allUniqueName="[dim_date].[weekday_no].[All]" dimensionUniqueName="[dim_date]" displayFolder="" count="2" memberValueDatatype="20" unbalanced="0"/>
    <cacheHierarchy uniqueName="[dim_date].[weekday_name]" caption="weekday_name" attribute="1" defaultMemberUniqueName="[dim_date].[weekday_name].[All]" allUniqueName="[dim_date].[weekday_name].[All]" dimensionUniqueName="[dim_date]" displayFolder="" count="2" memberValueDatatype="130" unbalanced="0"/>
    <cacheHierarchy uniqueName="[dim_date].[is_weekend]" caption="is_weekend" attribute="1" defaultMemberUniqueName="[dim_date].[is_weekend].[All]" allUniqueName="[dim_date].[is_weekend].[All]" dimensionUniqueName="[dim_date]" displayFolder="" count="2" memberValueDatatype="11" unbalanced="0"/>
    <cacheHierarchy uniqueName="[dim_date].[has_data]" caption="has_data" attribute="1" defaultMemberUniqueName="[dim_date].[has_data].[All]" allUniqueName="[dim_date].[has_data].[All]" dimensionUniqueName="[dim_date]" displayFolder="" count="2" memberValueDatatype="11" unbalanced="0"/>
    <cacheHierarchy uniqueName="[dim_date].[month_end_date]" caption="month_end_date" attribute="1" time="1" defaultMemberUniqueName="[dim_date].[month_end_date].[All]" allUniqueName="[dim_date].[month_end_date].[All]" dimensionUniqueName="[dim_date]" displayFolder="" count="2" memberValueDatatype="7" unbalanced="0"/>
    <cacheHierarchy uniqueName="[dim_order_status].[order_status]" caption="order_status" attribute="1" defaultMemberUniqueName="[dim_order_status].[order_status].[All]" allUniqueName="[dim_order_status].[order_status].[All]" dimensionUniqueName="[dim_order_status]" displayFolder="" count="2" memberValueDatatype="130" unbalanced="0"/>
    <cacheHierarchy uniqueName="[dim_order_status].[status_name]" caption="status_name" attribute="1" defaultMemberUniqueName="[dim_order_status].[status_name].[All]" allUniqueName="[dim_order_status].[status_name].[All]" dimensionUniqueName="[dim_order_status]" displayFolder="" count="2" memberValueDatatype="130" unbalanced="0"/>
    <cacheHierarchy uniqueName="[dim_order_status].[count_in_revenue]" caption="count_in_revenue" attribute="1" defaultMemberUniqueName="[dim_order_status].[count_in_revenue].[All]" allUniqueName="[dim_order_status].[count_in_revenue].[All]" dimensionUniqueName="[dim_order_status]" displayFolder="" count="2" memberValueDatatype="130" unbalanced="0"/>
    <cacheHierarchy uniqueName="[dim_order_status].[rule]" caption="rule" attribute="1" defaultMemberUniqueName="[dim_order_status].[rule].[All]" allUniqueName="[dim_order_status].[rule].[All]" dimensionUniqueName="[dim_order_status]" displayFolder="" count="2" memberValueDatatype="130" unbalanced="0"/>
    <cacheHierarchy uniqueName="[dim_product].[product_key]" caption="product_key" attribute="1" defaultMemberUniqueName="[dim_product].[product_key].[All]" allUniqueName="[dim_product].[product_key].[All]" dimensionUniqueName="[dim_product]" displayFolder="" count="2" memberValueDatatype="20" unbalanced="0"/>
    <cacheHierarchy uniqueName="[dim_product].[product_name]" caption="product_name" attribute="1" defaultMemberUniqueName="[dim_product].[product_name].[All]" allUniqueName="[dim_product].[product_name].[All]" dimensionUniqueName="[dim_product]" displayFolder="" count="2" memberValueDatatype="130" unbalanced="0"/>
    <cacheHierarchy uniqueName="[dim_product].[brand]" caption="brand" attribute="1" defaultMemberUniqueName="[dim_product].[brand].[All]" allUniqueName="[dim_product].[brand].[All]" dimensionUniqueName="[dim_product]" displayFolder="" count="2" memberValueDatatype="130" unbalanced="0"/>
    <cacheHierarchy uniqueName="[dim_product].[color]" caption="color" attribute="1" defaultMemberUniqueName="[dim_product].[color].[All]" allUniqueName="[dim_product].[color].[All]" dimensionUniqueName="[dim_product]" displayFolder="" count="2" memberValueDatatype="130" unbalanced="0"/>
    <cacheHierarchy uniqueName="[dim_product].[subcategory_key]" caption="subcategory_key" attribute="1" defaultMemberUniqueName="[dim_product].[subcategory_key].[All]" allUniqueName="[dim_product].[subcategory_key].[All]" dimensionUniqueName="[dim_product]" displayFolder="" count="2"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cacheHierarchy uniqueName="[dim_product].[category_key]" caption="category_key" attribute="1" defaultMemberUniqueName="[dim_product].[category_key].[All]" allUniqueName="[dim_product].[category_key].[All]" dimensionUniqueName="[dim_product]" displayFolder="" count="2"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list_price_usd]" caption="list_price_usd" attribute="1" defaultMemberUniqueName="[dim_product].[list_price_usd].[All]" allUniqueName="[dim_product].[list_price_usd].[All]" dimensionUniqueName="[dim_product]" displayFolder="" count="2" memberValueDatatype="5" unbalanced="0"/>
    <cacheHierarchy uniqueName="[dim_product].[unit_cost_usd]" caption="unit_cost_usd" attribute="1" defaultMemberUniqueName="[dim_product].[unit_cost_usd].[All]" allUniqueName="[dim_product].[unit_cost_usd].[All]" dimensionUniqueName="[dim_product]" displayFolder="" count="2" memberValueDatatype="5" unbalanced="0"/>
    <cacheHierarchy uniqueName="[dim_promotion].[promo_code]" caption="promo_code" attribute="1" defaultMemberUniqueName="[dim_promotion].[promo_code].[All]" allUniqueName="[dim_promotion].[promo_code].[All]" dimensionUniqueName="[dim_promotion]" displayFolder="" count="2" memberValueDatatype="130" unbalanced="0"/>
    <cacheHierarchy uniqueName="[dim_promotion].[promo_name]" caption="promo_name" attribute="1" defaultMemberUniqueName="[dim_promotion].[promo_name].[All]" allUniqueName="[dim_promotion].[promo_name].[All]" dimensionUniqueName="[dim_promotion]" displayFolder="" count="2" memberValueDatatype="130" unbalanced="0"/>
    <cacheHierarchy uniqueName="[dim_promotion].[discount_pct]" caption="discount_pct" attribute="1" defaultMemberUniqueName="[dim_promotion].[discount_pct].[All]" allUniqueName="[dim_promotion].[discount_pct].[All]" dimensionUniqueName="[dim_promotion]" displayFolder="" count="2" memberValueDatatype="5" unbalanced="0"/>
    <cacheHierarchy uniqueName="[dim_promotion].[window_from_mmdd]" caption="window_from_mmdd" attribute="1" defaultMemberUniqueName="[dim_promotion].[window_from_mmdd].[All]" allUniqueName="[dim_promotion].[window_from_mmdd].[All]" dimensionUniqueName="[dim_promotion]" displayFolder="" count="2" memberValueDatatype="130" unbalanced="0"/>
    <cacheHierarchy uniqueName="[dim_promotion].[window_to_mmdd]" caption="window_to_mmdd" attribute="1" defaultMemberUniqueName="[dim_promotion].[window_to_mmdd].[All]" allUniqueName="[dim_promotion].[window_to_mmdd].[All]" dimensionUniqueName="[dim_promotion]" displayFolder="" count="2" memberValueDatatype="130" unbalanced="0"/>
    <cacheHierarchy uniqueName="[dim_promotion].[channel]" caption="channel" attribute="1" defaultMemberUniqueName="[dim_promotion].[channel].[All]" allUniqueName="[dim_promotion].[channel].[All]" dimensionUniqueName="[dim_promotion]" displayFolder="" count="2" memberValueDatatype="130" unbalanced="0"/>
    <cacheHierarchy uniqueName="[dim_store].[store_key]" caption="store_key" attribute="1" defaultMemberUniqueName="[dim_store].[store_key].[All]" allUniqueName="[dim_store].[store_key].[All]" dimensionUniqueName="[dim_store]" displayFolder="" count="2" memberValueDatatype="20" unbalanced="0"/>
    <cacheHierarchy uniqueName="[dim_store].[store_code]" caption="store_code" attribute="1" defaultMemberUniqueName="[dim_store].[store_code].[All]" allUniqueName="[dim_store].[store_code].[All]" dimensionUniqueName="[dim_store]" displayFolder="" count="2" memberValueDatatype="130" unbalanced="0"/>
    <cacheHierarchy uniqueName="[dim_store].[store_name]" caption="store_name" attribute="1" defaultMemberUniqueName="[dim_store].[store_name].[All]" allUniqueName="[dim_store].[store_name].[All]" dimensionUniqueName="[dim_store]" displayFolder="" count="2" memberValueDatatype="130" unbalanced="0"/>
    <cacheHierarchy uniqueName="[dim_store].[channel_code]" caption="channel_code" attribute="1" defaultMemberUniqueName="[dim_store].[channel_code].[All]" allUniqueName="[dim_store].[channel_code].[All]" dimensionUniqueName="[dim_store]" displayFolder="" count="2" memberValueDatatype="130" unbalanced="0"/>
    <cacheHierarchy uniqueName="[dim_store].[country]" caption="country" attribute="1" defaultMemberUniqueName="[dim_store].[country].[All]" allUniqueName="[dim_store].[country].[All]" dimensionUniqueName="[dim_store]" displayFolder="" count="2" memberValueDatatype="130" unbalanced="0"/>
    <cacheHierarchy uniqueName="[dim_store].[region]" caption="region" attribute="1" defaultMemberUniqueName="[dim_store].[region].[All]" allUniqueName="[dim_store].[region].[All]" dimensionUniqueName="[dim_store]" displayFolder="" count="0" memberValueDatatype="130" unbalanced="0"/>
    <cacheHierarchy uniqueName="[dim_store].[state]" caption="state" attribute="1" defaultMemberUniqueName="[dim_store].[state].[All]" allUniqueName="[dim_store].[state].[All]" dimensionUniqueName="[dim_store]" displayFolder="" count="0" memberValueDatatype="130" unbalanced="0"/>
    <cacheHierarchy uniqueName="[dim_store].[square_meters]" caption="square_meters" attribute="1" defaultMemberUniqueName="[dim_store].[square_meters].[All]" allUniqueName="[dim_store].[square_meters].[All]" dimensionUniqueName="[dim_store]" displayFolder="" count="0" memberValueDatatype="20" unbalanced="0"/>
    <cacheHierarchy uniqueName="[dim_store].[open_date]" caption="open_date" attribute="1" time="1" defaultMemberUniqueName="[dim_store].[open_date].[All]" allUniqueName="[dim_store].[open_date].[All]" dimensionUniqueName="[dim_store]" displayFolder="" count="0" memberValueDatatype="7" unbalanced="0"/>
    <cacheHierarchy uniqueName="[fact_finance].[posting_date]" caption="posting_date" attribute="1" time="1" defaultMemberUniqueName="[fact_finance].[posting_date].[All]" allUniqueName="[fact_finance].[posting_date].[All]" dimensionUniqueName="[fact_finance]" displayFolder="" count="0" memberValueDatatype="7" unbalanced="0"/>
    <cacheHierarchy uniqueName="[fact_finance].[fin_store_code]" caption="fin_store_code" attribute="1" defaultMemberUniqueName="[fact_finance].[fin_store_code].[All]" allUniqueName="[fact_finance].[fin_store_code].[All]" dimensionUniqueName="[fact_finance]" displayFolder="" count="0" memberValueDatatype="130" unbalanced="0"/>
    <cacheHierarchy uniqueName="[fact_finance].[fin_channel]" caption="fin_channel" attribute="1" defaultMemberUniqueName="[fact_finance].[fin_channel].[All]" allUniqueName="[fact_finance].[fin_channel].[All]" dimensionUniqueName="[fact_finance]" displayFolder="" count="0" memberValueDatatype="130" unbalanced="0"/>
    <cacheHierarchy uniqueName="[fact_finance].[entry_type]" caption="entry_type" attribute="1" defaultMemberUniqueName="[fact_finance].[entry_type].[All]" allUniqueName="[fact_finance].[entry_type].[All]" dimensionUniqueName="[fact_finance]" displayFolder="" count="0" memberValueDatatype="130" unbalanced="0"/>
    <cacheHierarchy uniqueName="[fact_finance].[revenue_recognized]" caption="revenue_recognized" attribute="1" defaultMemberUniqueName="[fact_finance].[revenue_recognized].[All]" allUniqueName="[fact_finance].[revenue_recognized].[All]" dimensionUniqueName="[fact_finance]" displayFolder="" count="0" memberValueDatatype="5" unbalanced="0"/>
    <cacheHierarchy uniqueName="[fact_finance].[refunds]" caption="refunds" attribute="1" defaultMemberUniqueName="[fact_finance].[refunds].[All]" allUniqueName="[fact_finance].[refunds].[All]" dimensionUniqueName="[fact_finance]" displayFolder="" count="0" memberValueDatatype="5" unbalanced="0"/>
    <cacheHierarchy uniqueName="[fact_finance].[net_revenue]" caption="net_revenue" attribute="1" defaultMemberUniqueName="[fact_finance].[net_revenue].[All]" allUniqueName="[fact_finance].[net_revenue].[All]" dimensionUniqueName="[fact_finance]" displayFolder="" count="0" memberValueDatatype="5" unbalanced="0"/>
    <cacheHierarchy uniqueName="[fact_finance].[vat_amount]" caption="vat_amount" attribute="1" defaultMemberUniqueName="[fact_finance].[vat_amount].[All]" allUniqueName="[fact_finance].[vat_amount].[All]" dimensionUniqueName="[fact_finance]" displayFolder="" count="0" memberValueDatatype="5" unbalanced="0"/>
    <cacheHierarchy uniqueName="[fact_finance].[total_incl_vat]" caption="total_incl_vat" attribute="1" defaultMemberUniqueName="[fact_finance].[total_incl_vat].[All]" allUniqueName="[fact_finance].[total_incl_vat].[All]" dimensionUniqueName="[fact_finance]" displayFolder="" count="0" memberValueDatatype="5" unbalanced="0"/>
    <cacheHierarchy uniqueName="[fact_finance].[store_key]" caption="store_key" attribute="1" defaultMemberUniqueName="[fact_finance].[store_key].[All]" allUniqueName="[fact_finance].[store_key].[All]" dimensionUniqueName="[fact_finance]" displayFolder="" count="0" memberValueDatatype="20" unbalanced="0"/>
    <cacheHierarchy uniqueName="[fact_return].[return_id]" caption="return_id" attribute="1" defaultMemberUniqueName="[fact_return].[return_id].[All]" allUniqueName="[fact_return].[return_id].[All]" dimensionUniqueName="[fact_return]" displayFolder="" count="0" memberValueDatatype="130" unbalanced="0"/>
    <cacheHierarchy uniqueName="[fact_return].[order_number]" caption="order_number" attribute="1" defaultMemberUniqueName="[fact_return].[order_number].[All]" allUniqueName="[fact_return].[order_number].[All]" dimensionUniqueName="[fact_return]" displayFolder="" count="0" memberValueDatatype="20" unbalanced="0"/>
    <cacheHierarchy uniqueName="[fact_return].[line_item]" caption="line_item" attribute="1" defaultMemberUniqueName="[fact_return].[line_item].[All]" allUniqueName="[fact_return].[line_item].[All]" dimensionUniqueName="[fact_return]" displayFolder="" count="0" memberValueDatatype="20" unbalanced="0"/>
    <cacheHierarchy uniqueName="[fact_return].[return_date]" caption="return_date" attribute="1" time="1" defaultMemberUniqueName="[fact_return].[return_date].[All]" allUniqueName="[fact_return].[return_date].[All]" dimensionUniqueName="[fact_return]" displayFolder="" count="0" memberValueDatatype="7" unbalanced="0"/>
    <cacheHierarchy uniqueName="[fact_return].[return_qty]" caption="return_qty" attribute="1" defaultMemberUniqueName="[fact_return].[return_qty].[All]" allUniqueName="[fact_return].[return_qty].[All]" dimensionUniqueName="[fact_return]" displayFolder="" count="0" memberValueDatatype="20" unbalanced="0"/>
    <cacheHierarchy uniqueName="[fact_return].[return_amount]" caption="return_amount" attribute="1" defaultMemberUniqueName="[fact_return].[return_amount].[All]" allUniqueName="[fact_return].[return_amount].[All]" dimensionUniqueName="[fact_return]" displayFolder="" count="0" memberValueDatatype="5" unbalanced="0"/>
    <cacheHierarchy uniqueName="[fact_return].[return_reason]" caption="return_reason" attribute="1" defaultMemberUniqueName="[fact_return].[return_reason].[All]" allUniqueName="[fact_return].[return_reason].[All]" dimensionUniqueName="[fact_return]" displayFolder="" count="0" memberValueDatatype="130" unbalanced="0"/>
    <cacheHierarchy uniqueName="[fact_return].[store_key]" caption="store_key" attribute="1" defaultMemberUniqueName="[fact_return].[store_key].[All]" allUniqueName="[fact_return].[store_key].[All]" dimensionUniqueName="[fact_return]" displayFolder="" count="0" memberValueDatatype="20" unbalanced="0"/>
    <cacheHierarchy uniqueName="[fact_return].[channel_code]" caption="channel_code" attribute="1" defaultMemberUniqueName="[fact_return].[channel_code].[All]" allUniqueName="[fact_return].[channel_code].[All]" dimensionUniqueName="[fact_return]" displayFolder="" count="0" memberValueDatatype="130" unbalanced="0"/>
    <cacheHierarchy uniqueName="[fact_return].[product_key]" caption="product_key" attribute="1" defaultMemberUniqueName="[fact_return].[product_key].[All]" allUniqueName="[fact_return].[product_key].[All]" dimensionUniqueName="[fact_return]" displayFolder="" count="0" memberValueDatatype="20" unbalanced="0"/>
    <cacheHierarchy uniqueName="[fact_sales_line].[order_number]" caption="order_number" attribute="1" defaultMemberUniqueName="[fact_sales_line].[order_number].[All]" allUniqueName="[fact_sales_line].[order_number].[All]" dimensionUniqueName="[fact_sales_line]" displayFolder="" count="0" memberValueDatatype="20" unbalanced="0"/>
    <cacheHierarchy uniqueName="[fact_sales_line].[line_item]" caption="line_item" attribute="1" defaultMemberUniqueName="[fact_sales_line].[line_item].[All]" allUniqueName="[fact_sales_line].[line_item].[All]" dimensionUniqueName="[fact_sales_line]" displayFolder="" count="0" memberValueDatatype="20" unbalanced="0"/>
    <cacheHierarchy uniqueName="[fact_sales_line].[order_date]" caption="order_date" attribute="1" time="1" defaultMemberUniqueName="[fact_sales_line].[order_date].[All]" allUniqueName="[fact_sales_line].[order_date].[All]" dimensionUniqueName="[fact_sales_line]" displayFolder="" count="0" memberValueDatatype="7" unbalanced="0"/>
    <cacheHierarchy uniqueName="[fact_sales_line].[delivery_date]" caption="delivery_date" attribute="1" time="1" defaultMemberUniqueName="[fact_sales_line].[delivery_date].[All]" allUniqueName="[fact_sales_line].[delivery_date].[All]" dimensionUniqueName="[fact_sales_line]" displayFolder="" count="0" memberValueDatatype="7" unbalanced="0"/>
    <cacheHierarchy uniqueName="[fact_sales_line].[customer_key]" caption="customer_key" attribute="1" defaultMemberUniqueName="[fact_sales_line].[customer_key].[All]" allUniqueName="[fact_sales_line].[customer_key].[All]" dimensionUniqueName="[fact_sales_line]" displayFolder="" count="0" memberValueDatatype="20" unbalanced="0"/>
    <cacheHierarchy uniqueName="[fact_sales_line].[store_key]" caption="store_key" attribute="1" defaultMemberUniqueName="[fact_sales_line].[store_key].[All]" allUniqueName="[fact_sales_line].[store_key].[All]" dimensionUniqueName="[fact_sales_line]" displayFolder="" count="0" memberValueDatatype="20" unbalanced="0"/>
    <cacheHierarchy uniqueName="[fact_sales_line].[channel_code]" caption="channel_code" attribute="1" defaultMemberUniqueName="[fact_sales_line].[channel_code].[All]" allUniqueName="[fact_sales_line].[channel_code].[All]" dimensionUniqueName="[fact_sales_line]" displayFolder="" count="0" memberValueDatatype="130" unbalanced="0"/>
    <cacheHierarchy uniqueName="[fact_sales_line].[product_key]" caption="product_key" attribute="1" defaultMemberUniqueName="[fact_sales_line].[product_key].[All]" allUniqueName="[fact_sales_line].[product_key].[All]" dimensionUniqueName="[fact_sales_line]" displayFolder="" count="0" memberValueDatatype="20" unbalanced="0"/>
    <cacheHierarchy uniqueName="[fact_sales_line].[quantity]" caption="quantity" attribute="1" defaultMemberUniqueName="[fact_sales_line].[quantity].[All]" allUniqueName="[fact_sales_line].[quantity].[All]" dimensionUniqueName="[fact_sales_line]" displayFolder="" count="0" memberValueDatatype="20" unbalanced="0"/>
    <cacheHierarchy uniqueName="[fact_sales_line].[unit_price]" caption="unit_price" attribute="1" defaultMemberUniqueName="[fact_sales_line].[unit_price].[All]" allUniqueName="[fact_sales_line].[unit_price].[All]" dimensionUniqueName="[fact_sales_line]" displayFolder="" count="0" memberValueDatatype="5" unbalanced="0"/>
    <cacheHierarchy uniqueName="[fact_sales_line].[promo_code]" caption="promo_code" attribute="1" defaultMemberUniqueName="[fact_sales_line].[promo_code].[All]" allUniqueName="[fact_sales_line].[promo_code].[All]" dimensionUniqueName="[fact_sales_line]" displayFolder="" count="0" memberValueDatatype="130" unbalanced="0"/>
    <cacheHierarchy uniqueName="[fact_sales_line].[discount_amount]" caption="discount_amount" attribute="1" defaultMemberUniqueName="[fact_sales_line].[discount_amount].[All]" allUniqueName="[fact_sales_line].[discount_amount].[All]" dimensionUniqueName="[fact_sales_line]" displayFolder="" count="0" memberValueDatatype="5" unbalanced="0"/>
    <cacheHierarchy uniqueName="[fact_sales_line].[order_status]" caption="order_status" attribute="1" defaultMemberUniqueName="[fact_sales_line].[order_status].[All]" allUniqueName="[fact_sales_line].[order_status].[All]" dimensionUniqueName="[fact_sales_line]" displayFolder="" count="0" memberValueDatatype="130" unbalanced="0"/>
    <cacheHierarchy uniqueName="[fact_sales_line].[currency_code]" caption="currency_code" attribute="1" defaultMemberUniqueName="[fact_sales_line].[currency_code].[All]" allUniqueName="[fact_sales_line].[currency_code].[All]" dimensionUniqueName="[fact_sales_line]" displayFolder="" count="0" memberValueDatatype="130" unbalanced="0"/>
    <cacheHierarchy uniqueName="[fact_sales_line].[unit_cost]" caption="unit_cost" attribute="1" defaultMemberUniqueName="[fact_sales_line].[unit_cost].[All]" allUniqueName="[fact_sales_line].[unit_cost].[All]" dimensionUniqueName="[fact_sales_line]" displayFolder="" count="0" memberValueDatatype="5" unbalanced="0"/>
    <cacheHierarchy uniqueName="[fact_sales_line].[gross_amount]" caption="gross_amount" attribute="1" defaultMemberUniqueName="[fact_sales_line].[gross_amount].[All]" allUniqueName="[fact_sales_line].[gross_amount].[All]" dimensionUniqueName="[fact_sales_line]" displayFolder="" count="0" memberValueDatatype="5" unbalanced="0"/>
    <cacheHierarchy uniqueName="[fact_sales_line].[net_amount]" caption="net_amount" attribute="1" defaultMemberUniqueName="[fact_sales_line].[net_amount].[All]" allUniqueName="[fact_sales_line].[net_amount].[All]" dimensionUniqueName="[fact_sales_line]" displayFolder="" count="0" memberValueDatatype="5" unbalanced="0"/>
    <cacheHierarchy uniqueName="[Measures].[Gross Sales]" caption="Gross Sales" measure="1" displayFolder="" measureGroup="_Measures" count="0"/>
    <cacheHierarchy uniqueName="[Measures].[Discounts]" caption="Discounts" measure="1" displayFolder="" measureGroup="_Measures" count="0"/>
    <cacheHierarchy uniqueName="[Measures].[Net Sales]" caption="Net Sales" measure="1" displayFolder="" measureGroup="_Measures" count="0"/>
    <cacheHierarchy uniqueName="[Measures].[Returns]" caption="Returns" measure="1" displayFolder="" measureGroup="_Measures" count="0"/>
    <cacheHierarchy uniqueName="[Measures].[Net Revenue]" caption="Net Revenue" measure="1" displayFolder="" measureGroup="_Measures" count="0"/>
    <cacheHierarchy uniqueName="[Measures].[Orders]" caption="Orders" measure="1" displayFolder="" measureGroup="_Measures" count="0"/>
    <cacheHierarchy uniqueName="[Measures].[Units]" caption="Units" measure="1" displayFolder="" measureGroup="_Measures" count="0"/>
    <cacheHierarchy uniqueName="[Measures].[AOV]" caption="AOV" measure="1" displayFolder="" measureGroup="_Measures" count="0"/>
    <cacheHierarchy uniqueName="[Measures].[ASP]" caption="ASP" measure="1" displayFolder="" measureGroup="_Measures" count="0"/>
    <cacheHierarchy uniqueName="[Measures].[Return Rate]" caption="Return Rate" measure="1" displayFolder="" measureGroup="_Measures" count="0"/>
    <cacheHierarchy uniqueName="[Measures].[Finance Net Revenue]" caption="Finance Net Revenue" measure="1" displayFolder="" measureGroup="_Measures" count="0"/>
    <cacheHierarchy uniqueName="[Measures].[Δ Finance]" caption="Δ Finance" measure="1" displayFolder="" measureGroup="_Measures" count="0"/>
    <cacheHierarchy uniqueName="[Measures].[Δ Finance %]" caption="Δ Finance %" measure="1" displayFolder="" measureGroup="_Measures" count="0"/>
    <cacheHierarchy uniqueName="[Measures].[Δ tuyệt đối]" caption="Δ tuyệt đối" measure="1" displayFolder="" measureGroup="_Measures" count="0"/>
    <cacheHierarchy uniqueName="[Measures].[Vượt ngưỡng]" caption="Vượt ngưỡng" measure="1" displayFolder="" measureGroup="_Measures" count="0"/>
    <cacheHierarchy uniqueName="[Measures].[Số cửa hàng vượt ngưỡng]" caption="Số cửa hàng vượt ngưỡng" measure="1" displayFolder="" measureGroup="_Measures" count="0"/>
    <cacheHierarchy uniqueName="[Measures].[Net Sales (cơ sở Finance)]" caption="Net Sales (cơ sở Finance)" measure="1" displayFolder="" measureGroup="_Measures" count="0"/>
    <cacheHierarchy uniqueName="[Measures].[Δ sau quy đổi]" caption="Δ sau quy đổi" measure="1" displayFolder="" measureGroup="_Measures" count="0"/>
    <cacheHierarchy uniqueName="[Measures].[Net Revenue LM]" caption="Net Revenue LM" measure="1" displayFolder="" measureGroup="_Measures" count="0"/>
    <cacheHierarchy uniqueName="[Measures].[Net Revenue SPLY]" caption="Net Revenue SPLY" measure="1" displayFolder="" measureGroup="_Measures" count="0"/>
    <cacheHierarchy uniqueName="[Measures].[Net Revenue YTD]" caption="Net Revenue YTD" measure="1" displayFolder="" measureGroup="_Measures" count="0"/>
    <cacheHierarchy uniqueName="[Measures].[HQ Adjustment]" caption="HQ Adjustment" measure="1" displayFolder="" measureGroup="_Measures" count="0"/>
    <cacheHierarchy uniqueName="[Measures].[Cancelled Orders]" caption="Cancelled Orders" measure="1" displayFolder="" measureGroup="_Measures" count="0"/>
    <cacheHierarchy uniqueName="[Measures].[Pending Orders]" caption="Pending Orders" measure="1" displayFolder="" measureGroup="_Measures" count="0"/>
    <cacheHierarchy uniqueName="[Measures].[Tỷ trọng online]" caption="Tỷ trọng online" measure="1" displayFolder="" measureGroup="_Measures" count="0"/>
    <cacheHierarchy uniqueName="[Measures].[Tỷ lệ chiết khấu]" caption="Tỷ lệ chiết khấu" measure="1" displayFolder="" measureGroup="_Measures" count="0"/>
    <cacheHierarchy uniqueName="[Measures].[Orders SPLY]" caption="Orders SPLY" measure="1" displayFolder="" measureGroup="_Measures" count="0"/>
    <cacheHierarchy uniqueName="[Measures].[AOV SPLY]" caption="AOV SPLY" measure="1" displayFolder="" measureGroup="_Measures" count="0"/>
    <cacheHierarchy uniqueName="[Measures].[Return Rate SPLY]" caption="Return Rate SPLY" measure="1" displayFolder="" measureGroup="_Measures" count="0"/>
    <cacheHierarchy uniqueName="[Measures].[__XL_Count dim_date]" caption="__XL_Count dim_date" measure="1" displayFolder="" measureGroup="dim_date" count="0" hidden="1"/>
    <cacheHierarchy uniqueName="[Measures].[__XL_Count dim_store]" caption="__XL_Count dim_store" measure="1" displayFolder="" measureGroup="dim_store" count="0" hidden="1"/>
    <cacheHierarchy uniqueName="[Measures].[__XL_Count dim_product]" caption="__XL_Count dim_product" measure="1" displayFolder="" measureGroup="dim_product" count="0" hidden="1"/>
    <cacheHierarchy uniqueName="[Measures].[__XL_Count dim_channel]" caption="__XL_Count dim_channel" measure="1" displayFolder="" measureGroup="dim_channel" count="0" hidden="1"/>
    <cacheHierarchy uniqueName="[Measures].[__XL_Count dim_promotion]" caption="__XL_Count dim_promotion" measure="1" displayFolder="" measureGroup="dim_promotion" count="0" hidden="1"/>
    <cacheHierarchy uniqueName="[Measures].[__XL_Count dim_order_status]" caption="__XL_Count dim_order_status" measure="1" displayFolder="" measureGroup="dim_order_status" count="0" hidden="1"/>
    <cacheHierarchy uniqueName="[Measures].[__XL_Count fact_sales_line]" caption="__XL_Count fact_sales_line" measure="1" displayFolder="" measureGroup="fact_sales_line" count="0" hidden="1"/>
    <cacheHierarchy uniqueName="[Measures].[__XL_Count fact_return]" caption="__XL_Count fact_return" measure="1" displayFolder="" measureGroup="fact_return" count="0" hidden="1"/>
    <cacheHierarchy uniqueName="[Measures].[__XL_Count fact_finance]" caption="__XL_Count fact_finance" measure="1" displayFolder="" measureGroup="fact_finance" count="0" hidden="1"/>
    <cacheHierarchy uniqueName="[Measures].[__XL_Count _Measures]" caption="__XL_Count _Measures" measure="1" displayFolder="" measureGroup="_Measures" count="0" hidden="1"/>
    <cacheHierarchy uniqueName="[Measures].[__No measures defined]" caption="__No measures defined" measure="1" displayFolder="" count="0" hidden="1"/>
  </cacheHierarchies>
  <kpis count="0"/>
  <dimensions count="11">
    <dimension name="_Measures" uniqueName="[_Measures]" caption="_Measures"/>
    <dimension name="dim_channel" uniqueName="[dim_channel]" caption="dim_channel"/>
    <dimension name="dim_date" uniqueName="[dim_date]" caption="dim_date"/>
    <dimension name="dim_order_status" uniqueName="[dim_order_status]" caption="dim_order_status"/>
    <dimension name="dim_product" uniqueName="[dim_product]" caption="dim_product"/>
    <dimension name="dim_promotion" uniqueName="[dim_promotion]" caption="dim_promotion"/>
    <dimension name="dim_store" uniqueName="[dim_store]" caption="dim_store"/>
    <dimension name="fact_finance" uniqueName="[fact_finance]" caption="fact_finance"/>
    <dimension name="fact_return" uniqueName="[fact_return]" caption="fact_return"/>
    <dimension name="fact_sales_line" uniqueName="[fact_sales_line]" caption="fact_sales_line"/>
    <dimension measure="1" name="Measures" uniqueName="[Measures]" caption="Measures"/>
  </dimensions>
  <measureGroups count="10">
    <measureGroup name="_Measures" caption="_Measures"/>
    <measureGroup name="dim_channel" caption="dim_channel"/>
    <measureGroup name="dim_date" caption="dim_date"/>
    <measureGroup name="dim_order_status" caption="dim_order_status"/>
    <measureGroup name="dim_product" caption="dim_product"/>
    <measureGroup name="dim_promotion" caption="dim_promotion"/>
    <measureGroup name="dim_store" caption="dim_store"/>
    <measureGroup name="fact_finance" caption="fact_finance"/>
    <measureGroup name="fact_return" caption="fact_return"/>
    <measureGroup name="fact_sales_line" caption="fact_sales_line"/>
  </measureGroups>
  <maps count="24">
    <map measureGroup="0" dimension="0"/>
    <map measureGroup="1" dimension="1"/>
    <map measureGroup="2" dimension="2"/>
    <map measureGroup="3" dimension="3"/>
    <map measureGroup="4" dimension="4"/>
    <map measureGroup="5" dimension="5"/>
    <map measureGroup="6" dimension="1"/>
    <map measureGroup="6" dimension="6"/>
    <map measureGroup="7" dimension="1"/>
    <map measureGroup="7" dimension="2"/>
    <map measureGroup="7" dimension="6"/>
    <map measureGroup="7" dimension="7"/>
    <map measureGroup="8" dimension="1"/>
    <map measureGroup="8" dimension="2"/>
    <map measureGroup="8" dimension="4"/>
    <map measureGroup="8" dimension="6"/>
    <map measureGroup="8" dimension="8"/>
    <map measureGroup="9" dimension="1"/>
    <map measureGroup="9" dimension="2"/>
    <map measureGroup="9" dimension="3"/>
    <map measureGroup="9" dimension="4"/>
    <map measureGroup="9" dimension="5"/>
    <map measureGroup="9" dimension="6"/>
    <map measureGroup="9" dimension="9"/>
  </maps>
  <extLst>
    <ext xmlns:x14="http://schemas.microsoft.com/office/spreadsheetml/2009/9/main" uri="{725AE2AE-9491-48be-B2B4-4EB974FC3084}">
      <x14:pivotCacheDefinition slicerData="1" pivotCacheId="17217851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CE2F33-CAA8-4A89-B7D8-D3577BEB4C4E}" name="pvt_cua_hang_co_so_lieu" cacheId="1253"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125:AH175" firstHeaderRow="0" firstDataRow="1" firstDataCol="1"/>
  <pivotFields count="6">
    <pivotField axis="axisRow" compact="0" allDrilled="1" outline="0" subtotalTop="0" showAll="0" dataSourceSort="1" defaultSubtotal="0" defaultAttributeDrillState="1">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rowItems>
  <colFields count="1">
    <field x="-2"/>
  </colFields>
  <colItems count="2">
    <i>
      <x/>
    </i>
    <i i="1">
      <x v="1"/>
    </i>
  </colItems>
  <dataFields count="2">
    <dataField fld="1" subtotal="count" baseField="0" baseItem="0"/>
    <dataField fld="2"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29F5ED-8759-4D71-BDCD-B7BCB428C86F}" name="pvt_doi_soat_top10" cacheId="1251"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105:AM115" firstHeaderRow="0" firstDataRow="1" firstDataCol="1"/>
  <pivotFields count="11">
    <pivotField axis="axisRow" compact="0" allDrilled="1" outline="0"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6"/>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0">
    <i>
      <x/>
    </i>
    <i>
      <x v="3"/>
    </i>
    <i>
      <x v="8"/>
    </i>
    <i>
      <x v="9"/>
    </i>
    <i>
      <x v="7"/>
    </i>
    <i>
      <x v="1"/>
    </i>
    <i>
      <x v="2"/>
    </i>
    <i>
      <x v="5"/>
    </i>
    <i>
      <x v="6"/>
    </i>
    <i>
      <x v="4"/>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97">
      <autoFilter ref="A1">
        <filterColumn colId="0">
          <top10 val="10" filterVal="10"/>
        </filterColumn>
      </autoFilter>
    </filter>
  </filters>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F513EA-9CA3-4877-8BAB-D975FB2C4F18}" name="pvt_top10_cua_hang" cacheId="1249"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85:AI95" firstHeaderRow="0" firstDataRow="1" firstDataCol="1"/>
  <pivotFields count="7">
    <pivotField axis="axisRow" compact="0" allDrilled="1" outline="0" subtotalTop="0" showAll="0" measureFilter="1" sortType="descending" dataSourceSort="1"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0">
    <i>
      <x v="8"/>
    </i>
    <i>
      <x v="5"/>
    </i>
    <i>
      <x v="4"/>
    </i>
    <i>
      <x v="3"/>
    </i>
    <i>
      <x v="7"/>
    </i>
    <i>
      <x/>
    </i>
    <i>
      <x v="6"/>
    </i>
    <i>
      <x v="1"/>
    </i>
    <i>
      <x v="9"/>
    </i>
    <i>
      <x v="2"/>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86">
      <autoFilter ref="A1">
        <filterColumn colId="0">
          <top10 val="10" filterVal="10"/>
        </filterColumn>
      </autoFilter>
    </filter>
  </filters>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71BA2E-0284-413D-B17A-EC4B454F48E2}" name="pvt_kenh" cacheId="1247"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75:AI77" firstHeaderRow="0" firstDataRow="1" firstDataCol="1"/>
  <pivotFields count="7">
    <pivotField axis="axisRow" compact="0" allDrilled="1" outline="0" subtotalTop="0" showAll="0" dataSourceSort="1" defaultSubtotal="0" defaultAttributeDrillState="1">
      <items count="2">
        <item x="0"/>
        <item x="1"/>
      </items>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2">
    <i>
      <x/>
    </i>
    <i>
      <x v="1"/>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570CD4-1F7A-4073-9AAF-FD670559A0EE}" name="pvt_rr_danh_muc" cacheId="1245"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55:AH63" firstHeaderRow="0" firstDataRow="1" firstDataCol="1"/>
  <pivotFields count="6">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8">
    <i>
      <x/>
    </i>
    <i>
      <x v="6"/>
    </i>
    <i>
      <x v="4"/>
    </i>
    <i>
      <x v="1"/>
    </i>
    <i>
      <x v="3"/>
    </i>
    <i>
      <x v="2"/>
    </i>
    <i>
      <x v="5"/>
    </i>
    <i>
      <x v="7"/>
    </i>
  </rowItems>
  <colFields count="1">
    <field x="-2"/>
  </colFields>
  <colItems count="2">
    <i>
      <x/>
    </i>
    <i i="1">
      <x v="1"/>
    </i>
  </colItems>
  <dataFields count="2">
    <dataField fld="1" subtotal="count" baseField="0" baseItem="0"/>
    <dataField fld="2"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5E360E9-0F76-4BC2-8081-C620B35B0374}" name="pvt_ly_do" cacheId="1243"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40:AG44" firstHeaderRow="1" firstDataRow="1" firstDataCol="1"/>
  <pivotFields count="5">
    <pivotField axis="axisRow" compact="0" allDrilled="1" outline="0" subtotalTop="0" showAll="0" sortType="descending" dataSourceSort="1"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4">
    <i>
      <x v="3"/>
    </i>
    <i>
      <x v="1"/>
    </i>
    <i>
      <x/>
    </i>
    <i>
      <x v="2"/>
    </i>
  </rowItems>
  <colItems count="1">
    <i/>
  </colItems>
  <dataFields count="1">
    <dataField fld="1"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C941E9-5614-4C9A-9470-1326C7BD44DA}" name="pvt_quoc_gia" cacheId="1241"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20:AG29" firstHeaderRow="1" firstDataRow="1" firstDataCol="1"/>
  <pivotFields count="4">
    <pivotField axis="axisRow" compact="0" allDrilled="1" outline="0" subtotalTop="0" showAll="0" sortType="descending" dataSourceSort="1"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9">
    <i>
      <x v="8"/>
    </i>
    <i>
      <x v="6"/>
    </i>
    <i>
      <x v="3"/>
    </i>
    <i>
      <x v="1"/>
    </i>
    <i>
      <x v="7"/>
    </i>
    <i>
      <x v="2"/>
    </i>
    <i>
      <x/>
    </i>
    <i>
      <x v="4"/>
    </i>
    <i>
      <x v="5"/>
    </i>
  </rowItems>
  <colItems count="1">
    <i/>
  </colItems>
  <dataFields count="1">
    <dataField fld="1"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03FF7A-C2AA-4689-851D-633681B2C365}" name="pvt_danh_muc" cacheId="1238" applyNumberFormats="0" applyBorderFormats="0" applyFontFormats="0" applyPatternFormats="0" applyAlignmentFormats="0" applyWidthHeightFormats="1" dataCaption="Values" updatedVersion="8" minRefreshableVersion="3" rowGrandTotals="0" colGrandTotals="0" itemPrintTitles="1" createdVersion="6" indent="0" compact="0" compactData="0" multipleFieldFilters="0">
  <location ref="AF3:AG11" firstHeaderRow="1" firstDataRow="1" firstDataCol="1"/>
  <pivotFields count="5">
    <pivotField axis="axisRow" compact="0" allDrilled="1" outline="0" subtotalTop="0" showAll="0" sortType="descending" dataSourceSort="1"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8">
    <i>
      <x v="3"/>
    </i>
    <i>
      <x v="7"/>
    </i>
    <i>
      <x v="2"/>
    </i>
    <i>
      <x v="1"/>
    </i>
    <i>
      <x v="5"/>
    </i>
    <i>
      <x v="6"/>
    </i>
    <i>
      <x/>
    </i>
    <i>
      <x v="4"/>
    </i>
  </rowItems>
  <colItems count="1">
    <i/>
  </colItems>
  <dataFields count="1">
    <dataField fld="1" subtotal="count" baseField="0" baseItem="0"/>
  </dataFields>
  <pivotHierarchies count="124">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dim_date].[year].&amp;[2020]"/>
      </members>
    </pivotHierarchy>
    <pivotHierarchy dragToData="1"/>
    <pivotHierarchy multipleItemSelectionAllowed="1" dragToData="1">
      <members count="1" level="1">
        <member name="[dim_date].[month].&amp;[1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A52B6B9-FB1C-471D-8248-ACA0B7E64D4E}" sourceName="[dim_date].[year]">
  <pivotTables>
    <pivotTable tabId="6" name="pvt_danh_muc"/>
    <pivotTable tabId="6" name="pvt_quoc_gia"/>
    <pivotTable tabId="6" name="pvt_ly_do"/>
    <pivotTable tabId="6" name="pvt_rr_danh_muc"/>
    <pivotTable tabId="6" name="pvt_kenh"/>
    <pivotTable tabId="6" name="pvt_top10_cua_hang"/>
    <pivotTable tabId="6" name="pvt_doi_soat_top10"/>
    <pivotTable tabId="6" name="pvt_cua_hang_co_so_lieu"/>
  </pivotTables>
  <data>
    <olap pivotCacheId="1721785192">
      <levels count="2">
        <level uniqueName="[dim_date].[year].[(All)]" sourceCaption="(All)" count="0"/>
        <level uniqueName="[dim_date].[year].[year]" sourceCaption="year" count="7">
          <ranges>
            <range startItem="0">
              <i n="[dim_date].[year].&amp;[2016]" c="2016"/>
              <i n="[dim_date].[year].&amp;[2017]" c="2017"/>
              <i n="[dim_date].[year].&amp;[2018]" c="2018"/>
              <i n="[dim_date].[year].&amp;[2019]" c="2019"/>
              <i n="[dim_date].[year].&amp;[2020]" c="2020"/>
              <i n="[dim_date].[year].&amp;[2021]" c="2021" nd="1"/>
              <i n="[dim_date].[year].&amp;" c="(blank)" nd="1"/>
            </range>
          </ranges>
        </level>
      </levels>
      <selections count="1">
        <selection n="[dim_date].[year].&amp;[2020]"/>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93EB42E-D254-4F60-B088-07B8D7FF689A}" sourceName="[dim_date].[month]">
  <pivotTables>
    <pivotTable tabId="6" name="pvt_danh_muc"/>
    <pivotTable tabId="6" name="pvt_quoc_gia"/>
    <pivotTable tabId="6" name="pvt_ly_do"/>
    <pivotTable tabId="6" name="pvt_rr_danh_muc"/>
    <pivotTable tabId="6" name="pvt_kenh"/>
    <pivotTable tabId="6" name="pvt_top10_cua_hang"/>
    <pivotTable tabId="6" name="pvt_doi_soat_top10"/>
    <pivotTable tabId="6" name="pvt_cua_hang_co_so_lieu"/>
  </pivotTables>
  <data>
    <olap pivotCacheId="1721785192">
      <levels count="2">
        <level uniqueName="[dim_date].[month].[(All)]" sourceCaption="(All)" count="0"/>
        <level uniqueName="[dim_date].[month].[month]" sourceCaption="month" count="13">
          <ranges>
            <range startItem="0">
              <i n="[dim_date].[month].&amp;[1]" c="1"/>
              <i n="[dim_date].[month].&amp;[2]" c="2"/>
              <i n="[dim_date].[month].&amp;[3]" c="3"/>
              <i n="[dim_date].[month].&amp;[4]" c="4"/>
              <i n="[dim_date].[month].&amp;[5]" c="5"/>
              <i n="[dim_date].[month].&amp;[6]" c="6"/>
              <i n="[dim_date].[month].&amp;[7]" c="7"/>
              <i n="[dim_date].[month].&amp;[8]" c="8"/>
              <i n="[dim_date].[month].&amp;[9]" c="9"/>
              <i n="[dim_date].[month].&amp;[10]" c="10"/>
              <i n="[dim_date].[month].&amp;[11]" c="11"/>
              <i n="[dim_date].[month].&amp;[12]" c="12"/>
              <i n="[dim_date].[month].&amp;" c="(blank)" nd="1"/>
            </range>
          </ranges>
        </level>
      </levels>
      <selections count="1">
        <selection n="[dim_date].[month].&amp;[12]"/>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_name" xr10:uid="{5C3B0DA6-E202-430D-8B65-486ECCCBE364}" sourceName="[dim_channel].[channel_name]">
  <pivotTables>
    <pivotTable tabId="6" name="pvt_danh_muc"/>
    <pivotTable tabId="6" name="pvt_quoc_gia"/>
    <pivotTable tabId="6" name="pvt_ly_do"/>
    <pivotTable tabId="6" name="pvt_rr_danh_muc"/>
    <pivotTable tabId="6" name="pvt_kenh"/>
    <pivotTable tabId="6" name="pvt_top10_cua_hang"/>
    <pivotTable tabId="6" name="pvt_doi_soat_top10"/>
    <pivotTable tabId="6" name="pvt_cua_hang_co_so_lieu"/>
  </pivotTables>
  <data>
    <olap pivotCacheId="1721785192">
      <levels count="2">
        <level uniqueName="[dim_channel].[channel_name].[(All)]" sourceCaption="(All)" count="0"/>
        <level uniqueName="[dim_channel].[channel_name].[channel_name]" sourceCaption="channel_name" count="3">
          <ranges>
            <range startItem="0">
              <i n="[dim_channel].[channel_name].&amp;[Cửa hàng]" c="Cửa hàng"/>
              <i n="[dim_channel].[channel_name].&amp;[Website/app]" c="Website/app"/>
              <i n="[dim_channel].[channel_name].&amp;" c="(blank)"/>
            </range>
          </ranges>
        </level>
      </levels>
      <selections count="1">
        <selection n="[dim_channel].[channel_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8079B2F4-8AAD-4862-BCBA-8E7400793AE1}" sourceName="[dim_store].[country]">
  <pivotTables>
    <pivotTable tabId="6" name="pvt_danh_muc"/>
    <pivotTable tabId="6" name="pvt_quoc_gia"/>
    <pivotTable tabId="6" name="pvt_ly_do"/>
    <pivotTable tabId="6" name="pvt_rr_danh_muc"/>
    <pivotTable tabId="6" name="pvt_kenh"/>
    <pivotTable tabId="6" name="pvt_top10_cua_hang"/>
    <pivotTable tabId="6" name="pvt_doi_soat_top10"/>
    <pivotTable tabId="6" name="pvt_cua_hang_co_so_lieu"/>
  </pivotTables>
  <data>
    <olap pivotCacheId="1721785192">
      <levels count="2">
        <level uniqueName="[dim_store].[country].[(All)]" sourceCaption="(All)" count="0"/>
        <level uniqueName="[dim_store].[country].[country]" sourceCaption="country" count="10">
          <ranges>
            <range startItem="0">
              <i n="[dim_store].[country].&amp;[Australia]" c="Australia"/>
              <i n="[dim_store].[country].&amp;[Canada]" c="Canada"/>
              <i n="[dim_store].[country].&amp;[France]" c="France"/>
              <i n="[dim_store].[country].&amp;[Germany]" c="Germany"/>
              <i n="[dim_store].[country].&amp;[Italy]" c="Italy"/>
              <i n="[dim_store].[country].&amp;[Netherlands]" c="Netherlands"/>
              <i n="[dim_store].[country].&amp;[Online]" c="Online"/>
              <i n="[dim_store].[country].&amp;[United Kingdom]" c="United Kingdom"/>
              <i n="[dim_store].[country].&amp;[United States]" c="United States"/>
              <i n="[dim_store].[country].&amp;" c="(blank)"/>
            </range>
          </ranges>
        </level>
      </levels>
      <selections count="1">
        <selection n="[dim_store].[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_year_Tong_quan" xr10:uid="{6AD6A13C-52AD-452A-B704-9DE9E2F6E2C7}" cache="Slicer_year" caption="Năm" columnCount="6" level="1" rowHeight="190500"/>
  <slicer name="Slicer_month_Tong_quan" xr10:uid="{F38DE722-8885-40CF-9A1D-5CCB7724698C}" cache="Slicer_month" caption="Tháng" columnCount="12" level="1" rowHeight="190500"/>
  <slicer name="Slicer_channel_name_Tong_quan" xr10:uid="{6A4F160B-C40A-4424-8D15-C3C39718C9A5}" cache="Slicer_channel_name" caption="Kênh bán" level="1" rowHeight="190500"/>
  <slicer name="Slicer_country_Tong_quan" xr10:uid="{79115AFB-BDC0-4546-9A57-FFC932806909}" cache="Slicer_country" caption="Quốc gia" columnCount="3" level="1" rowHeight="1905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_year_Doanh_thu" xr10:uid="{690867BD-2272-4EE3-9F88-E3E931EACE43}" cache="Slicer_year" caption="Năm" columnCount="6" level="1" rowHeight="190500"/>
  <slicer name="Slicer_month_Doanh_thu" xr10:uid="{69C252A9-176D-42A9-8D18-311DE993A185}" cache="Slicer_month" caption="Tháng" columnCount="12" level="1" rowHeight="190500"/>
  <slicer name="Slicer_channel_name_Doanh_thu" xr10:uid="{809016B1-1EB9-4357-BF92-B8D833D853BF}" cache="Slicer_channel_name" caption="Kênh bán" level="1" rowHeight="190500"/>
  <slicer name="Slicer_country_Doanh_thu" xr10:uid="{8AA0D24E-51DA-46CB-AA41-D8AAC2CB2E3C}" cache="Slicer_country" caption="Quốc gia" columnCount="3" level="1" rowHeight="1905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_year_Doi_soat" xr10:uid="{4C1F0394-7ABA-4BBD-B10A-1E5EF67B359A}" cache="Slicer_year" caption="Năm" columnCount="6" level="1" rowHeight="190500"/>
  <slicer name="Slicer_month_Doi_soat" xr10:uid="{BBEEF264-C8F4-4C32-8B09-3D07709221B7}" cache="Slicer_month" caption="Tháng" columnCount="12" level="1" rowHeight="190500"/>
  <slicer name="Slicer_channel_name_Doi_soat" xr10:uid="{648F304B-5B3F-4444-8971-9B6D9CAA15AC}" cache="Slicer_channel_name" caption="Kênh bán" level="1" rowHeight="190500"/>
  <slicer name="Slicer_country_Doi_soat" xr10:uid="{B9F3ED77-D512-4F28-A23E-D87BD2E02DB7}" cache="Slicer_country" caption="Quốc gia" columnCount="3" level="1" rowHeight="1905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icer_year_Hoan_tra" xr10:uid="{7067C4F6-6BA7-443E-BD5B-96FEFB4EFFAB}" cache="Slicer_year" caption="Năm" columnCount="6" level="1" rowHeight="190500"/>
  <slicer name="Slicer_month_Hoan_tra" xr10:uid="{F5F50C08-DE0A-44DA-94C6-2CC4FB31098D}" cache="Slicer_month" caption="Tháng" columnCount="12" level="1" rowHeight="190500"/>
  <slicer name="Slicer_channel_name_Hoan_tra" xr10:uid="{82B7FD15-F094-4FB6-B685-185BD153FDA9}" cache="Slicer_channel_name" caption="Kênh bán" level="1" rowHeight="190500"/>
  <slicer name="Slicer_country_Hoan_tra" xr10:uid="{46575DA3-98C6-4C57-9D88-3CEFDEB2F7F5}" cache="Slicer_country" caption="Quốc gia" columnCount="3" level="1" rowHeight="1905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B2BF2-BC0E-402A-9B96-351A957FBD1D}">
  <sheetPr>
    <pageSetUpPr fitToPage="1"/>
  </sheetPr>
  <dimension ref="B2:Q53"/>
  <sheetViews>
    <sheetView showGridLines="0" showRowColHeaders="0" tabSelected="1" zoomScale="90" zoomScaleNormal="90" workbookViewId="0"/>
  </sheetViews>
  <sheetFormatPr defaultRowHeight="14.25" x14ac:dyDescent="0.25"/>
  <cols>
    <col min="1" max="1" width="2.7109375" style="4" customWidth="1"/>
    <col min="2" max="17" width="11.7109375" style="4" customWidth="1"/>
    <col min="18" max="16384" width="9.140625" style="4"/>
  </cols>
  <sheetData>
    <row r="2" spans="2:17" ht="26.25" x14ac:dyDescent="0.45">
      <c r="B2" s="5" t="s">
        <v>284</v>
      </c>
    </row>
    <row r="3" spans="2:17" x14ac:dyDescent="0.25">
      <c r="B3" s="6" t="s">
        <v>285</v>
      </c>
    </row>
    <row r="4" spans="2:17" ht="30.95" customHeight="1" x14ac:dyDescent="0.25"/>
    <row r="5" spans="2:17" ht="30.95" customHeight="1" x14ac:dyDescent="0.25"/>
    <row r="6" spans="2:17" ht="30.95" customHeight="1" x14ac:dyDescent="0.25"/>
    <row r="7" spans="2:17" x14ac:dyDescent="0.25">
      <c r="B7" s="9" t="str">
        <f>"Điểm chính · "&amp;_pivot!$B$10&amp;" · "&amp;_pivot!$B$15</f>
        <v>Điểm chính · 12/2020 · mọi kênh</v>
      </c>
      <c r="C7" s="7"/>
      <c r="D7" s="7"/>
      <c r="E7" s="7"/>
      <c r="F7" s="7"/>
      <c r="G7" s="7"/>
      <c r="H7" s="7"/>
      <c r="I7" s="7"/>
      <c r="J7" s="7"/>
      <c r="K7" s="7"/>
      <c r="L7" s="7"/>
      <c r="M7" s="7"/>
      <c r="N7" s="7"/>
      <c r="O7" s="7"/>
      <c r="P7" s="7"/>
      <c r="Q7" s="7"/>
    </row>
    <row r="8" spans="2:17" ht="32.1" customHeight="1" x14ac:dyDescent="0.25">
      <c r="B8" s="10" t="str">
        <f>"Net Revenue "&amp;_pivot!$B$10&amp;" đạt "&amp;FIXED(_pivot!$C$24/1000,1)&amp;" nghìn USD — "&amp;IF(_pivot!$F$24="","–",IF(_pivot!$F$24&gt;=0,"+","−")&amp;FIXED(ABS(_pivot!$F$24)*100,1)&amp;"%")&amp;" so với tháng trước, "&amp;IF(_pivot!$G$24="","–",IF(_pivot!$G$24&gt;=0,"+","−")&amp;FIXED(ABS(_pivot!$G$24)*100,1)&amp;"%")&amp;" so với cùng kỳ năm trước."</f>
        <v>Net Revenue 12/2020 đạt 606.1 nghìn USD — +154.6% so với tháng trước, −73.2% so với cùng kỳ năm trước.</v>
      </c>
      <c r="C8" s="8"/>
      <c r="D8" s="8"/>
      <c r="E8" s="8"/>
      <c r="F8" s="8"/>
      <c r="G8" s="8"/>
      <c r="H8" s="8"/>
      <c r="I8" s="8"/>
      <c r="J8" s="8"/>
      <c r="K8" s="8"/>
      <c r="L8" s="8"/>
      <c r="M8" s="8"/>
      <c r="N8" s="8"/>
      <c r="O8" s="8"/>
      <c r="P8" s="8"/>
      <c r="Q8" s="8"/>
    </row>
    <row r="9" spans="2:17" ht="36" customHeight="1" x14ac:dyDescent="0.25">
      <c r="B9" s="11" t="str">
        <f>IF(OR(_pivot!$G$25="",_pivot!$G$27=""),"",IF(ABS(LN(1+_pivot!$G$25))&gt;=ABS(LN(1+_pivot!$G$27)),"• Biến động so với cùng kỳ đến chủ yếu từ số đơn ("&amp;IF(_pivot!$G$25="","–",IF(_pivot!$G$25&gt;=0,"+","−")&amp;FIXED(ABS(_pivot!$G$25)*100,1)&amp;"%")&amp;"); giá trị mỗi đơn (AOV) "&amp;IF(_pivot!$G$27="","–",IF(_pivot!$G$27&gt;=0,"+","−")&amp;FIXED(ABS(_pivot!$G$27)*100,1)&amp;"%")&amp;".","• Biến động so với cùng kỳ đến chủ yếu từ giá trị mỗi đơn (AOV "&amp;IF(_pivot!$G$27="","–",IF(_pivot!$G$27&gt;=0,"+","−")&amp;FIXED(ABS(_pivot!$G$27)*100,1)&amp;"%")&amp;"); số đơn "&amp;IF(_pivot!$G$25="","–",IF(_pivot!$G$25&gt;=0,"+","−")&amp;FIXED(ABS(_pivot!$G$25)*100,1)&amp;"%")&amp;"."))&amp;CHAR(10)&amp;"• Kế toán ghi nhận "&amp;IF(_pivot!$C$31&gt;=0,"cao","thấp")&amp;" hơn dữ liệu đơn "&amp;FIXED(ABS(_pivot!$C$31),0)&amp;" USD ("&amp;IF(_pivot!$C$32="","–",IF(_pivot!$C$32&gt;=0,"+","−")&amp;FIXED(ABS(_pivot!$C$32)*100,2)&amp;"%")&amp;" trên số Kế toán); "&amp;_pivot!$C$34&amp;" cửa hàng vượt ngưỡng cần giải thích (sheet Doi_soat)."</f>
        <v>• Biến động so với cùng kỳ đến chủ yếu từ số đơn (−74.7%); giá trị mỗi đơn (AOV) +4.9%.
• Kế toán ghi nhận thấp hơn dữ liệu đơn 12,536 USD (−2.11% trên số Kế toán); 2 cửa hàng vượt ngưỡng cần giải thích (sheet Doi_soat).</v>
      </c>
      <c r="C9" s="8"/>
      <c r="D9" s="8"/>
      <c r="E9" s="8"/>
      <c r="F9" s="8"/>
      <c r="G9" s="8"/>
      <c r="H9" s="8"/>
      <c r="I9" s="8"/>
      <c r="J9" s="8"/>
      <c r="K9" s="8"/>
      <c r="L9" s="8"/>
      <c r="M9" s="8"/>
      <c r="N9" s="8"/>
      <c r="O9" s="8"/>
      <c r="P9" s="8"/>
      <c r="Q9" s="8"/>
    </row>
    <row r="11" spans="2:17" x14ac:dyDescent="0.25">
      <c r="B11" s="18" t="s">
        <v>32</v>
      </c>
      <c r="C11" s="12"/>
      <c r="D11" s="12"/>
      <c r="E11" s="18" t="s">
        <v>287</v>
      </c>
      <c r="F11" s="12"/>
      <c r="G11" s="12"/>
      <c r="H11" s="18" t="s">
        <v>38</v>
      </c>
      <c r="I11" s="12"/>
      <c r="J11" s="12"/>
      <c r="K11" s="18" t="s">
        <v>288</v>
      </c>
      <c r="L11" s="12"/>
      <c r="M11" s="12"/>
      <c r="N11" s="18" t="s">
        <v>289</v>
      </c>
      <c r="O11" s="12"/>
      <c r="P11" s="13"/>
    </row>
    <row r="12" spans="2:17" ht="30" customHeight="1" x14ac:dyDescent="0.45">
      <c r="B12" s="25">
        <f>_pivot!$C$24/1000</f>
        <v>606.12507000000005</v>
      </c>
      <c r="C12" s="21"/>
      <c r="D12" s="21"/>
      <c r="E12" s="26">
        <f>_pivot!$C$25</f>
        <v>310</v>
      </c>
      <c r="F12" s="21"/>
      <c r="G12" s="21"/>
      <c r="H12" s="27">
        <f>_pivot!$C$27</f>
        <v>1986.4894838709681</v>
      </c>
      <c r="I12" s="21"/>
      <c r="J12" s="21"/>
      <c r="K12" s="28">
        <f>_pivot!$C$29</f>
        <v>1.572992096578087E-2</v>
      </c>
      <c r="L12" s="21"/>
      <c r="M12" s="21"/>
      <c r="N12" s="29">
        <f>_pivot!$C$31</f>
        <v>-12536.230000000098</v>
      </c>
      <c r="O12" s="21"/>
      <c r="P12" s="22"/>
    </row>
    <row r="13" spans="2:17" x14ac:dyDescent="0.25">
      <c r="B13" s="19" t="str">
        <f>IF(_pivot!$F$24="","– so với tháng trước",IF(_pivot!$F$24&gt;0,"▲ ",IF(_pivot!$F$24&lt;0,"▼ ","■ "))&amp;FIXED(ABS(_pivot!$F$24)*100,1)&amp;"%"&amp;" so với tháng trước")</f>
        <v>▲ 154.6% so với tháng trước</v>
      </c>
      <c r="C13" s="14"/>
      <c r="D13" s="14"/>
      <c r="E13" s="19" t="str">
        <f>IF(_pivot!$F$25="","– so với tháng trước",IF(_pivot!$F$25&gt;0,"▲ ",IF(_pivot!$F$25&lt;0,"▼ ","■ "))&amp;FIXED(ABS(_pivot!$F$25)*100,1)&amp;"%"&amp;" so với tháng trước")</f>
        <v>▲ 113.8% so với tháng trước</v>
      </c>
      <c r="F13" s="14"/>
      <c r="G13" s="14"/>
      <c r="H13" s="19" t="str">
        <f>IF(_pivot!$F$27="","– so với tháng trước",IF(_pivot!$F$27&gt;0,"▲ ",IF(_pivot!$F$27&lt;0,"▼ ","■ "))&amp;FIXED(ABS(_pivot!$F$27)*100,1)&amp;"%"&amp;" so với tháng trước")</f>
        <v>▲ 19.3% so với tháng trước</v>
      </c>
      <c r="I13" s="14"/>
      <c r="J13" s="14"/>
      <c r="K13" s="19" t="str">
        <f>IF(_pivot!$F$29="","– so với tháng trước",IF(_pivot!$F$29&gt;0,"▲ ",IF(_pivot!$F$29&lt;0,"▼ ","■ "))&amp;FIXED(ABS(_pivot!$F$29)*100,2)&amp;" điểm %"&amp;" so với tháng trước")</f>
        <v>▲ 0.16 điểm % so với tháng trước</v>
      </c>
      <c r="L13" s="14"/>
      <c r="M13" s="14"/>
      <c r="N13" s="19" t="str">
        <f>IF(_pivot!$C$32="","–",IF(_pivot!$C$32&gt;=0,"+","−")&amp;FIXED(ABS(_pivot!$C$32)*100,2)&amp;"%")&amp;" trên số Kế toán"</f>
        <v>−2.11% trên số Kế toán</v>
      </c>
      <c r="O13" s="14"/>
      <c r="P13" s="15"/>
    </row>
    <row r="14" spans="2:17" x14ac:dyDescent="0.25">
      <c r="B14" s="20" t="str">
        <f>IF(_pivot!$G$24="","– so với cùng kỳ",IF(_pivot!$G$24&gt;0,"▲ ",IF(_pivot!$G$24&lt;0,"▼ ","■ "))&amp;FIXED(ABS(_pivot!$G$24)*100,1)&amp;"%"&amp;" so với cùng kỳ")</f>
        <v>▼ 73.2% so với cùng kỳ</v>
      </c>
      <c r="C14" s="16"/>
      <c r="D14" s="16"/>
      <c r="E14" s="20" t="str">
        <f>IF(_pivot!$G$25="","– so với cùng kỳ",IF(_pivot!$G$25&gt;0,"▲ ",IF(_pivot!$G$25&lt;0,"▼ ","■ "))&amp;FIXED(ABS(_pivot!$G$25)*100,1)&amp;"%"&amp;" so với cùng kỳ")</f>
        <v>▼ 74.7% so với cùng kỳ</v>
      </c>
      <c r="F14" s="16"/>
      <c r="G14" s="16"/>
      <c r="H14" s="20" t="str">
        <f>IF(_pivot!$G$27="","– so với cùng kỳ",IF(_pivot!$G$27&gt;0,"▲ ",IF(_pivot!$G$27&lt;0,"▼ ","■ "))&amp;FIXED(ABS(_pivot!$G$27)*100,1)&amp;"%"&amp;" so với cùng kỳ")</f>
        <v>▲ 4.9% so với cùng kỳ</v>
      </c>
      <c r="I14" s="16"/>
      <c r="J14" s="16"/>
      <c r="K14" s="20" t="str">
        <f>IF(_pivot!$G$29="","– so với cùng kỳ",IF(_pivot!$G$29&gt;0,"▲ ",IF(_pivot!$G$29&lt;0,"▼ ","■ "))&amp;FIXED(ABS(_pivot!$G$29)*100,2)&amp;" điểm %"&amp;" so với cùng kỳ")</f>
        <v>▼ 0.72 điểm % so với cùng kỳ</v>
      </c>
      <c r="L14" s="16"/>
      <c r="M14" s="16"/>
      <c r="N14" s="20" t="str">
        <f>_pivot!$C$34&amp;" cửa hàng vượt ngưỡng"</f>
        <v>2 cửa hàng vượt ngưỡng</v>
      </c>
      <c r="O14" s="16"/>
      <c r="P14" s="17"/>
    </row>
    <row r="16" spans="2:17" ht="16.5" x14ac:dyDescent="0.3">
      <c r="B16" s="30" t="str">
        <f>"Net Revenue "&amp;_pivot!$B$10&amp;" bằng "&amp;IF(IF(_pivot!$E$24=0,"",_pivot!$C$24/_pivot!$E$24)="","–",FIXED(IF(_pivot!$E$24=0,"",_pivot!$C$24/_pivot!$E$24)*100,0)&amp;"%")&amp;" cùng kỳ năm trước"</f>
        <v>Net Revenue 12/2020 bằng 27% cùng kỳ năm trước</v>
      </c>
      <c r="K16" s="30" t="str">
        <f>"Chiết khấu và hàng trả lại lấy đi "&amp;IF(IF(_pivot!$C$20=0,"",(_pivot!$C$21+_pivot!$C$23)/_pivot!$C$20)="","–",FIXED(IF(_pivot!$C$20=0,"",(_pivot!$C$21+_pivot!$C$23)/_pivot!$C$20)*100,1)&amp;"%")&amp;" Gross Sales"</f>
        <v>Chiết khấu và hàng trả lại lấy đi 5.4% Gross Sales</v>
      </c>
    </row>
    <row r="17" spans="2:11" x14ac:dyDescent="0.25">
      <c r="B17" s="23" t="s">
        <v>290</v>
      </c>
      <c r="K17" s="23" t="s">
        <v>291</v>
      </c>
    </row>
    <row r="34" spans="2:11" ht="16.5" x14ac:dyDescent="0.3">
      <c r="B34" s="30" t="str">
        <f>"Số đơn "&amp;IF(_pivot!$G$25="","–",IF(_pivot!$G$25&gt;=0,"+","−")&amp;FIXED(ABS(_pivot!$G$25)*100,1)&amp;"%")&amp;" so với cùng kỳ"</f>
        <v>Số đơn −74.7% so với cùng kỳ</v>
      </c>
      <c r="F34" s="30" t="str">
        <f>"AOV "&amp;IF(_pivot!$G$27="","–",IF(_pivot!$G$27&gt;=0,"+","−")&amp;FIXED(ABS(_pivot!$G$27)*100,1)&amp;"%")&amp;" so với cùng kỳ"</f>
        <v>AOV +4.9% so với cùng kỳ</v>
      </c>
      <c r="K34" s="30" t="str">
        <f>"Sau quy đổi online, Δ "&amp;_pivot!$B$10&amp;" còn "&amp;IF(_pivot!$C$33&gt;=0.5,"+",IF(_pivot!$C$33&lt;=-0.5,"−",""))&amp;FIXED(ABS(_pivot!$C$33),0)&amp;" USD"</f>
        <v>Sau quy đổi online, Δ 12/2020 còn +10,276 USD</v>
      </c>
    </row>
    <row r="35" spans="2:11" x14ac:dyDescent="0.25">
      <c r="B35" s="23" t="s">
        <v>292</v>
      </c>
      <c r="F35" s="23" t="s">
        <v>293</v>
      </c>
      <c r="K35" s="23" t="s">
        <v>294</v>
      </c>
    </row>
    <row r="52" spans="2:17" x14ac:dyDescent="0.25">
      <c r="B52" s="24" t="s">
        <v>286</v>
      </c>
      <c r="C52" s="24"/>
      <c r="D52" s="24"/>
      <c r="E52" s="24"/>
      <c r="F52" s="24"/>
      <c r="G52" s="24"/>
      <c r="H52" s="24"/>
      <c r="I52" s="24"/>
      <c r="J52" s="24"/>
      <c r="K52" s="24"/>
      <c r="L52" s="24"/>
      <c r="M52" s="24"/>
      <c r="N52" s="24"/>
      <c r="O52" s="24"/>
      <c r="P52" s="24"/>
      <c r="Q52" s="24"/>
    </row>
    <row r="53" spans="2:17" x14ac:dyDescent="0.25">
      <c r="B53" s="24"/>
      <c r="C53" s="24"/>
      <c r="D53" s="24"/>
      <c r="E53" s="24"/>
      <c r="F53" s="24"/>
      <c r="G53" s="24"/>
      <c r="H53" s="24"/>
      <c r="I53" s="24"/>
      <c r="J53" s="24"/>
      <c r="K53" s="24"/>
      <c r="L53" s="24"/>
      <c r="M53" s="24"/>
      <c r="N53" s="24"/>
      <c r="O53" s="24"/>
      <c r="P53" s="24"/>
      <c r="Q53" s="24"/>
    </row>
  </sheetData>
  <mergeCells count="23">
    <mergeCell ref="N11:P11"/>
    <mergeCell ref="N12:P12"/>
    <mergeCell ref="N13:P13"/>
    <mergeCell ref="N14:P14"/>
    <mergeCell ref="B52:Q53"/>
    <mergeCell ref="H11:J11"/>
    <mergeCell ref="H12:J12"/>
    <mergeCell ref="H13:J13"/>
    <mergeCell ref="H14:J14"/>
    <mergeCell ref="K11:M11"/>
    <mergeCell ref="K12:M12"/>
    <mergeCell ref="K13:M13"/>
    <mergeCell ref="K14:M14"/>
    <mergeCell ref="B8:Q8"/>
    <mergeCell ref="B9:Q9"/>
    <mergeCell ref="B11:D11"/>
    <mergeCell ref="B12:D12"/>
    <mergeCell ref="B13:D13"/>
    <mergeCell ref="B14:D14"/>
    <mergeCell ref="E11:G11"/>
    <mergeCell ref="E12:G12"/>
    <mergeCell ref="E13:G13"/>
    <mergeCell ref="E14:G14"/>
  </mergeCells>
  <conditionalFormatting sqref="B13">
    <cfRule type="expression" dxfId="52" priority="1" stopIfTrue="1">
      <formula>LEFT($B$13,1)="▲"</formula>
    </cfRule>
    <cfRule type="expression" dxfId="51" priority="2" stopIfTrue="1">
      <formula>LEFT($B$13,1)="▼"</formula>
    </cfRule>
  </conditionalFormatting>
  <conditionalFormatting sqref="B14">
    <cfRule type="expression" dxfId="50" priority="3" stopIfTrue="1">
      <formula>LEFT($B$14,1)="▲"</formula>
    </cfRule>
    <cfRule type="expression" dxfId="49" priority="4" stopIfTrue="1">
      <formula>LEFT($B$14,1)="▼"</formula>
    </cfRule>
  </conditionalFormatting>
  <conditionalFormatting sqref="E13">
    <cfRule type="expression" dxfId="48" priority="5" stopIfTrue="1">
      <formula>LEFT($E$13,1)="▲"</formula>
    </cfRule>
    <cfRule type="expression" dxfId="47" priority="6" stopIfTrue="1">
      <formula>LEFT($E$13,1)="▼"</formula>
    </cfRule>
  </conditionalFormatting>
  <conditionalFormatting sqref="E14">
    <cfRule type="expression" dxfId="46" priority="7" stopIfTrue="1">
      <formula>LEFT($E$14,1)="▲"</formula>
    </cfRule>
    <cfRule type="expression" dxfId="45" priority="8" stopIfTrue="1">
      <formula>LEFT($E$14,1)="▼"</formula>
    </cfRule>
  </conditionalFormatting>
  <conditionalFormatting sqref="H13">
    <cfRule type="expression" dxfId="44" priority="9" stopIfTrue="1">
      <formula>LEFT($H$13,1)="▲"</formula>
    </cfRule>
    <cfRule type="expression" dxfId="43" priority="10" stopIfTrue="1">
      <formula>LEFT($H$13,1)="▼"</formula>
    </cfRule>
  </conditionalFormatting>
  <conditionalFormatting sqref="H14">
    <cfRule type="expression" dxfId="42" priority="11" stopIfTrue="1">
      <formula>LEFT($H$14,1)="▲"</formula>
    </cfRule>
    <cfRule type="expression" dxfId="41" priority="12" stopIfTrue="1">
      <formula>LEFT($H$14,1)="▼"</formula>
    </cfRule>
  </conditionalFormatting>
  <conditionalFormatting sqref="K13">
    <cfRule type="expression" dxfId="40" priority="13" stopIfTrue="1">
      <formula>LEFT($K$13,1)="▲"</formula>
    </cfRule>
    <cfRule type="expression" dxfId="39" priority="14" stopIfTrue="1">
      <formula>LEFT($K$13,1)="▼"</formula>
    </cfRule>
  </conditionalFormatting>
  <conditionalFormatting sqref="K14">
    <cfRule type="expression" dxfId="38" priority="15" stopIfTrue="1">
      <formula>LEFT($K$14,1)="▲"</formula>
    </cfRule>
    <cfRule type="expression" dxfId="37" priority="16" stopIfTrue="1">
      <formula>LEFT($K$14,1)="▼"</formula>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expression" priority="17" stopIfTrue="1" id="{388C4520-A3F7-45AB-87BA-749289FEEE34}">
            <xm:f>_pivot!$C$34&gt;0</xm:f>
            <x14:dxf>
              <font>
                <b/>
                <i val="0"/>
                <color rgb="FFD03B3B"/>
              </font>
            </x14:dxf>
          </x14:cfRule>
          <xm:sqref>N12</xm:sqref>
        </x14:conditionalFormatting>
      </x14:conditionalFormattings>
    </ex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BE7D5-A926-48BC-AAA9-7987D1E1EA09}">
  <sheetPr>
    <pageSetUpPr fitToPage="1"/>
  </sheetPr>
  <dimension ref="B2:Q53"/>
  <sheetViews>
    <sheetView showGridLines="0" showRowColHeaders="0" zoomScale="90" zoomScaleNormal="90" workbookViewId="0"/>
  </sheetViews>
  <sheetFormatPr defaultRowHeight="14.25" x14ac:dyDescent="0.25"/>
  <cols>
    <col min="1" max="1" width="2.7109375" style="4" customWidth="1"/>
    <col min="2" max="17" width="11.7109375" style="4" customWidth="1"/>
    <col min="18" max="16384" width="9.140625" style="4"/>
  </cols>
  <sheetData>
    <row r="2" spans="2:17" ht="26.25" x14ac:dyDescent="0.45">
      <c r="B2" s="5" t="s">
        <v>295</v>
      </c>
    </row>
    <row r="3" spans="2:17" x14ac:dyDescent="0.25">
      <c r="B3" s="6" t="s">
        <v>285</v>
      </c>
    </row>
    <row r="4" spans="2:17" ht="30.95" customHeight="1" x14ac:dyDescent="0.25"/>
    <row r="5" spans="2:17" ht="30.95" customHeight="1" x14ac:dyDescent="0.25"/>
    <row r="6" spans="2:17" ht="30.95" customHeight="1" x14ac:dyDescent="0.25"/>
    <row r="7" spans="2:17" x14ac:dyDescent="0.25">
      <c r="B7" s="9" t="str">
        <f>"Điểm chính · "&amp;_pivot!$B$10&amp;" · "&amp;_pivot!$B$15</f>
        <v>Điểm chính · 12/2020 · mọi kênh</v>
      </c>
      <c r="C7" s="7"/>
      <c r="D7" s="7"/>
      <c r="E7" s="7"/>
      <c r="F7" s="7"/>
      <c r="G7" s="7"/>
      <c r="H7" s="7"/>
      <c r="I7" s="7"/>
      <c r="J7" s="7"/>
      <c r="K7" s="7"/>
      <c r="L7" s="7"/>
      <c r="M7" s="7"/>
      <c r="N7" s="7"/>
      <c r="O7" s="7"/>
      <c r="P7" s="7"/>
      <c r="Q7" s="7"/>
    </row>
    <row r="8" spans="2:17" ht="32.1" customHeight="1" x14ac:dyDescent="0.25">
      <c r="B8" s="10" t="str">
        <f>IF(_pivot!$C$22=0,"Không có doanh thu trong phạm vi đang chọn.",_pivot!$AQ$4&amp;" dẫn đầu với "&amp;IF(_pivot!$AR$4*1000/_pivot!$C$22="","–",FIXED(_pivot!$AR$4*1000/_pivot!$C$22*100,0)&amp;"%")&amp;" Net Sales "&amp;_pivot!$B$10&amp;"; "&amp;_pivot!$AQ$21&amp;" là thị trường lớn nhất ("&amp;IF(_pivot!$AR$21*1000/_pivot!$C$22="","–",FIXED(_pivot!$AR$21*1000/_pivot!$C$22*100,0)&amp;"%")&amp;").")</f>
        <v>Máy tính dẫn đầu với 43% Net Sales 12/2020; Mỹ là thị trường lớn nhất (38%).</v>
      </c>
      <c r="C8" s="8"/>
      <c r="D8" s="8"/>
      <c r="E8" s="8"/>
      <c r="F8" s="8"/>
      <c r="G8" s="8"/>
      <c r="H8" s="8"/>
      <c r="I8" s="8"/>
      <c r="J8" s="8"/>
      <c r="K8" s="8"/>
      <c r="L8" s="8"/>
      <c r="M8" s="8"/>
      <c r="N8" s="8"/>
      <c r="O8" s="8"/>
      <c r="P8" s="8"/>
      <c r="Q8" s="8"/>
    </row>
    <row r="9" spans="2:17" ht="36" customHeight="1" x14ac:dyDescent="0.25">
      <c r="B9" s="11" t="str">
        <f>IF(_pivot!$B$16=1,"• Online chiếm "&amp;IF(_pivot!$C$39="","–",FIXED(_pivot!$C$39*100,0)&amp;"%")&amp;" Net Sales; so với cùng kỳ online "&amp;IF(_pivot!$G$41="","–",IF(_pivot!$G$41&gt;=0,"+","−")&amp;FIXED(ABS(_pivot!$G$41)*100,1)&amp;"%")&amp;", cửa hàng "&amp;IF(_pivot!$G$42="","–",IF(_pivot!$G$42&gt;=0,"+","−")&amp;FIXED(ABS(_pivot!$G$42)*100,1)&amp;"%")&amp;".","• Bộ lọc đang chọn không gồm kênh online.")&amp;CHAR(10)&amp;"• Chiết khấu bằng "&amp;IF(_pivot!$C$40="","–",FIXED(_pivot!$C$40*100,1)&amp;"%")&amp;" Gross Sales tháng này."</f>
        <v>• Online chiếm 25% Net Sales; so với cùng kỳ online −64.6%, cửa hàng −75.5%.
• Chiết khấu bằng 3.9% Gross Sales tháng này.</v>
      </c>
      <c r="C9" s="8"/>
      <c r="D9" s="8"/>
      <c r="E9" s="8"/>
      <c r="F9" s="8"/>
      <c r="G9" s="8"/>
      <c r="H9" s="8"/>
      <c r="I9" s="8"/>
      <c r="J9" s="8"/>
      <c r="K9" s="8"/>
      <c r="L9" s="8"/>
      <c r="M9" s="8"/>
      <c r="N9" s="8"/>
      <c r="O9" s="8"/>
      <c r="P9" s="8"/>
      <c r="Q9" s="8"/>
    </row>
    <row r="11" spans="2:17" x14ac:dyDescent="0.25">
      <c r="B11" s="18" t="s">
        <v>28</v>
      </c>
      <c r="C11" s="12"/>
      <c r="D11" s="12"/>
      <c r="E11" s="12"/>
      <c r="F11" s="18" t="s">
        <v>296</v>
      </c>
      <c r="G11" s="12"/>
      <c r="H11" s="12"/>
      <c r="I11" s="12"/>
      <c r="J11" s="18" t="s">
        <v>297</v>
      </c>
      <c r="K11" s="12"/>
      <c r="L11" s="12"/>
      <c r="M11" s="12"/>
      <c r="N11" s="18" t="s">
        <v>298</v>
      </c>
      <c r="O11" s="12"/>
      <c r="P11" s="12"/>
      <c r="Q11" s="13"/>
    </row>
    <row r="12" spans="2:17" ht="30" customHeight="1" x14ac:dyDescent="0.45">
      <c r="B12" s="25">
        <f>_pivot!$C$22/1000</f>
        <v>615.8117400000001</v>
      </c>
      <c r="C12" s="21"/>
      <c r="D12" s="21"/>
      <c r="E12" s="21"/>
      <c r="F12" s="32">
        <f>_pivot!$C$26</f>
        <v>2359</v>
      </c>
      <c r="G12" s="21"/>
      <c r="H12" s="21"/>
      <c r="I12" s="21"/>
      <c r="J12" s="33">
        <f>_pivot!$C$39</f>
        <v>0.25152648112879439</v>
      </c>
      <c r="K12" s="21"/>
      <c r="L12" s="21"/>
      <c r="M12" s="21"/>
      <c r="N12" s="33">
        <f>_pivot!$C$40</f>
        <v>3.8622007851957352E-2</v>
      </c>
      <c r="O12" s="21"/>
      <c r="P12" s="21"/>
      <c r="Q12" s="22"/>
    </row>
    <row r="13" spans="2:17" x14ac:dyDescent="0.25">
      <c r="B13" s="19" t="str">
        <f>IF(_pivot!$F$22="","– so với tháng trước",IF(_pivot!$F$22&gt;0,"▲ ",IF(_pivot!$F$22&lt;0,"▼ ","■ "))&amp;FIXED(ABS(_pivot!$F$22)*100,1)&amp;"%"&amp;" so với tháng trước")</f>
        <v>▲ 155.0% so với tháng trước</v>
      </c>
      <c r="C13" s="14"/>
      <c r="D13" s="14"/>
      <c r="E13" s="14"/>
      <c r="F13" s="19" t="str">
        <f>IF(_pivot!$F$26="","– so với tháng trước",IF(_pivot!$F$26&gt;0,"▲ ",IF(_pivot!$F$26&lt;0,"▼ ","■ "))&amp;FIXED(ABS(_pivot!$F$26)*100,1)&amp;"%"&amp;" so với tháng trước")</f>
        <v>▲ 128.8% so với tháng trước</v>
      </c>
      <c r="G13" s="14"/>
      <c r="H13" s="14"/>
      <c r="I13" s="14"/>
      <c r="J13" s="19" t="str">
        <f>IF(_pivot!$F$39="","– so với tháng trước",IF(_pivot!$F$39&gt;0,"▲ ",IF(_pivot!$F$39&lt;0,"▼ ","■ "))&amp;FIXED(ABS(_pivot!$F$39)*100,2)&amp;" điểm %"&amp;" so với tháng trước")</f>
        <v>▲ 7.92 điểm % so với tháng trước</v>
      </c>
      <c r="K13" s="14"/>
      <c r="L13" s="14"/>
      <c r="M13" s="14"/>
      <c r="N13" s="19" t="str">
        <f>IF(_pivot!$F$40="","– so với tháng trước",IF(_pivot!$F$40&gt;0,"▲ ",IF(_pivot!$F$40&lt;0,"▼ ","■ "))&amp;FIXED(ABS(_pivot!$F$40)*100,2)&amp;" điểm %"&amp;" so với tháng trước")</f>
        <v>▼ 0.68 điểm % so với tháng trước</v>
      </c>
      <c r="O13" s="14"/>
      <c r="P13" s="14"/>
      <c r="Q13" s="15"/>
    </row>
    <row r="14" spans="2:17" x14ac:dyDescent="0.25">
      <c r="B14" s="20" t="str">
        <f>IF(_pivot!$G$22="","– so với cùng kỳ",IF(_pivot!$G$22&gt;0,"▲ ",IF(_pivot!$G$22&lt;0,"▼ ","■ "))&amp;FIXED(ABS(_pivot!$G$22)*100,1)&amp;"%"&amp;" so với cùng kỳ")</f>
        <v>▼ 73.4% so với cùng kỳ</v>
      </c>
      <c r="C14" s="16"/>
      <c r="D14" s="16"/>
      <c r="E14" s="16"/>
      <c r="F14" s="20" t="str">
        <f>IF(_pivot!$G$26="","– so với cùng kỳ",IF(_pivot!$G$26&gt;0,"▲ ",IF(_pivot!$G$26&lt;0,"▼ ","■ "))&amp;FIXED(ABS(_pivot!$G$26)*100,1)&amp;"%"&amp;" so với cùng kỳ")</f>
        <v>▼ 74.1% so với cùng kỳ</v>
      </c>
      <c r="G14" s="16"/>
      <c r="H14" s="16"/>
      <c r="I14" s="16"/>
      <c r="J14" s="20" t="str">
        <f>IF(_pivot!$G$39="","– so với cùng kỳ",IF(_pivot!$G$39&gt;0,"▲ ",IF(_pivot!$G$39&lt;0,"▼ ","■ "))&amp;FIXED(ABS(_pivot!$G$39)*100,2)&amp;" điểm %"&amp;" so với cùng kỳ")</f>
        <v>▲ 6.27 điểm % so với cùng kỳ</v>
      </c>
      <c r="K14" s="16"/>
      <c r="L14" s="16"/>
      <c r="M14" s="16"/>
      <c r="N14" s="20" t="str">
        <f>IF(_pivot!$G$40="","– so với cùng kỳ",IF(_pivot!$G$40&gt;0,"▲ ",IF(_pivot!$G$40&lt;0,"▼ ","■ "))&amp;FIXED(ABS(_pivot!$G$40)*100,2)&amp;" điểm %"&amp;" so với cùng kỳ")</f>
        <v>▲ 0.37 điểm % so với cùng kỳ</v>
      </c>
      <c r="O14" s="16"/>
      <c r="P14" s="16"/>
      <c r="Q14" s="17"/>
    </row>
    <row r="16" spans="2:17" ht="16.5" x14ac:dyDescent="0.3">
      <c r="B16" s="30" t="str">
        <f>_pivot!$AQ$4&amp;" chiếm "&amp;IF(_pivot!$AR$4*1000/_pivot!$C$22="","–",FIXED(_pivot!$AR$4*1000/_pivot!$C$22*100,0)&amp;"%")&amp;" Net Sales"</f>
        <v>Máy tính chiếm 43% Net Sales</v>
      </c>
      <c r="H16" s="30" t="str">
        <f>_pivot!$AQ$21&amp;" đóng góp "&amp;IF(_pivot!$AR$21*1000/_pivot!$C$22="","–",FIXED(_pivot!$AR$21*1000/_pivot!$C$22*100,0)&amp;"%")&amp;" Net Sales"</f>
        <v>Mỹ đóng góp 38% Net Sales</v>
      </c>
      <c r="M16" s="30" t="str">
        <f>"AOV "&amp;IF(_pivot!AF$76="","–",_pivot!AF$76&amp;" "&amp;FIXED(N(_pivot!AI$76),0))&amp;IF(_pivot!AF$77="","",", "&amp;_pivot!AF$77&amp;" "&amp;FIXED(N(_pivot!AI$77),0))&amp;" USD"</f>
        <v>AOV Cửa hàng 2,058, Website/app 1,801 USD</v>
      </c>
    </row>
    <row r="17" spans="2:16" x14ac:dyDescent="0.25">
      <c r="B17" s="23" t="s">
        <v>299</v>
      </c>
      <c r="H17" s="23" t="s">
        <v>300</v>
      </c>
      <c r="M17" s="23" t="s">
        <v>301</v>
      </c>
    </row>
    <row r="18" spans="2:16" x14ac:dyDescent="0.25">
      <c r="M18" s="34" t="s">
        <v>302</v>
      </c>
      <c r="N18" s="35" t="s">
        <v>28</v>
      </c>
      <c r="O18" s="35" t="s">
        <v>303</v>
      </c>
      <c r="P18" s="35" t="s">
        <v>38</v>
      </c>
    </row>
    <row r="19" spans="2:16" x14ac:dyDescent="0.25">
      <c r="M19" s="36" t="str">
        <f>IF(_pivot!AF$76="","",_pivot!AF$76)</f>
        <v>Cửa hàng</v>
      </c>
      <c r="N19" s="37">
        <f>IF(_pivot!AF$76="","",N(_pivot!AG$76))</f>
        <v>460918.77999999991</v>
      </c>
      <c r="O19" s="37">
        <f>IF(_pivot!AF$76="","",N(_pivot!AH$76))</f>
        <v>224</v>
      </c>
      <c r="P19" s="37">
        <f>IF(_pivot!AF$76="","",N(_pivot!AI$76))</f>
        <v>2057.6731249999998</v>
      </c>
    </row>
    <row r="20" spans="2:16" x14ac:dyDescent="0.25">
      <c r="M20" s="38" t="str">
        <f>IF(_pivot!AF$77="","",_pivot!AF$77)</f>
        <v>Website/app</v>
      </c>
      <c r="N20" s="39">
        <f>IF(_pivot!AF$77="","",N(_pivot!AG$77))</f>
        <v>154892.96000000005</v>
      </c>
      <c r="O20" s="39">
        <f>IF(_pivot!AF$77="","",N(_pivot!AH$77))</f>
        <v>86</v>
      </c>
      <c r="P20" s="39">
        <f>IF(_pivot!AF$77="","",N(_pivot!AI$77))</f>
        <v>1801.0809302325588</v>
      </c>
    </row>
    <row r="22" spans="2:16" x14ac:dyDescent="0.25">
      <c r="M22" s="34" t="s">
        <v>302</v>
      </c>
      <c r="N22" s="35" t="s">
        <v>304</v>
      </c>
      <c r="O22" s="35" t="s">
        <v>305</v>
      </c>
    </row>
    <row r="23" spans="2:16" x14ac:dyDescent="0.25">
      <c r="M23" s="36" t="str">
        <f>IF(_pivot!AF$76="","",_pivot!AF$76)</f>
        <v>Cửa hàng</v>
      </c>
      <c r="N23" s="40">
        <f>IF(OR(_pivot!AF$76="",NOT(_pivot!$B$6)),"",IFERROR(N(_pivot!AG$76)/N(CUBEVALUE("ThisWorkbookDataModel","[Measures].[Net Sales]","[dim_channel].[channel_name].&amp;["&amp;_pivot!AF$76&amp;"]","[dim_date].[month_id].&amp;["&amp;_pivot!$B$8&amp;"]",Slicer_country))-1,"–"))</f>
        <v>1.306302524225071</v>
      </c>
      <c r="O23" s="40">
        <f>IF(OR(_pivot!AF$76="",NOT(_pivot!$B$6)),"",IFERROR(N(_pivot!AG$76)/N(CUBEVALUE("ThisWorkbookDataModel","[Measures].[Net Sales]","[dim_channel].[channel_name].&amp;["&amp;_pivot!AF$76&amp;"]","[dim_date].[month_id].&amp;["&amp;_pivot!$B$9&amp;"]",Slicer_country))-1,"–"))</f>
        <v>-0.75470580323264014</v>
      </c>
    </row>
    <row r="24" spans="2:16" x14ac:dyDescent="0.25">
      <c r="M24" s="38" t="str">
        <f>IF(_pivot!AF$77="","",_pivot!AF$77)</f>
        <v>Website/app</v>
      </c>
      <c r="N24" s="41">
        <f>IF(OR(_pivot!AF$77="",NOT(_pivot!$B$6)),"",IFERROR(N(_pivot!AG$77)/N(CUBEVALUE("ThisWorkbookDataModel","[Measures].[Net Sales]","[dim_channel].[channel_name].&amp;["&amp;_pivot!AF$77&amp;"]","[dim_date].[month_id].&amp;["&amp;_pivot!$B$8&amp;"]",Slicer_country))-1,"–"))</f>
        <v>2.7229293599130697</v>
      </c>
      <c r="O24" s="41">
        <f>IF(OR(_pivot!AF$77="",NOT(_pivot!$B$6)),"",IFERROR(N(_pivot!AG$77)/N(CUBEVALUE("ThisWorkbookDataModel","[Measures].[Net Sales]","[dim_channel].[channel_name].&amp;["&amp;_pivot!AF$77&amp;"]","[dim_date].[month_id].&amp;["&amp;_pivot!$B$9&amp;"]",Slicer_country))-1,"–"))</f>
        <v>-0.6458673354629203</v>
      </c>
    </row>
    <row r="36" spans="2:13" ht="16.5" x14ac:dyDescent="0.3">
      <c r="B36" s="30" t="str">
        <f>"10 cửa hàng lớn nhất tạo "&amp;IF(IF(_pivot!$C$22=0,"",SUM(_pivot!$AG$86:$AG$95)/_pivot!$C$22)="","–",FIXED(IF(_pivot!$C$22=0,"",SUM(_pivot!$AG$86:$AG$95)/_pivot!$C$22)*100,0)&amp;"%")&amp;" Net Sales"</f>
        <v>10 cửa hàng lớn nhất tạo 59% Net Sales</v>
      </c>
    </row>
    <row r="37" spans="2:13" x14ac:dyDescent="0.25">
      <c r="B37" s="23" t="s">
        <v>306</v>
      </c>
    </row>
    <row r="38" spans="2:13" x14ac:dyDescent="0.25">
      <c r="B38" s="34" t="s">
        <v>307</v>
      </c>
      <c r="C38" s="34" t="s">
        <v>265</v>
      </c>
      <c r="D38" s="34"/>
      <c r="E38" s="34"/>
      <c r="F38" s="34" t="s">
        <v>308</v>
      </c>
      <c r="G38" s="34"/>
      <c r="H38" s="35" t="s">
        <v>28</v>
      </c>
      <c r="I38" s="34"/>
      <c r="J38" s="35" t="s">
        <v>303</v>
      </c>
      <c r="K38" s="35" t="s">
        <v>38</v>
      </c>
      <c r="L38" s="35" t="s">
        <v>304</v>
      </c>
      <c r="M38" s="35" t="s">
        <v>305</v>
      </c>
    </row>
    <row r="39" spans="2:13" x14ac:dyDescent="0.25">
      <c r="B39" s="42">
        <f>IF(_pivot!AF$86="","",1)</f>
        <v>1</v>
      </c>
      <c r="C39" s="36" t="str">
        <f>IF(_pivot!AF$86="","",_pivot!AF$86)</f>
        <v>Nexa Online (website/app)</v>
      </c>
      <c r="D39" s="43"/>
      <c r="E39" s="43"/>
      <c r="F39" s="36" t="str">
        <f>IF(_pivot!AF$86="","",IFERROR(VLOOKUP(_pivot!AF$86,map_store_name,2,FALSE),""))</f>
        <v>Online</v>
      </c>
      <c r="G39" s="43"/>
      <c r="H39" s="37">
        <f>IF(_pivot!AF$86="","",N(_pivot!AG$86))</f>
        <v>154892.96000000005</v>
      </c>
      <c r="I39" s="43"/>
      <c r="J39" s="37">
        <f>IF(_pivot!AF$86="","",N(_pivot!AH$86))</f>
        <v>86</v>
      </c>
      <c r="K39" s="37">
        <f>IF(_pivot!AF$86="","",N(_pivot!AI$86))</f>
        <v>1801.0809302325588</v>
      </c>
      <c r="L39" s="40">
        <f>IF(OR(_pivot!AF$86="",NOT(_pivot!$B$6)),"",IFERROR(N(_pivot!AG$86)/N(CUBEVALUE("ThisWorkbookDataModel","[Measures].[Net Sales]","[dim_store].[store_name].&amp;["&amp;_pivot!AF$86&amp;"]","[dim_date].[month_id].&amp;["&amp;_pivot!$B$8&amp;"]",Slicer_channel_name,Slicer_country))-1,"–"))</f>
        <v>2.7229293599130697</v>
      </c>
      <c r="M39" s="40">
        <f>IF(OR(_pivot!AF$86="",NOT(_pivot!$B$6)),"",IFERROR(N(_pivot!AG$86)/N(CUBEVALUE("ThisWorkbookDataModel","[Measures].[Net Sales]","[dim_store].[store_name].&amp;["&amp;_pivot!AF$86&amp;"]","[dim_date].[month_id].&amp;["&amp;_pivot!$B$9&amp;"]",Slicer_channel_name,Slicer_country))-1,"–"))</f>
        <v>-0.6458673354629203</v>
      </c>
    </row>
    <row r="40" spans="2:13" x14ac:dyDescent="0.25">
      <c r="B40" s="46">
        <f>IF(_pivot!AF$87="","",2)</f>
        <v>2</v>
      </c>
      <c r="C40" s="47" t="str">
        <f>IF(_pivot!AF$87="","",_pivot!AF$87)</f>
        <v>Nexa Nebraska (S54)</v>
      </c>
      <c r="D40" s="48"/>
      <c r="E40" s="48"/>
      <c r="F40" s="47" t="str">
        <f>IF(_pivot!AF$87="","",IFERROR(VLOOKUP(_pivot!AF$87,map_store_name,2,FALSE),""))</f>
        <v>Mỹ</v>
      </c>
      <c r="G40" s="48"/>
      <c r="H40" s="49">
        <f>IF(_pivot!AF$87="","",N(_pivot!AG$87))</f>
        <v>34347.930000000008</v>
      </c>
      <c r="I40" s="48"/>
      <c r="J40" s="49">
        <f>IF(_pivot!AF$87="","",N(_pivot!AH$87))</f>
        <v>11</v>
      </c>
      <c r="K40" s="49">
        <f>IF(_pivot!AF$87="","",N(_pivot!AI$87))</f>
        <v>3122.5390909090916</v>
      </c>
      <c r="L40" s="50">
        <f>IF(OR(_pivot!AF$87="",NOT(_pivot!$B$6)),"",IFERROR(N(_pivot!AG$87)/N(CUBEVALUE("ThisWorkbookDataModel","[Measures].[Net Sales]","[dim_store].[store_name].&amp;["&amp;_pivot!AF$87&amp;"]","[dim_date].[month_id].&amp;["&amp;_pivot!$B$8&amp;"]",Slicer_channel_name,Slicer_country))-1,"–"))</f>
        <v>7.9051640100801652</v>
      </c>
      <c r="M40" s="50">
        <f>IF(OR(_pivot!AF$87="",NOT(_pivot!$B$6)),"",IFERROR(N(_pivot!AG$87)/N(CUBEVALUE("ThisWorkbookDataModel","[Measures].[Net Sales]","[dim_store].[store_name].&amp;["&amp;_pivot!AF$87&amp;"]","[dim_date].[month_id].&amp;["&amp;_pivot!$B$9&amp;"]",Slicer_channel_name,Slicer_country))-1,"–"))</f>
        <v>-0.47961434902573685</v>
      </c>
    </row>
    <row r="41" spans="2:13" x14ac:dyDescent="0.25">
      <c r="B41" s="46">
        <f>IF(_pivot!AF$88="","",3)</f>
        <v>3</v>
      </c>
      <c r="C41" s="47" t="str">
        <f>IF(_pivot!AF$88="","",_pivot!AF$88)</f>
        <v>Nexa Montana (S53)</v>
      </c>
      <c r="D41" s="48"/>
      <c r="E41" s="48"/>
      <c r="F41" s="47" t="str">
        <f>IF(_pivot!AF$88="","",IFERROR(VLOOKUP(_pivot!AF$88,map_store_name,2,FALSE),""))</f>
        <v>Mỹ</v>
      </c>
      <c r="G41" s="48"/>
      <c r="H41" s="49">
        <f>IF(_pivot!AF$88="","",N(_pivot!AG$88))</f>
        <v>27309.000000000004</v>
      </c>
      <c r="I41" s="48"/>
      <c r="J41" s="49">
        <f>IF(_pivot!AF$88="","",N(_pivot!AH$88))</f>
        <v>9</v>
      </c>
      <c r="K41" s="49">
        <f>IF(_pivot!AF$88="","",N(_pivot!AI$88))</f>
        <v>3034.3333333333339</v>
      </c>
      <c r="L41" s="50">
        <f>IF(OR(_pivot!AF$88="",NOT(_pivot!$B$6)),"",IFERROR(N(_pivot!AG$88)/N(CUBEVALUE("ThisWorkbookDataModel","[Measures].[Net Sales]","[dim_store].[store_name].&amp;["&amp;_pivot!AF$88&amp;"]","[dim_date].[month_id].&amp;["&amp;_pivot!$B$8&amp;"]",Slicer_channel_name,Slicer_country))-1,"–"))</f>
        <v>1.6730707866026395</v>
      </c>
      <c r="M41" s="50">
        <f>IF(OR(_pivot!AF$88="",NOT(_pivot!$B$6)),"",IFERROR(N(_pivot!AG$88)/N(CUBEVALUE("ThisWorkbookDataModel","[Measures].[Net Sales]","[dim_store].[store_name].&amp;["&amp;_pivot!AF$88&amp;"]","[dim_date].[month_id].&amp;["&amp;_pivot!$B$9&amp;"]",Slicer_channel_name,Slicer_country))-1,"–"))</f>
        <v>2.720210518317856E-2</v>
      </c>
    </row>
    <row r="42" spans="2:13" x14ac:dyDescent="0.25">
      <c r="B42" s="46">
        <f>IF(_pivot!AF$89="","",4)</f>
        <v>4</v>
      </c>
      <c r="C42" s="47" t="str">
        <f>IF(_pivot!AF$89="","",_pivot!AF$89)</f>
        <v>Nexa Hawaii (S47)</v>
      </c>
      <c r="D42" s="48"/>
      <c r="E42" s="48"/>
      <c r="F42" s="47" t="str">
        <f>IF(_pivot!AF$89="","",IFERROR(VLOOKUP(_pivot!AF$89,map_store_name,2,FALSE),""))</f>
        <v>Mỹ</v>
      </c>
      <c r="G42" s="48"/>
      <c r="H42" s="49">
        <f>IF(_pivot!AF$89="","",N(_pivot!AG$89))</f>
        <v>23955.079999999998</v>
      </c>
      <c r="I42" s="48"/>
      <c r="J42" s="49">
        <f>IF(_pivot!AF$89="","",N(_pivot!AH$89))</f>
        <v>11</v>
      </c>
      <c r="K42" s="49">
        <f>IF(_pivot!AF$89="","",N(_pivot!AI$89))</f>
        <v>2177.7345454545452</v>
      </c>
      <c r="L42" s="50">
        <f>IF(OR(_pivot!AF$89="",NOT(_pivot!$B$6)),"",IFERROR(N(_pivot!AG$89)/N(CUBEVALUE("ThisWorkbookDataModel","[Measures].[Net Sales]","[dim_store].[store_name].&amp;["&amp;_pivot!AF$89&amp;"]","[dim_date].[month_id].&amp;["&amp;_pivot!$B$8&amp;"]",Slicer_channel_name,Slicer_country))-1,"–"))</f>
        <v>2.8364282499827831</v>
      </c>
      <c r="M42" s="50">
        <f>IF(OR(_pivot!AF$89="",NOT(_pivot!$B$6)),"",IFERROR(N(_pivot!AG$89)/N(CUBEVALUE("ThisWorkbookDataModel","[Measures].[Net Sales]","[dim_store].[store_name].&amp;["&amp;_pivot!AF$89&amp;"]","[dim_date].[month_id].&amp;["&amp;_pivot!$B$9&amp;"]",Slicer_channel_name,Slicer_country))-1,"–"))</f>
        <v>-0.50666082885646613</v>
      </c>
    </row>
    <row r="43" spans="2:13" x14ac:dyDescent="0.25">
      <c r="B43" s="46">
        <f>IF(_pivot!AF$90="","",5)</f>
        <v>5</v>
      </c>
      <c r="C43" s="47" t="str">
        <f>IF(_pivot!AF$90="","",_pivot!AF$90)</f>
        <v>Nexa Northwest Territories (S09)</v>
      </c>
      <c r="D43" s="48"/>
      <c r="E43" s="48"/>
      <c r="F43" s="47" t="str">
        <f>IF(_pivot!AF$90="","",IFERROR(VLOOKUP(_pivot!AF$90,map_store_name,2,FALSE),""))</f>
        <v>Canada</v>
      </c>
      <c r="G43" s="48"/>
      <c r="H43" s="49">
        <f>IF(_pivot!AF$90="","",N(_pivot!AG$90))</f>
        <v>23121.180000000004</v>
      </c>
      <c r="I43" s="48"/>
      <c r="J43" s="49">
        <f>IF(_pivot!AF$90="","",N(_pivot!AH$90))</f>
        <v>11</v>
      </c>
      <c r="K43" s="49">
        <f>IF(_pivot!AF$90="","",N(_pivot!AI$90))</f>
        <v>2101.9254545454551</v>
      </c>
      <c r="L43" s="50">
        <f>IF(OR(_pivot!AF$90="",NOT(_pivot!$B$6)),"",IFERROR(N(_pivot!AG$90)/N(CUBEVALUE("ThisWorkbookDataModel","[Measures].[Net Sales]","[dim_store].[store_name].&amp;["&amp;_pivot!AF$90&amp;"]","[dim_date].[month_id].&amp;["&amp;_pivot!$B$8&amp;"]",Slicer_channel_name,Slicer_country))-1,"–"))</f>
        <v>0.88213640885210221</v>
      </c>
      <c r="M43" s="50">
        <f>IF(OR(_pivot!AF$90="",NOT(_pivot!$B$6)),"",IFERROR(N(_pivot!AG$90)/N(CUBEVALUE("ThisWorkbookDataModel","[Measures].[Net Sales]","[dim_store].[store_name].&amp;["&amp;_pivot!AF$90&amp;"]","[dim_date].[month_id].&amp;["&amp;_pivot!$B$9&amp;"]",Slicer_channel_name,Slicer_country))-1,"–"))</f>
        <v>-0.71280616660143425</v>
      </c>
    </row>
    <row r="44" spans="2:13" x14ac:dyDescent="0.25">
      <c r="B44" s="46">
        <f>IF(_pivot!AF$91="","",6)</f>
        <v>6</v>
      </c>
      <c r="C44" s="47" t="str">
        <f>IF(_pivot!AF$91="","",_pivot!AF$91)</f>
        <v>Nexa Basse-Normandie (S12)</v>
      </c>
      <c r="D44" s="48"/>
      <c r="E44" s="48"/>
      <c r="F44" s="47" t="str">
        <f>IF(_pivot!AF$91="","",IFERROR(VLOOKUP(_pivot!AF$91,map_store_name,2,FALSE),""))</f>
        <v>Pháp</v>
      </c>
      <c r="G44" s="48"/>
      <c r="H44" s="49">
        <f>IF(_pivot!AF$91="","",N(_pivot!AG$91))</f>
        <v>20853.349999999999</v>
      </c>
      <c r="I44" s="48"/>
      <c r="J44" s="49">
        <f>IF(_pivot!AF$91="","",N(_pivot!AH$91))</f>
        <v>3</v>
      </c>
      <c r="K44" s="49">
        <f>IF(_pivot!AF$91="","",N(_pivot!AI$91))</f>
        <v>6951.1166666666659</v>
      </c>
      <c r="L44" s="50" t="str">
        <f>IF(OR(_pivot!AF$91="",NOT(_pivot!$B$6)),"",IFERROR(N(_pivot!AG$91)/N(CUBEVALUE("ThisWorkbookDataModel","[Measures].[Net Sales]","[dim_store].[store_name].&amp;["&amp;_pivot!AF$91&amp;"]","[dim_date].[month_id].&amp;["&amp;_pivot!$B$8&amp;"]",Slicer_channel_name,Slicer_country))-1,"–"))</f>
        <v>–</v>
      </c>
      <c r="M44" s="50">
        <f>IF(OR(_pivot!AF$91="",NOT(_pivot!$B$6)),"",IFERROR(N(_pivot!AG$91)/N(CUBEVALUE("ThisWorkbookDataModel","[Measures].[Net Sales]","[dim_store].[store_name].&amp;["&amp;_pivot!AF$91&amp;"]","[dim_date].[month_id].&amp;["&amp;_pivot!$B$9&amp;"]",Slicer_channel_name,Slicer_country))-1,"–"))</f>
        <v>0.94849420077385305</v>
      </c>
    </row>
    <row r="45" spans="2:13" x14ac:dyDescent="0.25">
      <c r="B45" s="46">
        <f>IF(_pivot!AF$92="","",7)</f>
        <v>7</v>
      </c>
      <c r="C45" s="47" t="str">
        <f>IF(_pivot!AF$92="","",_pivot!AF$92)</f>
        <v>Nexa Newfoundland and Labrador (S08)</v>
      </c>
      <c r="D45" s="48"/>
      <c r="E45" s="48"/>
      <c r="F45" s="47" t="str">
        <f>IF(_pivot!AF$92="","",IFERROR(VLOOKUP(_pivot!AF$92,map_store_name,2,FALSE),""))</f>
        <v>Canada</v>
      </c>
      <c r="G45" s="48"/>
      <c r="H45" s="49">
        <f>IF(_pivot!AF$92="","",N(_pivot!AG$92))</f>
        <v>20287.089999999997</v>
      </c>
      <c r="I45" s="48"/>
      <c r="J45" s="49">
        <f>IF(_pivot!AF$92="","",N(_pivot!AH$92))</f>
        <v>3</v>
      </c>
      <c r="K45" s="49">
        <f>IF(_pivot!AF$92="","",N(_pivot!AI$92))</f>
        <v>6762.3633333333319</v>
      </c>
      <c r="L45" s="50">
        <f>IF(OR(_pivot!AF$92="",NOT(_pivot!$B$6)),"",IFERROR(N(_pivot!AG$92)/N(CUBEVALUE("ThisWorkbookDataModel","[Measures].[Net Sales]","[dim_store].[store_name].&amp;["&amp;_pivot!AF$92&amp;"]","[dim_date].[month_id].&amp;["&amp;_pivot!$B$8&amp;"]",Slicer_channel_name,Slicer_country))-1,"–"))</f>
        <v>2.4132032013674953</v>
      </c>
      <c r="M45" s="50">
        <f>IF(OR(_pivot!AF$92="",NOT(_pivot!$B$6)),"",IFERROR(N(_pivot!AG$92)/N(CUBEVALUE("ThisWorkbookDataModel","[Measures].[Net Sales]","[dim_store].[store_name].&amp;["&amp;_pivot!AF$92&amp;"]","[dim_date].[month_id].&amp;["&amp;_pivot!$B$9&amp;"]",Slicer_channel_name,Slicer_country))-1,"–"))</f>
        <v>-0.48360588972271601</v>
      </c>
    </row>
    <row r="46" spans="2:13" x14ac:dyDescent="0.25">
      <c r="B46" s="46">
        <f>IF(_pivot!AF$93="","",8)</f>
        <v>8</v>
      </c>
      <c r="C46" s="47" t="str">
        <f>IF(_pivot!AF$93="","",_pivot!AF$93)</f>
        <v>Nexa Belfast (S38)</v>
      </c>
      <c r="D46" s="48"/>
      <c r="E46" s="48"/>
      <c r="F46" s="47" t="str">
        <f>IF(_pivot!AF$93="","",IFERROR(VLOOKUP(_pivot!AF$93,map_store_name,2,FALSE),""))</f>
        <v>Anh</v>
      </c>
      <c r="G46" s="48"/>
      <c r="H46" s="49">
        <f>IF(_pivot!AF$93="","",N(_pivot!AG$93))</f>
        <v>19962.52</v>
      </c>
      <c r="I46" s="48"/>
      <c r="J46" s="49">
        <f>IF(_pivot!AF$93="","",N(_pivot!AH$93))</f>
        <v>8</v>
      </c>
      <c r="K46" s="49">
        <f>IF(_pivot!AF$93="","",N(_pivot!AI$93))</f>
        <v>2495.3150000000001</v>
      </c>
      <c r="L46" s="50">
        <f>IF(OR(_pivot!AF$93="",NOT(_pivot!$B$6)),"",IFERROR(N(_pivot!AG$93)/N(CUBEVALUE("ThisWorkbookDataModel","[Measures].[Net Sales]","[dim_store].[store_name].&amp;["&amp;_pivot!AF$93&amp;"]","[dim_date].[month_id].&amp;["&amp;_pivot!$B$8&amp;"]",Slicer_channel_name,Slicer_country))-1,"–"))</f>
        <v>4.3125435781159354</v>
      </c>
      <c r="M46" s="50">
        <f>IF(OR(_pivot!AF$93="",NOT(_pivot!$B$6)),"",IFERROR(N(_pivot!AG$93)/N(CUBEVALUE("ThisWorkbookDataModel","[Measures].[Net Sales]","[dim_store].[store_name].&amp;["&amp;_pivot!AF$93&amp;"]","[dim_date].[month_id].&amp;["&amp;_pivot!$B$9&amp;"]",Slicer_channel_name,Slicer_country))-1,"–"))</f>
        <v>-0.51213532381107163</v>
      </c>
    </row>
    <row r="47" spans="2:13" x14ac:dyDescent="0.25">
      <c r="B47" s="46">
        <f>IF(_pivot!AF$94="","",9)</f>
        <v>9</v>
      </c>
      <c r="C47" s="47" t="str">
        <f>IF(_pivot!AF$94="","",_pivot!AF$94)</f>
        <v>Nexa Sachsen-Anhalt (S27)</v>
      </c>
      <c r="D47" s="48"/>
      <c r="E47" s="48"/>
      <c r="F47" s="47" t="str">
        <f>IF(_pivot!AF$94="","",IFERROR(VLOOKUP(_pivot!AF$94,map_store_name,2,FALSE),""))</f>
        <v>Đức</v>
      </c>
      <c r="G47" s="48"/>
      <c r="H47" s="49">
        <f>IF(_pivot!AF$94="","",N(_pivot!AG$94))</f>
        <v>17868.089999999997</v>
      </c>
      <c r="I47" s="48"/>
      <c r="J47" s="49">
        <f>IF(_pivot!AF$94="","",N(_pivot!AH$94))</f>
        <v>4</v>
      </c>
      <c r="K47" s="49">
        <f>IF(_pivot!AF$94="","",N(_pivot!AI$94))</f>
        <v>4467.0224999999991</v>
      </c>
      <c r="L47" s="50">
        <f>IF(OR(_pivot!AF$94="",NOT(_pivot!$B$6)),"",IFERROR(N(_pivot!AG$94)/N(CUBEVALUE("ThisWorkbookDataModel","[Measures].[Net Sales]","[dim_store].[store_name].&amp;["&amp;_pivot!AF$94&amp;"]","[dim_date].[month_id].&amp;["&amp;_pivot!$B$8&amp;"]",Slicer_channel_name,Slicer_country))-1,"–"))</f>
        <v>2.4185328392161209</v>
      </c>
      <c r="M47" s="50">
        <f>IF(OR(_pivot!AF$94="",NOT(_pivot!$B$6)),"",IFERROR(N(_pivot!AG$94)/N(CUBEVALUE("ThisWorkbookDataModel","[Measures].[Net Sales]","[dim_store].[store_name].&amp;["&amp;_pivot!AF$94&amp;"]","[dim_date].[month_id].&amp;["&amp;_pivot!$B$9&amp;"]",Slicer_channel_name,Slicer_country))-1,"–"))</f>
        <v>-0.12025269712975784</v>
      </c>
    </row>
    <row r="48" spans="2:13" x14ac:dyDescent="0.25">
      <c r="B48" s="44">
        <f>IF(_pivot!AF$95="","",10)</f>
        <v>10</v>
      </c>
      <c r="C48" s="38" t="str">
        <f>IF(_pivot!AF$95="","",_pivot!AF$95)</f>
        <v>Nexa Hamburg (S23)</v>
      </c>
      <c r="D48" s="45"/>
      <c r="E48" s="45"/>
      <c r="F48" s="38" t="str">
        <f>IF(_pivot!AF$95="","",IFERROR(VLOOKUP(_pivot!AF$95,map_store_name,2,FALSE),""))</f>
        <v>Đức</v>
      </c>
      <c r="G48" s="45"/>
      <c r="H48" s="39">
        <f>IF(_pivot!AF$95="","",N(_pivot!AG$95))</f>
        <v>17836.7</v>
      </c>
      <c r="I48" s="45"/>
      <c r="J48" s="39">
        <f>IF(_pivot!AF$95="","",N(_pivot!AH$95))</f>
        <v>1</v>
      </c>
      <c r="K48" s="39">
        <f>IF(_pivot!AF$95="","",N(_pivot!AI$95))</f>
        <v>17836.7</v>
      </c>
      <c r="L48" s="41">
        <f>IF(OR(_pivot!AF$95="",NOT(_pivot!$B$6)),"",IFERROR(N(_pivot!AG$95)/N(CUBEVALUE("ThisWorkbookDataModel","[Measures].[Net Sales]","[dim_store].[store_name].&amp;["&amp;_pivot!AF$95&amp;"]","[dim_date].[month_id].&amp;["&amp;_pivot!$B$8&amp;"]",Slicer_channel_name,Slicer_country))-1,"–"))</f>
        <v>0.95170389887778173</v>
      </c>
      <c r="M48" s="41">
        <f>IF(OR(_pivot!AF$95="",NOT(_pivot!$B$6)),"",IFERROR(N(_pivot!AG$95)/N(CUBEVALUE("ThisWorkbookDataModel","[Measures].[Net Sales]","[dim_store].[store_name].&amp;["&amp;_pivot!AF$95&amp;"]","[dim_date].[month_id].&amp;["&amp;_pivot!$B$9&amp;"]",Slicer_channel_name,Slicer_country))-1,"–"))</f>
        <v>0.21854359831995707</v>
      </c>
    </row>
    <row r="52" spans="2:17" x14ac:dyDescent="0.25">
      <c r="B52" s="24" t="s">
        <v>286</v>
      </c>
      <c r="C52" s="24"/>
      <c r="D52" s="24"/>
      <c r="E52" s="24"/>
      <c r="F52" s="24"/>
      <c r="G52" s="24"/>
      <c r="H52" s="24"/>
      <c r="I52" s="24"/>
      <c r="J52" s="24"/>
      <c r="K52" s="24"/>
      <c r="L52" s="24"/>
      <c r="M52" s="24"/>
      <c r="N52" s="24"/>
      <c r="O52" s="24"/>
      <c r="P52" s="24"/>
      <c r="Q52" s="24"/>
    </row>
    <row r="53" spans="2:17" x14ac:dyDescent="0.25">
      <c r="B53" s="24"/>
      <c r="C53" s="24"/>
      <c r="D53" s="24"/>
      <c r="E53" s="24"/>
      <c r="F53" s="24"/>
      <c r="G53" s="24"/>
      <c r="H53" s="24"/>
      <c r="I53" s="24"/>
      <c r="J53" s="24"/>
      <c r="K53" s="24"/>
      <c r="L53" s="24"/>
      <c r="M53" s="24"/>
      <c r="N53" s="24"/>
      <c r="O53" s="24"/>
      <c r="P53" s="24"/>
      <c r="Q53" s="24"/>
    </row>
  </sheetData>
  <mergeCells count="19">
    <mergeCell ref="B52:Q53"/>
    <mergeCell ref="J11:M11"/>
    <mergeCell ref="J12:M12"/>
    <mergeCell ref="J13:M13"/>
    <mergeCell ref="J14:M14"/>
    <mergeCell ref="N11:Q11"/>
    <mergeCell ref="N12:Q12"/>
    <mergeCell ref="N13:Q13"/>
    <mergeCell ref="N14:Q14"/>
    <mergeCell ref="B8:Q8"/>
    <mergeCell ref="B9:Q9"/>
    <mergeCell ref="B11:E11"/>
    <mergeCell ref="B12:E12"/>
    <mergeCell ref="B13:E13"/>
    <mergeCell ref="B14:E14"/>
    <mergeCell ref="F11:I11"/>
    <mergeCell ref="F12:I12"/>
    <mergeCell ref="F13:I13"/>
    <mergeCell ref="F14:I14"/>
  </mergeCells>
  <conditionalFormatting sqref="B13">
    <cfRule type="expression" dxfId="35" priority="1" stopIfTrue="1">
      <formula>LEFT($B$13,1)="▲"</formula>
    </cfRule>
    <cfRule type="expression" dxfId="34" priority="2" stopIfTrue="1">
      <formula>LEFT($B$13,1)="▼"</formula>
    </cfRule>
  </conditionalFormatting>
  <conditionalFormatting sqref="B14">
    <cfRule type="expression" dxfId="33" priority="3" stopIfTrue="1">
      <formula>LEFT($B$14,1)="▲"</formula>
    </cfRule>
    <cfRule type="expression" dxfId="32" priority="4" stopIfTrue="1">
      <formula>LEFT($B$14,1)="▼"</formula>
    </cfRule>
  </conditionalFormatting>
  <conditionalFormatting sqref="F13">
    <cfRule type="expression" dxfId="31" priority="5" stopIfTrue="1">
      <formula>LEFT($F$13,1)="▲"</formula>
    </cfRule>
    <cfRule type="expression" dxfId="30" priority="6" stopIfTrue="1">
      <formula>LEFT($F$13,1)="▼"</formula>
    </cfRule>
  </conditionalFormatting>
  <conditionalFormatting sqref="F14">
    <cfRule type="expression" dxfId="29" priority="7" stopIfTrue="1">
      <formula>LEFT($F$14,1)="▲"</formula>
    </cfRule>
    <cfRule type="expression" dxfId="28" priority="8" stopIfTrue="1">
      <formula>LEFT($F$14,1)="▼"</formula>
    </cfRule>
  </conditionalFormatting>
  <conditionalFormatting sqref="J13">
    <cfRule type="expression" dxfId="27" priority="9" stopIfTrue="1">
      <formula>LEFT($J$13,1)="▲"</formula>
    </cfRule>
    <cfRule type="expression" dxfId="26" priority="10" stopIfTrue="1">
      <formula>LEFT($J$13,1)="▼"</formula>
    </cfRule>
  </conditionalFormatting>
  <conditionalFormatting sqref="J14">
    <cfRule type="expression" dxfId="25" priority="11" stopIfTrue="1">
      <formula>LEFT($J$14,1)="▲"</formula>
    </cfRule>
    <cfRule type="expression" dxfId="24" priority="12" stopIfTrue="1">
      <formula>LEFT($J$14,1)="▼"</formula>
    </cfRule>
  </conditionalFormatting>
  <conditionalFormatting sqref="N13">
    <cfRule type="expression" dxfId="23" priority="13" stopIfTrue="1">
      <formula>LEFT($N$13,1)="▲"</formula>
    </cfRule>
    <cfRule type="expression" dxfId="22" priority="14" stopIfTrue="1">
      <formula>LEFT($N$13,1)="▼"</formula>
    </cfRule>
  </conditionalFormatting>
  <conditionalFormatting sqref="N14">
    <cfRule type="expression" dxfId="21" priority="15" stopIfTrue="1">
      <formula>LEFT($N$14,1)="▲"</formula>
    </cfRule>
    <cfRule type="expression" dxfId="20" priority="16" stopIfTrue="1">
      <formula>LEFT($N$14,1)="▼"</formula>
    </cfRule>
  </conditionalFormatting>
  <conditionalFormatting sqref="H39:H48">
    <cfRule type="dataBar" priority="17">
      <dataBar>
        <cfvo type="min"/>
        <cfvo type="max"/>
        <color rgb="FF2A78D6"/>
      </dataBar>
      <extLst>
        <ext xmlns:x14="http://schemas.microsoft.com/office/spreadsheetml/2009/9/main" uri="{B025F937-C7B1-47D3-B67F-A62EFF666E3E}">
          <x14:id>{BD8BEA0E-58B5-4C0C-AE61-10FF44B1B231}</x14:id>
        </ext>
      </extLst>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dataBar" id="{BD8BEA0E-58B5-4C0C-AE61-10FF44B1B231}">
            <x14:dataBar minLength="0" maxLength="100" negativeBarColorSameAsPositive="1" axisPosition="none">
              <x14:cfvo type="min"/>
              <x14:cfvo type="max"/>
            </x14:dataBar>
          </x14:cfRule>
          <xm:sqref>H39:H48</xm:sqref>
        </x14:conditionalFormatting>
      </x14:conditionalFormattings>
    </ex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FA286-E1B0-4AD1-A1EC-C199C98D77EF}">
  <sheetPr>
    <pageSetUpPr fitToPage="1"/>
  </sheetPr>
  <dimension ref="B2:Q53"/>
  <sheetViews>
    <sheetView showGridLines="0" showRowColHeaders="0" zoomScale="90" zoomScaleNormal="90" workbookViewId="0"/>
  </sheetViews>
  <sheetFormatPr defaultRowHeight="14.25" x14ac:dyDescent="0.25"/>
  <cols>
    <col min="1" max="1" width="2.7109375" style="4" customWidth="1"/>
    <col min="2" max="17" width="11.7109375" style="4" customWidth="1"/>
    <col min="18" max="16384" width="9.140625" style="4"/>
  </cols>
  <sheetData>
    <row r="2" spans="2:17" ht="26.25" x14ac:dyDescent="0.45">
      <c r="B2" s="5" t="s">
        <v>309</v>
      </c>
    </row>
    <row r="3" spans="2:17" x14ac:dyDescent="0.25">
      <c r="B3" s="6" t="s">
        <v>285</v>
      </c>
    </row>
    <row r="4" spans="2:17" ht="30.95" customHeight="1" x14ac:dyDescent="0.25"/>
    <row r="5" spans="2:17" ht="30.95" customHeight="1" x14ac:dyDescent="0.25"/>
    <row r="6" spans="2:17" ht="30.95" customHeight="1" x14ac:dyDescent="0.25"/>
    <row r="7" spans="2:17" x14ac:dyDescent="0.25">
      <c r="B7" s="9" t="str">
        <f>"Điểm chính · "&amp;_pivot!$B$10&amp;" · "&amp;_pivot!$B$15</f>
        <v>Điểm chính · 12/2020 · mọi kênh</v>
      </c>
      <c r="C7" s="7"/>
      <c r="D7" s="7"/>
      <c r="E7" s="7"/>
      <c r="F7" s="7"/>
      <c r="G7" s="7"/>
      <c r="H7" s="7"/>
      <c r="I7" s="7"/>
      <c r="J7" s="7"/>
      <c r="K7" s="7"/>
      <c r="L7" s="7"/>
      <c r="M7" s="7"/>
      <c r="N7" s="7"/>
      <c r="O7" s="7"/>
      <c r="P7" s="7"/>
      <c r="Q7" s="7"/>
    </row>
    <row r="8" spans="2:17" ht="32.1" customHeight="1" x14ac:dyDescent="0.25">
      <c r="B8" s="10" t="str">
        <f>"Kế toán "&amp;IF(_pivot!$C$31&gt;=0,"cao","thấp")&amp;" hơn dữ liệu đơn "&amp;FIXED(ABS(_pivot!$C$31),0)&amp;" USD ("&amp;IF(_pivot!$C$32="","–",IF(_pivot!$C$32&gt;=0,"+","−")&amp;FIXED(ABS(_pivot!$C$32)*100,2)&amp;"%")&amp;")."&amp;IF(ABS(_pivot!$C$43)&gt;1," "&amp;IF(_pivot!$C$43&gt;=0.5,"+",IF(_pivot!$C$43&lt;=-0.5,"−",""))&amp;FIXED(ABS(_pivot!$C$43),0)&amp;" USD là lệch thời điểm của kênh online — biến mất khi tính theo ngày giao.","")</f>
        <v>Kế toán thấp hơn dữ liệu đơn 12,536 USD (−2.11%). −22,812 USD là lệch thời điểm của kênh online — biến mất khi tính theo ngày giao.</v>
      </c>
      <c r="C8" s="8"/>
      <c r="D8" s="8"/>
      <c r="E8" s="8"/>
      <c r="F8" s="8"/>
      <c r="G8" s="8"/>
      <c r="H8" s="8"/>
      <c r="I8" s="8"/>
      <c r="J8" s="8"/>
      <c r="K8" s="8"/>
      <c r="L8" s="8"/>
      <c r="M8" s="8"/>
      <c r="N8" s="8"/>
      <c r="O8" s="8"/>
      <c r="P8" s="8"/>
      <c r="Q8" s="8"/>
    </row>
    <row r="9" spans="2:17" ht="36" customHeight="1" x14ac:dyDescent="0.25">
      <c r="B9" s="11" t="str">
        <f>IF(_pivot!$AR$114&gt;0,"• Còn lại "&amp;IF(_pivot!$C$33&gt;=0.5,"+",IF(_pivot!$C$33&lt;=-0.5,"−",""))&amp;FIXED(ABS(_pivot!$C$33),0)&amp;" USD; cần điều tra "&amp;_pivot!$AR$114&amp;" cửa hàng vượt ngưỡng: "&amp;_pivot!$AS$105&amp;IF(_pivot!$AS$106&lt;&gt;"",", "&amp;_pivot!$AS$106,"")&amp;IF(_pivot!$AS$107&lt;&gt;"",", "&amp;_pivot!$AS$107,"")&amp;" ⚠.","• Còn lại "&amp;IF(_pivot!$C$33&gt;=0.5,"+",IF(_pivot!$C$33&lt;=-0.5,"−",""))&amp;FIXED(ABS(_pivot!$C$33),0)&amp;" USD, không cửa hàng nào vượt ngưỡng ngoài kênh online.")&amp;CHAR(10)&amp;IF(_pivot!$C$36&lt;&gt;0,"• Chưa gồm bút toán điều chỉnh HQ-ADJ "&amp;IF(_pivot!$C$36&gt;=0.5,"+",IF(_pivot!$C$36&lt;=-0.5,"−",""))&amp;FIXED(ABS(_pivot!$C$36),0)&amp;" USD (không thuộc cửa hàng nào).","• Xuống mức ngày ghi sổ (posting_date) ở các cửa hàng có ⚠ để tìm nguyên nhân và số tiền.")</f>
        <v>• Còn lại +10,276 USD; cần điều tra 1 cửa hàng vượt ngưỡng: S12 ⚠.
• Chưa gồm bút toán điều chỉnh HQ-ADJ −1,436 USD (không thuộc cửa hàng nào).</v>
      </c>
      <c r="C9" s="8"/>
      <c r="D9" s="8"/>
      <c r="E9" s="8"/>
      <c r="F9" s="8"/>
      <c r="G9" s="8"/>
      <c r="H9" s="8"/>
      <c r="I9" s="8"/>
      <c r="J9" s="8"/>
      <c r="K9" s="8"/>
      <c r="L9" s="8"/>
      <c r="M9" s="8"/>
      <c r="N9" s="8"/>
      <c r="O9" s="8"/>
      <c r="P9" s="8"/>
      <c r="Q9" s="8"/>
    </row>
    <row r="11" spans="2:17" x14ac:dyDescent="0.25">
      <c r="B11" s="18" t="s">
        <v>310</v>
      </c>
      <c r="C11" s="12"/>
      <c r="D11" s="12"/>
      <c r="E11" s="18" t="s">
        <v>311</v>
      </c>
      <c r="F11" s="12"/>
      <c r="G11" s="12"/>
      <c r="H11" s="18" t="s">
        <v>312</v>
      </c>
      <c r="I11" s="12"/>
      <c r="J11" s="12"/>
      <c r="K11" s="18" t="s">
        <v>313</v>
      </c>
      <c r="L11" s="12"/>
      <c r="M11" s="12"/>
      <c r="N11" s="18" t="s">
        <v>315</v>
      </c>
      <c r="O11" s="12"/>
      <c r="P11" s="13"/>
    </row>
    <row r="12" spans="2:17" ht="30" customHeight="1" x14ac:dyDescent="0.45">
      <c r="B12" s="25">
        <f>_pivot!$C$24/1000</f>
        <v>606.12507000000005</v>
      </c>
      <c r="C12" s="21"/>
      <c r="D12" s="21"/>
      <c r="E12" s="25">
        <f>_pivot!$C$30/1000</f>
        <v>593.58884</v>
      </c>
      <c r="F12" s="21"/>
      <c r="G12" s="21"/>
      <c r="H12" s="29">
        <f>_pivot!$C$31</f>
        <v>-12536.230000000098</v>
      </c>
      <c r="I12" s="21"/>
      <c r="J12" s="21"/>
      <c r="K12" s="29">
        <f>_pivot!$C$33</f>
        <v>10275.959999999963</v>
      </c>
      <c r="L12" s="21"/>
      <c r="M12" s="21"/>
      <c r="N12" s="51" t="str">
        <f>_pivot!$C$34&amp;" / "&amp;MAX(0,COUNTA(_pivot!$AF$126:$AF$300))</f>
        <v>2 / 50</v>
      </c>
      <c r="O12" s="21"/>
      <c r="P12" s="22"/>
    </row>
    <row r="13" spans="2:17" x14ac:dyDescent="0.25">
      <c r="B13" s="19" t="str">
        <f>IF(_pivot!$F$24="","– so với tháng trước",IF(_pivot!$F$24&gt;0,"▲ ",IF(_pivot!$F$24&lt;0,"▼ ","■ "))&amp;FIXED(ABS(_pivot!$F$24)*100,1)&amp;"%"&amp;" so với tháng trước")</f>
        <v>▲ 154.6% so với tháng trước</v>
      </c>
      <c r="C13" s="14"/>
      <c r="D13" s="14"/>
      <c r="E13" s="19" t="str">
        <f>IF(_pivot!$C$36&lt;&gt;0,"chưa gồm HQ-ADJ "&amp;IF(_pivot!$C$36&gt;=0.5,"+",IF(_pivot!$C$36&lt;=-0.5,"−",""))&amp;FIXED(ABS(_pivot!$C$36),0)&amp;" USD","không gồm HQ-ADJ")</f>
        <v>chưa gồm HQ-ADJ −1,436 USD</v>
      </c>
      <c r="F13" s="14"/>
      <c r="G13" s="14"/>
      <c r="H13" s="19" t="str">
        <f>IF(_pivot!$C$32="","–",IF(_pivot!$C$32&gt;=0,"+","−")&amp;FIXED(ABS(_pivot!$C$32)*100,2)&amp;"%")&amp;" trên số Kế toán"</f>
        <v>−2.11% trên số Kế toán</v>
      </c>
      <c r="I13" s="14"/>
      <c r="J13" s="14"/>
      <c r="K13" s="19" t="s">
        <v>314</v>
      </c>
      <c r="L13" s="14"/>
      <c r="M13" s="14"/>
      <c r="N13" s="19" t="s">
        <v>316</v>
      </c>
      <c r="O13" s="14"/>
      <c r="P13" s="15"/>
    </row>
    <row r="14" spans="2:17" x14ac:dyDescent="0.25">
      <c r="B14" s="20" t="str">
        <f>IF(_pivot!$G$24="","– so với cùng kỳ",IF(_pivot!$G$24&gt;0,"▲ ",IF(_pivot!$G$24&lt;0,"▼ ","■ "))&amp;FIXED(ABS(_pivot!$G$24)*100,1)&amp;"%"&amp;" so với cùng kỳ")</f>
        <v>▼ 73.2% so với cùng kỳ</v>
      </c>
      <c r="C14" s="16"/>
      <c r="D14" s="16"/>
      <c r="E14" s="20"/>
      <c r="F14" s="16"/>
      <c r="G14" s="16"/>
      <c r="H14" s="20"/>
      <c r="I14" s="16"/>
      <c r="J14" s="16"/>
      <c r="K14" s="20"/>
      <c r="L14" s="16"/>
      <c r="M14" s="16"/>
      <c r="N14" s="20" t="s">
        <v>317</v>
      </c>
      <c r="O14" s="16"/>
      <c r="P14" s="17"/>
    </row>
    <row r="16" spans="2:17" ht="16.5" x14ac:dyDescent="0.3">
      <c r="B16" s="30" t="str">
        <f>IF(_pivot!$AS$105&lt;&gt;"",_pivot!$AS$105&amp;" là chênh lệch thật lớn nhất ("&amp;IF(_pivot!$AT$105&gt;=0.5,"+",IF(_pivot!$AT$105&lt;=-0.5,"−",""))&amp;FIXED(ABS(_pivot!$AT$105),0)&amp;" USD)","Chênh lệch chủ yếu là lệch thời điểm")</f>
        <v>S12 là chênh lệch thật lớn nhất (+10,141 USD)</v>
      </c>
      <c r="H16" s="30" t="str">
        <f>"Δ sau quy đổi "&amp;_pivot!$B$10&amp;" là "&amp;IF(_pivot!$C$33&gt;=0.5,"+",IF(_pivot!$C$33&lt;=-0.5,"−",""))&amp;FIXED(ABS(_pivot!$C$33),0)&amp;" USD"</f>
        <v>Δ sau quy đổi 12/2020 là +10,276 USD</v>
      </c>
    </row>
    <row r="17" spans="2:8" x14ac:dyDescent="0.25">
      <c r="B17" s="23" t="s">
        <v>318</v>
      </c>
      <c r="H17" s="23" t="s">
        <v>319</v>
      </c>
    </row>
    <row r="34" spans="2:11" ht="16.5" x14ac:dyDescent="0.3">
      <c r="B34" s="30" t="str">
        <f>IF(_pivot!$C$34&gt;0,_pivot!$C$34&amp;" cửa hàng vượt ngưỡng tháng "&amp;_pivot!$B$10,"Không cửa hàng nào vượt ngưỡng tháng "&amp;_pivot!$B$10)</f>
        <v>2 cửa hàng vượt ngưỡng tháng 12/2020</v>
      </c>
      <c r="K34" s="30" t="str">
        <f>IF(_pivot!$B$16=1,"Δ online về gần 0 khi tính theo ngày giao","Kênh online không thuộc bộ lọc đang chọn")</f>
        <v>Δ online về gần 0 khi tính theo ngày giao</v>
      </c>
    </row>
    <row r="35" spans="2:11" x14ac:dyDescent="0.25">
      <c r="B35" s="23" t="s">
        <v>320</v>
      </c>
      <c r="K35" s="23" t="s">
        <v>326</v>
      </c>
    </row>
    <row r="36" spans="2:11" x14ac:dyDescent="0.25">
      <c r="B36" s="34" t="s">
        <v>265</v>
      </c>
      <c r="C36" s="34"/>
      <c r="D36" s="35" t="s">
        <v>321</v>
      </c>
      <c r="E36" s="35" t="s">
        <v>322</v>
      </c>
      <c r="F36" s="35" t="s">
        <v>323</v>
      </c>
      <c r="G36" s="35" t="s">
        <v>324</v>
      </c>
      <c r="H36" s="35" t="s">
        <v>50</v>
      </c>
      <c r="I36" s="34" t="s">
        <v>325</v>
      </c>
    </row>
    <row r="37" spans="2:11" x14ac:dyDescent="0.25">
      <c r="B37" s="36" t="str">
        <f>IF(_pivot!AF$106="","",_pivot!AF$106&amp;" · "&amp;IFERROR(VLOOKUP(_pivot!AF$106,map_store,2,FALSE),""))</f>
        <v>ONL · Online</v>
      </c>
      <c r="C37" s="43"/>
      <c r="D37" s="37">
        <f>IF(_pivot!AF$106="","",ROUND(N(_pivot!AG$106),2))</f>
        <v>153113.19</v>
      </c>
      <c r="E37" s="37">
        <f>IF(_pivot!AF$106="","",ROUND(N(_pivot!AH$106),2))</f>
        <v>130301</v>
      </c>
      <c r="F37" s="52">
        <f>IF(_pivot!AF$106="","",ROUND(N(_pivot!AI$106),2))</f>
        <v>-22812.19</v>
      </c>
      <c r="G37" s="40">
        <f>IF(_pivot!AF$106="","",ROUND(N(_pivot!AJ$106),6))</f>
        <v>-0.17507300000000001</v>
      </c>
      <c r="H37" s="52">
        <f>IF(_pivot!AF$106="","",ROUND(N(_pivot!AK$106),2))</f>
        <v>0</v>
      </c>
      <c r="I37" s="36" t="str">
        <f>IF(_pivot!AF$106="","",IF(N(_pivot!AL$106)=1,"⚠ Vượt","trong ngưỡng"))</f>
        <v>⚠ Vượt</v>
      </c>
    </row>
    <row r="38" spans="2:11" x14ac:dyDescent="0.25">
      <c r="B38" s="47" t="str">
        <f>IF(_pivot!AF$107="","",_pivot!AF$107&amp;" · "&amp;IFERROR(VLOOKUP(_pivot!AF$107,map_store,2,FALSE),""))</f>
        <v>S12 · Pháp</v>
      </c>
      <c r="C38" s="48"/>
      <c r="D38" s="49">
        <f>IF(_pivot!AF$107="","",ROUND(N(_pivot!AG$107),2))</f>
        <v>20853.349999999999</v>
      </c>
      <c r="E38" s="49">
        <f>IF(_pivot!AF$107="","",ROUND(N(_pivot!AH$107),2))</f>
        <v>30994.39</v>
      </c>
      <c r="F38" s="54">
        <f>IF(_pivot!AF$107="","",ROUND(N(_pivot!AI$107),2))</f>
        <v>10141.040000000001</v>
      </c>
      <c r="G38" s="50">
        <f>IF(_pivot!AF$107="","",ROUND(N(_pivot!AJ$107),6))</f>
        <v>0.32718999999999998</v>
      </c>
      <c r="H38" s="54">
        <f>IF(_pivot!AF$107="","",ROUND(N(_pivot!AK$107),2))</f>
        <v>10141.040000000001</v>
      </c>
      <c r="I38" s="47" t="str">
        <f>IF(_pivot!AF$107="","",IF(N(_pivot!AL$107)=1,"⚠ Vượt","trong ngưỡng"))</f>
        <v>⚠ Vượt</v>
      </c>
    </row>
    <row r="39" spans="2:11" x14ac:dyDescent="0.25">
      <c r="B39" s="47" t="str">
        <f>IF(_pivot!AF$108="","",_pivot!AF$108&amp;" · "&amp;IFERROR(VLOOKUP(_pivot!AF$108,map_store,2,FALSE),""))</f>
        <v>S62 · Mỹ</v>
      </c>
      <c r="C39" s="48"/>
      <c r="D39" s="49">
        <f>IF(_pivot!AF$108="","",ROUND(N(_pivot!AG$108),2))</f>
        <v>6191.92</v>
      </c>
      <c r="E39" s="49">
        <f>IF(_pivot!AF$108="","",ROUND(N(_pivot!AH$108),2))</f>
        <v>6278.89</v>
      </c>
      <c r="F39" s="54">
        <f>IF(_pivot!AF$108="","",ROUND(N(_pivot!AI$108),2))</f>
        <v>86.97</v>
      </c>
      <c r="G39" s="50">
        <f>IF(_pivot!AF$108="","",ROUND(N(_pivot!AJ$108),6))</f>
        <v>1.3851E-2</v>
      </c>
      <c r="H39" s="54">
        <f>IF(_pivot!AF$108="","",ROUND(N(_pivot!AK$108),2))</f>
        <v>86.97</v>
      </c>
      <c r="I39" s="47" t="str">
        <f>IF(_pivot!AF$108="","",IF(N(_pivot!AL$108)=1,"⚠ Vượt","trong ngưỡng"))</f>
        <v>trong ngưỡng</v>
      </c>
    </row>
    <row r="40" spans="2:11" x14ac:dyDescent="0.25">
      <c r="B40" s="47" t="str">
        <f>IF(_pivot!AF$109="","",_pivot!AF$109&amp;" · "&amp;IFERROR(VLOOKUP(_pivot!AF$109,map_store,2,FALSE),""))</f>
        <v>S64 · Mỹ</v>
      </c>
      <c r="C40" s="48"/>
      <c r="D40" s="49">
        <f>IF(_pivot!AF$109="","",ROUND(N(_pivot!AG$109),2))</f>
        <v>11843.74</v>
      </c>
      <c r="E40" s="49">
        <f>IF(_pivot!AF$109="","",ROUND(N(_pivot!AH$109),2))</f>
        <v>11891.69</v>
      </c>
      <c r="F40" s="54">
        <f>IF(_pivot!AF$109="","",ROUND(N(_pivot!AI$109),2))</f>
        <v>47.95</v>
      </c>
      <c r="G40" s="50">
        <f>IF(_pivot!AF$109="","",ROUND(N(_pivot!AJ$109),6))</f>
        <v>4.032E-3</v>
      </c>
      <c r="H40" s="54">
        <f>IF(_pivot!AF$109="","",ROUND(N(_pivot!AK$109),2))</f>
        <v>47.95</v>
      </c>
      <c r="I40" s="47" t="str">
        <f>IF(_pivot!AF$109="","",IF(N(_pivot!AL$109)=1,"⚠ Vượt","trong ngưỡng"))</f>
        <v>trong ngưỡng</v>
      </c>
    </row>
    <row r="41" spans="2:11" x14ac:dyDescent="0.25">
      <c r="B41" s="47" t="str">
        <f>IF(_pivot!AF$110="","",_pivot!AF$110&amp;" · "&amp;IFERROR(VLOOKUP(_pivot!AF$110,map_store,2,FALSE),""))</f>
        <v>S54 · Mỹ</v>
      </c>
      <c r="C41" s="48"/>
      <c r="D41" s="49">
        <f>IF(_pivot!AF$110="","",ROUND(N(_pivot!AG$110),2))</f>
        <v>34280.53</v>
      </c>
      <c r="E41" s="49">
        <f>IF(_pivot!AF$110="","",ROUND(N(_pivot!AH$110),2))</f>
        <v>34280.53</v>
      </c>
      <c r="F41" s="54">
        <f>IF(_pivot!AF$110="","",ROUND(N(_pivot!AI$110),2))</f>
        <v>0</v>
      </c>
      <c r="G41" s="50">
        <f>IF(_pivot!AF$110="","",ROUND(N(_pivot!AJ$110),6))</f>
        <v>0</v>
      </c>
      <c r="H41" s="54">
        <f>IF(_pivot!AF$110="","",ROUND(N(_pivot!AK$110),2))</f>
        <v>0</v>
      </c>
      <c r="I41" s="47" t="str">
        <f>IF(_pivot!AF$110="","",IF(N(_pivot!AL$110)=1,"⚠ Vượt","trong ngưỡng"))</f>
        <v>trong ngưỡng</v>
      </c>
    </row>
    <row r="42" spans="2:11" x14ac:dyDescent="0.25">
      <c r="B42" s="47" t="str">
        <f>IF(_pivot!AF$111="","",_pivot!AF$111&amp;" · "&amp;IFERROR(VLOOKUP(_pivot!AF$111,map_store,2,FALSE),""))</f>
        <v>S08 · Canada</v>
      </c>
      <c r="C42" s="48"/>
      <c r="D42" s="49">
        <f>IF(_pivot!AF$111="","",ROUND(N(_pivot!AG$111),2))</f>
        <v>20276.05</v>
      </c>
      <c r="E42" s="49">
        <f>IF(_pivot!AF$111="","",ROUND(N(_pivot!AH$111),2))</f>
        <v>20276.05</v>
      </c>
      <c r="F42" s="54">
        <f>IF(_pivot!AF$111="","",ROUND(N(_pivot!AI$111),2))</f>
        <v>0</v>
      </c>
      <c r="G42" s="50">
        <f>IF(_pivot!AF$111="","",ROUND(N(_pivot!AJ$111),6))</f>
        <v>0</v>
      </c>
      <c r="H42" s="54">
        <f>IF(_pivot!AF$111="","",ROUND(N(_pivot!AK$111),2))</f>
        <v>0</v>
      </c>
      <c r="I42" s="47" t="str">
        <f>IF(_pivot!AF$111="","",IF(N(_pivot!AL$111)=1,"⚠ Vượt","trong ngưỡng"))</f>
        <v>trong ngưỡng</v>
      </c>
    </row>
    <row r="43" spans="2:11" x14ac:dyDescent="0.25">
      <c r="B43" s="47" t="str">
        <f>IF(_pivot!AF$112="","",_pivot!AF$112&amp;" · "&amp;IFERROR(VLOOKUP(_pivot!AF$112,map_store,2,FALSE),""))</f>
        <v>S09 · Canada</v>
      </c>
      <c r="C43" s="48"/>
      <c r="D43" s="49">
        <f>IF(_pivot!AF$112="","",ROUND(N(_pivot!AG$112),2))</f>
        <v>23121.18</v>
      </c>
      <c r="E43" s="49">
        <f>IF(_pivot!AF$112="","",ROUND(N(_pivot!AH$112),2))</f>
        <v>23121.18</v>
      </c>
      <c r="F43" s="54">
        <f>IF(_pivot!AF$112="","",ROUND(N(_pivot!AI$112),2))</f>
        <v>0</v>
      </c>
      <c r="G43" s="50">
        <f>IF(_pivot!AF$112="","",ROUND(N(_pivot!AJ$112),6))</f>
        <v>0</v>
      </c>
      <c r="H43" s="54">
        <f>IF(_pivot!AF$112="","",ROUND(N(_pivot!AK$112),2))</f>
        <v>0</v>
      </c>
      <c r="I43" s="47" t="str">
        <f>IF(_pivot!AF$112="","",IF(N(_pivot!AL$112)=1,"⚠ Vượt","trong ngưỡng"))</f>
        <v>trong ngưỡng</v>
      </c>
    </row>
    <row r="44" spans="2:11" x14ac:dyDescent="0.25">
      <c r="B44" s="47" t="str">
        <f>IF(_pivot!AF$113="","",_pivot!AF$113&amp;" · "&amp;IFERROR(VLOOKUP(_pivot!AF$113,map_store,2,FALSE),""))</f>
        <v>S47 · Mỹ</v>
      </c>
      <c r="C44" s="48"/>
      <c r="D44" s="49">
        <f>IF(_pivot!AF$113="","",ROUND(N(_pivot!AG$113),2))</f>
        <v>22422.080000000002</v>
      </c>
      <c r="E44" s="49">
        <f>IF(_pivot!AF$113="","",ROUND(N(_pivot!AH$113),2))</f>
        <v>22422.080000000002</v>
      </c>
      <c r="F44" s="54">
        <f>IF(_pivot!AF$113="","",ROUND(N(_pivot!AI$113),2))</f>
        <v>0</v>
      </c>
      <c r="G44" s="50">
        <f>IF(_pivot!AF$113="","",ROUND(N(_pivot!AJ$113),6))</f>
        <v>0</v>
      </c>
      <c r="H44" s="54">
        <f>IF(_pivot!AF$113="","",ROUND(N(_pivot!AK$113),2))</f>
        <v>0</v>
      </c>
      <c r="I44" s="47" t="str">
        <f>IF(_pivot!AF$113="","",IF(N(_pivot!AL$113)=1,"⚠ Vượt","trong ngưỡng"))</f>
        <v>trong ngưỡng</v>
      </c>
    </row>
    <row r="45" spans="2:11" x14ac:dyDescent="0.25">
      <c r="B45" s="47" t="str">
        <f>IF(_pivot!AF$114="","",_pivot!AF$114&amp;" · "&amp;IFERROR(VLOOKUP(_pivot!AF$114,map_store,2,FALSE),""))</f>
        <v>S53 · Mỹ</v>
      </c>
      <c r="C45" s="48"/>
      <c r="D45" s="49">
        <f>IF(_pivot!AF$114="","",ROUND(N(_pivot!AG$114),2))</f>
        <v>27309</v>
      </c>
      <c r="E45" s="49">
        <f>IF(_pivot!AF$114="","",ROUND(N(_pivot!AH$114),2))</f>
        <v>27309</v>
      </c>
      <c r="F45" s="54">
        <f>IF(_pivot!AF$114="","",ROUND(N(_pivot!AI$114),2))</f>
        <v>0</v>
      </c>
      <c r="G45" s="50">
        <f>IF(_pivot!AF$114="","",ROUND(N(_pivot!AJ$114),6))</f>
        <v>0</v>
      </c>
      <c r="H45" s="54">
        <f>IF(_pivot!AF$114="","",ROUND(N(_pivot!AK$114),2))</f>
        <v>0</v>
      </c>
      <c r="I45" s="47" t="str">
        <f>IF(_pivot!AF$114="","",IF(N(_pivot!AL$114)=1,"⚠ Vượt","trong ngưỡng"))</f>
        <v>trong ngưỡng</v>
      </c>
    </row>
    <row r="46" spans="2:11" x14ac:dyDescent="0.25">
      <c r="B46" s="38" t="str">
        <f>IF(_pivot!AF$115="","",_pivot!AF$115&amp;" · "&amp;IFERROR(VLOOKUP(_pivot!AF$115,map_store,2,FALSE),""))</f>
        <v>S27 · Đức</v>
      </c>
      <c r="C46" s="45"/>
      <c r="D46" s="39">
        <f>IF(_pivot!AF$115="","",ROUND(N(_pivot!AG$115),2))</f>
        <v>17868.09</v>
      </c>
      <c r="E46" s="39">
        <f>IF(_pivot!AF$115="","",ROUND(N(_pivot!AH$115),2))</f>
        <v>17868.09</v>
      </c>
      <c r="F46" s="53">
        <f>IF(_pivot!AF$115="","",ROUND(N(_pivot!AI$115),2))</f>
        <v>0</v>
      </c>
      <c r="G46" s="41">
        <f>IF(_pivot!AF$115="","",ROUND(N(_pivot!AJ$115),6))</f>
        <v>0</v>
      </c>
      <c r="H46" s="53">
        <f>IF(_pivot!AF$115="","",ROUND(N(_pivot!AK$115),2))</f>
        <v>0</v>
      </c>
      <c r="I46" s="38" t="str">
        <f>IF(_pivot!AF$115="","",IF(N(_pivot!AL$115)=1,"⚠ Vượt","trong ngưỡng"))</f>
        <v>trong ngưỡng</v>
      </c>
    </row>
    <row r="52" spans="2:17" x14ac:dyDescent="0.25">
      <c r="B52" s="24" t="s">
        <v>286</v>
      </c>
      <c r="C52" s="24"/>
      <c r="D52" s="24"/>
      <c r="E52" s="24"/>
      <c r="F52" s="24"/>
      <c r="G52" s="24"/>
      <c r="H52" s="24"/>
      <c r="I52" s="24"/>
      <c r="J52" s="24"/>
      <c r="K52" s="24"/>
      <c r="L52" s="24"/>
      <c r="M52" s="24"/>
      <c r="N52" s="24"/>
      <c r="O52" s="24"/>
      <c r="P52" s="24"/>
      <c r="Q52" s="24"/>
    </row>
    <row r="53" spans="2:17" x14ac:dyDescent="0.25">
      <c r="B53" s="24"/>
      <c r="C53" s="24"/>
      <c r="D53" s="24"/>
      <c r="E53" s="24"/>
      <c r="F53" s="24"/>
      <c r="G53" s="24"/>
      <c r="H53" s="24"/>
      <c r="I53" s="24"/>
      <c r="J53" s="24"/>
      <c r="K53" s="24"/>
      <c r="L53" s="24"/>
      <c r="M53" s="24"/>
      <c r="N53" s="24"/>
      <c r="O53" s="24"/>
      <c r="P53" s="24"/>
      <c r="Q53" s="24"/>
    </row>
  </sheetData>
  <mergeCells count="23">
    <mergeCell ref="N11:P11"/>
    <mergeCell ref="N12:P12"/>
    <mergeCell ref="N13:P13"/>
    <mergeCell ref="N14:P14"/>
    <mergeCell ref="B52:Q53"/>
    <mergeCell ref="H11:J11"/>
    <mergeCell ref="H12:J12"/>
    <mergeCell ref="H13:J13"/>
    <mergeCell ref="H14:J14"/>
    <mergeCell ref="K11:M11"/>
    <mergeCell ref="K12:M12"/>
    <mergeCell ref="K13:M13"/>
    <mergeCell ref="K14:M14"/>
    <mergeCell ref="B8:Q8"/>
    <mergeCell ref="B9:Q9"/>
    <mergeCell ref="B11:D11"/>
    <mergeCell ref="B12:D12"/>
    <mergeCell ref="B13:D13"/>
    <mergeCell ref="B14:D14"/>
    <mergeCell ref="E11:G11"/>
    <mergeCell ref="E12:G12"/>
    <mergeCell ref="E13:G13"/>
    <mergeCell ref="E14:G14"/>
  </mergeCells>
  <conditionalFormatting sqref="B13">
    <cfRule type="expression" dxfId="19" priority="1" stopIfTrue="1">
      <formula>LEFT($B$13,1)="▲"</formula>
    </cfRule>
    <cfRule type="expression" dxfId="18" priority="2" stopIfTrue="1">
      <formula>LEFT($B$13,1)="▼"</formula>
    </cfRule>
  </conditionalFormatting>
  <conditionalFormatting sqref="B14">
    <cfRule type="expression" dxfId="17" priority="3" stopIfTrue="1">
      <formula>LEFT($B$14,1)="▲"</formula>
    </cfRule>
    <cfRule type="expression" dxfId="16" priority="4" stopIfTrue="1">
      <formula>LEFT($B$14,1)="▼"</formula>
    </cfRule>
  </conditionalFormatting>
  <conditionalFormatting sqref="B37:I46">
    <cfRule type="expression" dxfId="12" priority="8" stopIfTrue="1">
      <formula>$I37="⚠ Vượt"</formula>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expression" priority="5" stopIfTrue="1" id="{C9E8DE0F-BF49-4B10-A333-BC07C47076BD}">
            <xm:f>_pivot!$C$34&gt;0</xm:f>
            <x14:dxf>
              <font>
                <b/>
                <i val="0"/>
                <color rgb="FFD03B3B"/>
              </font>
            </x14:dxf>
          </x14:cfRule>
          <xm:sqref>H12</xm:sqref>
        </x14:conditionalFormatting>
        <x14:conditionalFormatting xmlns:xm="http://schemas.microsoft.com/office/excel/2006/main">
          <x14:cfRule type="expression" priority="6" stopIfTrue="1" id="{D64C35ED-1691-49EB-B2E5-A7BAEB2E027F}">
            <xm:f>_pivot!$AR$114&gt;0</xm:f>
            <x14:dxf>
              <font>
                <b/>
                <i val="0"/>
                <color rgb="FFD03B3B"/>
              </font>
            </x14:dxf>
          </x14:cfRule>
          <xm:sqref>K12</xm:sqref>
        </x14:conditionalFormatting>
        <x14:conditionalFormatting xmlns:xm="http://schemas.microsoft.com/office/excel/2006/main">
          <x14:cfRule type="expression" priority="7" stopIfTrue="1" id="{26A4523E-8563-46C2-A711-5E40E58CD3DF}">
            <xm:f>_pivot!$C$34&gt;0</xm:f>
            <x14:dxf>
              <font>
                <b/>
                <i val="0"/>
                <color rgb="FFD03B3B"/>
              </font>
            </x14:dxf>
          </x14:cfRule>
          <xm:sqref>N12</xm:sqref>
        </x14:conditionalFormatting>
      </x14:conditionalFormattings>
    </ex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C7B1-DEBC-4359-971F-BE5C77D710F3}">
  <sheetPr>
    <pageSetUpPr fitToPage="1"/>
  </sheetPr>
  <dimension ref="B2:Q53"/>
  <sheetViews>
    <sheetView showGridLines="0" showRowColHeaders="0" zoomScale="90" zoomScaleNormal="90" workbookViewId="0"/>
  </sheetViews>
  <sheetFormatPr defaultRowHeight="14.25" x14ac:dyDescent="0.25"/>
  <cols>
    <col min="1" max="1" width="2.7109375" style="4" customWidth="1"/>
    <col min="2" max="17" width="11.7109375" style="4" customWidth="1"/>
    <col min="18" max="16384" width="9.140625" style="4"/>
  </cols>
  <sheetData>
    <row r="2" spans="2:17" ht="26.25" x14ac:dyDescent="0.45">
      <c r="B2" s="5" t="s">
        <v>327</v>
      </c>
    </row>
    <row r="3" spans="2:17" x14ac:dyDescent="0.25">
      <c r="B3" s="6" t="s">
        <v>285</v>
      </c>
    </row>
    <row r="4" spans="2:17" ht="30.95" customHeight="1" x14ac:dyDescent="0.25"/>
    <row r="5" spans="2:17" ht="30.95" customHeight="1" x14ac:dyDescent="0.25"/>
    <row r="6" spans="2:17" ht="30.95" customHeight="1" x14ac:dyDescent="0.25"/>
    <row r="7" spans="2:17" x14ac:dyDescent="0.25">
      <c r="B7" s="9" t="str">
        <f>"Điểm chính · "&amp;_pivot!$B$10&amp;" · "&amp;_pivot!$B$15</f>
        <v>Điểm chính · 12/2020 · mọi kênh</v>
      </c>
      <c r="C7" s="7"/>
      <c r="D7" s="7"/>
      <c r="E7" s="7"/>
      <c r="F7" s="7"/>
      <c r="G7" s="7"/>
      <c r="H7" s="7"/>
      <c r="I7" s="7"/>
      <c r="J7" s="7"/>
      <c r="K7" s="7"/>
      <c r="L7" s="7"/>
      <c r="M7" s="7"/>
      <c r="N7" s="7"/>
      <c r="O7" s="7"/>
      <c r="P7" s="7"/>
      <c r="Q7" s="7"/>
    </row>
    <row r="8" spans="2:17" ht="32.1" customHeight="1" x14ac:dyDescent="0.25">
      <c r="B8" s="10" t="str">
        <f>"Hàng trả lại "&amp;_pivot!$B$10&amp;" là "&amp;FIXED(_pivot!$C$23,0)&amp;" USD, bằng "&amp;IF(_pivot!$C$29="","–",FIXED(_pivot!$C$29*100,2)&amp;"%")&amp;" Net Sales ("&amp;IF(_pivot!$G$29="","–",IF(_pivot!$G$29&gt;=0,"+","−")&amp;FIXED(ABS(_pivot!$G$29)*100,2)&amp;" điểm %")&amp;" so với cùng kỳ)."</f>
        <v>Hàng trả lại 12/2020 là 9,687 USD, bằng 1.57% Net Sales (−0.72 điểm % so với cùng kỳ).</v>
      </c>
      <c r="C8" s="8"/>
      <c r="D8" s="8"/>
      <c r="E8" s="8"/>
      <c r="F8" s="8"/>
      <c r="G8" s="8"/>
      <c r="H8" s="8"/>
      <c r="I8" s="8"/>
      <c r="J8" s="8"/>
      <c r="K8" s="8"/>
      <c r="L8" s="8"/>
      <c r="M8" s="8"/>
      <c r="N8" s="8"/>
      <c r="O8" s="8"/>
      <c r="P8" s="8"/>
      <c r="Q8" s="8"/>
    </row>
    <row r="9" spans="2:17" ht="36" customHeight="1" x14ac:dyDescent="0.25">
      <c r="B9" s="11" t="str">
        <f>IF(_pivot!$C$23=0,"• Không có hàng trả lại trong phạm vi đang chọn.","• Lý do lớn nhất: "&amp;_pivot!$AQ$41&amp;" ("&amp;IF(_pivot!$AR$41/_pivot!$C$23="","–",FIXED(_pivot!$AR$41/_pivot!$C$23*100,0)&amp;"%")&amp;" giá trị trả).")&amp;CHAR(10)&amp;"• Đã loại 120 dòng trùng ở Power Query; "&amp;FIXED(_pivot!$C$44,0)&amp;" đơn đang giao (PENDING) không tính doanh thu — toàn thời gian, theo bộ lọc kênh/quốc gia."</f>
        <v>• Lý do lớn nhất: Giao nhầm hàng (38% giá trị trả).
• Đã loại 120 dòng trùng ở Power Query; 29 đơn đang giao (PENDING) không tính doanh thu — toàn thời gian, theo bộ lọc kênh/quốc gia.</v>
      </c>
      <c r="C9" s="8"/>
      <c r="D9" s="8"/>
      <c r="E9" s="8"/>
      <c r="F9" s="8"/>
      <c r="G9" s="8"/>
      <c r="H9" s="8"/>
      <c r="I9" s="8"/>
      <c r="J9" s="8"/>
      <c r="K9" s="8"/>
      <c r="L9" s="8"/>
      <c r="M9" s="8"/>
      <c r="N9" s="8"/>
      <c r="O9" s="8"/>
      <c r="P9" s="8"/>
      <c r="Q9" s="8"/>
    </row>
    <row r="11" spans="2:17" x14ac:dyDescent="0.25">
      <c r="B11" s="18" t="s">
        <v>328</v>
      </c>
      <c r="C11" s="12"/>
      <c r="D11" s="12"/>
      <c r="E11" s="12"/>
      <c r="F11" s="18" t="s">
        <v>288</v>
      </c>
      <c r="G11" s="12"/>
      <c r="H11" s="12"/>
      <c r="I11" s="12"/>
      <c r="J11" s="18" t="s">
        <v>329</v>
      </c>
      <c r="K11" s="12"/>
      <c r="L11" s="12"/>
      <c r="M11" s="12"/>
      <c r="N11" s="18" t="s">
        <v>330</v>
      </c>
      <c r="O11" s="12"/>
      <c r="P11" s="12"/>
      <c r="Q11" s="13"/>
    </row>
    <row r="12" spans="2:17" ht="30" customHeight="1" x14ac:dyDescent="0.45">
      <c r="B12" s="55">
        <f>_pivot!$C$23</f>
        <v>9686.67</v>
      </c>
      <c r="C12" s="21"/>
      <c r="D12" s="21"/>
      <c r="E12" s="21"/>
      <c r="F12" s="28">
        <f>_pivot!$C$29</f>
        <v>1.572992096578087E-2</v>
      </c>
      <c r="G12" s="21"/>
      <c r="H12" s="21"/>
      <c r="I12" s="21"/>
      <c r="J12" s="26">
        <f>_pivot!$C$37</f>
        <v>8</v>
      </c>
      <c r="K12" s="21"/>
      <c r="L12" s="21"/>
      <c r="M12" s="21"/>
      <c r="N12" s="56">
        <f>_pivot!$C$45</f>
        <v>120</v>
      </c>
      <c r="O12" s="21"/>
      <c r="P12" s="21"/>
      <c r="Q12" s="22"/>
    </row>
    <row r="13" spans="2:17" x14ac:dyDescent="0.25">
      <c r="B13" s="19" t="str">
        <f>IF(_pivot!$F$23="","– so với tháng trước",IF(_pivot!$F$23&gt;0,"▲ ",IF(_pivot!$F$23&lt;0,"▼ ","■ "))&amp;FIXED(ABS(_pivot!$F$23)*100,1)&amp;"%"&amp;" so với tháng trước")</f>
        <v>▲ 183.2% so với tháng trước</v>
      </c>
      <c r="C13" s="14"/>
      <c r="D13" s="14"/>
      <c r="E13" s="14"/>
      <c r="F13" s="19" t="str">
        <f>IF(_pivot!$F$29="","– so với tháng trước",IF(_pivot!$F$29&gt;0,"▲ ",IF(_pivot!$F$29&lt;0,"▼ ","■ "))&amp;FIXED(ABS(_pivot!$F$29)*100,2)&amp;" điểm %"&amp;" so với tháng trước")</f>
        <v>▲ 0.16 điểm % so với tháng trước</v>
      </c>
      <c r="G13" s="14"/>
      <c r="H13" s="14"/>
      <c r="I13" s="14"/>
      <c r="J13" s="19" t="str">
        <f>IF(_pivot!$F$37="","– so với tháng trước",IF(_pivot!$F$37&gt;0,"▲ ",IF(_pivot!$F$37&lt;0,"▼ ","■ "))&amp;FIXED(ABS(_pivot!$F$37)*100,1)&amp;"%"&amp;" so với tháng trước")</f>
        <v>▲ 100.0% so với tháng trước</v>
      </c>
      <c r="K13" s="14"/>
      <c r="L13" s="14"/>
      <c r="M13" s="14"/>
      <c r="N13" s="19" t="s">
        <v>331</v>
      </c>
      <c r="O13" s="14"/>
      <c r="P13" s="14"/>
      <c r="Q13" s="15"/>
    </row>
    <row r="14" spans="2:17" x14ac:dyDescent="0.25">
      <c r="B14" s="20" t="str">
        <f>IF(_pivot!$G$23="","– so với cùng kỳ",IF(_pivot!$G$23&gt;0,"▲ ",IF(_pivot!$G$23&lt;0,"▼ ","■ "))&amp;FIXED(ABS(_pivot!$G$23)*100,1)&amp;"%"&amp;" so với cùng kỳ")</f>
        <v>▼ 81.7% so với cùng kỳ</v>
      </c>
      <c r="C14" s="16"/>
      <c r="D14" s="16"/>
      <c r="E14" s="16"/>
      <c r="F14" s="20" t="str">
        <f>IF(_pivot!$G$29="","– so với cùng kỳ",IF(_pivot!$G$29&gt;0,"▲ ",IF(_pivot!$G$29&lt;0,"▼ ","■ "))&amp;FIXED(ABS(_pivot!$G$29)*100,2)&amp;" điểm %"&amp;" so với cùng kỳ")</f>
        <v>▼ 0.72 điểm % so với cùng kỳ</v>
      </c>
      <c r="G14" s="16"/>
      <c r="H14" s="16"/>
      <c r="I14" s="16"/>
      <c r="J14" s="20" t="str">
        <f>IF(_pivot!$G$37="","– so với cùng kỳ",IF(_pivot!$G$37&gt;0,"▲ ",IF(_pivot!$G$37&lt;0,"▼ ","■ "))&amp;FIXED(ABS(_pivot!$G$37)*100,1)&amp;"%"&amp;" so với cùng kỳ")</f>
        <v>▼ 70.4% so với cùng kỳ</v>
      </c>
      <c r="K14" s="16"/>
      <c r="L14" s="16"/>
      <c r="M14" s="16"/>
      <c r="N14" s="20" t="str">
        <f>FIXED(_pivot!$C$44,0)&amp;" đơn PENDING tại 20/02/2021"</f>
        <v>29 đơn PENDING tại 20/02/2021</v>
      </c>
      <c r="O14" s="16"/>
      <c r="P14" s="16"/>
      <c r="Q14" s="17"/>
    </row>
    <row r="16" spans="2:17" ht="16.5" x14ac:dyDescent="0.3">
      <c r="B16" s="30" t="str">
        <f>"Tỷ lệ hàng trả lại "&amp;IF(_pivot!$C$29="","–",FIXED(_pivot!$C$29*100,2)&amp;"%")&amp;" — "&amp;IF(_pivot!$C$29&gt;_pivot!$E$29,"cao","thấp")&amp;" hơn cùng kỳ "&amp;IF(_pivot!$G$29="","–",FIXED(ABS(_pivot!$G$29)*100,2))&amp;" điểm %"</f>
        <v>Tỷ lệ hàng trả lại 1.57% — thấp hơn cùng kỳ 0.72 điểm %</v>
      </c>
      <c r="K16" s="30" t="str">
        <f>IF(_pivot!$C$23=0,"Lý do trả hàng",_pivot!$AQ$41&amp;" là lý do trả hàng lớn nhất")</f>
        <v>Giao nhầm hàng là lý do trả hàng lớn nhất</v>
      </c>
    </row>
    <row r="17" spans="2:11" x14ac:dyDescent="0.25">
      <c r="B17" s="23" t="s">
        <v>332</v>
      </c>
      <c r="K17" s="23" t="s">
        <v>333</v>
      </c>
    </row>
    <row r="34" spans="2:11" ht="16.5" x14ac:dyDescent="0.3">
      <c r="B34" s="30" t="str">
        <f>_pivot!$AQ$56&amp;" có tỷ lệ trả hàng cao nhất ("&amp;FIXED(_pivot!$AR$56,1)&amp;"%)"</f>
        <v>Âm thanh có tỷ lệ trả hàng cao nhất (4.0%)</v>
      </c>
      <c r="K34" s="30" t="str">
        <f>FIXED(_pivot!$C$37,0)&amp;" đơn huỷ tháng "&amp;_pivot!$B$10</f>
        <v>8 đơn huỷ tháng 12/2020</v>
      </c>
    </row>
    <row r="35" spans="2:11" x14ac:dyDescent="0.25">
      <c r="B35" s="23" t="s">
        <v>334</v>
      </c>
      <c r="K35" s="23" t="s">
        <v>335</v>
      </c>
    </row>
    <row r="52" spans="2:17" x14ac:dyDescent="0.25">
      <c r="B52" s="24" t="s">
        <v>286</v>
      </c>
      <c r="C52" s="24"/>
      <c r="D52" s="24"/>
      <c r="E52" s="24"/>
      <c r="F52" s="24"/>
      <c r="G52" s="24"/>
      <c r="H52" s="24"/>
      <c r="I52" s="24"/>
      <c r="J52" s="24"/>
      <c r="K52" s="24"/>
      <c r="L52" s="24"/>
      <c r="M52" s="24"/>
      <c r="N52" s="24"/>
      <c r="O52" s="24"/>
      <c r="P52" s="24"/>
      <c r="Q52" s="24"/>
    </row>
    <row r="53" spans="2:17" x14ac:dyDescent="0.25">
      <c r="B53" s="24"/>
      <c r="C53" s="24"/>
      <c r="D53" s="24"/>
      <c r="E53" s="24"/>
      <c r="F53" s="24"/>
      <c r="G53" s="24"/>
      <c r="H53" s="24"/>
      <c r="I53" s="24"/>
      <c r="J53" s="24"/>
      <c r="K53" s="24"/>
      <c r="L53" s="24"/>
      <c r="M53" s="24"/>
      <c r="N53" s="24"/>
      <c r="O53" s="24"/>
      <c r="P53" s="24"/>
      <c r="Q53" s="24"/>
    </row>
  </sheetData>
  <mergeCells count="19">
    <mergeCell ref="B52:Q53"/>
    <mergeCell ref="J11:M11"/>
    <mergeCell ref="J12:M12"/>
    <mergeCell ref="J13:M13"/>
    <mergeCell ref="J14:M14"/>
    <mergeCell ref="N11:Q11"/>
    <mergeCell ref="N12:Q12"/>
    <mergeCell ref="N13:Q13"/>
    <mergeCell ref="N14:Q14"/>
    <mergeCell ref="B8:Q8"/>
    <mergeCell ref="B9:Q9"/>
    <mergeCell ref="B11:E11"/>
    <mergeCell ref="B12:E12"/>
    <mergeCell ref="B13:E13"/>
    <mergeCell ref="B14:E14"/>
    <mergeCell ref="F11:I11"/>
    <mergeCell ref="F12:I12"/>
    <mergeCell ref="F13:I13"/>
    <mergeCell ref="F14:I14"/>
  </mergeCells>
  <conditionalFormatting sqref="B13">
    <cfRule type="expression" dxfId="11" priority="1" stopIfTrue="1">
      <formula>LEFT($B$13,1)="▲"</formula>
    </cfRule>
    <cfRule type="expression" dxfId="10" priority="2" stopIfTrue="1">
      <formula>LEFT($B$13,1)="▼"</formula>
    </cfRule>
  </conditionalFormatting>
  <conditionalFormatting sqref="B14">
    <cfRule type="expression" dxfId="9" priority="3" stopIfTrue="1">
      <formula>LEFT($B$14,1)="▲"</formula>
    </cfRule>
    <cfRule type="expression" dxfId="8" priority="4" stopIfTrue="1">
      <formula>LEFT($B$14,1)="▼"</formula>
    </cfRule>
  </conditionalFormatting>
  <conditionalFormatting sqref="F13">
    <cfRule type="expression" dxfId="7" priority="5" stopIfTrue="1">
      <formula>LEFT($F$13,1)="▲"</formula>
    </cfRule>
    <cfRule type="expression" dxfId="6" priority="6" stopIfTrue="1">
      <formula>LEFT($F$13,1)="▼"</formula>
    </cfRule>
  </conditionalFormatting>
  <conditionalFormatting sqref="F14">
    <cfRule type="expression" dxfId="5" priority="7" stopIfTrue="1">
      <formula>LEFT($F$14,1)="▲"</formula>
    </cfRule>
    <cfRule type="expression" dxfId="4" priority="8" stopIfTrue="1">
      <formula>LEFT($F$14,1)="▼"</formula>
    </cfRule>
  </conditionalFormatting>
  <conditionalFormatting sqref="J13">
    <cfRule type="expression" dxfId="3" priority="9" stopIfTrue="1">
      <formula>LEFT($J$13,1)="▲"</formula>
    </cfRule>
    <cfRule type="expression" dxfId="2" priority="10" stopIfTrue="1">
      <formula>LEFT($J$13,1)="▼"</formula>
    </cfRule>
  </conditionalFormatting>
  <conditionalFormatting sqref="J14">
    <cfRule type="expression" dxfId="1" priority="11" stopIfTrue="1">
      <formula>LEFT($J$14,1)="▲"</formula>
    </cfRule>
    <cfRule type="expression" dxfId="0" priority="12" stopIfTrue="1">
      <formula>LEFT($J$14,1)="▼"</formula>
    </cfRule>
  </conditionalFormatting>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45661-1674-4F08-B858-F0C77E4149CD}">
  <dimension ref="B2:B8"/>
  <sheetViews>
    <sheetView showGridLines="0" workbookViewId="0"/>
  </sheetViews>
  <sheetFormatPr defaultRowHeight="14.25" x14ac:dyDescent="0.25"/>
  <cols>
    <col min="2" max="2" width="120.7109375" customWidth="1"/>
  </cols>
  <sheetData>
    <row r="2" spans="2:2" ht="20.25" x14ac:dyDescent="0.25">
      <c r="B2" s="57" t="s">
        <v>336</v>
      </c>
    </row>
    <row r="3" spans="2:2" ht="42.75" x14ac:dyDescent="0.25">
      <c r="B3" s="58" t="s">
        <v>337</v>
      </c>
    </row>
    <row r="4" spans="2:2" ht="28.5" x14ac:dyDescent="0.25">
      <c r="B4" s="58" t="s">
        <v>338</v>
      </c>
    </row>
    <row r="5" spans="2:2" ht="42.75" x14ac:dyDescent="0.25">
      <c r="B5" s="58" t="s">
        <v>339</v>
      </c>
    </row>
    <row r="6" spans="2:2" ht="28.5" x14ac:dyDescent="0.25">
      <c r="B6" s="58" t="s">
        <v>340</v>
      </c>
    </row>
    <row r="7" spans="2:2" ht="28.5" x14ac:dyDescent="0.25">
      <c r="B7" s="58" t="s">
        <v>341</v>
      </c>
    </row>
    <row r="8" spans="2:2" ht="28.5" x14ac:dyDescent="0.25">
      <c r="B8" s="58" t="s">
        <v>342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31568-FDEB-42B7-81B4-0782611DB97D}">
  <dimension ref="A1:AU189"/>
  <sheetViews>
    <sheetView workbookViewId="0"/>
  </sheetViews>
  <sheetFormatPr defaultRowHeight="14.25" x14ac:dyDescent="0.25"/>
  <cols>
    <col min="1" max="2" width="24.7109375" customWidth="1"/>
    <col min="32" max="32" width="12.5703125" bestFit="1" customWidth="1"/>
    <col min="33" max="33" width="12.140625" bestFit="1" customWidth="1"/>
  </cols>
  <sheetData>
    <row r="1" spans="1:46" x14ac:dyDescent="0.25">
      <c r="A1" t="s">
        <v>0</v>
      </c>
      <c r="AB1" t="s">
        <v>86</v>
      </c>
    </row>
    <row r="2" spans="1:46" x14ac:dyDescent="0.25">
      <c r="A2" t="s">
        <v>1</v>
      </c>
      <c r="B2" t="str" vm="8">
        <f>CUBERANKEDMEMBER("ThisWorkbookDataModel",Slicer_year,1)</f>
        <v>2020</v>
      </c>
      <c r="C2">
        <f>IFERROR(VALUE(B2),"")</f>
        <v>2020</v>
      </c>
      <c r="AB2" t="s">
        <v>87</v>
      </c>
      <c r="AC2" t="s">
        <v>88</v>
      </c>
    </row>
    <row r="3" spans="1:46" x14ac:dyDescent="0.25">
      <c r="A3" t="s">
        <v>2</v>
      </c>
      <c r="B3" t="str" vm="7">
        <f>CUBERANKEDMEMBER("ThisWorkbookDataModel",Slicer_month,1)</f>
        <v>12</v>
      </c>
      <c r="C3">
        <f>IFERROR(VALUE(B3),"")</f>
        <v>12</v>
      </c>
      <c r="AB3" t="s">
        <v>89</v>
      </c>
      <c r="AC3" t="s">
        <v>90</v>
      </c>
      <c r="AF3" s="1" t="s">
        <v>261</v>
      </c>
      <c r="AG3" t="s">
        <v>28</v>
      </c>
      <c r="AQ3" t="s">
        <v>271</v>
      </c>
    </row>
    <row r="4" spans="1:46" x14ac:dyDescent="0.25">
      <c r="A4" t="s">
        <v>3</v>
      </c>
      <c r="B4" vm="6">
        <f>CUBESETCOUNT(Slicer_year)</f>
        <v>1</v>
      </c>
      <c r="AB4" t="s">
        <v>91</v>
      </c>
      <c r="AC4" t="s">
        <v>92</v>
      </c>
      <c r="AF4" t="s">
        <v>89</v>
      </c>
      <c r="AG4" s="2">
        <v>267055.89000000007</v>
      </c>
      <c r="AQ4" t="str">
        <f>IF(_pivot!AF$4="","",IFERROR(VLOOKUP(_pivot!AF$4,map_vi,2,FALSE),_pivot!AF$4))</f>
        <v>Máy tính</v>
      </c>
      <c r="AR4">
        <f>IF(_pivot!AF$4="",0,N(_pivot!AG$4)*0.001)</f>
        <v>267.05589000000009</v>
      </c>
      <c r="AS4">
        <f>AR4</f>
        <v>267.05589000000009</v>
      </c>
      <c r="AT4">
        <f>0</f>
        <v>0</v>
      </c>
    </row>
    <row r="5" spans="1:46" x14ac:dyDescent="0.25">
      <c r="A5" t="s">
        <v>4</v>
      </c>
      <c r="B5" vm="5">
        <f>CUBESETCOUNT(Slicer_month)</f>
        <v>1</v>
      </c>
      <c r="AB5" t="s">
        <v>93</v>
      </c>
      <c r="AC5" t="s">
        <v>94</v>
      </c>
      <c r="AF5" t="s">
        <v>95</v>
      </c>
      <c r="AG5" s="2">
        <v>70696.47</v>
      </c>
      <c r="AQ5" t="str">
        <f>IF(_pivot!AF$5="","",IFERROR(VLOOKUP(_pivot!AF$5,map_vi,2,FALSE),_pivot!AF$5))</f>
        <v>TV &amp; Video</v>
      </c>
      <c r="AR5">
        <f>IF(_pivot!AF$5="",0,N(_pivot!AG$5)*0.001)</f>
        <v>70.696470000000005</v>
      </c>
      <c r="AS5">
        <f>0</f>
        <v>0</v>
      </c>
      <c r="AT5">
        <f>AR5</f>
        <v>70.696470000000005</v>
      </c>
    </row>
    <row r="6" spans="1:46" x14ac:dyDescent="0.25">
      <c r="A6" t="s">
        <v>5</v>
      </c>
      <c r="B6" t="b">
        <f>AND(B4=1,B5=1,C2&lt;&gt;"",C3&lt;&gt;"")</f>
        <v>1</v>
      </c>
      <c r="AB6" t="s">
        <v>95</v>
      </c>
      <c r="AC6" t="s">
        <v>96</v>
      </c>
      <c r="AF6" t="s">
        <v>93</v>
      </c>
      <c r="AG6" s="2">
        <v>69800.279999999984</v>
      </c>
      <c r="AQ6" t="str">
        <f>IF(_pivot!AF$6="","",IFERROR(VLOOKUP(_pivot!AF$6,map_vi,2,FALSE),_pivot!AF$6))</f>
        <v>Điện thoại</v>
      </c>
      <c r="AR6">
        <f>IF(_pivot!AF$6="",0,N(_pivot!AG$6)*0.001)</f>
        <v>69.800279999999987</v>
      </c>
      <c r="AS6">
        <f>0</f>
        <v>0</v>
      </c>
      <c r="AT6">
        <f>AR6</f>
        <v>69.800279999999987</v>
      </c>
    </row>
    <row r="7" spans="1:46" x14ac:dyDescent="0.25">
      <c r="A7" t="s">
        <v>6</v>
      </c>
      <c r="B7">
        <f>IF(B6,C2*100+C3,202012)</f>
        <v>202012</v>
      </c>
      <c r="AB7" t="s">
        <v>97</v>
      </c>
      <c r="AC7" t="s">
        <v>98</v>
      </c>
      <c r="AF7" t="s">
        <v>91</v>
      </c>
      <c r="AG7" s="2">
        <v>66795.640000000014</v>
      </c>
      <c r="AQ7" t="str">
        <f>IF(_pivot!AF$7="","",IFERROR(VLOOKUP(_pivot!AF$7,map_vi,2,FALSE),_pivot!AF$7))</f>
        <v>Máy ảnh</v>
      </c>
      <c r="AR7">
        <f>IF(_pivot!AF$7="",0,N(_pivot!AG$7)*0.001)</f>
        <v>66.79564000000002</v>
      </c>
      <c r="AS7">
        <f>0</f>
        <v>0</v>
      </c>
      <c r="AT7">
        <f>AR7</f>
        <v>66.79564000000002</v>
      </c>
    </row>
    <row r="8" spans="1:46" x14ac:dyDescent="0.25">
      <c r="A8" t="s">
        <v>7</v>
      </c>
      <c r="B8">
        <f>IF(B6,IF(C3=1,(C2-1)*100+12,B7-1),"")</f>
        <v>202011</v>
      </c>
      <c r="AB8" t="s">
        <v>99</v>
      </c>
      <c r="AC8" t="s">
        <v>100</v>
      </c>
      <c r="AF8" t="s">
        <v>87</v>
      </c>
      <c r="AG8" s="2">
        <v>57168.139999999992</v>
      </c>
      <c r="AQ8" t="str">
        <f>IF(_pivot!AF$8="","",IFERROR(VLOOKUP(_pivot!AF$8,map_vi,2,FALSE),_pivot!AF$8))</f>
        <v>Gia dụng</v>
      </c>
      <c r="AR8">
        <f>IF(_pivot!AF$8="",0,N(_pivot!AG$8)*0.001)</f>
        <v>57.168139999999994</v>
      </c>
      <c r="AS8">
        <f>0</f>
        <v>0</v>
      </c>
      <c r="AT8">
        <f>AR8</f>
        <v>57.168139999999994</v>
      </c>
    </row>
    <row r="9" spans="1:46" x14ac:dyDescent="0.25">
      <c r="A9" t="s">
        <v>8</v>
      </c>
      <c r="B9">
        <f>IF(B6,B7-100,"")</f>
        <v>201912</v>
      </c>
      <c r="AB9" t="s">
        <v>101</v>
      </c>
      <c r="AC9" t="s">
        <v>102</v>
      </c>
      <c r="AF9" t="s">
        <v>101</v>
      </c>
      <c r="AG9" s="2">
        <v>54176.220000000045</v>
      </c>
      <c r="AQ9" t="str">
        <f>IF(_pivot!AF$9="","",IFERROR(VLOOKUP(_pivot!AF$9,map_vi,2,FALSE),_pivot!AF$9))</f>
        <v>Nhạc, phim, sách nói</v>
      </c>
      <c r="AR9">
        <f>IF(_pivot!AF$9="",0,N(_pivot!AG$9)*0.001)</f>
        <v>54.176220000000043</v>
      </c>
      <c r="AS9">
        <f>0</f>
        <v>0</v>
      </c>
      <c r="AT9">
        <f>AR9</f>
        <v>54.176220000000043</v>
      </c>
    </row>
    <row r="10" spans="1:46" x14ac:dyDescent="0.25">
      <c r="A10" t="s">
        <v>9</v>
      </c>
      <c r="B10" t="str">
        <f>IF(B6,TEXT(C3,"00")&amp;"/"&amp;C2,"nhiều kỳ")</f>
        <v>12/2020</v>
      </c>
      <c r="AB10" t="s">
        <v>103</v>
      </c>
      <c r="AC10" t="s">
        <v>104</v>
      </c>
      <c r="AF10" t="s">
        <v>99</v>
      </c>
      <c r="AG10" s="2">
        <v>22354.510000000002</v>
      </c>
      <c r="AQ10" t="str">
        <f>IF(_pivot!AF$10="","",IFERROR(VLOOKUP(_pivot!AF$10,map_vi,2,FALSE),_pivot!AF$10))</f>
        <v>Âm thanh</v>
      </c>
      <c r="AR10">
        <f>IF(_pivot!AF$10="",0,N(_pivot!AG$10)*0.001)</f>
        <v>22.354510000000001</v>
      </c>
      <c r="AS10">
        <f>0</f>
        <v>0</v>
      </c>
      <c r="AT10">
        <f>AR10</f>
        <v>22.354510000000001</v>
      </c>
    </row>
    <row r="11" spans="1:46" x14ac:dyDescent="0.25">
      <c r="A11" t="s">
        <v>10</v>
      </c>
      <c r="B11" vm="4">
        <f>CUBESETCOUNT(Slicer_channel_name)</f>
        <v>1</v>
      </c>
      <c r="AB11" t="s">
        <v>105</v>
      </c>
      <c r="AC11" t="s">
        <v>105</v>
      </c>
      <c r="AF11" t="s">
        <v>97</v>
      </c>
      <c r="AG11" s="2">
        <v>7764.5900000000029</v>
      </c>
      <c r="AQ11" t="str">
        <f>IF(_pivot!AF$11="","",IFERROR(VLOOKUP(_pivot!AF$11,map_vi,2,FALSE),_pivot!AF$11))</f>
        <v>Game &amp; Đồ chơi</v>
      </c>
      <c r="AR11">
        <f>IF(_pivot!AF$11="",0,N(_pivot!AG$11)*0.001)</f>
        <v>7.7645900000000028</v>
      </c>
      <c r="AS11">
        <f>0</f>
        <v>0</v>
      </c>
      <c r="AT11">
        <f>AR11</f>
        <v>7.7645900000000028</v>
      </c>
    </row>
    <row r="12" spans="1:46" x14ac:dyDescent="0.25">
      <c r="A12" t="s">
        <v>11</v>
      </c>
      <c r="B12" t="str" vm="3">
        <f>CUBERANKEDMEMBER("ThisWorkbookDataModel",Slicer_channel_name,1)</f>
        <v>All</v>
      </c>
      <c r="AB12" t="s">
        <v>106</v>
      </c>
      <c r="AC12" t="s">
        <v>107</v>
      </c>
    </row>
    <row r="13" spans="1:46" x14ac:dyDescent="0.25">
      <c r="A13" t="s">
        <v>12</v>
      </c>
      <c r="B13" vm="2">
        <f>CUBESETCOUNT(Slicer_country)</f>
        <v>1</v>
      </c>
      <c r="AB13" t="s">
        <v>108</v>
      </c>
      <c r="AC13" t="s">
        <v>109</v>
      </c>
    </row>
    <row r="14" spans="1:46" x14ac:dyDescent="0.25">
      <c r="A14" t="s">
        <v>13</v>
      </c>
      <c r="B14" t="str" vm="1">
        <f>CUBERANKEDMEMBER("ThisWorkbookDataModel",Slicer_country,1)</f>
        <v>All</v>
      </c>
      <c r="AB14" t="s">
        <v>110</v>
      </c>
      <c r="AC14" t="s">
        <v>111</v>
      </c>
    </row>
    <row r="15" spans="1:46" x14ac:dyDescent="0.25">
      <c r="A15" t="s">
        <v>14</v>
      </c>
      <c r="B15" t="str">
        <f>IF(AND(B11=1,B12&lt;&gt;"All"),IF(B12="Cửa hàng","kênh cửa hàng","kênh online"),"mọi kênh")&amp;IF(AND(B13=1,B14&lt;&gt;"All")," · "&amp;B14,"")</f>
        <v>mọi kênh</v>
      </c>
      <c r="AB15" t="s">
        <v>112</v>
      </c>
      <c r="AC15" t="s">
        <v>113</v>
      </c>
    </row>
    <row r="16" spans="1:46" x14ac:dyDescent="0.25">
      <c r="A16" t="s">
        <v>15</v>
      </c>
      <c r="B16">
        <f>IF(AND(OR(B11&lt;&gt;1,B12="All",B12="Website/app"),OR(B13&lt;&gt;1,B14="All",B14="Online")),1,0)</f>
        <v>1</v>
      </c>
      <c r="AB16" t="s">
        <v>114</v>
      </c>
      <c r="AC16" t="s">
        <v>115</v>
      </c>
    </row>
    <row r="17" spans="1:46" x14ac:dyDescent="0.25">
      <c r="AB17" t="s">
        <v>116</v>
      </c>
      <c r="AC17" t="s">
        <v>117</v>
      </c>
    </row>
    <row r="18" spans="1:46" x14ac:dyDescent="0.25">
      <c r="AB18" t="s">
        <v>118</v>
      </c>
      <c r="AC18" t="s">
        <v>118</v>
      </c>
    </row>
    <row r="19" spans="1:46" x14ac:dyDescent="0.25">
      <c r="A19" t="s">
        <v>16</v>
      </c>
      <c r="B19" t="s">
        <v>17</v>
      </c>
      <c r="C19" t="s">
        <v>18</v>
      </c>
      <c r="D19" t="s">
        <v>19</v>
      </c>
      <c r="E19" t="s">
        <v>20</v>
      </c>
      <c r="F19" t="s">
        <v>21</v>
      </c>
      <c r="G19" t="s">
        <v>22</v>
      </c>
      <c r="AB19" t="s">
        <v>119</v>
      </c>
      <c r="AC19" t="s">
        <v>120</v>
      </c>
    </row>
    <row r="20" spans="1:46" x14ac:dyDescent="0.25">
      <c r="A20" t="s">
        <v>23</v>
      </c>
      <c r="B20" t="s">
        <v>24</v>
      </c>
      <c r="C20">
        <f>N(CUBEVALUE("ThisWorkbookDataModel","[Measures].[Gross Sales]",Slicer_year,Slicer_month,Slicer_channel_name,Slicer_country))</f>
        <v>640551.1100000001</v>
      </c>
      <c r="D20">
        <f>IF($B$6,N(CUBEVALUE("ThisWorkbookDataModel","[Measures].[Gross Sales]","[dim_date].[month_id].&amp;["&amp;$B$8&amp;"]",Slicer_channel_name,Slicer_country)),0)</f>
        <v>252950.76000000015</v>
      </c>
      <c r="E20">
        <f>IF($B$6,N(CUBEVALUE("ThisWorkbookDataModel","[Measures].[Gross Sales]","[dim_date].[month_id].&amp;["&amp;$B$9&amp;"]",Slicer_channel_name,Slicer_country)),0)</f>
        <v>2400312.4799999944</v>
      </c>
      <c r="F20">
        <f>IF(D20=0,"",(C20-D20)/ABS(D20))</f>
        <v>1.5323154198073954</v>
      </c>
      <c r="G20">
        <f>IF(E20=0,"",(C20-E20)/ABS(E20))</f>
        <v>-0.73313844954053586</v>
      </c>
      <c r="AB20" t="s">
        <v>121</v>
      </c>
      <c r="AC20" t="s">
        <v>122</v>
      </c>
      <c r="AF20" s="1" t="s">
        <v>262</v>
      </c>
      <c r="AG20" t="s">
        <v>28</v>
      </c>
      <c r="AQ20" t="s">
        <v>272</v>
      </c>
    </row>
    <row r="21" spans="1:46" x14ac:dyDescent="0.25">
      <c r="A21" t="s">
        <v>25</v>
      </c>
      <c r="B21" t="s">
        <v>26</v>
      </c>
      <c r="C21">
        <f>N(CUBEVALUE("ThisWorkbookDataModel","[Measures].[Discounts]",Slicer_year,Slicer_month,Slicer_channel_name,Slicer_country))</f>
        <v>24739.370000000003</v>
      </c>
      <c r="D21">
        <f>IF($B$6,N(CUBEVALUE("ThisWorkbookDataModel","[Measures].[Discounts]","[dim_date].[month_id].&amp;["&amp;$B$8&amp;"]",Slicer_channel_name,Slicer_country)),0)</f>
        <v>11493.799999999996</v>
      </c>
      <c r="E21">
        <f>IF($B$6,N(CUBEVALUE("ThisWorkbookDataModel","[Measures].[Discounts]","[dim_date].[month_id].&amp;["&amp;$B$9&amp;"]",Slicer_channel_name,Slicer_country)),0)</f>
        <v>83880.880000000136</v>
      </c>
      <c r="F21">
        <f>IF(D21=0,"",(C21-D21)/ABS(D21))</f>
        <v>1.1524099949538023</v>
      </c>
      <c r="G21">
        <f>IF(E21=0,"",(C21-E21)/ABS(E21))</f>
        <v>-0.70506544518846292</v>
      </c>
      <c r="AB21" t="s">
        <v>123</v>
      </c>
      <c r="AC21" t="s">
        <v>124</v>
      </c>
      <c r="AF21" t="s">
        <v>116</v>
      </c>
      <c r="AG21" s="2">
        <v>236559.31000000003</v>
      </c>
      <c r="AQ21" t="str">
        <f>IF(_pivot!AF$21="","",IFERROR(VLOOKUP(_pivot!AF$21,map_vi,2,FALSE),_pivot!AF$21))</f>
        <v>Mỹ</v>
      </c>
      <c r="AR21">
        <f>IF(_pivot!AF$21="",0,N(_pivot!AG$21)*0.001)</f>
        <v>236.55931000000004</v>
      </c>
      <c r="AS21">
        <f>AR21</f>
        <v>236.55931000000004</v>
      </c>
      <c r="AT21">
        <f>0</f>
        <v>0</v>
      </c>
    </row>
    <row r="22" spans="1:46" x14ac:dyDescent="0.25">
      <c r="A22" t="s">
        <v>27</v>
      </c>
      <c r="B22" t="s">
        <v>28</v>
      </c>
      <c r="C22">
        <f>N(CUBEVALUE("ThisWorkbookDataModel","[Measures].[Net Sales]",Slicer_year,Slicer_month,Slicer_channel_name,Slicer_country))</f>
        <v>615811.74000000011</v>
      </c>
      <c r="D22">
        <f>IF($B$6,N(CUBEVALUE("ThisWorkbookDataModel","[Measures].[Net Sales]","[dim_date].[month_id].&amp;["&amp;$B$8&amp;"]",Slicer_channel_name,Slicer_country)),0)</f>
        <v>241456.96000000017</v>
      </c>
      <c r="E22">
        <f>IF($B$6,N(CUBEVALUE("ThisWorkbookDataModel","[Measures].[Net Sales]","[dim_date].[month_id].&amp;["&amp;$B$9&amp;"]",Slicer_channel_name,Slicer_country)),0)</f>
        <v>2316431.599999994</v>
      </c>
      <c r="F22">
        <f>IF(D22=0,"",(C22-D22)/ABS(D22))</f>
        <v>1.5503996240158067</v>
      </c>
      <c r="G22">
        <f>IF(E22=0,"",(C22-E22)/ABS(E22))</f>
        <v>-0.73415500807362422</v>
      </c>
      <c r="AB22" t="s">
        <v>125</v>
      </c>
      <c r="AC22" t="s">
        <v>126</v>
      </c>
      <c r="AF22" t="s">
        <v>118</v>
      </c>
      <c r="AG22" s="2">
        <v>154892.96000000005</v>
      </c>
      <c r="AQ22" t="str">
        <f>IF(_pivot!AF$22="","",IFERROR(VLOOKUP(_pivot!AF$22,map_vi,2,FALSE),_pivot!AF$22))</f>
        <v>Online</v>
      </c>
      <c r="AR22">
        <f>IF(_pivot!AF$22="",0,N(_pivot!AG$22)*0.001)</f>
        <v>154.89296000000004</v>
      </c>
      <c r="AS22">
        <f>0</f>
        <v>0</v>
      </c>
      <c r="AT22">
        <f>AR22</f>
        <v>154.89296000000004</v>
      </c>
    </row>
    <row r="23" spans="1:46" x14ac:dyDescent="0.25">
      <c r="A23" t="s">
        <v>29</v>
      </c>
      <c r="B23" t="s">
        <v>30</v>
      </c>
      <c r="C23">
        <f>N(CUBEVALUE("ThisWorkbookDataModel","[Measures].[Returns]",Slicer_year,Slicer_month,Slicer_channel_name,Slicer_country))</f>
        <v>9686.67</v>
      </c>
      <c r="D23">
        <f>IF($B$6,N(CUBEVALUE("ThisWorkbookDataModel","[Measures].[Returns]","[dim_date].[month_id].&amp;["&amp;$B$8&amp;"]",Slicer_channel_name,Slicer_country)),0)</f>
        <v>3420.28</v>
      </c>
      <c r="E23">
        <f>IF($B$6,N(CUBEVALUE("ThisWorkbookDataModel","[Measures].[Returns]","[dim_date].[month_id].&amp;["&amp;$B$9&amp;"]",Slicer_channel_name,Slicer_country)),0)</f>
        <v>53016.63</v>
      </c>
      <c r="F23">
        <f>IF(D23=0,"",(C23-D23)/ABS(D23))</f>
        <v>1.8321277790122443</v>
      </c>
      <c r="G23">
        <f>IF(E23=0,"",(C23-E23)/ABS(E23))</f>
        <v>-0.81728997109020318</v>
      </c>
      <c r="AB23" t="s">
        <v>127</v>
      </c>
      <c r="AC23" t="s">
        <v>118</v>
      </c>
      <c r="AF23" t="s">
        <v>106</v>
      </c>
      <c r="AG23" s="2">
        <v>60371.69000000001</v>
      </c>
      <c r="AQ23" t="str">
        <f>IF(_pivot!AF$23="","",IFERROR(VLOOKUP(_pivot!AF$23,map_vi,2,FALSE),_pivot!AF$23))</f>
        <v>Đức</v>
      </c>
      <c r="AR23">
        <f>IF(_pivot!AF$23="",0,N(_pivot!AG$23)*0.001)</f>
        <v>60.371690000000008</v>
      </c>
      <c r="AS23">
        <f>0</f>
        <v>0</v>
      </c>
      <c r="AT23">
        <f>AR23</f>
        <v>60.371690000000008</v>
      </c>
    </row>
    <row r="24" spans="1:46" x14ac:dyDescent="0.25">
      <c r="A24" t="s">
        <v>31</v>
      </c>
      <c r="B24" t="s">
        <v>32</v>
      </c>
      <c r="C24">
        <f>N(CUBEVALUE("ThisWorkbookDataModel","[Measures].[Net Revenue]",Slicer_year,Slicer_month,Slicer_channel_name,Slicer_country))</f>
        <v>606125.07000000007</v>
      </c>
      <c r="D24">
        <f>IF($B$6,N(CUBEVALUE("ThisWorkbookDataModel","[Measures].[Net Revenue LM]",Slicer_year,Slicer_month,Slicer_channel_name,Slicer_country)),0)</f>
        <v>238036.67999999996</v>
      </c>
      <c r="E24">
        <f>IF($B$6,N(CUBEVALUE("ThisWorkbookDataModel","[Measures].[Net Revenue SPLY]",Slicer_year,Slicer_month,Slicer_channel_name,Slicer_country)),0)</f>
        <v>2263414.9700000002</v>
      </c>
      <c r="F24">
        <f>IF(D24=0,"",(C24-D24)/ABS(D24))</f>
        <v>1.5463515538865698</v>
      </c>
      <c r="G24">
        <f>IF(E24=0,"",(C24-E24)/ABS(E24))</f>
        <v>-0.73220771355064418</v>
      </c>
      <c r="AB24" t="s">
        <v>129</v>
      </c>
      <c r="AC24" t="s">
        <v>104</v>
      </c>
      <c r="AF24" t="s">
        <v>105</v>
      </c>
      <c r="AG24" s="2">
        <v>49380.95</v>
      </c>
      <c r="AQ24" t="str">
        <f>IF(_pivot!AF$24="","",IFERROR(VLOOKUP(_pivot!AF$24,map_vi,2,FALSE),_pivot!AF$24))</f>
        <v>Canada</v>
      </c>
      <c r="AR24">
        <f>IF(_pivot!AF$24="",0,N(_pivot!AG$24)*0.001)</f>
        <v>49.380949999999999</v>
      </c>
      <c r="AS24">
        <f>0</f>
        <v>0</v>
      </c>
      <c r="AT24">
        <f>AR24</f>
        <v>49.380949999999999</v>
      </c>
    </row>
    <row r="25" spans="1:46" x14ac:dyDescent="0.25">
      <c r="A25" t="s">
        <v>33</v>
      </c>
      <c r="B25" t="s">
        <v>34</v>
      </c>
      <c r="C25">
        <f>N(CUBEVALUE("ThisWorkbookDataModel","[Measures].[Orders]",Slicer_year,Slicer_month,Slicer_channel_name,Slicer_country))</f>
        <v>310</v>
      </c>
      <c r="D25">
        <f>IF($B$6,N(CUBEVALUE("ThisWorkbookDataModel","[Measures].[Orders]","[dim_date].[month_id].&amp;["&amp;$B$8&amp;"]",Slicer_channel_name,Slicer_country)),0)</f>
        <v>145</v>
      </c>
      <c r="E25">
        <f>IF($B$6,N(CUBEVALUE("ThisWorkbookDataModel","[Measures].[Orders]","[dim_date].[month_id].&amp;["&amp;$B$9&amp;"]",Slicer_channel_name,Slicer_country)),0)</f>
        <v>1223</v>
      </c>
      <c r="F25">
        <f>IF(D25=0,"",(C25-D25)/ABS(D25))</f>
        <v>1.1379310344827587</v>
      </c>
      <c r="G25">
        <f>IF(E25=0,"",(C25-E25)/ABS(E25))</f>
        <v>-0.74652493867538838</v>
      </c>
      <c r="AB25" t="s">
        <v>131</v>
      </c>
      <c r="AC25" t="s">
        <v>104</v>
      </c>
      <c r="AF25" t="s">
        <v>114</v>
      </c>
      <c r="AG25" s="2">
        <v>39117.010000000017</v>
      </c>
      <c r="AQ25" t="str">
        <f>IF(_pivot!AF$25="","",IFERROR(VLOOKUP(_pivot!AF$25,map_vi,2,FALSE),_pivot!AF$25))</f>
        <v>Anh</v>
      </c>
      <c r="AR25">
        <f>IF(_pivot!AF$25="",0,N(_pivot!AG$25)*0.001)</f>
        <v>39.117010000000015</v>
      </c>
      <c r="AS25">
        <f>0</f>
        <v>0</v>
      </c>
      <c r="AT25">
        <f>AR25</f>
        <v>39.117010000000015</v>
      </c>
    </row>
    <row r="26" spans="1:46" x14ac:dyDescent="0.25">
      <c r="A26" t="s">
        <v>35</v>
      </c>
      <c r="B26" t="s">
        <v>36</v>
      </c>
      <c r="C26">
        <f>N(CUBEVALUE("ThisWorkbookDataModel","[Measures].[Units]",Slicer_year,Slicer_month,Slicer_channel_name,Slicer_country))</f>
        <v>2359</v>
      </c>
      <c r="D26">
        <f>IF($B$6,N(CUBEVALUE("ThisWorkbookDataModel","[Measures].[Units]","[dim_date].[month_id].&amp;["&amp;$B$8&amp;"]",Slicer_channel_name,Slicer_country)),0)</f>
        <v>1031</v>
      </c>
      <c r="E26">
        <f>IF($B$6,N(CUBEVALUE("ThisWorkbookDataModel","[Measures].[Units]","[dim_date].[month_id].&amp;["&amp;$B$9&amp;"]",Slicer_channel_name,Slicer_country)),0)</f>
        <v>9123</v>
      </c>
      <c r="F26">
        <f>IF(D26=0,"",(C26-D26)/ABS(D26))</f>
        <v>1.2880698351115423</v>
      </c>
      <c r="G26">
        <f>IF(E26=0,"",(C26-E26)/ABS(E26))</f>
        <v>-0.74142277759508934</v>
      </c>
      <c r="AB26" t="s">
        <v>133</v>
      </c>
      <c r="AC26" t="s">
        <v>104</v>
      </c>
      <c r="AF26" t="s">
        <v>108</v>
      </c>
      <c r="AG26" s="2">
        <v>33803.29</v>
      </c>
      <c r="AQ26" t="str">
        <f>IF(_pivot!AF$26="","",IFERROR(VLOOKUP(_pivot!AF$26,map_vi,2,FALSE),_pivot!AF$26))</f>
        <v>Pháp</v>
      </c>
      <c r="AR26">
        <f>IF(_pivot!AF$26="",0,N(_pivot!AG$26)*0.001)</f>
        <v>33.803290000000004</v>
      </c>
      <c r="AS26">
        <f>0</f>
        <v>0</v>
      </c>
      <c r="AT26">
        <f>AR26</f>
        <v>33.803290000000004</v>
      </c>
    </row>
    <row r="27" spans="1:46" x14ac:dyDescent="0.25">
      <c r="A27" t="s">
        <v>37</v>
      </c>
      <c r="B27" t="s">
        <v>38</v>
      </c>
      <c r="C27">
        <f>N(CUBEVALUE("ThisWorkbookDataModel","[Measures].[AOV]",Slicer_year,Slicer_month,Slicer_channel_name,Slicer_country))</f>
        <v>1986.4894838709681</v>
      </c>
      <c r="D27">
        <f>IF($B$6,N(CUBEVALUE("ThisWorkbookDataModel","[Measures].[AOV]","[dim_date].[month_id].&amp;["&amp;$B$8&amp;"]",Slicer_channel_name,Slicer_country)),0)</f>
        <v>1665.2204137931046</v>
      </c>
      <c r="E27">
        <f>IF($B$6,N(CUBEVALUE("ThisWorkbookDataModel","[Measures].[AOV]","[dim_date].[month_id].&amp;["&amp;$B$9&amp;"]",Slicer_channel_name,Slicer_country)),0)</f>
        <v>1894.0569092395699</v>
      </c>
      <c r="F27">
        <f>IF(D27=0,"",(C27-D27)/ABS(D27))</f>
        <v>0.19292885639449023</v>
      </c>
      <c r="G27">
        <f>IF(E27=0,"",(C27-E27)/ABS(E27))</f>
        <v>4.8801371374056678E-2</v>
      </c>
      <c r="AB27" t="s">
        <v>135</v>
      </c>
      <c r="AC27" t="s">
        <v>104</v>
      </c>
      <c r="AF27" t="s">
        <v>103</v>
      </c>
      <c r="AG27" s="2">
        <v>22228.1</v>
      </c>
      <c r="AQ27" t="str">
        <f>IF(_pivot!AF$27="","",IFERROR(VLOOKUP(_pivot!AF$27,map_vi,2,FALSE),_pivot!AF$27))</f>
        <v>Úc</v>
      </c>
      <c r="AR27">
        <f>IF(_pivot!AF$27="",0,N(_pivot!AG$27)*0.001)</f>
        <v>22.228099999999998</v>
      </c>
      <c r="AS27">
        <f>0</f>
        <v>0</v>
      </c>
      <c r="AT27">
        <f>AR27</f>
        <v>22.228099999999998</v>
      </c>
    </row>
    <row r="28" spans="1:46" x14ac:dyDescent="0.25">
      <c r="A28" t="s">
        <v>39</v>
      </c>
      <c r="B28" t="s">
        <v>40</v>
      </c>
      <c r="C28">
        <f>N(CUBEVALUE("ThisWorkbookDataModel","[Measures].[ASP]",Slicer_year,Slicer_month,Slicer_channel_name,Slicer_country))</f>
        <v>261.04779143704951</v>
      </c>
      <c r="D28">
        <f>IF($B$6,N(CUBEVALUE("ThisWorkbookDataModel","[Measures].[ASP]","[dim_date].[month_id].&amp;["&amp;$B$8&amp;"]",Slicer_channel_name,Slicer_country)),0)</f>
        <v>234.19685741998077</v>
      </c>
      <c r="E28">
        <f>IF($B$6,N(CUBEVALUE("ThisWorkbookDataModel","[Measures].[ASP]","[dim_date].[month_id].&amp;["&amp;$B$9&amp;"]",Slicer_channel_name,Slicer_country)),0)</f>
        <v>253.91116957141227</v>
      </c>
      <c r="F28">
        <f>IF(D28=0,"",(C28-D28)/ABS(D28))</f>
        <v>0.11465112859698826</v>
      </c>
      <c r="G28">
        <f>IF(E28=0,"",(C28-E28)/ABS(E28))</f>
        <v>2.8106766148505609E-2</v>
      </c>
      <c r="AB28" t="s">
        <v>137</v>
      </c>
      <c r="AC28" t="s">
        <v>104</v>
      </c>
      <c r="AF28" t="s">
        <v>110</v>
      </c>
      <c r="AG28" s="2">
        <v>13655.37</v>
      </c>
      <c r="AQ28" t="str">
        <f>IF(_pivot!AF$28="","",IFERROR(VLOOKUP(_pivot!AF$28,map_vi,2,FALSE),_pivot!AF$28))</f>
        <v>Ý</v>
      </c>
      <c r="AR28">
        <f>IF(_pivot!AF$28="",0,N(_pivot!AG$28)*0.001)</f>
        <v>13.655370000000001</v>
      </c>
      <c r="AS28">
        <f>0</f>
        <v>0</v>
      </c>
      <c r="AT28">
        <f>AR28</f>
        <v>13.655370000000001</v>
      </c>
    </row>
    <row r="29" spans="1:46" x14ac:dyDescent="0.25">
      <c r="A29" t="s">
        <v>41</v>
      </c>
      <c r="B29" t="s">
        <v>42</v>
      </c>
      <c r="C29">
        <f>N(CUBEVALUE("ThisWorkbookDataModel","[Measures].[Return Rate]",Slicer_year,Slicer_month,Slicer_channel_name,Slicer_country))</f>
        <v>1.572992096578087E-2</v>
      </c>
      <c r="D29">
        <f>IF($B$6,N(CUBEVALUE("ThisWorkbookDataModel","[Measures].[Return Rate]","[dim_date].[month_id].&amp;["&amp;$B$8&amp;"]",Slicer_channel_name,Slicer_country)),0)</f>
        <v>1.4165174613314098E-2</v>
      </c>
      <c r="E29">
        <f>IF($B$6,N(CUBEVALUE("ThisWorkbookDataModel","[Measures].[Return Rate]","[dim_date].[month_id].&amp;["&amp;$B$9&amp;"]",Slicer_channel_name,Slicer_country)),0)</f>
        <v>2.2887198568695113E-2</v>
      </c>
      <c r="F29">
        <f>IF(OR(D29=0,C29=0),"",C29-D29)</f>
        <v>1.5647463524667716E-3</v>
      </c>
      <c r="G29">
        <f>IF(OR(E29=0,C29=0),"",C29-E29)</f>
        <v>-7.1572776029142429E-3</v>
      </c>
      <c r="AB29" t="s">
        <v>139</v>
      </c>
      <c r="AC29" t="s">
        <v>104</v>
      </c>
      <c r="AF29" t="s">
        <v>112</v>
      </c>
      <c r="AG29" s="2">
        <v>5803.0599999999995</v>
      </c>
      <c r="AQ29" t="str">
        <f>IF(_pivot!AF$29="","",IFERROR(VLOOKUP(_pivot!AF$29,map_vi,2,FALSE),_pivot!AF$29))</f>
        <v>Hà Lan</v>
      </c>
      <c r="AR29">
        <f>IF(_pivot!AF$29="",0,N(_pivot!AG$29)*0.001)</f>
        <v>5.8030599999999994</v>
      </c>
      <c r="AS29">
        <f>0</f>
        <v>0</v>
      </c>
      <c r="AT29">
        <f>AR29</f>
        <v>5.8030599999999994</v>
      </c>
    </row>
    <row r="30" spans="1:46" x14ac:dyDescent="0.25">
      <c r="A30" t="s">
        <v>43</v>
      </c>
      <c r="B30" t="s">
        <v>44</v>
      </c>
      <c r="C30">
        <f>N(CUBEVALUE("ThisWorkbookDataModel","[Measures].[Finance Net Revenue]",Slicer_year,Slicer_month,Slicer_channel_name,Slicer_country))</f>
        <v>593588.84</v>
      </c>
      <c r="D30">
        <f>IF($B$6,N(CUBEVALUE("ThisWorkbookDataModel","[Measures].[Finance Net Revenue]","[dim_date].[month_id].&amp;["&amp;$B$8&amp;"]",Slicer_channel_name,Slicer_country)),0)</f>
        <v>232459.21</v>
      </c>
      <c r="E30">
        <f>IF($B$6,N(CUBEVALUE("ThisWorkbookDataModel","[Measures].[Finance Net Revenue]","[dim_date].[month_id].&amp;["&amp;$B$9&amp;"]",Slicer_channel_name,Slicer_country)),0)</f>
        <v>2245189.37</v>
      </c>
      <c r="F30">
        <f>IF(D30=0,"",(C30-D30)/ABS(D30))</f>
        <v>1.5535182710119337</v>
      </c>
      <c r="G30">
        <f>IF(E30=0,"",(C30-E30)/ABS(E30))</f>
        <v>-0.73561747265888766</v>
      </c>
      <c r="AB30" t="s">
        <v>141</v>
      </c>
      <c r="AC30" t="s">
        <v>105</v>
      </c>
    </row>
    <row r="31" spans="1:46" x14ac:dyDescent="0.25">
      <c r="A31" t="s">
        <v>45</v>
      </c>
      <c r="B31" t="s">
        <v>46</v>
      </c>
      <c r="C31">
        <f>N(CUBEVALUE("ThisWorkbookDataModel","[Measures].[Δ Finance]",Slicer_year,Slicer_month,Slicer_channel_name,Slicer_country))</f>
        <v>-12536.230000000098</v>
      </c>
      <c r="AB31" t="s">
        <v>143</v>
      </c>
      <c r="AC31" t="s">
        <v>105</v>
      </c>
    </row>
    <row r="32" spans="1:46" x14ac:dyDescent="0.25">
      <c r="A32" t="s">
        <v>47</v>
      </c>
      <c r="B32" t="s">
        <v>48</v>
      </c>
      <c r="C32">
        <f>N(CUBEVALUE("ThisWorkbookDataModel","[Measures].[Δ Finance %]",Slicer_year,Slicer_month,Slicer_channel_name,Slicer_country))</f>
        <v>-2.1119382904840493E-2</v>
      </c>
      <c r="AB32" t="s">
        <v>145</v>
      </c>
      <c r="AC32" t="s">
        <v>105</v>
      </c>
    </row>
    <row r="33" spans="1:46" x14ac:dyDescent="0.25">
      <c r="A33" t="s">
        <v>49</v>
      </c>
      <c r="B33" t="s">
        <v>50</v>
      </c>
      <c r="C33">
        <f>N(CUBEVALUE("ThisWorkbookDataModel","[Measures].[Δ sau quy đổi]",Slicer_year,Slicer_month,Slicer_channel_name,Slicer_country))</f>
        <v>10275.959999999963</v>
      </c>
      <c r="AB33" t="s">
        <v>147</v>
      </c>
      <c r="AC33" t="s">
        <v>105</v>
      </c>
    </row>
    <row r="34" spans="1:46" x14ac:dyDescent="0.25">
      <c r="A34" t="s">
        <v>51</v>
      </c>
      <c r="B34" t="s">
        <v>52</v>
      </c>
      <c r="C34">
        <f>N(CUBEVALUE("ThisWorkbookDataModel","[Measures].[Số cửa hàng vượt ngưỡng]",Slicer_year,Slicer_month,Slicer_channel_name,Slicer_country))</f>
        <v>2</v>
      </c>
      <c r="AB34" t="s">
        <v>149</v>
      </c>
      <c r="AC34" t="s">
        <v>105</v>
      </c>
    </row>
    <row r="35" spans="1:46" x14ac:dyDescent="0.25">
      <c r="A35" t="s">
        <v>53</v>
      </c>
      <c r="B35" t="s">
        <v>52</v>
      </c>
      <c r="C35">
        <f>N(CUBEVALUE("ThisWorkbookDataModel","[Measures].[Số cửa hàng vượt ngưỡng]",Slicer_year,Slicer_month,"[dim_channel].[channel_code].&amp;[POS]",Slicer_channel_name,Slicer_country))</f>
        <v>1</v>
      </c>
      <c r="AB35" t="s">
        <v>151</v>
      </c>
      <c r="AC35" t="s">
        <v>109</v>
      </c>
    </row>
    <row r="36" spans="1:46" x14ac:dyDescent="0.25">
      <c r="A36" t="s">
        <v>54</v>
      </c>
      <c r="B36" t="s">
        <v>55</v>
      </c>
      <c r="C36">
        <f>N(CUBEVALUE("ThisWorkbookDataModel","[Measures].[HQ Adjustment]",Slicer_year,Slicer_month,Slicer_channel_name,Slicer_country))</f>
        <v>-1435.5</v>
      </c>
      <c r="AB36" t="s">
        <v>153</v>
      </c>
      <c r="AC36" t="s">
        <v>109</v>
      </c>
    </row>
    <row r="37" spans="1:46" x14ac:dyDescent="0.25">
      <c r="A37" t="s">
        <v>56</v>
      </c>
      <c r="B37" t="s">
        <v>57</v>
      </c>
      <c r="C37">
        <f>N(CUBEVALUE("ThisWorkbookDataModel","[Measures].[Cancelled Orders]",Slicer_year,Slicer_month,Slicer_channel_name,Slicer_country))</f>
        <v>8</v>
      </c>
      <c r="D37">
        <f>IF($B$6,N(CUBEVALUE("ThisWorkbookDataModel","[Measures].[Cancelled Orders]","[dim_date].[month_id].&amp;["&amp;$B$8&amp;"]",Slicer_channel_name,Slicer_country)),0)</f>
        <v>4</v>
      </c>
      <c r="E37">
        <f>IF($B$6,N(CUBEVALUE("ThisWorkbookDataModel","[Measures].[Cancelled Orders]","[dim_date].[month_id].&amp;["&amp;$B$9&amp;"]",Slicer_channel_name,Slicer_country)),0)</f>
        <v>27</v>
      </c>
      <c r="F37">
        <f>IF(D37=0,"",(C37-D37)/ABS(D37))</f>
        <v>1</v>
      </c>
      <c r="G37">
        <f>IF(E37=0,"",(C37-E37)/ABS(E37))</f>
        <v>-0.70370370370370372</v>
      </c>
      <c r="AB37" t="s">
        <v>155</v>
      </c>
      <c r="AC37" t="s">
        <v>109</v>
      </c>
    </row>
    <row r="38" spans="1:46" x14ac:dyDescent="0.25">
      <c r="A38" t="s">
        <v>58</v>
      </c>
      <c r="B38" t="s">
        <v>59</v>
      </c>
      <c r="C38">
        <f>N(CUBEVALUE("ThisWorkbookDataModel","[Measures].[Pending Orders]",Slicer_year,Slicer_month,Slicer_channel_name,Slicer_country))</f>
        <v>0</v>
      </c>
      <c r="AB38" t="s">
        <v>157</v>
      </c>
      <c r="AC38" t="s">
        <v>109</v>
      </c>
    </row>
    <row r="39" spans="1:46" x14ac:dyDescent="0.25">
      <c r="A39" t="s">
        <v>60</v>
      </c>
      <c r="B39" t="s">
        <v>61</v>
      </c>
      <c r="C39">
        <f>N(CUBEVALUE("ThisWorkbookDataModel","[Measures].[Tỷ trọng online]",Slicer_year,Slicer_month,Slicer_channel_name,Slicer_country))</f>
        <v>0.25152648112879439</v>
      </c>
      <c r="D39">
        <f>IF($B$6,N(CUBEVALUE("ThisWorkbookDataModel","[Measures].[Tỷ trọng online]","[dim_date].[month_id].&amp;["&amp;$B$8&amp;"]",Slicer_channel_name,Slicer_country)),0)</f>
        <v>0.17230867977464787</v>
      </c>
      <c r="E39">
        <f>IF($B$6,N(CUBEVALUE("ThisWorkbookDataModel","[Measures].[Tỷ trọng online]","[dim_date].[month_id].&amp;["&amp;$B$9&amp;"]",Slicer_channel_name,Slicer_country)),0)</f>
        <v>0.1888192252255585</v>
      </c>
      <c r="F39">
        <f>IF(OR(D39=0,C39=0),"",C39-D39)</f>
        <v>7.9217801354146522E-2</v>
      </c>
      <c r="G39">
        <f>IF(OR(E39=0,C39=0),"",C39-E39)</f>
        <v>6.2707255903235892E-2</v>
      </c>
      <c r="AB39" t="s">
        <v>159</v>
      </c>
      <c r="AC39" t="s">
        <v>109</v>
      </c>
    </row>
    <row r="40" spans="1:46" x14ac:dyDescent="0.25">
      <c r="A40" t="s">
        <v>62</v>
      </c>
      <c r="B40" t="s">
        <v>63</v>
      </c>
      <c r="C40">
        <f>N(CUBEVALUE("ThisWorkbookDataModel","[Measures].[Tỷ lệ chiết khấu]",Slicer_year,Slicer_month,Slicer_channel_name,Slicer_country))</f>
        <v>3.8622007851957352E-2</v>
      </c>
      <c r="D40">
        <f>IF($B$6,N(CUBEVALUE("ThisWorkbookDataModel","[Measures].[Tỷ lệ chiết khấu]","[dim_date].[month_id].&amp;["&amp;$B$8&amp;"]",Slicer_channel_name,Slicer_country)),0)</f>
        <v>4.543888304585441E-2</v>
      </c>
      <c r="E40">
        <f>IF($B$6,N(CUBEVALUE("ThisWorkbookDataModel","[Measures].[Tỷ lệ chiết khấu]","[dim_date].[month_id].&amp;["&amp;$B$9&amp;"]",Slicer_channel_name,Slicer_country)),0)</f>
        <v>3.4945816721329688E-2</v>
      </c>
      <c r="F40">
        <f>IF(OR(D40=0,C40=0),"",C40-D40)</f>
        <v>-6.8168751938970581E-3</v>
      </c>
      <c r="G40">
        <f>IF(OR(E40=0,C40=0),"",C40-E40)</f>
        <v>3.6761911306276637E-3</v>
      </c>
      <c r="AB40" t="s">
        <v>161</v>
      </c>
      <c r="AC40" t="s">
        <v>109</v>
      </c>
      <c r="AF40" s="1" t="s">
        <v>263</v>
      </c>
      <c r="AG40" t="s">
        <v>30</v>
      </c>
      <c r="AQ40" t="s">
        <v>273</v>
      </c>
    </row>
    <row r="41" spans="1:46" x14ac:dyDescent="0.25">
      <c r="A41" t="s">
        <v>64</v>
      </c>
      <c r="B41" t="s">
        <v>28</v>
      </c>
      <c r="C41">
        <f>N(CUBEVALUE("ThisWorkbookDataModel","[Measures].[Net Sales]",Slicer_year,Slicer_month,"[dim_channel].[channel_code].&amp;[ONLINE]",Slicer_channel_name,Slicer_country))</f>
        <v>154892.96000000005</v>
      </c>
      <c r="D41">
        <f>IF($B$6,N(CUBEVALUE("ThisWorkbookDataModel","[Measures].[Net Sales]","[dim_date].[month_id].&amp;["&amp;$B$8&amp;"]","[dim_channel].[channel_code].&amp;[ONLINE]",Slicer_channel_name,Slicer_country)),0)</f>
        <v>41605.12999999999</v>
      </c>
      <c r="E41">
        <f>IF($B$6,N(CUBEVALUE("ThisWorkbookDataModel","[Measures].[Net Sales]","[dim_date].[month_id].&amp;["&amp;$B$9&amp;"]","[dim_channel].[channel_code].&amp;[ONLINE]",Slicer_channel_name,Slicer_country)),0)</f>
        <v>437386.81999999972</v>
      </c>
      <c r="F41">
        <f>IF(D41=0,"",(C41-D41)/ABS(D41))</f>
        <v>2.7229293599130706</v>
      </c>
      <c r="G41">
        <f>IF(E41=0,"",(C41-E41)/ABS(E41))</f>
        <v>-0.64586733546292008</v>
      </c>
      <c r="AB41" t="s">
        <v>163</v>
      </c>
      <c r="AC41" t="s">
        <v>109</v>
      </c>
      <c r="AF41" t="s">
        <v>123</v>
      </c>
      <c r="AG41" s="2">
        <v>3711.2</v>
      </c>
      <c r="AQ41" t="str">
        <f>IF(_pivot!AF$41="","",IFERROR(VLOOKUP(_pivot!AF$41,map_vi,2,FALSE),_pivot!AF$41))</f>
        <v>Giao nhầm hàng</v>
      </c>
      <c r="AR41">
        <f>IF(_pivot!AF$41="",0,N(_pivot!AG$41)*1)</f>
        <v>3711.2</v>
      </c>
      <c r="AS41">
        <f>AR41</f>
        <v>3711.2</v>
      </c>
      <c r="AT41">
        <f>0</f>
        <v>0</v>
      </c>
    </row>
    <row r="42" spans="1:46" x14ac:dyDescent="0.25">
      <c r="A42" t="s">
        <v>65</v>
      </c>
      <c r="B42" t="s">
        <v>28</v>
      </c>
      <c r="C42">
        <f>N(CUBEVALUE("ThisWorkbookDataModel","[Measures].[Net Sales]",Slicer_year,Slicer_month,"[dim_channel].[channel_code].&amp;[POS]",Slicer_channel_name,Slicer_country))</f>
        <v>460918.77999999997</v>
      </c>
      <c r="D42">
        <f>IF($B$6,N(CUBEVALUE("ThisWorkbookDataModel","[Measures].[Net Sales]","[dim_date].[month_id].&amp;["&amp;$B$8&amp;"]","[dim_channel].[channel_code].&amp;[POS]",Slicer_channel_name,Slicer_country)),0)</f>
        <v>199851.8300000001</v>
      </c>
      <c r="E42">
        <f>IF($B$6,N(CUBEVALUE("ThisWorkbookDataModel","[Measures].[Net Sales]","[dim_date].[month_id].&amp;["&amp;$B$9&amp;"]","[dim_channel].[channel_code].&amp;[POS]",Slicer_channel_name,Slicer_country)),0)</f>
        <v>1879044.7799999868</v>
      </c>
      <c r="F42">
        <f>IF(D42=0,"",(C42-D42)/ABS(D42))</f>
        <v>1.3063025242250708</v>
      </c>
      <c r="G42">
        <f>IF(E42=0,"",(C42-E42)/ABS(E42))</f>
        <v>-0.75470580323263858</v>
      </c>
      <c r="AB42" t="s">
        <v>165</v>
      </c>
      <c r="AC42" t="s">
        <v>107</v>
      </c>
      <c r="AF42" t="s">
        <v>119</v>
      </c>
      <c r="AG42" s="2">
        <v>2848.18</v>
      </c>
      <c r="AQ42" t="str">
        <f>IF(_pivot!AF$42="","",IFERROR(VLOOKUP(_pivot!AF$42,map_vi,2,FALSE),_pivot!AF$42))</f>
        <v>Lỗi sản phẩm</v>
      </c>
      <c r="AR42">
        <f>IF(_pivot!AF$42="",0,N(_pivot!AG$42)*1)</f>
        <v>2848.18</v>
      </c>
      <c r="AS42">
        <f>0</f>
        <v>0</v>
      </c>
      <c r="AT42">
        <f>AR42</f>
        <v>2848.18</v>
      </c>
    </row>
    <row r="43" spans="1:46" x14ac:dyDescent="0.25">
      <c r="A43" t="s">
        <v>66</v>
      </c>
      <c r="B43" t="s">
        <v>67</v>
      </c>
      <c r="C43">
        <f>C31-C33</f>
        <v>-22812.190000000061</v>
      </c>
      <c r="AB43" t="s">
        <v>167</v>
      </c>
      <c r="AC43" t="s">
        <v>107</v>
      </c>
      <c r="AF43" t="s">
        <v>121</v>
      </c>
      <c r="AG43" s="2">
        <v>1833.34</v>
      </c>
      <c r="AQ43" t="str">
        <f>IF(_pivot!AF$43="","",IFERROR(VLOOKUP(_pivot!AF$43,map_vi,2,FALSE),_pivot!AF$43))</f>
        <v>Đổi ý</v>
      </c>
      <c r="AR43">
        <f>IF(_pivot!AF$43="",0,N(_pivot!AG$43)*1)</f>
        <v>1833.34</v>
      </c>
      <c r="AS43">
        <f>0</f>
        <v>0</v>
      </c>
      <c r="AT43">
        <f>AR43</f>
        <v>1833.34</v>
      </c>
    </row>
    <row r="44" spans="1:46" x14ac:dyDescent="0.25">
      <c r="A44" t="s">
        <v>68</v>
      </c>
      <c r="B44" t="s">
        <v>69</v>
      </c>
      <c r="C44">
        <f>N(CUBEVALUE("ThisWorkbookDataModel","[Measures].[Pending Orders]",Slicer_channel_name,Slicer_country))</f>
        <v>29</v>
      </c>
      <c r="AB44" t="s">
        <v>169</v>
      </c>
      <c r="AC44" t="s">
        <v>107</v>
      </c>
      <c r="AF44" t="s">
        <v>125</v>
      </c>
      <c r="AG44" s="2">
        <v>1293.95</v>
      </c>
      <c r="AQ44" t="str">
        <f>IF(_pivot!AF$44="","",IFERROR(VLOOKUP(_pivot!AF$44,map_vi,2,FALSE),_pivot!AF$44))</f>
        <v>Giao trễ</v>
      </c>
      <c r="AR44">
        <f>IF(_pivot!AF$44="",0,N(_pivot!AG$44)*1)</f>
        <v>1293.95</v>
      </c>
      <c r="AS44">
        <f>0</f>
        <v>0</v>
      </c>
      <c r="AT44">
        <f>AR44</f>
        <v>1293.95</v>
      </c>
    </row>
    <row r="45" spans="1:46" x14ac:dyDescent="0.25">
      <c r="A45" t="s">
        <v>70</v>
      </c>
      <c r="B45" t="s">
        <v>71</v>
      </c>
      <c r="C45">
        <v>120</v>
      </c>
      <c r="AB45" t="s">
        <v>171</v>
      </c>
      <c r="AC45" t="s">
        <v>107</v>
      </c>
    </row>
    <row r="46" spans="1:46" x14ac:dyDescent="0.25">
      <c r="AB46" t="s">
        <v>173</v>
      </c>
      <c r="AC46" t="s">
        <v>107</v>
      </c>
    </row>
    <row r="47" spans="1:46" x14ac:dyDescent="0.25">
      <c r="AB47" t="s">
        <v>175</v>
      </c>
      <c r="AC47" t="s">
        <v>107</v>
      </c>
    </row>
    <row r="48" spans="1:46" x14ac:dyDescent="0.25">
      <c r="AB48" t="s">
        <v>177</v>
      </c>
      <c r="AC48" t="s">
        <v>107</v>
      </c>
    </row>
    <row r="49" spans="9:47" x14ac:dyDescent="0.25">
      <c r="AB49" t="s">
        <v>179</v>
      </c>
      <c r="AC49" t="s">
        <v>107</v>
      </c>
    </row>
    <row r="50" spans="9:47" x14ac:dyDescent="0.25">
      <c r="AB50" t="s">
        <v>181</v>
      </c>
      <c r="AC50" t="s">
        <v>107</v>
      </c>
    </row>
    <row r="51" spans="9:47" x14ac:dyDescent="0.25">
      <c r="AB51" t="s">
        <v>183</v>
      </c>
      <c r="AC51" t="s">
        <v>111</v>
      </c>
    </row>
    <row r="52" spans="9:47" x14ac:dyDescent="0.25">
      <c r="AB52" t="s">
        <v>185</v>
      </c>
      <c r="AC52" t="s">
        <v>111</v>
      </c>
    </row>
    <row r="53" spans="9:47" x14ac:dyDescent="0.25">
      <c r="AB53" t="s">
        <v>187</v>
      </c>
      <c r="AC53" t="s">
        <v>111</v>
      </c>
    </row>
    <row r="54" spans="9:47" x14ac:dyDescent="0.25">
      <c r="AB54" t="s">
        <v>189</v>
      </c>
      <c r="AC54" t="s">
        <v>113</v>
      </c>
    </row>
    <row r="55" spans="9:47" x14ac:dyDescent="0.25">
      <c r="AB55" t="s">
        <v>191</v>
      </c>
      <c r="AC55" t="s">
        <v>113</v>
      </c>
      <c r="AF55" s="1" t="s">
        <v>261</v>
      </c>
      <c r="AG55" t="s">
        <v>42</v>
      </c>
      <c r="AH55" t="s">
        <v>28</v>
      </c>
      <c r="AQ55" t="s">
        <v>274</v>
      </c>
    </row>
    <row r="56" spans="9:47" x14ac:dyDescent="0.25">
      <c r="AB56" t="s">
        <v>193</v>
      </c>
      <c r="AC56" t="s">
        <v>113</v>
      </c>
      <c r="AF56" t="s">
        <v>99</v>
      </c>
      <c r="AG56" s="3">
        <v>4.0052320538450627E-2</v>
      </c>
      <c r="AH56" s="2">
        <v>22354.510000000002</v>
      </c>
      <c r="AQ56" t="str">
        <f>IF(_pivot!AF$56="","",IFERROR(VLOOKUP(_pivot!AF$56,map_vi,2,FALSE),_pivot!AF$56))</f>
        <v>Âm thanh</v>
      </c>
      <c r="AR56">
        <f>IF(_pivot!AF$56="",0,N(_pivot!AG$56)*100)</f>
        <v>4.005232053845063</v>
      </c>
      <c r="AS56">
        <f>AR56</f>
        <v>4.005232053845063</v>
      </c>
      <c r="AT56">
        <f>0</f>
        <v>0</v>
      </c>
      <c r="AU56" t="str">
        <f>IF(AQ56="","",AQ56&amp;" · NS "&amp;FIXED(N(_pivot!AH$56)/1000,1)&amp;"k")</f>
        <v>Âm thanh · NS 22.4k</v>
      </c>
    </row>
    <row r="57" spans="9:47" x14ac:dyDescent="0.25">
      <c r="AB57" t="s">
        <v>195</v>
      </c>
      <c r="AC57" t="s">
        <v>113</v>
      </c>
      <c r="AF57" t="s">
        <v>101</v>
      </c>
      <c r="AG57" s="3">
        <v>3.5634453640360997E-2</v>
      </c>
      <c r="AH57" s="2">
        <v>54176.220000000045</v>
      </c>
      <c r="AQ57" t="str">
        <f>IF(_pivot!AF$57="","",IFERROR(VLOOKUP(_pivot!AF$57,map_vi,2,FALSE),_pivot!AF$57))</f>
        <v>Nhạc, phim, sách nói</v>
      </c>
      <c r="AR57">
        <f>IF(_pivot!AF$57="",0,N(_pivot!AG$57)*100)</f>
        <v>3.5634453640360997</v>
      </c>
      <c r="AS57">
        <f>0</f>
        <v>0</v>
      </c>
      <c r="AT57">
        <f>AR57</f>
        <v>3.5634453640360997</v>
      </c>
      <c r="AU57" t="str">
        <f>IF(AQ57="","",AQ57&amp;" · NS "&amp;FIXED(N(_pivot!AH$57)/1000,1)&amp;"k")</f>
        <v>Nhạc, phim, sách nói · NS 54.2k</v>
      </c>
    </row>
    <row r="58" spans="9:47" x14ac:dyDescent="0.25">
      <c r="I58" t="s">
        <v>72</v>
      </c>
      <c r="AB58" t="s">
        <v>197</v>
      </c>
      <c r="AC58" t="s">
        <v>113</v>
      </c>
      <c r="AF58" t="s">
        <v>97</v>
      </c>
      <c r="AG58" s="3">
        <v>3.2205177607574888E-2</v>
      </c>
      <c r="AH58" s="2">
        <v>7764.5900000000029</v>
      </c>
      <c r="AQ58" t="str">
        <f>IF(_pivot!AF$58="","",IFERROR(VLOOKUP(_pivot!AF$58,map_vi,2,FALSE),_pivot!AF$58))</f>
        <v>Game &amp; Đồ chơi</v>
      </c>
      <c r="AR58">
        <f>IF(_pivot!AF$58="",0,N(_pivot!AG$58)*100)</f>
        <v>3.2205177607574886</v>
      </c>
      <c r="AS58">
        <f>0</f>
        <v>0</v>
      </c>
      <c r="AT58">
        <f>AR58</f>
        <v>3.2205177607574886</v>
      </c>
      <c r="AU58" t="str">
        <f>IF(AQ58="","",AQ58&amp;" · NS "&amp;FIXED(N(_pivot!AH$58)/1000,1)&amp;"k")</f>
        <v>Game &amp; Đồ chơi · NS 7.8k</v>
      </c>
    </row>
    <row r="59" spans="9:47" x14ac:dyDescent="0.25">
      <c r="I59" t="s">
        <v>73</v>
      </c>
      <c r="J59" t="s">
        <v>74</v>
      </c>
      <c r="K59" t="s">
        <v>75</v>
      </c>
      <c r="L59" t="s">
        <v>76</v>
      </c>
      <c r="M59" t="s">
        <v>34</v>
      </c>
      <c r="N59" t="s">
        <v>76</v>
      </c>
      <c r="O59" t="s">
        <v>38</v>
      </c>
      <c r="P59" t="s">
        <v>76</v>
      </c>
      <c r="Q59" t="s">
        <v>77</v>
      </c>
      <c r="R59" t="s">
        <v>78</v>
      </c>
      <c r="S59" t="s">
        <v>79</v>
      </c>
      <c r="T59" t="s">
        <v>80</v>
      </c>
      <c r="U59" t="s">
        <v>81</v>
      </c>
      <c r="V59" t="s">
        <v>76</v>
      </c>
      <c r="W59" t="s">
        <v>82</v>
      </c>
      <c r="X59" t="s">
        <v>83</v>
      </c>
      <c r="Y59" t="s">
        <v>84</v>
      </c>
      <c r="Z59" t="s">
        <v>85</v>
      </c>
      <c r="AB59" t="s">
        <v>199</v>
      </c>
      <c r="AC59" t="s">
        <v>115</v>
      </c>
      <c r="AF59" t="s">
        <v>91</v>
      </c>
      <c r="AG59" s="3">
        <v>1.8343712254272879E-2</v>
      </c>
      <c r="AH59" s="2">
        <v>66795.640000000014</v>
      </c>
      <c r="AQ59" t="str">
        <f>IF(_pivot!AF$59="","",IFERROR(VLOOKUP(_pivot!AF$59,map_vi,2,FALSE),_pivot!AF$59))</f>
        <v>Máy ảnh</v>
      </c>
      <c r="AR59">
        <f>IF(_pivot!AF$59="",0,N(_pivot!AG$59)*100)</f>
        <v>1.8343712254272879</v>
      </c>
      <c r="AS59">
        <f>0</f>
        <v>0</v>
      </c>
      <c r="AT59">
        <f>AR59</f>
        <v>1.8343712254272879</v>
      </c>
      <c r="AU59" t="str">
        <f>IF(AQ59="","",AQ59&amp;" · NS "&amp;FIXED(N(_pivot!AH$59)/1000,1)&amp;"k")</f>
        <v>Máy ảnh · NS 66.8k</v>
      </c>
    </row>
    <row r="60" spans="9:47" x14ac:dyDescent="0.25">
      <c r="I60">
        <f>YEAR(DATE(INT($B$7/100),MOD($B$7,100)-23,1))*100+MONTH(DATE(INT($B$7/100),MOD($B$7,100)-23,1))</f>
        <v>201901</v>
      </c>
      <c r="J60" t="str">
        <f>RIGHT("0"&amp;MOD(I60,100),2)&amp;"/"&amp;RIGHT(INT(I60/100),2)</f>
        <v>01/19</v>
      </c>
      <c r="K60">
        <f>IF(ISNA(M60),NA(),N(CUBEVALUE("ThisWorkbookDataModel","[Measures].[Net Revenue]","[dim_date].[month_id].&amp;["&amp;$I60&amp;"]",Slicer_channel_name,Slicer_country))/1000)</f>
        <v>1797.9688699999874</v>
      </c>
      <c r="L60" t="e">
        <f>NA()</f>
        <v>#N/A</v>
      </c>
      <c r="M60">
        <f>IF(N(CUBEVALUE("ThisWorkbookDataModel","[Measures].[Orders]","[dim_date].[month_id].&amp;["&amp;$I60&amp;"]",Slicer_channel_name,Slicer_country))=0,NA(),N(CUBEVALUE("ThisWorkbookDataModel","[Measures].[Orders]","[dim_date].[month_id].&amp;["&amp;$I60&amp;"]",Slicer_channel_name,Slicer_country)))</f>
        <v>874</v>
      </c>
      <c r="N60" t="e">
        <f>NA()</f>
        <v>#N/A</v>
      </c>
      <c r="O60">
        <f>IF(ISNA(M60),NA(),N(CUBEVALUE("ThisWorkbookDataModel","[Measures].[AOV]","[dim_date].[month_id].&amp;["&amp;$I60&amp;"]",Slicer_channel_name,Slicer_country)))</f>
        <v>2109.0376887871707</v>
      </c>
      <c r="P60" t="e">
        <f>NA()</f>
        <v>#N/A</v>
      </c>
      <c r="Q60">
        <f>IF(ISNA(M60),NA(),N(CUBEVALUE("ThisWorkbookDataModel","[Measures].[Δ sau quy đổi]","[dim_date].[month_id].&amp;["&amp;$I60&amp;"]",Slicer_channel_name,Slicer_country))/1000)</f>
        <v>7.0250000008847568E-2</v>
      </c>
      <c r="R60">
        <f>N(CUBEVALUE("ThisWorkbookDataModel","[Measures].[Số cửa hàng vượt ngưỡng]","[dim_date].[month_id].&amp;["&amp;$I60&amp;"]","[dim_channel].[channel_code].&amp;[POS]",Slicer_channel_name,Slicer_country))</f>
        <v>3</v>
      </c>
      <c r="S60">
        <f>IF(ISNA(Q60),0,IF(R60&gt;0,Q60,0))</f>
        <v>7.0250000008847568E-2</v>
      </c>
      <c r="T60">
        <f>IF(ISNA(Q60),0,IF(R60&gt;0,0,Q60))</f>
        <v>0</v>
      </c>
      <c r="U60">
        <f>IF(ISNA(M60),NA(),N(CUBEVALUE("ThisWorkbookDataModel","[Measures].[Return Rate]","[dim_date].[month_id].&amp;["&amp;$I60&amp;"]",Slicer_channel_name,Slicer_country))*100)</f>
        <v>2.4591816886739117</v>
      </c>
      <c r="V60" t="e">
        <f>NA()</f>
        <v>#N/A</v>
      </c>
      <c r="W60">
        <f>IF(ISNA(M60),NA(),N(CUBEVALUE("ThisWorkbookDataModel","[Measures].[Cancelled Orders]","[dim_date].[month_id].&amp;["&amp;$I60&amp;"]",Slicer_channel_name,Slicer_country)))</f>
        <v>18</v>
      </c>
      <c r="X60">
        <f>IF(ISNA(M60),NA(),N(CUBEVALUE("ThisWorkbookDataModel","[Measures].[Pending Orders]","[dim_date].[month_id].&amp;["&amp;$I60&amp;"]",Slicer_channel_name,Slicer_country)))</f>
        <v>0</v>
      </c>
      <c r="Y60">
        <f>IF($B$16=1,N(CUBEVALUE("ThisWorkbookDataModel","[Measures].[Δ Finance]","[dim_date].[month_id].&amp;["&amp;$I60&amp;"]","[dim_channel].[channel_code].&amp;[ONLINE]",Slicer_channel_name,Slicer_country))/1000,NA())</f>
        <v>49.126190000000413</v>
      </c>
      <c r="Z60">
        <f>IF($B$16=1,N(CUBEVALUE("ThisWorkbookDataModel","[Measures].[Δ sau quy đổi]","[dim_date].[month_id].&amp;["&amp;$I60&amp;"]","[dim_channel].[channel_code].&amp;[ONLINE]",Slicer_channel_name,Slicer_country))/1000,NA())</f>
        <v>-0.8998199999995995</v>
      </c>
      <c r="AB60" t="s">
        <v>201</v>
      </c>
      <c r="AC60" t="s">
        <v>115</v>
      </c>
      <c r="AF60" t="s">
        <v>89</v>
      </c>
      <c r="AG60" s="3">
        <v>1.5621898472263611E-2</v>
      </c>
      <c r="AH60" s="2">
        <v>267055.89000000007</v>
      </c>
      <c r="AQ60" t="str">
        <f>IF(_pivot!AF$60="","",IFERROR(VLOOKUP(_pivot!AF$60,map_vi,2,FALSE),_pivot!AF$60))</f>
        <v>Máy tính</v>
      </c>
      <c r="AR60">
        <f>IF(_pivot!AF$60="",0,N(_pivot!AG$60)*100)</f>
        <v>1.5621898472263611</v>
      </c>
      <c r="AS60">
        <f>0</f>
        <v>0</v>
      </c>
      <c r="AT60">
        <f>AR60</f>
        <v>1.5621898472263611</v>
      </c>
      <c r="AU60" t="str">
        <f>IF(AQ60="","",AQ60&amp;" · NS "&amp;FIXED(N(_pivot!AH$60)/1000,1)&amp;"k")</f>
        <v>Máy tính · NS 267.1k</v>
      </c>
    </row>
    <row r="61" spans="9:47" x14ac:dyDescent="0.25">
      <c r="I61">
        <f>YEAR(DATE(INT($B$7/100),MOD($B$7,100)-22,1))*100+MONTH(DATE(INT($B$7/100),MOD($B$7,100)-22,1))</f>
        <v>201902</v>
      </c>
      <c r="J61" t="str">
        <f>RIGHT("0"&amp;MOD(I61,100),2)&amp;"/"&amp;RIGHT(INT(I61/100),2)</f>
        <v>02/19</v>
      </c>
      <c r="K61">
        <f>IF(ISNA(M61),NA(),N(CUBEVALUE("ThisWorkbookDataModel","[Measures].[Net Revenue]","[dim_date].[month_id].&amp;["&amp;$I61&amp;"]",Slicer_channel_name,Slicer_country))/1000)</f>
        <v>2004.5686799999819</v>
      </c>
      <c r="L61" t="e">
        <f>NA()</f>
        <v>#N/A</v>
      </c>
      <c r="M61">
        <f>IF(N(CUBEVALUE("ThisWorkbookDataModel","[Measures].[Orders]","[dim_date].[month_id].&amp;["&amp;$I61&amp;"]",Slicer_channel_name,Slicer_country))=0,NA(),N(CUBEVALUE("ThisWorkbookDataModel","[Measures].[Orders]","[dim_date].[month_id].&amp;["&amp;$I61&amp;"]",Slicer_channel_name,Slicer_country)))</f>
        <v>946</v>
      </c>
      <c r="N61" t="e">
        <f>NA()</f>
        <v>#N/A</v>
      </c>
      <c r="O61">
        <f>IF(ISNA(M61),NA(),N(CUBEVALUE("ThisWorkbookDataModel","[Measures].[AOV]","[dim_date].[month_id].&amp;["&amp;$I61&amp;"]",Slicer_channel_name,Slicer_country)))</f>
        <v>2153.5738583509324</v>
      </c>
      <c r="P61" t="e">
        <f>NA()</f>
        <v>#N/A</v>
      </c>
      <c r="Q61">
        <f>IF(ISNA(M61),NA(),N(CUBEVALUE("ThisWorkbookDataModel","[Measures].[Δ sau quy đổi]","[dim_date].[month_id].&amp;["&amp;$I61&amp;"]",Slicer_channel_name,Slicer_country))/1000)</f>
        <v>1.606680000012042</v>
      </c>
      <c r="R61">
        <f>N(CUBEVALUE("ThisWorkbookDataModel","[Measures].[Số cửa hàng vượt ngưỡng]","[dim_date].[month_id].&amp;["&amp;$I61&amp;"]","[dim_channel].[channel_code].&amp;[POS]",Slicer_channel_name,Slicer_country))</f>
        <v>1</v>
      </c>
      <c r="S61">
        <f>IF(ISNA(Q61),0,IF(R61&gt;0,Q61,0))</f>
        <v>1.606680000012042</v>
      </c>
      <c r="T61">
        <f>IF(ISNA(Q61),0,IF(R61&gt;0,0,Q61))</f>
        <v>0</v>
      </c>
      <c r="U61">
        <f>IF(ISNA(M61),NA(),N(CUBEVALUE("ThisWorkbookDataModel","[Measures].[Return Rate]","[dim_date].[month_id].&amp;["&amp;$I61&amp;"]",Slicer_channel_name,Slicer_country))*100)</f>
        <v>1.6056789459766678</v>
      </c>
      <c r="V61" t="e">
        <f>NA()</f>
        <v>#N/A</v>
      </c>
      <c r="W61">
        <f>IF(ISNA(M61),NA(),N(CUBEVALUE("ThisWorkbookDataModel","[Measures].[Cancelled Orders]","[dim_date].[month_id].&amp;["&amp;$I61&amp;"]",Slicer_channel_name,Slicer_country)))</f>
        <v>21</v>
      </c>
      <c r="X61">
        <f>IF(ISNA(M61),NA(),N(CUBEVALUE("ThisWorkbookDataModel","[Measures].[Pending Orders]","[dim_date].[month_id].&amp;["&amp;$I61&amp;"]",Slicer_channel_name,Slicer_country)))</f>
        <v>0</v>
      </c>
      <c r="Y61">
        <f>IF($B$16=1,N(CUBEVALUE("ThisWorkbookDataModel","[Measures].[Δ Finance]","[dim_date].[month_id].&amp;["&amp;$I61&amp;"]","[dim_channel].[channel_code].&amp;[ONLINE]",Slicer_channel_name,Slicer_country))/1000,NA())</f>
        <v>-53.038059999999767</v>
      </c>
      <c r="Z61">
        <f>IF($B$16=1,N(CUBEVALUE("ThisWorkbookDataModel","[Measures].[Δ sau quy đổi]","[dim_date].[month_id].&amp;["&amp;$I61&amp;"]","[dim_channel].[channel_code].&amp;[ONLINE]",Slicer_channel_name,Slicer_country))/1000,NA())</f>
        <v>2.9103830456733704E-13</v>
      </c>
      <c r="AB61" t="s">
        <v>203</v>
      </c>
      <c r="AC61" t="s">
        <v>115</v>
      </c>
      <c r="AF61" t="s">
        <v>93</v>
      </c>
      <c r="AG61" s="3">
        <v>1.3732466402713573E-2</v>
      </c>
      <c r="AH61" s="2">
        <v>69800.279999999984</v>
      </c>
      <c r="AQ61" t="str">
        <f>IF(_pivot!AF$61="","",IFERROR(VLOOKUP(_pivot!AF$61,map_vi,2,FALSE),_pivot!AF$61))</f>
        <v>Điện thoại</v>
      </c>
      <c r="AR61">
        <f>IF(_pivot!AF$61="",0,N(_pivot!AG$61)*100)</f>
        <v>1.3732466402713572</v>
      </c>
      <c r="AS61">
        <f>0</f>
        <v>0</v>
      </c>
      <c r="AT61">
        <f>AR61</f>
        <v>1.3732466402713572</v>
      </c>
      <c r="AU61" t="str">
        <f>IF(AQ61="","",AQ61&amp;" · NS "&amp;FIXED(N(_pivot!AH$61)/1000,1)&amp;"k")</f>
        <v>Điện thoại · NS 69.8k</v>
      </c>
    </row>
    <row r="62" spans="9:47" x14ac:dyDescent="0.25">
      <c r="I62">
        <f>YEAR(DATE(INT($B$7/100),MOD($B$7,100)-21,1))*100+MONTH(DATE(INT($B$7/100),MOD($B$7,100)-21,1))</f>
        <v>201903</v>
      </c>
      <c r="J62" t="str">
        <f>RIGHT("0"&amp;MOD(I62,100),2)&amp;"/"&amp;RIGHT(INT(I62/100),2)</f>
        <v>03/19</v>
      </c>
      <c r="K62">
        <f>IF(ISNA(M62),NA(),N(CUBEVALUE("ThisWorkbookDataModel","[Measures].[Net Revenue]","[dim_date].[month_id].&amp;["&amp;$I62&amp;"]",Slicer_channel_name,Slicer_country))/1000)</f>
        <v>742.70608999999888</v>
      </c>
      <c r="L62" t="e">
        <f>NA()</f>
        <v>#N/A</v>
      </c>
      <c r="M62">
        <f>IF(N(CUBEVALUE("ThisWorkbookDataModel","[Measures].[Orders]","[dim_date].[month_id].&amp;["&amp;$I62&amp;"]",Slicer_channel_name,Slicer_country))=0,NA(),N(CUBEVALUE("ThisWorkbookDataModel","[Measures].[Orders]","[dim_date].[month_id].&amp;["&amp;$I62&amp;"]",Slicer_channel_name,Slicer_country)))</f>
        <v>376</v>
      </c>
      <c r="N62" t="e">
        <f>NA()</f>
        <v>#N/A</v>
      </c>
      <c r="O62">
        <f>IF(ISNA(M62),NA(),N(CUBEVALUE("ThisWorkbookDataModel","[Measures].[AOV]","[dim_date].[month_id].&amp;["&amp;$I62&amp;"]",Slicer_channel_name,Slicer_country)))</f>
        <v>2173.9649734042523</v>
      </c>
      <c r="P62" t="e">
        <f>NA()</f>
        <v>#N/A</v>
      </c>
      <c r="Q62">
        <f>IF(ISNA(M62),NA(),N(CUBEVALUE("ThisWorkbookDataModel","[Measures].[Δ sau quy đổi]","[dim_date].[month_id].&amp;["&amp;$I62&amp;"]",Slicer_channel_name,Slicer_country))/1000)</f>
        <v>8.4256000000005589</v>
      </c>
      <c r="R62">
        <f>N(CUBEVALUE("ThisWorkbookDataModel","[Measures].[Số cửa hàng vượt ngưỡng]","[dim_date].[month_id].&amp;["&amp;$I62&amp;"]","[dim_channel].[channel_code].&amp;[POS]",Slicer_channel_name,Slicer_country))</f>
        <v>2</v>
      </c>
      <c r="S62">
        <f>IF(ISNA(Q62),0,IF(R62&gt;0,Q62,0))</f>
        <v>8.4256000000005589</v>
      </c>
      <c r="T62">
        <f>IF(ISNA(Q62),0,IF(R62&gt;0,0,Q62))</f>
        <v>0</v>
      </c>
      <c r="U62">
        <f>IF(ISNA(M62),NA(),N(CUBEVALUE("ThisWorkbookDataModel","[Measures].[Return Rate]","[dim_date].[month_id].&amp;["&amp;$I62&amp;"]",Slicer_channel_name,Slicer_country))*100)</f>
        <v>9.1391913659866866</v>
      </c>
      <c r="V62" t="e">
        <f>NA()</f>
        <v>#N/A</v>
      </c>
      <c r="W62">
        <f>IF(ISNA(M62),NA(),N(CUBEVALUE("ThisWorkbookDataModel","[Measures].[Cancelled Orders]","[dim_date].[month_id].&amp;["&amp;$I62&amp;"]",Slicer_channel_name,Slicer_country)))</f>
        <v>10</v>
      </c>
      <c r="X62">
        <f>IF(ISNA(M62),NA(),N(CUBEVALUE("ThisWorkbookDataModel","[Measures].[Pending Orders]","[dim_date].[month_id].&amp;["&amp;$I62&amp;"]",Slicer_channel_name,Slicer_country)))</f>
        <v>0</v>
      </c>
      <c r="Y62">
        <f>IF($B$16=1,N(CUBEVALUE("ThisWorkbookDataModel","[Measures].[Δ Finance]","[dim_date].[month_id].&amp;["&amp;$I62&amp;"]","[dim_channel].[channel_code].&amp;[ONLINE]",Slicer_channel_name,Slicer_country))/1000,NA())</f>
        <v>86.960590000000025</v>
      </c>
      <c r="Z62">
        <f>IF($B$16=1,N(CUBEVALUE("ThisWorkbookDataModel","[Measures].[Δ sau quy đổi]","[dim_date].[month_id].&amp;["&amp;$I62&amp;"]","[dim_channel].[channel_code].&amp;[ONLINE]",Slicer_channel_name,Slicer_country))/1000,NA())</f>
        <v>2.9103830456733704E-14</v>
      </c>
      <c r="AB62" t="s">
        <v>205</v>
      </c>
      <c r="AC62" t="s">
        <v>115</v>
      </c>
      <c r="AF62" t="s">
        <v>87</v>
      </c>
      <c r="AG62" s="3">
        <v>4.4603515174710959E-3</v>
      </c>
      <c r="AH62" s="2">
        <v>57168.139999999992</v>
      </c>
      <c r="AQ62" t="str">
        <f>IF(_pivot!AF$62="","",IFERROR(VLOOKUP(_pivot!AF$62,map_vi,2,FALSE),_pivot!AF$62))</f>
        <v>Gia dụng</v>
      </c>
      <c r="AR62">
        <f>IF(_pivot!AF$62="",0,N(_pivot!AG$62)*100)</f>
        <v>0.44603515174710961</v>
      </c>
      <c r="AS62">
        <f>0</f>
        <v>0</v>
      </c>
      <c r="AT62">
        <f>AR62</f>
        <v>0.44603515174710961</v>
      </c>
      <c r="AU62" t="str">
        <f>IF(AQ62="","",AQ62&amp;" · NS "&amp;FIXED(N(_pivot!AH$62)/1000,1)&amp;"k")</f>
        <v>Gia dụng · NS 57.2k</v>
      </c>
    </row>
    <row r="63" spans="9:47" x14ac:dyDescent="0.25">
      <c r="I63">
        <f>YEAR(DATE(INT($B$7/100),MOD($B$7,100)-20,1))*100+MONTH(DATE(INT($B$7/100),MOD($B$7,100)-20,1))</f>
        <v>201904</v>
      </c>
      <c r="J63" t="str">
        <f>RIGHT("0"&amp;MOD(I63,100),2)&amp;"/"&amp;RIGHT(INT(I63/100),2)</f>
        <v>04/19</v>
      </c>
      <c r="K63">
        <f>IF(ISNA(M63),NA(),N(CUBEVALUE("ThisWorkbookDataModel","[Measures].[Net Revenue]","[dim_date].[month_id].&amp;["&amp;$I63&amp;"]",Slicer_channel_name,Slicer_country))/1000)</f>
        <v>139.51809000000006</v>
      </c>
      <c r="L63" t="e">
        <f>NA()</f>
        <v>#N/A</v>
      </c>
      <c r="M63">
        <f>IF(N(CUBEVALUE("ThisWorkbookDataModel","[Measures].[Orders]","[dim_date].[month_id].&amp;["&amp;$I63&amp;"]",Slicer_channel_name,Slicer_country))=0,NA(),N(CUBEVALUE("ThisWorkbookDataModel","[Measures].[Orders]","[dim_date].[month_id].&amp;["&amp;$I63&amp;"]",Slicer_channel_name,Slicer_country)))</f>
        <v>74</v>
      </c>
      <c r="N63" t="e">
        <f>NA()</f>
        <v>#N/A</v>
      </c>
      <c r="O63">
        <f>IF(ISNA(M63),NA(),N(CUBEVALUE("ThisWorkbookDataModel","[Measures].[AOV]","[dim_date].[month_id].&amp;["&amp;$I63&amp;"]",Slicer_channel_name,Slicer_country)))</f>
        <v>1956.6440540540548</v>
      </c>
      <c r="P63" t="e">
        <f>NA()</f>
        <v>#N/A</v>
      </c>
      <c r="Q63">
        <f>IF(ISNA(M63),NA(),N(CUBEVALUE("ThisWorkbookDataModel","[Measures].[Δ sau quy đổi]","[dim_date].[month_id].&amp;["&amp;$I63&amp;"]",Slicer_channel_name,Slicer_country))/1000)</f>
        <v>-8.8500000000000139</v>
      </c>
      <c r="R63">
        <f>N(CUBEVALUE("ThisWorkbookDataModel","[Measures].[Số cửa hàng vượt ngưỡng]","[dim_date].[month_id].&amp;["&amp;$I63&amp;"]","[dim_channel].[channel_code].&amp;[POS]",Slicer_channel_name,Slicer_country))</f>
        <v>1</v>
      </c>
      <c r="S63">
        <f>IF(ISNA(Q63),0,IF(R63&gt;0,Q63,0))</f>
        <v>-8.8500000000000139</v>
      </c>
      <c r="T63">
        <f>IF(ISNA(Q63),0,IF(R63&gt;0,0,Q63))</f>
        <v>0</v>
      </c>
      <c r="U63">
        <f>IF(ISNA(M63),NA(),N(CUBEVALUE("ThisWorkbookDataModel","[Measures].[Return Rate]","[dim_date].[month_id].&amp;["&amp;$I63&amp;"]",Slicer_channel_name,Slicer_country))*100)</f>
        <v>3.6421780094240215</v>
      </c>
      <c r="V63" t="e">
        <f>NA()</f>
        <v>#N/A</v>
      </c>
      <c r="W63">
        <f>IF(ISNA(M63),NA(),N(CUBEVALUE("ThisWorkbookDataModel","[Measures].[Cancelled Orders]","[dim_date].[month_id].&amp;["&amp;$I63&amp;"]",Slicer_channel_name,Slicer_country)))</f>
        <v>1</v>
      </c>
      <c r="X63">
        <f>IF(ISNA(M63),NA(),N(CUBEVALUE("ThisWorkbookDataModel","[Measures].[Pending Orders]","[dim_date].[month_id].&amp;["&amp;$I63&amp;"]",Slicer_channel_name,Slicer_country)))</f>
        <v>0</v>
      </c>
      <c r="Y63">
        <f>IF($B$16=1,N(CUBEVALUE("ThisWorkbookDataModel","[Measures].[Δ Finance]","[dim_date].[month_id].&amp;["&amp;$I63&amp;"]","[dim_channel].[channel_code].&amp;[ONLINE]",Slicer_channel_name,Slicer_country))/1000,NA())</f>
        <v>-19.105630000000005</v>
      </c>
      <c r="Z63">
        <f>IF($B$16=1,N(CUBEVALUE("ThisWorkbookDataModel","[Measures].[Δ sau quy đổi]","[dim_date].[month_id].&amp;["&amp;$I63&amp;"]","[dim_channel].[channel_code].&amp;[ONLINE]",Slicer_channel_name,Slicer_country))/1000,NA())</f>
        <v>0</v>
      </c>
      <c r="AB63" t="s">
        <v>207</v>
      </c>
      <c r="AC63" t="s">
        <v>115</v>
      </c>
      <c r="AF63" t="s">
        <v>95</v>
      </c>
      <c r="AG63" s="3"/>
      <c r="AH63" s="2">
        <v>70696.47</v>
      </c>
      <c r="AQ63" t="str">
        <f>IF(_pivot!AF$63="","",IFERROR(VLOOKUP(_pivot!AF$63,map_vi,2,FALSE),_pivot!AF$63))</f>
        <v>TV &amp; Video</v>
      </c>
      <c r="AR63">
        <f>IF(_pivot!AF$63="",0,N(_pivot!AG$63)*100)</f>
        <v>0</v>
      </c>
      <c r="AS63">
        <f>0</f>
        <v>0</v>
      </c>
      <c r="AT63">
        <f>AR63</f>
        <v>0</v>
      </c>
      <c r="AU63" t="str">
        <f>IF(AQ63="","",AQ63&amp;" · NS "&amp;FIXED(N(_pivot!AH$63)/1000,1)&amp;"k")</f>
        <v>TV &amp; Video · NS 70.7k</v>
      </c>
    </row>
    <row r="64" spans="9:47" x14ac:dyDescent="0.25">
      <c r="I64">
        <f>YEAR(DATE(INT($B$7/100),MOD($B$7,100)-19,1))*100+MONTH(DATE(INT($B$7/100),MOD($B$7,100)-19,1))</f>
        <v>201905</v>
      </c>
      <c r="J64" t="str">
        <f>RIGHT("0"&amp;MOD(I64,100),2)&amp;"/"&amp;RIGHT(INT(I64/100),2)</f>
        <v>05/19</v>
      </c>
      <c r="K64">
        <f>IF(ISNA(M64),NA(),N(CUBEVALUE("ThisWorkbookDataModel","[Measures].[Net Revenue]","[dim_date].[month_id].&amp;["&amp;$I64&amp;"]",Slicer_channel_name,Slicer_country))/1000)</f>
        <v>1514.7130299999924</v>
      </c>
      <c r="L64" t="e">
        <f>NA()</f>
        <v>#N/A</v>
      </c>
      <c r="M64">
        <f>IF(N(CUBEVALUE("ThisWorkbookDataModel","[Measures].[Orders]","[dim_date].[month_id].&amp;["&amp;$I64&amp;"]",Slicer_channel_name,Slicer_country))=0,NA(),N(CUBEVALUE("ThisWorkbookDataModel","[Measures].[Orders]","[dim_date].[month_id].&amp;["&amp;$I64&amp;"]",Slicer_channel_name,Slicer_country)))</f>
        <v>784</v>
      </c>
      <c r="N64" t="e">
        <f>NA()</f>
        <v>#N/A</v>
      </c>
      <c r="O64">
        <f>IF(ISNA(M64),NA(),N(CUBEVALUE("ThisWorkbookDataModel","[Measures].[AOV]","[dim_date].[month_id].&amp;["&amp;$I64&amp;"]",Slicer_channel_name,Slicer_country)))</f>
        <v>1960.3617984693781</v>
      </c>
      <c r="P64" t="e">
        <f>NA()</f>
        <v>#N/A</v>
      </c>
      <c r="Q64">
        <f>IF(ISNA(M64),NA(),N(CUBEVALUE("ThisWorkbookDataModel","[Measures].[Δ sau quy đổi]","[dim_date].[month_id].&amp;["&amp;$I64&amp;"]",Slicer_channel_name,Slicer_country))/1000)</f>
        <v>5.9181800000031943</v>
      </c>
      <c r="R64">
        <f>N(CUBEVALUE("ThisWorkbookDataModel","[Measures].[Số cửa hàng vượt ngưỡng]","[dim_date].[month_id].&amp;["&amp;$I64&amp;"]","[dim_channel].[channel_code].&amp;[POS]",Slicer_channel_name,Slicer_country))</f>
        <v>3</v>
      </c>
      <c r="S64">
        <f>IF(ISNA(Q64),0,IF(R64&gt;0,Q64,0))</f>
        <v>5.9181800000031943</v>
      </c>
      <c r="T64">
        <f>IF(ISNA(Q64),0,IF(R64&gt;0,0,Q64))</f>
        <v>0</v>
      </c>
      <c r="U64">
        <f>IF(ISNA(M64),NA(),N(CUBEVALUE("ThisWorkbookDataModel","[Measures].[Return Rate]","[dim_date].[month_id].&amp;["&amp;$I64&amp;"]",Slicer_channel_name,Slicer_country))*100)</f>
        <v>1.445134896583842</v>
      </c>
      <c r="V64" t="e">
        <f>NA()</f>
        <v>#N/A</v>
      </c>
      <c r="W64">
        <f>IF(ISNA(M64),NA(),N(CUBEVALUE("ThisWorkbookDataModel","[Measures].[Cancelled Orders]","[dim_date].[month_id].&amp;["&amp;$I64&amp;"]",Slicer_channel_name,Slicer_country)))</f>
        <v>24</v>
      </c>
      <c r="X64">
        <f>IF(ISNA(M64),NA(),N(CUBEVALUE("ThisWorkbookDataModel","[Measures].[Pending Orders]","[dim_date].[month_id].&amp;["&amp;$I64&amp;"]",Slicer_channel_name,Slicer_country)))</f>
        <v>0</v>
      </c>
      <c r="Y64">
        <f>IF($B$16=1,N(CUBEVALUE("ThisWorkbookDataModel","[Measures].[Δ Finance]","[dim_date].[month_id].&amp;["&amp;$I64&amp;"]","[dim_channel].[channel_code].&amp;[ONLINE]",Slicer_channel_name,Slicer_country))/1000,NA())</f>
        <v>-32.983369999999759</v>
      </c>
      <c r="Z64">
        <f>IF($B$16=1,N(CUBEVALUE("ThisWorkbookDataModel","[Measures].[Δ sau quy đổi]","[dim_date].[month_id].&amp;["&amp;$I64&amp;"]","[dim_channel].[channel_code].&amp;[ONLINE]",Slicer_channel_name,Slicer_country))/1000,NA())</f>
        <v>1.1641532182693482E-13</v>
      </c>
      <c r="AB64" t="s">
        <v>209</v>
      </c>
      <c r="AC64" t="s">
        <v>115</v>
      </c>
    </row>
    <row r="65" spans="9:35" x14ac:dyDescent="0.25">
      <c r="I65">
        <f>YEAR(DATE(INT($B$7/100),MOD($B$7,100)-18,1))*100+MONTH(DATE(INT($B$7/100),MOD($B$7,100)-18,1))</f>
        <v>201906</v>
      </c>
      <c r="J65" t="str">
        <f>RIGHT("0"&amp;MOD(I65,100),2)&amp;"/"&amp;RIGHT(INT(I65/100),2)</f>
        <v>06/19</v>
      </c>
      <c r="K65">
        <f>IF(ISNA(M65),NA(),N(CUBEVALUE("ThisWorkbookDataModel","[Measures].[Net Revenue]","[dim_date].[month_id].&amp;["&amp;$I65&amp;"]",Slicer_channel_name,Slicer_country))/1000)</f>
        <v>1317.2358799999927</v>
      </c>
      <c r="L65" t="e">
        <f>NA()</f>
        <v>#N/A</v>
      </c>
      <c r="M65">
        <f>IF(N(CUBEVALUE("ThisWorkbookDataModel","[Measures].[Orders]","[dim_date].[month_id].&amp;["&amp;$I65&amp;"]",Slicer_channel_name,Slicer_country))=0,NA(),N(CUBEVALUE("ThisWorkbookDataModel","[Measures].[Orders]","[dim_date].[month_id].&amp;["&amp;$I65&amp;"]",Slicer_channel_name,Slicer_country)))</f>
        <v>747</v>
      </c>
      <c r="N65" t="e">
        <f>NA()</f>
        <v>#N/A</v>
      </c>
      <c r="O65">
        <f>IF(ISNA(M65),NA(),N(CUBEVALUE("ThisWorkbookDataModel","[Measures].[AOV]","[dim_date].[month_id].&amp;["&amp;$I65&amp;"]",Slicer_channel_name,Slicer_country)))</f>
        <v>1813.4305488621053</v>
      </c>
      <c r="P65" t="e">
        <f>NA()</f>
        <v>#N/A</v>
      </c>
      <c r="Q65">
        <f>IF(ISNA(M65),NA(),N(CUBEVALUE("ThisWorkbookDataModel","[Measures].[Δ sau quy đổi]","[dim_date].[month_id].&amp;["&amp;$I65&amp;"]",Slicer_channel_name,Slicer_country))/1000)</f>
        <v>0.54199000000278463</v>
      </c>
      <c r="R65">
        <f>N(CUBEVALUE("ThisWorkbookDataModel","[Measures].[Số cửa hàng vượt ngưỡng]","[dim_date].[month_id].&amp;["&amp;$I65&amp;"]","[dim_channel].[channel_code].&amp;[POS]",Slicer_channel_name,Slicer_country))</f>
        <v>0</v>
      </c>
      <c r="S65">
        <f>IF(ISNA(Q65),0,IF(R65&gt;0,Q65,0))</f>
        <v>0</v>
      </c>
      <c r="T65">
        <f>IF(ISNA(Q65),0,IF(R65&gt;0,0,Q65))</f>
        <v>0.54199000000278463</v>
      </c>
      <c r="U65">
        <f>IF(ISNA(M65),NA(),N(CUBEVALUE("ThisWorkbookDataModel","[Measures].[Return Rate]","[dim_date].[month_id].&amp;["&amp;$I65&amp;"]",Slicer_channel_name,Slicer_country))*100)</f>
        <v>2.7606555052542734</v>
      </c>
      <c r="V65" t="e">
        <f>NA()</f>
        <v>#N/A</v>
      </c>
      <c r="W65">
        <f>IF(ISNA(M65),NA(),N(CUBEVALUE("ThisWorkbookDataModel","[Measures].[Cancelled Orders]","[dim_date].[month_id].&amp;["&amp;$I65&amp;"]",Slicer_channel_name,Slicer_country)))</f>
        <v>25</v>
      </c>
      <c r="X65">
        <f>IF(ISNA(M65),NA(),N(CUBEVALUE("ThisWorkbookDataModel","[Measures].[Pending Orders]","[dim_date].[month_id].&amp;["&amp;$I65&amp;"]",Slicer_channel_name,Slicer_country)))</f>
        <v>0</v>
      </c>
      <c r="Y65">
        <f>IF($B$16=1,N(CUBEVALUE("ThisWorkbookDataModel","[Measures].[Δ Finance]","[dim_date].[month_id].&amp;["&amp;$I65&amp;"]","[dim_channel].[channel_code].&amp;[ONLINE]",Slicer_channel_name,Slicer_country))/1000,NA())</f>
        <v>33.05877999999997</v>
      </c>
      <c r="Z65">
        <f>IF($B$16=1,N(CUBEVALUE("ThisWorkbookDataModel","[Measures].[Δ sau quy đổi]","[dim_date].[month_id].&amp;["&amp;$I65&amp;"]","[dim_channel].[channel_code].&amp;[ONLINE]",Slicer_channel_name,Slicer_country))/1000,NA())</f>
        <v>1.1641532182693482E-13</v>
      </c>
      <c r="AB65" t="s">
        <v>211</v>
      </c>
      <c r="AC65" t="s">
        <v>115</v>
      </c>
    </row>
    <row r="66" spans="9:35" x14ac:dyDescent="0.25">
      <c r="I66">
        <f>YEAR(DATE(INT($B$7/100),MOD($B$7,100)-17,1))*100+MONTH(DATE(INT($B$7/100),MOD($B$7,100)-17,1))</f>
        <v>201907</v>
      </c>
      <c r="J66" t="str">
        <f>RIGHT("0"&amp;MOD(I66,100),2)&amp;"/"&amp;RIGHT(INT(I66/100),2)</f>
        <v>07/19</v>
      </c>
      <c r="K66">
        <f>IF(ISNA(M66),NA(),N(CUBEVALUE("ThisWorkbookDataModel","[Measures].[Net Revenue]","[dim_date].[month_id].&amp;["&amp;$I66&amp;"]",Slicer_channel_name,Slicer_country))/1000)</f>
        <v>1322.8915499999941</v>
      </c>
      <c r="L66" t="e">
        <f>NA()</f>
        <v>#N/A</v>
      </c>
      <c r="M66">
        <f>IF(N(CUBEVALUE("ThisWorkbookDataModel","[Measures].[Orders]","[dim_date].[month_id].&amp;["&amp;$I66&amp;"]",Slicer_channel_name,Slicer_country))=0,NA(),N(CUBEVALUE("ThisWorkbookDataModel","[Measures].[Orders]","[dim_date].[month_id].&amp;["&amp;$I66&amp;"]",Slicer_channel_name,Slicer_country)))</f>
        <v>693</v>
      </c>
      <c r="N66" t="e">
        <f>NA()</f>
        <v>#N/A</v>
      </c>
      <c r="O66">
        <f>IF(ISNA(M66),NA(),N(CUBEVALUE("ThisWorkbookDataModel","[Measures].[AOV]","[dim_date].[month_id].&amp;["&amp;$I66&amp;"]",Slicer_channel_name,Slicer_country)))</f>
        <v>1966.8878210678126</v>
      </c>
      <c r="P66" t="e">
        <f>NA()</f>
        <v>#N/A</v>
      </c>
      <c r="Q66">
        <f>IF(ISNA(M66),NA(),N(CUBEVALUE("ThisWorkbookDataModel","[Measures].[Δ sau quy đổi]","[dim_date].[month_id].&amp;["&amp;$I66&amp;"]",Slicer_channel_name,Slicer_country))/1000)</f>
        <v>3.8149200000022536</v>
      </c>
      <c r="R66">
        <f>N(CUBEVALUE("ThisWorkbookDataModel","[Measures].[Số cửa hàng vượt ngưỡng]","[dim_date].[month_id].&amp;["&amp;$I66&amp;"]","[dim_channel].[channel_code].&amp;[POS]",Slicer_channel_name,Slicer_country))</f>
        <v>2</v>
      </c>
      <c r="S66">
        <f>IF(ISNA(Q66),0,IF(R66&gt;0,Q66,0))</f>
        <v>3.8149200000022536</v>
      </c>
      <c r="T66">
        <f>IF(ISNA(Q66),0,IF(R66&gt;0,0,Q66))</f>
        <v>0</v>
      </c>
      <c r="U66">
        <f>IF(ISNA(M66),NA(),N(CUBEVALUE("ThisWorkbookDataModel","[Measures].[Return Rate]","[dim_date].[month_id].&amp;["&amp;$I66&amp;"]",Slicer_channel_name,Slicer_country))*100)</f>
        <v>2.9464519970408323</v>
      </c>
      <c r="V66" t="e">
        <f>NA()</f>
        <v>#N/A</v>
      </c>
      <c r="W66">
        <f>IF(ISNA(M66),NA(),N(CUBEVALUE("ThisWorkbookDataModel","[Measures].[Cancelled Orders]","[dim_date].[month_id].&amp;["&amp;$I66&amp;"]",Slicer_channel_name,Slicer_country)))</f>
        <v>23</v>
      </c>
      <c r="X66">
        <f>IF(ISNA(M66),NA(),N(CUBEVALUE("ThisWorkbookDataModel","[Measures].[Pending Orders]","[dim_date].[month_id].&amp;["&amp;$I66&amp;"]",Slicer_channel_name,Slicer_country)))</f>
        <v>0</v>
      </c>
      <c r="Y66">
        <f>IF($B$16=1,N(CUBEVALUE("ThisWorkbookDataModel","[Measures].[Δ Finance]","[dim_date].[month_id].&amp;["&amp;$I66&amp;"]","[dim_channel].[channel_code].&amp;[ONLINE]",Slicer_channel_name,Slicer_country))/1000,NA())</f>
        <v>10.761389999999984</v>
      </c>
      <c r="Z66">
        <f>IF($B$16=1,N(CUBEVALUE("ThisWorkbookDataModel","[Measures].[Δ sau quy đổi]","[dim_date].[month_id].&amp;["&amp;$I66&amp;"]","[dim_channel].[channel_code].&amp;[ONLINE]",Slicer_channel_name,Slicer_country))/1000,NA())</f>
        <v>1.1641532182693482E-13</v>
      </c>
      <c r="AB66" t="s">
        <v>213</v>
      </c>
      <c r="AC66" t="s">
        <v>117</v>
      </c>
    </row>
    <row r="67" spans="9:35" x14ac:dyDescent="0.25">
      <c r="I67">
        <f>YEAR(DATE(INT($B$7/100),MOD($B$7,100)-16,1))*100+MONTH(DATE(INT($B$7/100),MOD($B$7,100)-16,1))</f>
        <v>201908</v>
      </c>
      <c r="J67" t="str">
        <f>RIGHT("0"&amp;MOD(I67,100),2)&amp;"/"&amp;RIGHT(INT(I67/100),2)</f>
        <v>08/19</v>
      </c>
      <c r="K67">
        <f>IF(ISNA(M67),NA(),N(CUBEVALUE("ThisWorkbookDataModel","[Measures].[Net Revenue]","[dim_date].[month_id].&amp;["&amp;$I67&amp;"]",Slicer_channel_name,Slicer_country))/1000)</f>
        <v>1339.3032499999917</v>
      </c>
      <c r="L67" t="e">
        <f>NA()</f>
        <v>#N/A</v>
      </c>
      <c r="M67">
        <f>IF(N(CUBEVALUE("ThisWorkbookDataModel","[Measures].[Orders]","[dim_date].[month_id].&amp;["&amp;$I67&amp;"]",Slicer_channel_name,Slicer_country))=0,NA(),N(CUBEVALUE("ThisWorkbookDataModel","[Measures].[Orders]","[dim_date].[month_id].&amp;["&amp;$I67&amp;"]",Slicer_channel_name,Slicer_country)))</f>
        <v>771</v>
      </c>
      <c r="N67" t="e">
        <f>NA()</f>
        <v>#N/A</v>
      </c>
      <c r="O67">
        <f>IF(ISNA(M67),NA(),N(CUBEVALUE("ThisWorkbookDataModel","[Measures].[AOV]","[dim_date].[month_id].&amp;["&amp;$I67&amp;"]",Slicer_channel_name,Slicer_country)))</f>
        <v>1782.6250583657481</v>
      </c>
      <c r="P67" t="e">
        <f>NA()</f>
        <v>#N/A</v>
      </c>
      <c r="Q67">
        <f>IF(ISNA(M67),NA(),N(CUBEVALUE("ThisWorkbookDataModel","[Measures].[Δ sau quy đổi]","[dim_date].[month_id].&amp;["&amp;$I67&amp;"]",Slicer_channel_name,Slicer_country))/1000)</f>
        <v>9.9990000004181637E-2</v>
      </c>
      <c r="R67">
        <f>N(CUBEVALUE("ThisWorkbookDataModel","[Measures].[Số cửa hàng vượt ngưỡng]","[dim_date].[month_id].&amp;["&amp;$I67&amp;"]","[dim_channel].[channel_code].&amp;[POS]",Slicer_channel_name,Slicer_country))</f>
        <v>0</v>
      </c>
      <c r="S67">
        <f>IF(ISNA(Q67),0,IF(R67&gt;0,Q67,0))</f>
        <v>0</v>
      </c>
      <c r="T67">
        <f>IF(ISNA(Q67),0,IF(R67&gt;0,0,Q67))</f>
        <v>9.9990000004181637E-2</v>
      </c>
      <c r="U67">
        <f>IF(ISNA(M67),NA(),N(CUBEVALUE("ThisWorkbookDataModel","[Measures].[Return Rate]","[dim_date].[month_id].&amp;["&amp;$I67&amp;"]",Slicer_channel_name,Slicer_country))*100)</f>
        <v>2.5538831408455387</v>
      </c>
      <c r="V67" t="e">
        <f>NA()</f>
        <v>#N/A</v>
      </c>
      <c r="W67">
        <f>IF(ISNA(M67),NA(),N(CUBEVALUE("ThisWorkbookDataModel","[Measures].[Cancelled Orders]","[dim_date].[month_id].&amp;["&amp;$I67&amp;"]",Slicer_channel_name,Slicer_country)))</f>
        <v>22</v>
      </c>
      <c r="X67">
        <f>IF(ISNA(M67),NA(),N(CUBEVALUE("ThisWorkbookDataModel","[Measures].[Pending Orders]","[dim_date].[month_id].&amp;["&amp;$I67&amp;"]",Slicer_channel_name,Slicer_country)))</f>
        <v>0</v>
      </c>
      <c r="Y67">
        <f>IF($B$16=1,N(CUBEVALUE("ThisWorkbookDataModel","[Measures].[Δ Finance]","[dim_date].[month_id].&amp;["&amp;$I67&amp;"]","[dim_channel].[channel_code].&amp;[ONLINE]",Slicer_channel_name,Slicer_country))/1000,NA())</f>
        <v>-64.20416999999955</v>
      </c>
      <c r="Z67">
        <f>IF($B$16=1,N(CUBEVALUE("ThisWorkbookDataModel","[Measures].[Δ sau quy đổi]","[dim_date].[month_id].&amp;["&amp;$I67&amp;"]","[dim_channel].[channel_code].&amp;[ONLINE]",Slicer_channel_name,Slicer_country))/1000,NA())</f>
        <v>8.7311491370201113E-14</v>
      </c>
      <c r="AB67" t="s">
        <v>215</v>
      </c>
      <c r="AC67" t="s">
        <v>117</v>
      </c>
    </row>
    <row r="68" spans="9:35" x14ac:dyDescent="0.25">
      <c r="I68">
        <f>YEAR(DATE(INT($B$7/100),MOD($B$7,100)-15,1))*100+MONTH(DATE(INT($B$7/100),MOD($B$7,100)-15,1))</f>
        <v>201909</v>
      </c>
      <c r="J68" t="str">
        <f>RIGHT("0"&amp;MOD(I68,100),2)&amp;"/"&amp;RIGHT(INT(I68/100),2)</f>
        <v>09/19</v>
      </c>
      <c r="K68">
        <f>IF(ISNA(M68),NA(),N(CUBEVALUE("ThisWorkbookDataModel","[Measures].[Net Revenue]","[dim_date].[month_id].&amp;["&amp;$I68&amp;"]",Slicer_channel_name,Slicer_country))/1000)</f>
        <v>1430.226979999991</v>
      </c>
      <c r="L68" t="e">
        <f>NA()</f>
        <v>#N/A</v>
      </c>
      <c r="M68">
        <f>IF(N(CUBEVALUE("ThisWorkbookDataModel","[Measures].[Orders]","[dim_date].[month_id].&amp;["&amp;$I68&amp;"]",Slicer_channel_name,Slicer_country))=0,NA(),N(CUBEVALUE("ThisWorkbookDataModel","[Measures].[Orders]","[dim_date].[month_id].&amp;["&amp;$I68&amp;"]",Slicer_channel_name,Slicer_country)))</f>
        <v>750</v>
      </c>
      <c r="N68" t="e">
        <f>NA()</f>
        <v>#N/A</v>
      </c>
      <c r="O68">
        <f>IF(ISNA(M68),NA(),N(CUBEVALUE("ThisWorkbookDataModel","[Measures].[AOV]","[dim_date].[month_id].&amp;["&amp;$I68&amp;"]",Slicer_channel_name,Slicer_country)))</f>
        <v>1948.8305866666549</v>
      </c>
      <c r="P68" t="e">
        <f>NA()</f>
        <v>#N/A</v>
      </c>
      <c r="Q68">
        <f>IF(ISNA(M68),NA(),N(CUBEVALUE("ThisWorkbookDataModel","[Measures].[Δ sau quy đổi]","[dim_date].[month_id].&amp;["&amp;$I68&amp;"]",Slicer_channel_name,Slicer_country))/1000)</f>
        <v>2.9353800000036134</v>
      </c>
      <c r="R68">
        <f>N(CUBEVALUE("ThisWorkbookDataModel","[Measures].[Số cửa hàng vượt ngưỡng]","[dim_date].[month_id].&amp;["&amp;$I68&amp;"]","[dim_channel].[channel_code].&amp;[POS]",Slicer_channel_name,Slicer_country))</f>
        <v>2</v>
      </c>
      <c r="S68">
        <f>IF(ISNA(Q68),0,IF(R68&gt;0,Q68,0))</f>
        <v>2.9353800000036134</v>
      </c>
      <c r="T68">
        <f>IF(ISNA(Q68),0,IF(R68&gt;0,0,Q68))</f>
        <v>0</v>
      </c>
      <c r="U68">
        <f>IF(ISNA(M68),NA(),N(CUBEVALUE("ThisWorkbookDataModel","[Measures].[Return Rate]","[dim_date].[month_id].&amp;["&amp;$I68&amp;"]",Slicer_channel_name,Slicer_country))*100)</f>
        <v>2.1480204737345043</v>
      </c>
      <c r="V68" t="e">
        <f>NA()</f>
        <v>#N/A</v>
      </c>
      <c r="W68">
        <f>IF(ISNA(M68),NA(),N(CUBEVALUE("ThisWorkbookDataModel","[Measures].[Cancelled Orders]","[dim_date].[month_id].&amp;["&amp;$I68&amp;"]",Slicer_channel_name,Slicer_country)))</f>
        <v>31</v>
      </c>
      <c r="X68">
        <f>IF(ISNA(M68),NA(),N(CUBEVALUE("ThisWorkbookDataModel","[Measures].[Pending Orders]","[dim_date].[month_id].&amp;["&amp;$I68&amp;"]",Slicer_channel_name,Slicer_country)))</f>
        <v>0</v>
      </c>
      <c r="Y68">
        <f>IF($B$16=1,N(CUBEVALUE("ThisWorkbookDataModel","[Measures].[Δ Finance]","[dim_date].[month_id].&amp;["&amp;$I68&amp;"]","[dim_channel].[channel_code].&amp;[ONLINE]",Slicer_channel_name,Slicer_country))/1000,NA())</f>
        <v>32.752910000000092</v>
      </c>
      <c r="Z68">
        <f>IF($B$16=1,N(CUBEVALUE("ThisWorkbookDataModel","[Measures].[Δ sau quy đổi]","[dim_date].[month_id].&amp;["&amp;$I68&amp;"]","[dim_channel].[channel_code].&amp;[ONLINE]",Slicer_channel_name,Slicer_country))/1000,NA())</f>
        <v>1.1641532182693482E-13</v>
      </c>
      <c r="AB68" t="s">
        <v>217</v>
      </c>
      <c r="AC68" t="s">
        <v>117</v>
      </c>
    </row>
    <row r="69" spans="9:35" x14ac:dyDescent="0.25">
      <c r="I69">
        <f>YEAR(DATE(INT($B$7/100),MOD($B$7,100)-14,1))*100+MONTH(DATE(INT($B$7/100),MOD($B$7,100)-14,1))</f>
        <v>201910</v>
      </c>
      <c r="J69" t="str">
        <f>RIGHT("0"&amp;MOD(I69,100),2)&amp;"/"&amp;RIGHT(INT(I69/100),2)</f>
        <v>10/19</v>
      </c>
      <c r="K69">
        <f>IF(ISNA(M69),NA(),N(CUBEVALUE("ThisWorkbookDataModel","[Measures].[Net Revenue]","[dim_date].[month_id].&amp;["&amp;$I69&amp;"]",Slicer_channel_name,Slicer_country))/1000)</f>
        <v>1488.3058699999908</v>
      </c>
      <c r="L69" t="e">
        <f>NA()</f>
        <v>#N/A</v>
      </c>
      <c r="M69">
        <f>IF(N(CUBEVALUE("ThisWorkbookDataModel","[Measures].[Orders]","[dim_date].[month_id].&amp;["&amp;$I69&amp;"]",Slicer_channel_name,Slicer_country))=0,NA(),N(CUBEVALUE("ThisWorkbookDataModel","[Measures].[Orders]","[dim_date].[month_id].&amp;["&amp;$I69&amp;"]",Slicer_channel_name,Slicer_country)))</f>
        <v>818</v>
      </c>
      <c r="N69" t="e">
        <f>NA()</f>
        <v>#N/A</v>
      </c>
      <c r="O69">
        <f>IF(ISNA(M69),NA(),N(CUBEVALUE("ThisWorkbookDataModel","[Measures].[AOV]","[dim_date].[month_id].&amp;["&amp;$I69&amp;"]",Slicer_channel_name,Slicer_country)))</f>
        <v>1863.4061735941207</v>
      </c>
      <c r="P69" t="e">
        <f>NA()</f>
        <v>#N/A</v>
      </c>
      <c r="Q69">
        <f>IF(ISNA(M69),NA(),N(CUBEVALUE("ThisWorkbookDataModel","[Measures].[Δ sau quy đổi]","[dim_date].[month_id].&amp;["&amp;$I69&amp;"]",Slicer_channel_name,Slicer_country))/1000)</f>
        <v>2.862310000005178</v>
      </c>
      <c r="R69">
        <f>N(CUBEVALUE("ThisWorkbookDataModel","[Measures].[Số cửa hàng vượt ngưỡng]","[dim_date].[month_id].&amp;["&amp;$I69&amp;"]","[dim_channel].[channel_code].&amp;[POS]",Slicer_channel_name,Slicer_country))</f>
        <v>2</v>
      </c>
      <c r="S69">
        <f>IF(ISNA(Q69),0,IF(R69&gt;0,Q69,0))</f>
        <v>2.862310000005178</v>
      </c>
      <c r="T69">
        <f>IF(ISNA(Q69),0,IF(R69&gt;0,0,Q69))</f>
        <v>0</v>
      </c>
      <c r="U69">
        <f>IF(ISNA(M69),NA(),N(CUBEVALUE("ThisWorkbookDataModel","[Measures].[Return Rate]","[dim_date].[month_id].&amp;["&amp;$I69&amp;"]",Slicer_channel_name,Slicer_country))*100)</f>
        <v>2.3591928247443787</v>
      </c>
      <c r="V69" t="e">
        <f>NA()</f>
        <v>#N/A</v>
      </c>
      <c r="W69">
        <f>IF(ISNA(M69),NA(),N(CUBEVALUE("ThisWorkbookDataModel","[Measures].[Cancelled Orders]","[dim_date].[month_id].&amp;["&amp;$I69&amp;"]",Slicer_channel_name,Slicer_country)))</f>
        <v>24</v>
      </c>
      <c r="X69">
        <f>IF(ISNA(M69),NA(),N(CUBEVALUE("ThisWorkbookDataModel","[Measures].[Pending Orders]","[dim_date].[month_id].&amp;["&amp;$I69&amp;"]",Slicer_channel_name,Slicer_country)))</f>
        <v>0</v>
      </c>
      <c r="Y69">
        <f>IF($B$16=1,N(CUBEVALUE("ThisWorkbookDataModel","[Measures].[Δ Finance]","[dim_date].[month_id].&amp;["&amp;$I69&amp;"]","[dim_channel].[channel_code].&amp;[ONLINE]",Slicer_channel_name,Slicer_country))/1000,NA())</f>
        <v>-7.7051399999999557</v>
      </c>
      <c r="Z69">
        <f>IF($B$16=1,N(CUBEVALUE("ThisWorkbookDataModel","[Measures].[Δ sau quy đổi]","[dim_date].[month_id].&amp;["&amp;$I69&amp;"]","[dim_channel].[channel_code].&amp;[ONLINE]",Slicer_channel_name,Slicer_country))/1000,NA())</f>
        <v>0.16289999999996507</v>
      </c>
      <c r="AB69" t="s">
        <v>219</v>
      </c>
      <c r="AC69" t="s">
        <v>117</v>
      </c>
    </row>
    <row r="70" spans="9:35" x14ac:dyDescent="0.25">
      <c r="I70">
        <f>YEAR(DATE(INT($B$7/100),MOD($B$7,100)-13,1))*100+MONTH(DATE(INT($B$7/100),MOD($B$7,100)-13,1))</f>
        <v>201911</v>
      </c>
      <c r="J70" t="str">
        <f>RIGHT("0"&amp;MOD(I70,100),2)&amp;"/"&amp;RIGHT(INT(I70/100),2)</f>
        <v>11/19</v>
      </c>
      <c r="K70">
        <f>IF(ISNA(M70),NA(),N(CUBEVALUE("ThisWorkbookDataModel","[Measures].[Net Revenue]","[dim_date].[month_id].&amp;["&amp;$I70&amp;"]",Slicer_channel_name,Slicer_country))/1000)</f>
        <v>1563.3798599999916</v>
      </c>
      <c r="L70" t="e">
        <f>NA()</f>
        <v>#N/A</v>
      </c>
      <c r="M70">
        <f>IF(N(CUBEVALUE("ThisWorkbookDataModel","[Measures].[Orders]","[dim_date].[month_id].&amp;["&amp;$I70&amp;"]",Slicer_channel_name,Slicer_country))=0,NA(),N(CUBEVALUE("ThisWorkbookDataModel","[Measures].[Orders]","[dim_date].[month_id].&amp;["&amp;$I70&amp;"]",Slicer_channel_name,Slicer_country)))</f>
        <v>786</v>
      </c>
      <c r="N70" t="e">
        <f>NA()</f>
        <v>#N/A</v>
      </c>
      <c r="O70">
        <f>IF(ISNA(M70),NA(),N(CUBEVALUE("ThisWorkbookDataModel","[Measures].[AOV]","[dim_date].[month_id].&amp;["&amp;$I70&amp;"]",Slicer_channel_name,Slicer_country)))</f>
        <v>2037.2147073791239</v>
      </c>
      <c r="P70" t="e">
        <f>NA()</f>
        <v>#N/A</v>
      </c>
      <c r="Q70">
        <f>IF(ISNA(M70),NA(),N(CUBEVALUE("ThisWorkbookDataModel","[Measures].[Δ sau quy đổi]","[dim_date].[month_id].&amp;["&amp;$I70&amp;"]",Slicer_channel_name,Slicer_country))/1000)</f>
        <v>-0.16289999999641441</v>
      </c>
      <c r="R70">
        <f>N(CUBEVALUE("ThisWorkbookDataModel","[Measures].[Số cửa hàng vượt ngưỡng]","[dim_date].[month_id].&amp;["&amp;$I70&amp;"]","[dim_channel].[channel_code].&amp;[POS]",Slicer_channel_name,Slicer_country))</f>
        <v>0</v>
      </c>
      <c r="S70">
        <f>IF(ISNA(Q70),0,IF(R70&gt;0,Q70,0))</f>
        <v>0</v>
      </c>
      <c r="T70">
        <f>IF(ISNA(Q70),0,IF(R70&gt;0,0,Q70))</f>
        <v>-0.16289999999641441</v>
      </c>
      <c r="U70">
        <f>IF(ISNA(M70),NA(),N(CUBEVALUE("ThisWorkbookDataModel","[Measures].[Return Rate]","[dim_date].[month_id].&amp;["&amp;$I70&amp;"]",Slicer_channel_name,Slicer_country))*100)</f>
        <v>2.3650824059562168</v>
      </c>
      <c r="V70" t="e">
        <f>NA()</f>
        <v>#N/A</v>
      </c>
      <c r="W70">
        <f>IF(ISNA(M70),NA(),N(CUBEVALUE("ThisWorkbookDataModel","[Measures].[Cancelled Orders]","[dim_date].[month_id].&amp;["&amp;$I70&amp;"]",Slicer_channel_name,Slicer_country)))</f>
        <v>15</v>
      </c>
      <c r="X70">
        <f>IF(ISNA(M70),NA(),N(CUBEVALUE("ThisWorkbookDataModel","[Measures].[Pending Orders]","[dim_date].[month_id].&amp;["&amp;$I70&amp;"]",Slicer_channel_name,Slicer_country)))</f>
        <v>0</v>
      </c>
      <c r="Y70">
        <f>IF($B$16=1,N(CUBEVALUE("ThisWorkbookDataModel","[Measures].[Δ Finance]","[dim_date].[month_id].&amp;["&amp;$I70&amp;"]","[dim_channel].[channel_code].&amp;[ONLINE]",Slicer_channel_name,Slicer_country))/1000,NA())</f>
        <v>-19.864999999999998</v>
      </c>
      <c r="Z70">
        <f>IF($B$16=1,N(CUBEVALUE("ThisWorkbookDataModel","[Measures].[Δ sau quy đổi]","[dim_date].[month_id].&amp;["&amp;$I70&amp;"]","[dim_channel].[channel_code].&amp;[ONLINE]",Slicer_channel_name,Slicer_country))/1000,NA())</f>
        <v>-0.16289999999996507</v>
      </c>
      <c r="AB70" t="s">
        <v>221</v>
      </c>
      <c r="AC70" t="s">
        <v>117</v>
      </c>
    </row>
    <row r="71" spans="9:35" x14ac:dyDescent="0.25">
      <c r="I71">
        <f>YEAR(DATE(INT($B$7/100),MOD($B$7,100)-12,1))*100+MONTH(DATE(INT($B$7/100),MOD($B$7,100)-12,1))</f>
        <v>201912</v>
      </c>
      <c r="J71" t="str">
        <f>RIGHT("0"&amp;MOD(I71,100),2)&amp;"/"&amp;RIGHT(INT(I71/100),2)</f>
        <v>12/19</v>
      </c>
      <c r="K71">
        <f>IF(ISNA(M71),NA(),N(CUBEVALUE("ThisWorkbookDataModel","[Measures].[Net Revenue]","[dim_date].[month_id].&amp;["&amp;$I71&amp;"]",Slicer_channel_name,Slicer_country))/1000)</f>
        <v>2263.4149699999944</v>
      </c>
      <c r="L71" t="e">
        <f>NA()</f>
        <v>#N/A</v>
      </c>
      <c r="M71">
        <f>IF(N(CUBEVALUE("ThisWorkbookDataModel","[Measures].[Orders]","[dim_date].[month_id].&amp;["&amp;$I71&amp;"]",Slicer_channel_name,Slicer_country))=0,NA(),N(CUBEVALUE("ThisWorkbookDataModel","[Measures].[Orders]","[dim_date].[month_id].&amp;["&amp;$I71&amp;"]",Slicer_channel_name,Slicer_country)))</f>
        <v>1223</v>
      </c>
      <c r="N71" t="e">
        <f>NA()</f>
        <v>#N/A</v>
      </c>
      <c r="O71">
        <f>IF(ISNA(M71),NA(),N(CUBEVALUE("ThisWorkbookDataModel","[Measures].[AOV]","[dim_date].[month_id].&amp;["&amp;$I71&amp;"]",Slicer_channel_name,Slicer_country)))</f>
        <v>1894.0569092395699</v>
      </c>
      <c r="P71" t="e">
        <f>NA()</f>
        <v>#N/A</v>
      </c>
      <c r="Q71">
        <f>IF(ISNA(M71),NA(),N(CUBEVALUE("ThisWorkbookDataModel","[Measures].[Δ sau quy đổi]","[dim_date].[month_id].&amp;["&amp;$I71&amp;"]",Slicer_channel_name,Slicer_country))/1000)</f>
        <v>4.3646900000129829</v>
      </c>
      <c r="R71">
        <f>N(CUBEVALUE("ThisWorkbookDataModel","[Measures].[Số cửa hàng vượt ngưỡng]","[dim_date].[month_id].&amp;["&amp;$I71&amp;"]","[dim_channel].[channel_code].&amp;[POS]",Slicer_channel_name,Slicer_country))</f>
        <v>2</v>
      </c>
      <c r="S71">
        <f>IF(ISNA(Q71),0,IF(R71&gt;0,Q71,0))</f>
        <v>4.3646900000129829</v>
      </c>
      <c r="T71">
        <f>IF(ISNA(Q71),0,IF(R71&gt;0,0,Q71))</f>
        <v>0</v>
      </c>
      <c r="U71">
        <f>IF(ISNA(M71),NA(),N(CUBEVALUE("ThisWorkbookDataModel","[Measures].[Return Rate]","[dim_date].[month_id].&amp;["&amp;$I71&amp;"]",Slicer_channel_name,Slicer_country))*100)</f>
        <v>2.2887198568695113</v>
      </c>
      <c r="V71" t="e">
        <f>NA()</f>
        <v>#N/A</v>
      </c>
      <c r="W71">
        <f>IF(ISNA(M71),NA(),N(CUBEVALUE("ThisWorkbookDataModel","[Measures].[Cancelled Orders]","[dim_date].[month_id].&amp;["&amp;$I71&amp;"]",Slicer_channel_name,Slicer_country)))</f>
        <v>27</v>
      </c>
      <c r="X71">
        <f>IF(ISNA(M71),NA(),N(CUBEVALUE("ThisWorkbookDataModel","[Measures].[Pending Orders]","[dim_date].[month_id].&amp;["&amp;$I71&amp;"]",Slicer_channel_name,Slicer_country)))</f>
        <v>0</v>
      </c>
      <c r="Y71">
        <f>IF($B$16=1,N(CUBEVALUE("ThisWorkbookDataModel","[Measures].[Δ Finance]","[dim_date].[month_id].&amp;["&amp;$I71&amp;"]","[dim_channel].[channel_code].&amp;[ONLINE]",Slicer_channel_name,Slicer_country))/1000,NA())</f>
        <v>-22.590289999999687</v>
      </c>
      <c r="Z71">
        <f>IF($B$16=1,N(CUBEVALUE("ThisWorkbookDataModel","[Measures].[Δ sau quy đổi]","[dim_date].[month_id].&amp;["&amp;$I71&amp;"]","[dim_channel].[channel_code].&amp;[ONLINE]",Slicer_channel_name,Slicer_country))/1000,NA())</f>
        <v>-1.1641532182693482E-13</v>
      </c>
      <c r="AB71" t="s">
        <v>223</v>
      </c>
      <c r="AC71" t="s">
        <v>117</v>
      </c>
    </row>
    <row r="72" spans="9:35" x14ac:dyDescent="0.25">
      <c r="I72">
        <f>YEAR(DATE(INT($B$7/100),MOD($B$7,100)-11,1))*100+MONTH(DATE(INT($B$7/100),MOD($B$7,100)-11,1))</f>
        <v>202001</v>
      </c>
      <c r="J72" t="str">
        <f>RIGHT("0"&amp;MOD(I72,100),2)&amp;"/"&amp;RIGHT(INT(I72/100),2)</f>
        <v>01/20</v>
      </c>
      <c r="K72">
        <f>IF(ISNA(M72),NA(),N(CUBEVALUE("ThisWorkbookDataModel","[Measures].[Net Revenue]","[dim_date].[month_id].&amp;["&amp;$I72&amp;"]",Slicer_channel_name,Slicer_country))/1000)</f>
        <v>1911.3349199999825</v>
      </c>
      <c r="L72" t="e">
        <f>NA()</f>
        <v>#N/A</v>
      </c>
      <c r="M72">
        <f>IF(N(CUBEVALUE("ThisWorkbookDataModel","[Measures].[Orders]","[dim_date].[month_id].&amp;["&amp;$I72&amp;"]",Slicer_channel_name,Slicer_country))=0,NA(),N(CUBEVALUE("ThisWorkbookDataModel","[Measures].[Orders]","[dim_date].[month_id].&amp;["&amp;$I72&amp;"]",Slicer_channel_name,Slicer_country)))</f>
        <v>1003</v>
      </c>
      <c r="N72" t="e">
        <f>NA()</f>
        <v>#N/A</v>
      </c>
      <c r="O72">
        <f>IF(ISNA(M72),NA(),N(CUBEVALUE("ThisWorkbookDataModel","[Measures].[AOV]","[dim_date].[month_id].&amp;["&amp;$I72&amp;"]",Slicer_channel_name,Slicer_country)))</f>
        <v>1959.3664805583076</v>
      </c>
      <c r="P72" t="e">
        <f>NA()</f>
        <v>#N/A</v>
      </c>
      <c r="Q72">
        <f>IF(ISNA(M72),NA(),N(CUBEVALUE("ThisWorkbookDataModel","[Measures].[Δ sau quy đổi]","[dim_date].[month_id].&amp;["&amp;$I72&amp;"]",Slicer_channel_name,Slicer_country))/1000)</f>
        <v>-0.74659999998798598</v>
      </c>
      <c r="R72">
        <f>N(CUBEVALUE("ThisWorkbookDataModel","[Measures].[Số cửa hàng vượt ngưỡng]","[dim_date].[month_id].&amp;["&amp;$I72&amp;"]","[dim_channel].[channel_code].&amp;[POS]",Slicer_channel_name,Slicer_country))</f>
        <v>3</v>
      </c>
      <c r="S72">
        <f>IF(ISNA(Q72),0,IF(R72&gt;0,Q72,0))</f>
        <v>-0.74659999998798598</v>
      </c>
      <c r="T72">
        <f>IF(ISNA(Q72),0,IF(R72&gt;0,0,Q72))</f>
        <v>0</v>
      </c>
      <c r="U72">
        <f>IF(ISNA(M72),NA(),N(CUBEVALUE("ThisWorkbookDataModel","[Measures].[Return Rate]","[dim_date].[month_id].&amp;["&amp;$I72&amp;"]",Slicer_channel_name,Slicer_country))*100)</f>
        <v>2.7431527123204424</v>
      </c>
      <c r="V72" t="e">
        <f>NA()</f>
        <v>#N/A</v>
      </c>
      <c r="W72">
        <f>IF(ISNA(M72),NA(),N(CUBEVALUE("ThisWorkbookDataModel","[Measures].[Cancelled Orders]","[dim_date].[month_id].&amp;["&amp;$I72&amp;"]",Slicer_channel_name,Slicer_country)))</f>
        <v>24</v>
      </c>
      <c r="X72">
        <f>IF(ISNA(M72),NA(),N(CUBEVALUE("ThisWorkbookDataModel","[Measures].[Pending Orders]","[dim_date].[month_id].&amp;["&amp;$I72&amp;"]",Slicer_channel_name,Slicer_country)))</f>
        <v>0</v>
      </c>
      <c r="Y72">
        <f>IF($B$16=1,N(CUBEVALUE("ThisWorkbookDataModel","[Measures].[Δ Finance]","[dim_date].[month_id].&amp;["&amp;$I72&amp;"]","[dim_channel].[channel_code].&amp;[ONLINE]",Slicer_channel_name,Slicer_country))/1000,NA())</f>
        <v>41.12082000000018</v>
      </c>
      <c r="Z72">
        <f>IF($B$16=1,N(CUBEVALUE("ThisWorkbookDataModel","[Measures].[Δ sau quy đổi]","[dim_date].[month_id].&amp;["&amp;$I72&amp;"]","[dim_channel].[channel_code].&amp;[ONLINE]",Slicer_channel_name,Slicer_country))/1000,NA())</f>
        <v>2.5000000000116415E-2</v>
      </c>
      <c r="AB72" t="s">
        <v>225</v>
      </c>
      <c r="AC72" t="s">
        <v>117</v>
      </c>
    </row>
    <row r="73" spans="9:35" x14ac:dyDescent="0.25">
      <c r="I73">
        <f>YEAR(DATE(INT($B$7/100),MOD($B$7,100)-10,1))*100+MONTH(DATE(INT($B$7/100),MOD($B$7,100)-10,1))</f>
        <v>202002</v>
      </c>
      <c r="J73" t="str">
        <f>RIGHT("0"&amp;MOD(I73,100),2)&amp;"/"&amp;RIGHT(INT(I73/100),2)</f>
        <v>02/20</v>
      </c>
      <c r="K73">
        <f>IF(ISNA(M73),NA(),N(CUBEVALUE("ThisWorkbookDataModel","[Measures].[Net Revenue]","[dim_date].[month_id].&amp;["&amp;$I73&amp;"]",Slicer_channel_name,Slicer_country))/1000)</f>
        <v>2158.2621799999897</v>
      </c>
      <c r="L73" t="e">
        <f>NA()</f>
        <v>#N/A</v>
      </c>
      <c r="M73">
        <f>IF(N(CUBEVALUE("ThisWorkbookDataModel","[Measures].[Orders]","[dim_date].[month_id].&amp;["&amp;$I73&amp;"]",Slicer_channel_name,Slicer_country))=0,NA(),N(CUBEVALUE("ThisWorkbookDataModel","[Measures].[Orders]","[dim_date].[month_id].&amp;["&amp;$I73&amp;"]",Slicer_channel_name,Slicer_country)))</f>
        <v>1100</v>
      </c>
      <c r="N73" t="e">
        <f>NA()</f>
        <v>#N/A</v>
      </c>
      <c r="O73">
        <f>IF(ISNA(M73),NA(),N(CUBEVALUE("ThisWorkbookDataModel","[Measures].[AOV]","[dim_date].[month_id].&amp;["&amp;$I73&amp;"]",Slicer_channel_name,Slicer_country)))</f>
        <v>1984.4522999999908</v>
      </c>
      <c r="P73" t="e">
        <f>NA()</f>
        <v>#N/A</v>
      </c>
      <c r="Q73">
        <f>IF(ISNA(M73),NA(),N(CUBEVALUE("ThisWorkbookDataModel","[Measures].[Δ sau quy đổi]","[dim_date].[month_id].&amp;["&amp;$I73&amp;"]",Slicer_channel_name,Slicer_country))/1000)</f>
        <v>-11.343539999989327</v>
      </c>
      <c r="R73">
        <f>N(CUBEVALUE("ThisWorkbookDataModel","[Measures].[Số cửa hàng vượt ngưỡng]","[dim_date].[month_id].&amp;["&amp;$I73&amp;"]","[dim_channel].[channel_code].&amp;[POS]",Slicer_channel_name,Slicer_country))</f>
        <v>10</v>
      </c>
      <c r="S73">
        <f>IF(ISNA(Q73),0,IF(R73&gt;0,Q73,0))</f>
        <v>-11.343539999989327</v>
      </c>
      <c r="T73">
        <f>IF(ISNA(Q73),0,IF(R73&gt;0,0,Q73))</f>
        <v>0</v>
      </c>
      <c r="U73">
        <f>IF(ISNA(M73),NA(),N(CUBEVALUE("ThisWorkbookDataModel","[Measures].[Return Rate]","[dim_date].[month_id].&amp;["&amp;$I73&amp;"]",Slicer_channel_name,Slicer_country))*100)</f>
        <v>1.1285619073470714</v>
      </c>
      <c r="V73" t="e">
        <f>NA()</f>
        <v>#N/A</v>
      </c>
      <c r="W73">
        <f>IF(ISNA(M73),NA(),N(CUBEVALUE("ThisWorkbookDataModel","[Measures].[Cancelled Orders]","[dim_date].[month_id].&amp;["&amp;$I73&amp;"]",Slicer_channel_name,Slicer_country)))</f>
        <v>24</v>
      </c>
      <c r="X73">
        <f>IF(ISNA(M73),NA(),N(CUBEVALUE("ThisWorkbookDataModel","[Measures].[Pending Orders]","[dim_date].[month_id].&amp;["&amp;$I73&amp;"]",Slicer_channel_name,Slicer_country)))</f>
        <v>0</v>
      </c>
      <c r="Y73">
        <f>IF($B$16=1,N(CUBEVALUE("ThisWorkbookDataModel","[Measures].[Δ Finance]","[dim_date].[month_id].&amp;["&amp;$I73&amp;"]","[dim_channel].[channel_code].&amp;[ONLINE]",Slicer_channel_name,Slicer_country))/1000,NA())</f>
        <v>-17.488289999999864</v>
      </c>
      <c r="Z73">
        <f>IF($B$16=1,N(CUBEVALUE("ThisWorkbookDataModel","[Measures].[Δ sau quy đổi]","[dim_date].[month_id].&amp;["&amp;$I73&amp;"]","[dim_channel].[channel_code].&amp;[ONLINE]",Slicer_channel_name,Slicer_country))/1000,NA())</f>
        <v>-2.4999999999883584E-2</v>
      </c>
      <c r="AB73" t="s">
        <v>227</v>
      </c>
      <c r="AC73" t="s">
        <v>117</v>
      </c>
    </row>
    <row r="74" spans="9:35" x14ac:dyDescent="0.25">
      <c r="I74">
        <f>YEAR(DATE(INT($B$7/100),MOD($B$7,100)-9,1))*100+MONTH(DATE(INT($B$7/100),MOD($B$7,100)-9,1))</f>
        <v>202003</v>
      </c>
      <c r="J74" t="str">
        <f>RIGHT("0"&amp;MOD(I74,100),2)&amp;"/"&amp;RIGHT(INT(I74/100),2)</f>
        <v>03/20</v>
      </c>
      <c r="K74">
        <f>IF(ISNA(M74),NA(),N(CUBEVALUE("ThisWorkbookDataModel","[Measures].[Net Revenue]","[dim_date].[month_id].&amp;["&amp;$I74&amp;"]",Slicer_channel_name,Slicer_country))/1000)</f>
        <v>614.14520999999957</v>
      </c>
      <c r="L74" t="e">
        <f>NA()</f>
        <v>#N/A</v>
      </c>
      <c r="M74">
        <f>IF(N(CUBEVALUE("ThisWorkbookDataModel","[Measures].[Orders]","[dim_date].[month_id].&amp;["&amp;$I74&amp;"]",Slicer_channel_name,Slicer_country))=0,NA(),N(CUBEVALUE("ThisWorkbookDataModel","[Measures].[Orders]","[dim_date].[month_id].&amp;["&amp;$I74&amp;"]",Slicer_channel_name,Slicer_country)))</f>
        <v>325</v>
      </c>
      <c r="N74" t="e">
        <f>NA()</f>
        <v>#N/A</v>
      </c>
      <c r="O74">
        <f>IF(ISNA(M74),NA(),N(CUBEVALUE("ThisWorkbookDataModel","[Measures].[AOV]","[dim_date].[month_id].&amp;["&amp;$I74&amp;"]",Slicer_channel_name,Slicer_country)))</f>
        <v>2010.3780923076913</v>
      </c>
      <c r="P74" t="e">
        <f>NA()</f>
        <v>#N/A</v>
      </c>
      <c r="Q74">
        <f>IF(ISNA(M74),NA(),N(CUBEVALUE("ThisWorkbookDataModel","[Measures].[Δ sau quy đổi]","[dim_date].[month_id].&amp;["&amp;$I74&amp;"]",Slicer_channel_name,Slicer_country))/1000)</f>
        <v>-0.36694999999972061</v>
      </c>
      <c r="R74">
        <f>N(CUBEVALUE("ThisWorkbookDataModel","[Measures].[Số cửa hàng vượt ngưỡng]","[dim_date].[month_id].&amp;["&amp;$I74&amp;"]","[dim_channel].[channel_code].&amp;[POS]",Slicer_channel_name,Slicer_country))</f>
        <v>3</v>
      </c>
      <c r="S74">
        <f>IF(ISNA(Q74),0,IF(R74&gt;0,Q74,0))</f>
        <v>-0.36694999999972061</v>
      </c>
      <c r="T74">
        <f>IF(ISNA(Q74),0,IF(R74&gt;0,0,Q74))</f>
        <v>0</v>
      </c>
      <c r="U74">
        <f>IF(ISNA(M74),NA(),N(CUBEVALUE("ThisWorkbookDataModel","[Measures].[Return Rate]","[dim_date].[month_id].&amp;["&amp;$I74&amp;"]",Slicer_channel_name,Slicer_country))*100)</f>
        <v>6.0038717860465862</v>
      </c>
      <c r="V74" t="e">
        <f>NA()</f>
        <v>#N/A</v>
      </c>
      <c r="W74">
        <f>IF(ISNA(M74),NA(),N(CUBEVALUE("ThisWorkbookDataModel","[Measures].[Cancelled Orders]","[dim_date].[month_id].&amp;["&amp;$I74&amp;"]",Slicer_channel_name,Slicer_country)))</f>
        <v>7</v>
      </c>
      <c r="X74">
        <f>IF(ISNA(M74),NA(),N(CUBEVALUE("ThisWorkbookDataModel","[Measures].[Pending Orders]","[dim_date].[month_id].&amp;["&amp;$I74&amp;"]",Slicer_channel_name,Slicer_country)))</f>
        <v>0</v>
      </c>
      <c r="Y74">
        <f>IF($B$16=1,N(CUBEVALUE("ThisWorkbookDataModel","[Measures].[Δ Finance]","[dim_date].[month_id].&amp;["&amp;$I74&amp;"]","[dim_channel].[channel_code].&amp;[ONLINE]",Slicer_channel_name,Slicer_country))/1000,NA())</f>
        <v>67.11799000000002</v>
      </c>
      <c r="Z74">
        <f>IF($B$16=1,N(CUBEVALUE("ThisWorkbookDataModel","[Measures].[Δ sau quy đổi]","[dim_date].[month_id].&amp;["&amp;$I74&amp;"]","[dim_channel].[channel_code].&amp;[ONLINE]",Slicer_channel_name,Slicer_country))/1000,NA())</f>
        <v>0.86999999999985445</v>
      </c>
      <c r="AB74" t="s">
        <v>229</v>
      </c>
      <c r="AC74" t="s">
        <v>117</v>
      </c>
    </row>
    <row r="75" spans="9:35" x14ac:dyDescent="0.25">
      <c r="I75">
        <f>YEAR(DATE(INT($B$7/100),MOD($B$7,100)-8,1))*100+MONTH(DATE(INT($B$7/100),MOD($B$7,100)-8,1))</f>
        <v>202004</v>
      </c>
      <c r="J75" t="str">
        <f>RIGHT("0"&amp;MOD(I75,100),2)&amp;"/"&amp;RIGHT(INT(I75/100),2)</f>
        <v>04/20</v>
      </c>
      <c r="K75">
        <f>IF(ISNA(M75),NA(),N(CUBEVALUE("ThisWorkbookDataModel","[Measures].[Net Revenue]","[dim_date].[month_id].&amp;["&amp;$I75&amp;"]",Slicer_channel_name,Slicer_country))/1000)</f>
        <v>202.94221000000002</v>
      </c>
      <c r="L75" t="e">
        <f>NA()</f>
        <v>#N/A</v>
      </c>
      <c r="M75">
        <f>IF(N(CUBEVALUE("ThisWorkbookDataModel","[Measures].[Orders]","[dim_date].[month_id].&amp;["&amp;$I75&amp;"]",Slicer_channel_name,Slicer_country))=0,NA(),N(CUBEVALUE("ThisWorkbookDataModel","[Measures].[Orders]","[dim_date].[month_id].&amp;["&amp;$I75&amp;"]",Slicer_channel_name,Slicer_country)))</f>
        <v>79</v>
      </c>
      <c r="N75" t="e">
        <f>NA()</f>
        <v>#N/A</v>
      </c>
      <c r="O75">
        <f>IF(ISNA(M75),NA(),N(CUBEVALUE("ThisWorkbookDataModel","[Measures].[AOV]","[dim_date].[month_id].&amp;["&amp;$I75&amp;"]",Slicer_channel_name,Slicer_country)))</f>
        <v>2692.6372151898736</v>
      </c>
      <c r="P75" t="e">
        <f>NA()</f>
        <v>#N/A</v>
      </c>
      <c r="Q75">
        <f>IF(ISNA(M75),NA(),N(CUBEVALUE("ThisWorkbookDataModel","[Measures].[Δ sau quy đổi]","[dim_date].[month_id].&amp;["&amp;$I75&amp;"]",Slicer_channel_name,Slicer_country))/1000)</f>
        <v>-0.87</v>
      </c>
      <c r="R75">
        <f>N(CUBEVALUE("ThisWorkbookDataModel","[Measures].[Số cửa hàng vượt ngưỡng]","[dim_date].[month_id].&amp;["&amp;$I75&amp;"]","[dim_channel].[channel_code].&amp;[POS]",Slicer_channel_name,Slicer_country))</f>
        <v>0</v>
      </c>
      <c r="S75">
        <f>IF(ISNA(Q75),0,IF(R75&gt;0,Q75,0))</f>
        <v>0</v>
      </c>
      <c r="T75">
        <f>IF(ISNA(Q75),0,IF(R75&gt;0,0,Q75))</f>
        <v>-0.87</v>
      </c>
      <c r="U75">
        <f>IF(ISNA(M75),NA(),N(CUBEVALUE("ThisWorkbookDataModel","[Measures].[Return Rate]","[dim_date].[month_id].&amp;["&amp;$I75&amp;"]",Slicer_channel_name,Slicer_country))*100)</f>
        <v>4.5958096513915994</v>
      </c>
      <c r="V75" t="e">
        <f>NA()</f>
        <v>#N/A</v>
      </c>
      <c r="W75">
        <f>IF(ISNA(M75),NA(),N(CUBEVALUE("ThisWorkbookDataModel","[Measures].[Cancelled Orders]","[dim_date].[month_id].&amp;["&amp;$I75&amp;"]",Slicer_channel_name,Slicer_country)))</f>
        <v>1</v>
      </c>
      <c r="X75">
        <f>IF(ISNA(M75),NA(),N(CUBEVALUE("ThisWorkbookDataModel","[Measures].[Pending Orders]","[dim_date].[month_id].&amp;["&amp;$I75&amp;"]",Slicer_channel_name,Slicer_country)))</f>
        <v>0</v>
      </c>
      <c r="Y75">
        <f>IF($B$16=1,N(CUBEVALUE("ThisWorkbookDataModel","[Measures].[Δ Finance]","[dim_date].[month_id].&amp;["&amp;$I75&amp;"]","[dim_channel].[channel_code].&amp;[ONLINE]",Slicer_channel_name,Slicer_country))/1000,NA())</f>
        <v>-46.927780000000013</v>
      </c>
      <c r="Z75">
        <f>IF($B$16=1,N(CUBEVALUE("ThisWorkbookDataModel","[Measures].[Δ sau quy đổi]","[dim_date].[month_id].&amp;["&amp;$I75&amp;"]","[dim_channel].[channel_code].&amp;[ONLINE]",Slicer_channel_name,Slicer_country))/1000,NA())</f>
        <v>-0.86999999999999633</v>
      </c>
      <c r="AB75" t="s">
        <v>231</v>
      </c>
      <c r="AC75" t="s">
        <v>117</v>
      </c>
      <c r="AF75" s="1" t="s">
        <v>264</v>
      </c>
      <c r="AG75" t="s">
        <v>28</v>
      </c>
      <c r="AH75" t="s">
        <v>34</v>
      </c>
      <c r="AI75" t="s">
        <v>38</v>
      </c>
    </row>
    <row r="76" spans="9:35" x14ac:dyDescent="0.25">
      <c r="I76">
        <f>YEAR(DATE(INT($B$7/100),MOD($B$7,100)-7,1))*100+MONTH(DATE(INT($B$7/100),MOD($B$7,100)-7,1))</f>
        <v>202005</v>
      </c>
      <c r="J76" t="str">
        <f>RIGHT("0"&amp;MOD(I76,100),2)&amp;"/"&amp;RIGHT(INT(I76/100),2)</f>
        <v>05/20</v>
      </c>
      <c r="K76">
        <f>IF(ISNA(M76),NA(),N(CUBEVALUE("ThisWorkbookDataModel","[Measures].[Net Revenue]","[dim_date].[month_id].&amp;["&amp;$I76&amp;"]",Slicer_channel_name,Slicer_country))/1000)</f>
        <v>837.3102599999977</v>
      </c>
      <c r="L76" t="e">
        <f>NA()</f>
        <v>#N/A</v>
      </c>
      <c r="M76">
        <f>IF(N(CUBEVALUE("ThisWorkbookDataModel","[Measures].[Orders]","[dim_date].[month_id].&amp;["&amp;$I76&amp;"]",Slicer_channel_name,Slicer_country))=0,NA(),N(CUBEVALUE("ThisWorkbookDataModel","[Measures].[Orders]","[dim_date].[month_id].&amp;["&amp;$I76&amp;"]",Slicer_channel_name,Slicer_country)))</f>
        <v>448</v>
      </c>
      <c r="N76" t="e">
        <f>NA()</f>
        <v>#N/A</v>
      </c>
      <c r="O76">
        <f>IF(ISNA(M76),NA(),N(CUBEVALUE("ThisWorkbookDataModel","[Measures].[AOV]","[dim_date].[month_id].&amp;["&amp;$I76&amp;"]",Slicer_channel_name,Slicer_country)))</f>
        <v>1914.7871874999948</v>
      </c>
      <c r="P76" t="e">
        <f>NA()</f>
        <v>#N/A</v>
      </c>
      <c r="Q76">
        <f>IF(ISNA(M76),NA(),N(CUBEVALUE("ThisWorkbookDataModel","[Measures].[Δ sau quy đổi]","[dim_date].[month_id].&amp;["&amp;$I76&amp;"]",Slicer_channel_name,Slicer_country))/1000)</f>
        <v>1.7139900000010384</v>
      </c>
      <c r="R76">
        <f>N(CUBEVALUE("ThisWorkbookDataModel","[Measures].[Số cửa hàng vượt ngưỡng]","[dim_date].[month_id].&amp;["&amp;$I76&amp;"]","[dim_channel].[channel_code].&amp;[POS]",Slicer_channel_name,Slicer_country))</f>
        <v>0</v>
      </c>
      <c r="S76">
        <f>IF(ISNA(Q76),0,IF(R76&gt;0,Q76,0))</f>
        <v>0</v>
      </c>
      <c r="T76">
        <f>IF(ISNA(Q76),0,IF(R76&gt;0,0,Q76))</f>
        <v>1.7139900000010384</v>
      </c>
      <c r="U76">
        <f>IF(ISNA(M76),NA(),N(CUBEVALUE("ThisWorkbookDataModel","[Measures].[Return Rate]","[dim_date].[month_id].&amp;["&amp;$I76&amp;"]",Slicer_channel_name,Slicer_country))*100)</f>
        <v>2.39144442408546</v>
      </c>
      <c r="V76" t="e">
        <f>NA()</f>
        <v>#N/A</v>
      </c>
      <c r="W76">
        <f>IF(ISNA(M76),NA(),N(CUBEVALUE("ThisWorkbookDataModel","[Measures].[Cancelled Orders]","[dim_date].[month_id].&amp;["&amp;$I76&amp;"]",Slicer_channel_name,Slicer_country)))</f>
        <v>7</v>
      </c>
      <c r="X76">
        <f>IF(ISNA(M76),NA(),N(CUBEVALUE("ThisWorkbookDataModel","[Measures].[Pending Orders]","[dim_date].[month_id].&amp;["&amp;$I76&amp;"]",Slicer_channel_name,Slicer_country)))</f>
        <v>0</v>
      </c>
      <c r="Y76">
        <f>IF($B$16=1,N(CUBEVALUE("ThisWorkbookDataModel","[Measures].[Δ Finance]","[dim_date].[month_id].&amp;["&amp;$I76&amp;"]","[dim_channel].[channel_code].&amp;[ONLINE]",Slicer_channel_name,Slicer_country))/1000,NA())</f>
        <v>27.19735999999984</v>
      </c>
      <c r="Z76">
        <f>IF($B$16=1,N(CUBEVALUE("ThisWorkbookDataModel","[Measures].[Δ sau quy đổi]","[dim_date].[month_id].&amp;["&amp;$I76&amp;"]","[dim_channel].[channel_code].&amp;[ONLINE]",Slicer_channel_name,Slicer_country))/1000,NA())</f>
        <v>1.7039999999998254</v>
      </c>
      <c r="AB76" t="s">
        <v>233</v>
      </c>
      <c r="AC76" t="s">
        <v>117</v>
      </c>
      <c r="AF76" t="s">
        <v>265</v>
      </c>
      <c r="AG76" s="2">
        <v>460918.77999999991</v>
      </c>
      <c r="AH76" s="2">
        <v>224</v>
      </c>
      <c r="AI76" s="2">
        <v>2057.6731249999998</v>
      </c>
    </row>
    <row r="77" spans="9:35" x14ac:dyDescent="0.25">
      <c r="I77">
        <f>YEAR(DATE(INT($B$7/100),MOD($B$7,100)-6,1))*100+MONTH(DATE(INT($B$7/100),MOD($B$7,100)-6,1))</f>
        <v>202006</v>
      </c>
      <c r="J77" t="str">
        <f>RIGHT("0"&amp;MOD(I77,100),2)&amp;"/"&amp;RIGHT(INT(I77/100),2)</f>
        <v>06/20</v>
      </c>
      <c r="K77">
        <f>IF(ISNA(M77),NA(),N(CUBEVALUE("ThisWorkbookDataModel","[Measures].[Net Revenue]","[dim_date].[month_id].&amp;["&amp;$I77&amp;"]",Slicer_channel_name,Slicer_country))/1000)</f>
        <v>714.33339999999919</v>
      </c>
      <c r="L77" t="e">
        <f>NA()</f>
        <v>#N/A</v>
      </c>
      <c r="M77">
        <f>IF(N(CUBEVALUE("ThisWorkbookDataModel","[Measures].[Orders]","[dim_date].[month_id].&amp;["&amp;$I77&amp;"]",Slicer_channel_name,Slicer_country))=0,NA(),N(CUBEVALUE("ThisWorkbookDataModel","[Measures].[Orders]","[dim_date].[month_id].&amp;["&amp;$I77&amp;"]",Slicer_channel_name,Slicer_country)))</f>
        <v>345</v>
      </c>
      <c r="N77" t="e">
        <f>NA()</f>
        <v>#N/A</v>
      </c>
      <c r="O77">
        <f>IF(ISNA(M77),NA(),N(CUBEVALUE("ThisWorkbookDataModel","[Measures].[AOV]","[dim_date].[month_id].&amp;["&amp;$I77&amp;"]",Slicer_channel_name,Slicer_country)))</f>
        <v>2116.5594492753598</v>
      </c>
      <c r="P77" t="e">
        <f>NA()</f>
        <v>#N/A</v>
      </c>
      <c r="Q77">
        <f>IF(ISNA(M77),NA(),N(CUBEVALUE("ThisWorkbookDataModel","[Measures].[Δ sau quy đổi]","[dim_date].[month_id].&amp;["&amp;$I77&amp;"]",Slicer_channel_name,Slicer_country))/1000)</f>
        <v>3.4446100000002189</v>
      </c>
      <c r="R77">
        <f>N(CUBEVALUE("ThisWorkbookDataModel","[Measures].[Số cửa hàng vượt ngưỡng]","[dim_date].[month_id].&amp;["&amp;$I77&amp;"]","[dim_channel].[channel_code].&amp;[POS]",Slicer_channel_name,Slicer_country))</f>
        <v>3</v>
      </c>
      <c r="S77">
        <f>IF(ISNA(Q77),0,IF(R77&gt;0,Q77,0))</f>
        <v>3.4446100000002189</v>
      </c>
      <c r="T77">
        <f>IF(ISNA(Q77),0,IF(R77&gt;0,0,Q77))</f>
        <v>0</v>
      </c>
      <c r="U77">
        <f>IF(ISNA(M77),NA(),N(CUBEVALUE("ThisWorkbookDataModel","[Measures].[Return Rate]","[dim_date].[month_id].&amp;["&amp;$I77&amp;"]",Slicer_channel_name,Slicer_country))*100)</f>
        <v>2.1746544888319668</v>
      </c>
      <c r="V77" t="e">
        <f>NA()</f>
        <v>#N/A</v>
      </c>
      <c r="W77">
        <f>IF(ISNA(M77),NA(),N(CUBEVALUE("ThisWorkbookDataModel","[Measures].[Cancelled Orders]","[dim_date].[month_id].&amp;["&amp;$I77&amp;"]",Slicer_channel_name,Slicer_country)))</f>
        <v>12</v>
      </c>
      <c r="X77">
        <f>IF(ISNA(M77),NA(),N(CUBEVALUE("ThisWorkbookDataModel","[Measures].[Pending Orders]","[dim_date].[month_id].&amp;["&amp;$I77&amp;"]",Slicer_channel_name,Slicer_country)))</f>
        <v>0</v>
      </c>
      <c r="Y77">
        <f>IF($B$16=1,N(CUBEVALUE("ThisWorkbookDataModel","[Measures].[Δ Finance]","[dim_date].[month_id].&amp;["&amp;$I77&amp;"]","[dim_channel].[channel_code].&amp;[ONLINE]",Slicer_channel_name,Slicer_country))/1000,NA())</f>
        <v>-3.8694999999999711</v>
      </c>
      <c r="Z77">
        <f>IF($B$16=1,N(CUBEVALUE("ThisWorkbookDataModel","[Measures].[Δ sau quy đổi]","[dim_date].[month_id].&amp;["&amp;$I77&amp;"]","[dim_channel].[channel_code].&amp;[ONLINE]",Slicer_channel_name,Slicer_country))/1000,NA())</f>
        <v>-1.7039999999999709</v>
      </c>
      <c r="AB77" t="s">
        <v>235</v>
      </c>
      <c r="AC77" t="s">
        <v>117</v>
      </c>
      <c r="AF77" t="s">
        <v>266</v>
      </c>
      <c r="AG77" s="2">
        <v>154892.96000000005</v>
      </c>
      <c r="AH77" s="2">
        <v>86</v>
      </c>
      <c r="AI77" s="2">
        <v>1801.0809302325588</v>
      </c>
    </row>
    <row r="78" spans="9:35" x14ac:dyDescent="0.25">
      <c r="I78">
        <f>YEAR(DATE(INT($B$7/100),MOD($B$7,100)-5,1))*100+MONTH(DATE(INT($B$7/100),MOD($B$7,100)-5,1))</f>
        <v>202007</v>
      </c>
      <c r="J78" t="str">
        <f>RIGHT("0"&amp;MOD(I78,100),2)&amp;"/"&amp;RIGHT(INT(I78/100),2)</f>
        <v>07/20</v>
      </c>
      <c r="K78">
        <f>IF(ISNA(M78),NA(),N(CUBEVALUE("ThisWorkbookDataModel","[Measures].[Net Revenue]","[dim_date].[month_id].&amp;["&amp;$I78&amp;"]",Slicer_channel_name,Slicer_country))/1000)</f>
        <v>477.06366999999926</v>
      </c>
      <c r="L78" t="e">
        <f>NA()</f>
        <v>#N/A</v>
      </c>
      <c r="M78">
        <f>IF(N(CUBEVALUE("ThisWorkbookDataModel","[Measures].[Orders]","[dim_date].[month_id].&amp;["&amp;$I78&amp;"]",Slicer_channel_name,Slicer_country))=0,NA(),N(CUBEVALUE("ThisWorkbookDataModel","[Measures].[Orders]","[dim_date].[month_id].&amp;["&amp;$I78&amp;"]",Slicer_channel_name,Slicer_country)))</f>
        <v>245</v>
      </c>
      <c r="N78" t="e">
        <f>NA()</f>
        <v>#N/A</v>
      </c>
      <c r="O78">
        <f>IF(ISNA(M78),NA(),N(CUBEVALUE("ThisWorkbookDataModel","[Measures].[AOV]","[dim_date].[month_id].&amp;["&amp;$I78&amp;"]",Slicer_channel_name,Slicer_country)))</f>
        <v>2016.7854285714257</v>
      </c>
      <c r="P78" t="e">
        <f>NA()</f>
        <v>#N/A</v>
      </c>
      <c r="Q78">
        <f>IF(ISNA(M78),NA(),N(CUBEVALUE("ThisWorkbookDataModel","[Measures].[Δ sau quy đổi]","[dim_date].[month_id].&amp;["&amp;$I78&amp;"]",Slicer_channel_name,Slicer_country))/1000)</f>
        <v>2.8319300000005749</v>
      </c>
      <c r="R78">
        <f>N(CUBEVALUE("ThisWorkbookDataModel","[Measures].[Số cửa hàng vượt ngưỡng]","[dim_date].[month_id].&amp;["&amp;$I78&amp;"]","[dim_channel].[channel_code].&amp;[POS]",Slicer_channel_name,Slicer_country))</f>
        <v>1</v>
      </c>
      <c r="S78">
        <f>IF(ISNA(Q78),0,IF(R78&gt;0,Q78,0))</f>
        <v>2.8319300000005749</v>
      </c>
      <c r="T78">
        <f>IF(ISNA(Q78),0,IF(R78&gt;0,0,Q78))</f>
        <v>0</v>
      </c>
      <c r="U78">
        <f>IF(ISNA(M78),NA(),N(CUBEVALUE("ThisWorkbookDataModel","[Measures].[Return Rate]","[dim_date].[month_id].&amp;["&amp;$I78&amp;"]",Slicer_channel_name,Slicer_country))*100)</f>
        <v>3.4503807159840165</v>
      </c>
      <c r="V78" t="e">
        <f>NA()</f>
        <v>#N/A</v>
      </c>
      <c r="W78">
        <f>IF(ISNA(M78),NA(),N(CUBEVALUE("ThisWorkbookDataModel","[Measures].[Cancelled Orders]","[dim_date].[month_id].&amp;["&amp;$I78&amp;"]",Slicer_channel_name,Slicer_country)))</f>
        <v>8</v>
      </c>
      <c r="X78">
        <f>IF(ISNA(M78),NA(),N(CUBEVALUE("ThisWorkbookDataModel","[Measures].[Pending Orders]","[dim_date].[month_id].&amp;["&amp;$I78&amp;"]",Slicer_channel_name,Slicer_country)))</f>
        <v>0</v>
      </c>
      <c r="Y78">
        <f>IF($B$16=1,N(CUBEVALUE("ThisWorkbookDataModel","[Measures].[Δ Finance]","[dim_date].[month_id].&amp;["&amp;$I78&amp;"]","[dim_channel].[channel_code].&amp;[ONLINE]",Slicer_channel_name,Slicer_country))/1000,NA())</f>
        <v>18.513259999999981</v>
      </c>
      <c r="Z78">
        <f>IF($B$16=1,N(CUBEVALUE("ThisWorkbookDataModel","[Measures].[Δ sau quy đổi]","[dim_date].[month_id].&amp;["&amp;$I78&amp;"]","[dim_channel].[channel_code].&amp;[ONLINE]",Slicer_channel_name,Slicer_country))/1000,NA())</f>
        <v>-2.9103830456733704E-14</v>
      </c>
      <c r="AB78" t="s">
        <v>237</v>
      </c>
      <c r="AC78" t="s">
        <v>117</v>
      </c>
    </row>
    <row r="79" spans="9:35" x14ac:dyDescent="0.25">
      <c r="I79">
        <f>YEAR(DATE(INT($B$7/100),MOD($B$7,100)-4,1))*100+MONTH(DATE(INT($B$7/100),MOD($B$7,100)-4,1))</f>
        <v>202008</v>
      </c>
      <c r="J79" t="str">
        <f>RIGHT("0"&amp;MOD(I79,100),2)&amp;"/"&amp;RIGHT(INT(I79/100),2)</f>
        <v>08/20</v>
      </c>
      <c r="K79">
        <f>IF(ISNA(M79),NA(),N(CUBEVALUE("ThisWorkbookDataModel","[Measures].[Net Revenue]","[dim_date].[month_id].&amp;["&amp;$I79&amp;"]",Slicer_channel_name,Slicer_country))/1000)</f>
        <v>378.42988999999994</v>
      </c>
      <c r="L79" t="e">
        <f>NA()</f>
        <v>#N/A</v>
      </c>
      <c r="M79">
        <f>IF(N(CUBEVALUE("ThisWorkbookDataModel","[Measures].[Orders]","[dim_date].[month_id].&amp;["&amp;$I79&amp;"]",Slicer_channel_name,Slicer_country))=0,NA(),N(CUBEVALUE("ThisWorkbookDataModel","[Measures].[Orders]","[dim_date].[month_id].&amp;["&amp;$I79&amp;"]",Slicer_channel_name,Slicer_country)))</f>
        <v>197</v>
      </c>
      <c r="N79" t="e">
        <f>NA()</f>
        <v>#N/A</v>
      </c>
      <c r="O79">
        <f>IF(ISNA(M79),NA(),N(CUBEVALUE("ThisWorkbookDataModel","[Measures].[AOV]","[dim_date].[month_id].&amp;["&amp;$I79&amp;"]",Slicer_channel_name,Slicer_country)))</f>
        <v>1964.3809644670048</v>
      </c>
      <c r="P79" t="e">
        <f>NA()</f>
        <v>#N/A</v>
      </c>
      <c r="Q79">
        <f>IF(ISNA(M79),NA(),N(CUBEVALUE("ThisWorkbookDataModel","[Measures].[Δ sau quy đổi]","[dim_date].[month_id].&amp;["&amp;$I79&amp;"]",Slicer_channel_name,Slicer_country))/1000)</f>
        <v>-1.1641532182693482E-13</v>
      </c>
      <c r="R79">
        <f>N(CUBEVALUE("ThisWorkbookDataModel","[Measures].[Số cửa hàng vượt ngưỡng]","[dim_date].[month_id].&amp;["&amp;$I79&amp;"]","[dim_channel].[channel_code].&amp;[POS]",Slicer_channel_name,Slicer_country))</f>
        <v>0</v>
      </c>
      <c r="S79">
        <f>IF(ISNA(Q79),0,IF(R79&gt;0,Q79,0))</f>
        <v>0</v>
      </c>
      <c r="T79">
        <f>IF(ISNA(Q79),0,IF(R79&gt;0,0,Q79))</f>
        <v>-1.1641532182693482E-13</v>
      </c>
      <c r="U79">
        <f>IF(ISNA(M79),NA(),N(CUBEVALUE("ThisWorkbookDataModel","[Measures].[Return Rate]","[dim_date].[month_id].&amp;["&amp;$I79&amp;"]",Slicer_channel_name,Slicer_country))*100)</f>
        <v>2.2102156670686228</v>
      </c>
      <c r="V79" t="e">
        <f>NA()</f>
        <v>#N/A</v>
      </c>
      <c r="W79">
        <f>IF(ISNA(M79),NA(),N(CUBEVALUE("ThisWorkbookDataModel","[Measures].[Cancelled Orders]","[dim_date].[month_id].&amp;["&amp;$I79&amp;"]",Slicer_channel_name,Slicer_country)))</f>
        <v>4</v>
      </c>
      <c r="X79">
        <f>IF(ISNA(M79),NA(),N(CUBEVALUE("ThisWorkbookDataModel","[Measures].[Pending Orders]","[dim_date].[month_id].&amp;["&amp;$I79&amp;"]",Slicer_channel_name,Slicer_country)))</f>
        <v>0</v>
      </c>
      <c r="Y79">
        <f>IF($B$16=1,N(CUBEVALUE("ThisWorkbookDataModel","[Measures].[Δ Finance]","[dim_date].[month_id].&amp;["&amp;$I79&amp;"]","[dim_channel].[channel_code].&amp;[ONLINE]",Slicer_channel_name,Slicer_country))/1000,NA())</f>
        <v>-0.21794999999998982</v>
      </c>
      <c r="Z79">
        <f>IF($B$16=1,N(CUBEVALUE("ThisWorkbookDataModel","[Measures].[Δ sau quy đổi]","[dim_date].[month_id].&amp;["&amp;$I79&amp;"]","[dim_channel].[channel_code].&amp;[ONLINE]",Slicer_channel_name,Slicer_country))/1000,NA())</f>
        <v>0</v>
      </c>
      <c r="AB79" t="s">
        <v>239</v>
      </c>
      <c r="AC79" t="s">
        <v>117</v>
      </c>
    </row>
    <row r="80" spans="9:35" x14ac:dyDescent="0.25">
      <c r="I80">
        <f>YEAR(DATE(INT($B$7/100),MOD($B$7,100)-3,1))*100+MONTH(DATE(INT($B$7/100),MOD($B$7,100)-3,1))</f>
        <v>202009</v>
      </c>
      <c r="J80" t="str">
        <f>RIGHT("0"&amp;MOD(I80,100),2)&amp;"/"&amp;RIGHT(INT(I80/100),2)</f>
        <v>09/20</v>
      </c>
      <c r="K80">
        <f>IF(ISNA(M80),NA(),N(CUBEVALUE("ThisWorkbookDataModel","[Measures].[Net Revenue]","[dim_date].[month_id].&amp;["&amp;$I80&amp;"]",Slicer_channel_name,Slicer_country))/1000)</f>
        <v>357.6370300000001</v>
      </c>
      <c r="L80" t="e">
        <f>NA()</f>
        <v>#N/A</v>
      </c>
      <c r="M80">
        <f>IF(N(CUBEVALUE("ThisWorkbookDataModel","[Measures].[Orders]","[dim_date].[month_id].&amp;["&amp;$I80&amp;"]",Slicer_channel_name,Slicer_country))=0,NA(),N(CUBEVALUE("ThisWorkbookDataModel","[Measures].[Orders]","[dim_date].[month_id].&amp;["&amp;$I80&amp;"]",Slicer_channel_name,Slicer_country)))</f>
        <v>174</v>
      </c>
      <c r="N80" t="e">
        <f>NA()</f>
        <v>#N/A</v>
      </c>
      <c r="O80">
        <f>IF(ISNA(M80),NA(),N(CUBEVALUE("ThisWorkbookDataModel","[Measures].[AOV]","[dim_date].[month_id].&amp;["&amp;$I80&amp;"]",Slicer_channel_name,Slicer_country)))</f>
        <v>2064.2978735632187</v>
      </c>
      <c r="P80" t="e">
        <f>NA()</f>
        <v>#N/A</v>
      </c>
      <c r="Q80">
        <f>IF(ISNA(M80),NA(),N(CUBEVALUE("ThisWorkbookDataModel","[Measures].[Δ sau quy đổi]","[dim_date].[month_id].&amp;["&amp;$I80&amp;"]",Slicer_channel_name,Slicer_country))/1000)</f>
        <v>0</v>
      </c>
      <c r="R80">
        <f>N(CUBEVALUE("ThisWorkbookDataModel","[Measures].[Số cửa hàng vượt ngưỡng]","[dim_date].[month_id].&amp;["&amp;$I80&amp;"]","[dim_channel].[channel_code].&amp;[POS]",Slicer_channel_name,Slicer_country))</f>
        <v>0</v>
      </c>
      <c r="S80">
        <f>IF(ISNA(Q80),0,IF(R80&gt;0,Q80,0))</f>
        <v>0</v>
      </c>
      <c r="T80">
        <f>IF(ISNA(Q80),0,IF(R80&gt;0,0,Q80))</f>
        <v>0</v>
      </c>
      <c r="U80">
        <f>IF(ISNA(M80),NA(),N(CUBEVALUE("ThisWorkbookDataModel","[Measures].[Return Rate]","[dim_date].[month_id].&amp;["&amp;$I80&amp;"]",Slicer_channel_name,Slicer_country))*100)</f>
        <v>0.43175182188104749</v>
      </c>
      <c r="V80" t="e">
        <f>NA()</f>
        <v>#N/A</v>
      </c>
      <c r="W80">
        <f>IF(ISNA(M80),NA(),N(CUBEVALUE("ThisWorkbookDataModel","[Measures].[Cancelled Orders]","[dim_date].[month_id].&amp;["&amp;$I80&amp;"]",Slicer_channel_name,Slicer_country)))</f>
        <v>6</v>
      </c>
      <c r="X80">
        <f>IF(ISNA(M80),NA(),N(CUBEVALUE("ThisWorkbookDataModel","[Measures].[Pending Orders]","[dim_date].[month_id].&amp;["&amp;$I80&amp;"]",Slicer_channel_name,Slicer_country)))</f>
        <v>0</v>
      </c>
      <c r="Y80">
        <f>IF($B$16=1,N(CUBEVALUE("ThisWorkbookDataModel","[Measures].[Δ Finance]","[dim_date].[month_id].&amp;["&amp;$I80&amp;"]","[dim_channel].[channel_code].&amp;[ONLINE]",Slicer_channel_name,Slicer_country))/1000,NA())</f>
        <v>-4.5644999999999856</v>
      </c>
      <c r="Z80">
        <f>IF($B$16=1,N(CUBEVALUE("ThisWorkbookDataModel","[Measures].[Δ sau quy đổi]","[dim_date].[month_id].&amp;["&amp;$I80&amp;"]","[dim_channel].[channel_code].&amp;[ONLINE]",Slicer_channel_name,Slicer_country))/1000,NA())</f>
        <v>1.4551915228366852E-14</v>
      </c>
      <c r="AB80" t="s">
        <v>241</v>
      </c>
      <c r="AC80" t="s">
        <v>117</v>
      </c>
    </row>
    <row r="81" spans="9:35" x14ac:dyDescent="0.25">
      <c r="I81">
        <f>YEAR(DATE(INT($B$7/100),MOD($B$7,100)-2,1))*100+MONTH(DATE(INT($B$7/100),MOD($B$7,100)-2,1))</f>
        <v>202010</v>
      </c>
      <c r="J81" t="str">
        <f>RIGHT("0"&amp;MOD(I81,100),2)&amp;"/"&amp;RIGHT(INT(I81/100),2)</f>
        <v>10/20</v>
      </c>
      <c r="K81">
        <f>IF(ISNA(M81),NA(),N(CUBEVALUE("ThisWorkbookDataModel","[Measures].[Net Revenue]","[dim_date].[month_id].&amp;["&amp;$I81&amp;"]",Slicer_channel_name,Slicer_country))/1000)</f>
        <v>237.12771000000012</v>
      </c>
      <c r="L81" t="e">
        <f>NA()</f>
        <v>#N/A</v>
      </c>
      <c r="M81">
        <f>IF(N(CUBEVALUE("ThisWorkbookDataModel","[Measures].[Orders]","[dim_date].[month_id].&amp;["&amp;$I81&amp;"]",Slicer_channel_name,Slicer_country))=0,NA(),N(CUBEVALUE("ThisWorkbookDataModel","[Measures].[Orders]","[dim_date].[month_id].&amp;["&amp;$I81&amp;"]",Slicer_channel_name,Slicer_country)))</f>
        <v>157</v>
      </c>
      <c r="N81" t="e">
        <f>NA()</f>
        <v>#N/A</v>
      </c>
      <c r="O81">
        <f>IF(ISNA(M81),NA(),N(CUBEVALUE("ThisWorkbookDataModel","[Measures].[AOV]","[dim_date].[month_id].&amp;["&amp;$I81&amp;"]",Slicer_channel_name,Slicer_country)))</f>
        <v>1538.7912738853508</v>
      </c>
      <c r="P81" t="e">
        <f>NA()</f>
        <v>#N/A</v>
      </c>
      <c r="Q81">
        <f>IF(ISNA(M81),NA(),N(CUBEVALUE("ThisWorkbookDataModel","[Measures].[Δ sau quy đổi]","[dim_date].[month_id].&amp;["&amp;$I81&amp;"]",Slicer_channel_name,Slicer_country))/1000)</f>
        <v>-1.4551915228366852E-13</v>
      </c>
      <c r="R81">
        <f>N(CUBEVALUE("ThisWorkbookDataModel","[Measures].[Số cửa hàng vượt ngưỡng]","[dim_date].[month_id].&amp;["&amp;$I81&amp;"]","[dim_channel].[channel_code].&amp;[POS]",Slicer_channel_name,Slicer_country))</f>
        <v>0</v>
      </c>
      <c r="S81">
        <f>IF(ISNA(Q81),0,IF(R81&gt;0,Q81,0))</f>
        <v>0</v>
      </c>
      <c r="T81">
        <f>IF(ISNA(Q81),0,IF(R81&gt;0,0,Q81))</f>
        <v>-1.4551915228366852E-13</v>
      </c>
      <c r="U81">
        <f>IF(ISNA(M81),NA(),N(CUBEVALUE("ThisWorkbookDataModel","[Measures].[Return Rate]","[dim_date].[month_id].&amp;["&amp;$I81&amp;"]",Slicer_channel_name,Slicer_country))*100)</f>
        <v>1.8471442326123861</v>
      </c>
      <c r="V81" t="e">
        <f>NA()</f>
        <v>#N/A</v>
      </c>
      <c r="W81">
        <f>IF(ISNA(M81),NA(),N(CUBEVALUE("ThisWorkbookDataModel","[Measures].[Cancelled Orders]","[dim_date].[month_id].&amp;["&amp;$I81&amp;"]",Slicer_channel_name,Slicer_country)))</f>
        <v>2</v>
      </c>
      <c r="X81">
        <f>IF(ISNA(M81),NA(),N(CUBEVALUE("ThisWorkbookDataModel","[Measures].[Pending Orders]","[dim_date].[month_id].&amp;["&amp;$I81&amp;"]",Slicer_channel_name,Slicer_country)))</f>
        <v>0</v>
      </c>
      <c r="Y81">
        <f>IF($B$16=1,N(CUBEVALUE("ThisWorkbookDataModel","[Measures].[Δ Finance]","[dim_date].[month_id].&amp;["&amp;$I81&amp;"]","[dim_channel].[channel_code].&amp;[ONLINE]",Slicer_channel_name,Slicer_country))/1000,NA())</f>
        <v>7.1910300000000209</v>
      </c>
      <c r="Z81">
        <f>IF($B$16=1,N(CUBEVALUE("ThisWorkbookDataModel","[Measures].[Δ sau quy đổi]","[dim_date].[month_id].&amp;["&amp;$I81&amp;"]","[dim_channel].[channel_code].&amp;[ONLINE]",Slicer_channel_name,Slicer_country))/1000,NA())</f>
        <v>-7.2759576141834261E-15</v>
      </c>
      <c r="AB81" t="s">
        <v>243</v>
      </c>
      <c r="AC81" t="s">
        <v>117</v>
      </c>
    </row>
    <row r="82" spans="9:35" x14ac:dyDescent="0.25">
      <c r="I82">
        <f>YEAR(DATE(INT($B$7/100),MOD($B$7,100)-1,1))*100+MONTH(DATE(INT($B$7/100),MOD($B$7,100)-1,1))</f>
        <v>202011</v>
      </c>
      <c r="J82" t="str">
        <f>RIGHT("0"&amp;MOD(I82,100),2)&amp;"/"&amp;RIGHT(INT(I82/100),2)</f>
        <v>11/20</v>
      </c>
      <c r="K82">
        <f>IF(ISNA(M82),NA(),N(CUBEVALUE("ThisWorkbookDataModel","[Measures].[Net Revenue]","[dim_date].[month_id].&amp;["&amp;$I82&amp;"]",Slicer_channel_name,Slicer_country))/1000)</f>
        <v>238.03668000000016</v>
      </c>
      <c r="L82" t="e">
        <f>NA()</f>
        <v>#N/A</v>
      </c>
      <c r="M82">
        <f>IF(N(CUBEVALUE("ThisWorkbookDataModel","[Measures].[Orders]","[dim_date].[month_id].&amp;["&amp;$I82&amp;"]",Slicer_channel_name,Slicer_country))=0,NA(),N(CUBEVALUE("ThisWorkbookDataModel","[Measures].[Orders]","[dim_date].[month_id].&amp;["&amp;$I82&amp;"]",Slicer_channel_name,Slicer_country)))</f>
        <v>145</v>
      </c>
      <c r="N82" t="e">
        <f>NA()</f>
        <v>#N/A</v>
      </c>
      <c r="O82">
        <f>IF(ISNA(M82),NA(),N(CUBEVALUE("ThisWorkbookDataModel","[Measures].[AOV]","[dim_date].[month_id].&amp;["&amp;$I82&amp;"]",Slicer_channel_name,Slicer_country)))</f>
        <v>1665.2204137931046</v>
      </c>
      <c r="P82" t="e">
        <f>NA()</f>
        <v>#N/A</v>
      </c>
      <c r="Q82">
        <f>IF(ISNA(M82),NA(),N(CUBEVALUE("ThisWorkbookDataModel","[Measures].[Δ sau quy đổi]","[dim_date].[month_id].&amp;["&amp;$I82&amp;"]",Slicer_channel_name,Slicer_country))/1000)</f>
        <v>-1.1641532182693482E-13</v>
      </c>
      <c r="R82">
        <f>N(CUBEVALUE("ThisWorkbookDataModel","[Measures].[Số cửa hàng vượt ngưỡng]","[dim_date].[month_id].&amp;["&amp;$I82&amp;"]","[dim_channel].[channel_code].&amp;[POS]",Slicer_channel_name,Slicer_country))</f>
        <v>0</v>
      </c>
      <c r="S82">
        <f>IF(ISNA(Q82),0,IF(R82&gt;0,Q82,0))</f>
        <v>0</v>
      </c>
      <c r="T82">
        <f>IF(ISNA(Q82),0,IF(R82&gt;0,0,Q82))</f>
        <v>-1.1641532182693482E-13</v>
      </c>
      <c r="U82">
        <f>IF(ISNA(M82),NA(),N(CUBEVALUE("ThisWorkbookDataModel","[Measures].[Return Rate]","[dim_date].[month_id].&amp;["&amp;$I82&amp;"]",Slicer_channel_name,Slicer_country))*100)</f>
        <v>1.4165174613314098</v>
      </c>
      <c r="V82" t="e">
        <f>NA()</f>
        <v>#N/A</v>
      </c>
      <c r="W82">
        <f>IF(ISNA(M82),NA(),N(CUBEVALUE("ThisWorkbookDataModel","[Measures].[Cancelled Orders]","[dim_date].[month_id].&amp;["&amp;$I82&amp;"]",Slicer_channel_name,Slicer_country)))</f>
        <v>4</v>
      </c>
      <c r="X82">
        <f>IF(ISNA(M82),NA(),N(CUBEVALUE("ThisWorkbookDataModel","[Measures].[Pending Orders]","[dim_date].[month_id].&amp;["&amp;$I82&amp;"]",Slicer_channel_name,Slicer_country)))</f>
        <v>0</v>
      </c>
      <c r="Y82">
        <f>IF($B$16=1,N(CUBEVALUE("ThisWorkbookDataModel","[Measures].[Δ Finance]","[dim_date].[month_id].&amp;["&amp;$I82&amp;"]","[dim_channel].[channel_code].&amp;[ONLINE]",Slicer_channel_name,Slicer_country))/1000,NA())</f>
        <v>-5.5774699999999937</v>
      </c>
      <c r="Z82">
        <f>IF($B$16=1,N(CUBEVALUE("ThisWorkbookDataModel","[Measures].[Δ sau quy đổi]","[dim_date].[month_id].&amp;["&amp;$I82&amp;"]","[dim_channel].[channel_code].&amp;[ONLINE]",Slicer_channel_name,Slicer_country))/1000,NA())</f>
        <v>0</v>
      </c>
      <c r="AB82" t="s">
        <v>245</v>
      </c>
      <c r="AC82" t="s">
        <v>117</v>
      </c>
    </row>
    <row r="83" spans="9:35" x14ac:dyDescent="0.25">
      <c r="I83">
        <f>YEAR(DATE(INT($B$7/100),MOD($B$7,100)-0,1))*100+MONTH(DATE(INT($B$7/100),MOD($B$7,100)-0,1))</f>
        <v>202012</v>
      </c>
      <c r="J83" t="str">
        <f>RIGHT("0"&amp;MOD(I83,100),2)&amp;"/"&amp;RIGHT(INT(I83/100),2)</f>
        <v>12/20</v>
      </c>
      <c r="K83">
        <f>IF(ISNA(M83),NA(),N(CUBEVALUE("ThisWorkbookDataModel","[Measures].[Net Revenue]","[dim_date].[month_id].&amp;["&amp;$I83&amp;"]",Slicer_channel_name,Slicer_country))/1000)</f>
        <v>606.12506999999971</v>
      </c>
      <c r="L83">
        <f>K83</f>
        <v>606.12506999999971</v>
      </c>
      <c r="M83">
        <f>IF(N(CUBEVALUE("ThisWorkbookDataModel","[Measures].[Orders]","[dim_date].[month_id].&amp;["&amp;$I83&amp;"]",Slicer_channel_name,Slicer_country))=0,NA(),N(CUBEVALUE("ThisWorkbookDataModel","[Measures].[Orders]","[dim_date].[month_id].&amp;["&amp;$I83&amp;"]",Slicer_channel_name,Slicer_country)))</f>
        <v>310</v>
      </c>
      <c r="N83">
        <f>M83</f>
        <v>310</v>
      </c>
      <c r="O83">
        <f>IF(ISNA(M83),NA(),N(CUBEVALUE("ThisWorkbookDataModel","[Measures].[AOV]","[dim_date].[month_id].&amp;["&amp;$I83&amp;"]",Slicer_channel_name,Slicer_country)))</f>
        <v>1986.489483870967</v>
      </c>
      <c r="P83">
        <f>O83</f>
        <v>1986.489483870967</v>
      </c>
      <c r="Q83">
        <f>IF(ISNA(M83),NA(),N(CUBEVALUE("ThisWorkbookDataModel","[Measures].[Δ sau quy đổi]","[dim_date].[month_id].&amp;["&amp;$I83&amp;"]",Slicer_channel_name,Slicer_country))/1000)</f>
        <v>10.275959999999962</v>
      </c>
      <c r="R83">
        <f>N(CUBEVALUE("ThisWorkbookDataModel","[Measures].[Số cửa hàng vượt ngưỡng]","[dim_date].[month_id].&amp;["&amp;$I83&amp;"]","[dim_channel].[channel_code].&amp;[POS]",Slicer_channel_name,Slicer_country))</f>
        <v>1</v>
      </c>
      <c r="S83">
        <f>IF(ISNA(Q83),0,IF(R83&gt;0,Q83,0))</f>
        <v>10.275959999999962</v>
      </c>
      <c r="T83">
        <f>IF(ISNA(Q83),0,IF(R83&gt;0,0,Q83))</f>
        <v>0</v>
      </c>
      <c r="U83">
        <f>IF(ISNA(M83),NA(),N(CUBEVALUE("ThisWorkbookDataModel","[Measures].[Return Rate]","[dim_date].[month_id].&amp;["&amp;$I83&amp;"]",Slicer_channel_name,Slicer_country))*100)</f>
        <v>1.5729920965780879</v>
      </c>
      <c r="V83">
        <f>U83</f>
        <v>1.5729920965780879</v>
      </c>
      <c r="W83">
        <f>IF(ISNA(M83),NA(),N(CUBEVALUE("ThisWorkbookDataModel","[Measures].[Cancelled Orders]","[dim_date].[month_id].&amp;["&amp;$I83&amp;"]",Slicer_channel_name,Slicer_country)))</f>
        <v>8</v>
      </c>
      <c r="X83">
        <f>IF(ISNA(M83),NA(),N(CUBEVALUE("ThisWorkbookDataModel","[Measures].[Pending Orders]","[dim_date].[month_id].&amp;["&amp;$I83&amp;"]",Slicer_channel_name,Slicer_country)))</f>
        <v>0</v>
      </c>
      <c r="Y83">
        <f>IF($B$16=1,N(CUBEVALUE("ThisWorkbookDataModel","[Measures].[Δ Finance]","[dim_date].[month_id].&amp;["&amp;$I83&amp;"]","[dim_channel].[channel_code].&amp;[ONLINE]",Slicer_channel_name,Slicer_country))/1000,NA())</f>
        <v>-22.812190000000033</v>
      </c>
      <c r="Z83">
        <f>IF($B$16=1,N(CUBEVALUE("ThisWorkbookDataModel","[Measures].[Δ sau quy đổi]","[dim_date].[month_id].&amp;["&amp;$I83&amp;"]","[dim_channel].[channel_code].&amp;[ONLINE]",Slicer_channel_name,Slicer_country))/1000,NA())</f>
        <v>-1.4551915228366852E-14</v>
      </c>
      <c r="AB83" t="s">
        <v>247</v>
      </c>
      <c r="AC83" t="s">
        <v>117</v>
      </c>
    </row>
    <row r="84" spans="9:35" x14ac:dyDescent="0.25">
      <c r="AB84" t="s">
        <v>249</v>
      </c>
      <c r="AC84" t="s">
        <v>117</v>
      </c>
    </row>
    <row r="85" spans="9:35" x14ac:dyDescent="0.25">
      <c r="AB85" t="s">
        <v>251</v>
      </c>
      <c r="AC85" t="s">
        <v>117</v>
      </c>
      <c r="AF85" s="1" t="s">
        <v>267</v>
      </c>
      <c r="AG85" t="s">
        <v>28</v>
      </c>
      <c r="AH85" t="s">
        <v>34</v>
      </c>
      <c r="AI85" t="s">
        <v>38</v>
      </c>
    </row>
    <row r="86" spans="9:35" x14ac:dyDescent="0.25">
      <c r="AB86" t="s">
        <v>253</v>
      </c>
      <c r="AC86" t="s">
        <v>117</v>
      </c>
      <c r="AF86" t="s">
        <v>128</v>
      </c>
      <c r="AG86" s="2">
        <v>154892.96000000005</v>
      </c>
      <c r="AH86" s="2">
        <v>86</v>
      </c>
      <c r="AI86" s="2">
        <v>1801.0809302325588</v>
      </c>
    </row>
    <row r="87" spans="9:35" x14ac:dyDescent="0.25">
      <c r="AB87" t="s">
        <v>255</v>
      </c>
      <c r="AC87" t="s">
        <v>117</v>
      </c>
      <c r="AF87" t="s">
        <v>236</v>
      </c>
      <c r="AG87" s="2">
        <v>34347.930000000008</v>
      </c>
      <c r="AH87" s="2">
        <v>11</v>
      </c>
      <c r="AI87" s="2">
        <v>3122.5390909090916</v>
      </c>
    </row>
    <row r="88" spans="9:35" x14ac:dyDescent="0.25">
      <c r="AB88" t="s">
        <v>257</v>
      </c>
      <c r="AC88" t="s">
        <v>117</v>
      </c>
      <c r="AF88" t="s">
        <v>234</v>
      </c>
      <c r="AG88" s="2">
        <v>27309.000000000004</v>
      </c>
      <c r="AH88" s="2">
        <v>9</v>
      </c>
      <c r="AI88" s="2">
        <v>3034.3333333333339</v>
      </c>
    </row>
    <row r="89" spans="9:35" x14ac:dyDescent="0.25">
      <c r="AB89" t="s">
        <v>259</v>
      </c>
      <c r="AC89" t="s">
        <v>117</v>
      </c>
      <c r="AF89" t="s">
        <v>222</v>
      </c>
      <c r="AG89" s="2">
        <v>23955.079999999998</v>
      </c>
      <c r="AH89" s="2">
        <v>11</v>
      </c>
      <c r="AI89" s="2">
        <v>2177.7345454545452</v>
      </c>
    </row>
    <row r="90" spans="9:35" x14ac:dyDescent="0.25">
      <c r="AF90" t="s">
        <v>146</v>
      </c>
      <c r="AG90" s="2">
        <v>23121.180000000004</v>
      </c>
      <c r="AH90" s="2">
        <v>11</v>
      </c>
      <c r="AI90" s="2">
        <v>2101.9254545454551</v>
      </c>
    </row>
    <row r="91" spans="9:35" x14ac:dyDescent="0.25">
      <c r="AF91" t="s">
        <v>152</v>
      </c>
      <c r="AG91" s="2">
        <v>20853.349999999999</v>
      </c>
      <c r="AH91" s="2">
        <v>3</v>
      </c>
      <c r="AI91" s="2">
        <v>6951.1166666666659</v>
      </c>
    </row>
    <row r="92" spans="9:35" x14ac:dyDescent="0.25">
      <c r="AF92" t="s">
        <v>144</v>
      </c>
      <c r="AG92" s="2">
        <v>20287.089999999997</v>
      </c>
      <c r="AH92" s="2">
        <v>3</v>
      </c>
      <c r="AI92" s="2">
        <v>6762.3633333333319</v>
      </c>
    </row>
    <row r="93" spans="9:35" x14ac:dyDescent="0.25">
      <c r="AF93" t="s">
        <v>204</v>
      </c>
      <c r="AG93" s="2">
        <v>19962.52</v>
      </c>
      <c r="AH93" s="2">
        <v>8</v>
      </c>
      <c r="AI93" s="2">
        <v>2495.3150000000001</v>
      </c>
    </row>
    <row r="94" spans="9:35" x14ac:dyDescent="0.25">
      <c r="AF94" t="s">
        <v>182</v>
      </c>
      <c r="AG94" s="2">
        <v>17868.089999999997</v>
      </c>
      <c r="AH94" s="2">
        <v>4</v>
      </c>
      <c r="AI94" s="2">
        <v>4467.0224999999991</v>
      </c>
    </row>
    <row r="95" spans="9:35" x14ac:dyDescent="0.25">
      <c r="AF95" t="s">
        <v>174</v>
      </c>
      <c r="AG95" s="2">
        <v>17836.7</v>
      </c>
      <c r="AH95" s="2">
        <v>1</v>
      </c>
      <c r="AI95" s="2">
        <v>17836.7</v>
      </c>
    </row>
    <row r="104" spans="32:47" x14ac:dyDescent="0.25">
      <c r="AQ104" t="s">
        <v>275</v>
      </c>
    </row>
    <row r="105" spans="32:47" x14ac:dyDescent="0.25">
      <c r="AF105" s="1" t="s">
        <v>268</v>
      </c>
      <c r="AG105" t="s">
        <v>32</v>
      </c>
      <c r="AH105" t="s">
        <v>44</v>
      </c>
      <c r="AI105" t="s">
        <v>46</v>
      </c>
      <c r="AJ105" t="s">
        <v>48</v>
      </c>
      <c r="AK105" t="s">
        <v>50</v>
      </c>
      <c r="AL105" t="s">
        <v>269</v>
      </c>
      <c r="AM105" t="s">
        <v>270</v>
      </c>
      <c r="AQ105">
        <f>IF(AND(N(_pivot!AL$106)=1,_pivot!AF$106&lt;&gt;"ONL",_pivot!AF$106&lt;&gt;""),1,0)</f>
        <v>0</v>
      </c>
      <c r="AR105">
        <f>SUM($AQ$105:AQ105)</f>
        <v>0</v>
      </c>
      <c r="AS105" t="str">
        <f>IFERROR(INDEX(_pivot!$AF$106:$AF$115,MATCH(1,$AR$105:$AR$114,0)),"")</f>
        <v>S12</v>
      </c>
      <c r="AT105">
        <f>IFERROR(N(INDEX(_pivot!$AI$106:$AI$115,MATCH(1,$AR$105:$AR$114,0))),0)</f>
        <v>10141.040000000001</v>
      </c>
      <c r="AU105">
        <f>IF(AQ105=1,N(_pivot!AK$106),0)</f>
        <v>0</v>
      </c>
    </row>
    <row r="106" spans="32:47" x14ac:dyDescent="0.25">
      <c r="AF106" t="s">
        <v>127</v>
      </c>
      <c r="AG106" s="2">
        <v>153113.19000000006</v>
      </c>
      <c r="AH106" s="2">
        <v>130301</v>
      </c>
      <c r="AI106" s="2">
        <v>-22812.190000000061</v>
      </c>
      <c r="AJ106" s="3">
        <v>-0.17507302323082755</v>
      </c>
      <c r="AK106" s="2">
        <v>-1.4551915228366852E-11</v>
      </c>
      <c r="AL106" s="2">
        <v>1</v>
      </c>
      <c r="AM106" s="2">
        <v>22812.190000000061</v>
      </c>
      <c r="AQ106">
        <f>IF(AND(N(_pivot!AL$107)=1,_pivot!AF$107&lt;&gt;"ONL",_pivot!AF$107&lt;&gt;""),1,0)</f>
        <v>1</v>
      </c>
      <c r="AR106">
        <f>SUM($AQ$105:AQ106)</f>
        <v>1</v>
      </c>
      <c r="AS106" t="str">
        <f>IFERROR(INDEX(_pivot!$AF$106:$AF$115,MATCH(2,$AR$105:$AR$114,0)),"")</f>
        <v/>
      </c>
      <c r="AT106">
        <f>IFERROR(N(INDEX(_pivot!$AI$106:$AI$115,MATCH(2,$AR$105:$AR$114,0))),0)</f>
        <v>0</v>
      </c>
      <c r="AU106">
        <f>IF(AQ106=1,N(_pivot!AK$107),0)</f>
        <v>10141.040000000001</v>
      </c>
    </row>
    <row r="107" spans="32:47" x14ac:dyDescent="0.25">
      <c r="AF107" t="s">
        <v>151</v>
      </c>
      <c r="AG107" s="2">
        <v>20853.349999999999</v>
      </c>
      <c r="AH107" s="2">
        <v>30994.39</v>
      </c>
      <c r="AI107" s="2">
        <v>10141.040000000001</v>
      </c>
      <c r="AJ107" s="3">
        <v>0.32718953333167716</v>
      </c>
      <c r="AK107" s="2">
        <v>10141.040000000001</v>
      </c>
      <c r="AL107" s="2">
        <v>1</v>
      </c>
      <c r="AM107" s="2">
        <v>10141.040000000001</v>
      </c>
      <c r="AQ107">
        <f>IF(AND(N(_pivot!AL$108)=1,_pivot!AF$108&lt;&gt;"ONL",_pivot!AF$108&lt;&gt;""),1,0)</f>
        <v>0</v>
      </c>
      <c r="AR107">
        <f>SUM($AQ$105:AQ107)</f>
        <v>1</v>
      </c>
      <c r="AS107" t="str">
        <f>IFERROR(INDEX(_pivot!$AF$106:$AF$115,MATCH(3,$AR$105:$AR$114,0)),"")</f>
        <v/>
      </c>
      <c r="AT107">
        <f>IFERROR(N(INDEX(_pivot!$AI$106:$AI$115,MATCH(3,$AR$105:$AR$114,0))),0)</f>
        <v>0</v>
      </c>
      <c r="AU107">
        <f>IF(AQ107=1,N(_pivot!AK$108),0)</f>
        <v>0</v>
      </c>
    </row>
    <row r="108" spans="32:47" x14ac:dyDescent="0.25">
      <c r="AF108" t="s">
        <v>251</v>
      </c>
      <c r="AG108" s="2">
        <v>6191.920000000001</v>
      </c>
      <c r="AH108" s="2">
        <v>6278.89</v>
      </c>
      <c r="AI108" s="2">
        <v>86.969999999999345</v>
      </c>
      <c r="AJ108" s="3">
        <v>1.3851174331768726E-2</v>
      </c>
      <c r="AK108" s="2">
        <v>86.969999999999345</v>
      </c>
      <c r="AL108" s="2">
        <v>0</v>
      </c>
      <c r="AM108" s="2">
        <v>86.969999999999345</v>
      </c>
      <c r="AQ108">
        <f>IF(AND(N(_pivot!AL$109)=1,_pivot!AF$109&lt;&gt;"ONL",_pivot!AF$109&lt;&gt;""),1,0)</f>
        <v>0</v>
      </c>
      <c r="AR108">
        <f>SUM($AQ$105:AQ108)</f>
        <v>1</v>
      </c>
      <c r="AS108" t="str">
        <f>IFERROR(INDEX(_pivot!$AF$106:$AF$115,MATCH(4,$AR$105:$AR$114,0)),"")</f>
        <v/>
      </c>
      <c r="AT108">
        <f>IFERROR(N(INDEX(_pivot!$AI$106:$AI$115,MATCH(4,$AR$105:$AR$114,0))),0)</f>
        <v>0</v>
      </c>
      <c r="AU108">
        <f>IF(AQ108=1,N(_pivot!AK$109),0)</f>
        <v>0</v>
      </c>
    </row>
    <row r="109" spans="32:47" x14ac:dyDescent="0.25">
      <c r="AF109" t="s">
        <v>255</v>
      </c>
      <c r="AG109" s="2">
        <v>11843.740000000002</v>
      </c>
      <c r="AH109" s="2">
        <v>11891.69</v>
      </c>
      <c r="AI109" s="2">
        <v>47.949999999998909</v>
      </c>
      <c r="AJ109" s="3">
        <v>4.0322275471357649E-3</v>
      </c>
      <c r="AK109" s="2">
        <v>47.949999999998909</v>
      </c>
      <c r="AL109" s="2">
        <v>0</v>
      </c>
      <c r="AM109" s="2">
        <v>47.949999999998909</v>
      </c>
      <c r="AQ109">
        <f>IF(AND(N(_pivot!AL$110)=1,_pivot!AF$110&lt;&gt;"ONL",_pivot!AF$110&lt;&gt;""),1,0)</f>
        <v>0</v>
      </c>
      <c r="AR109">
        <f>SUM($AQ$105:AQ109)</f>
        <v>1</v>
      </c>
      <c r="AS109" t="str">
        <f>IFERROR(INDEX(_pivot!$AF$106:$AF$115,MATCH(5,$AR$105:$AR$114,0)),"")</f>
        <v/>
      </c>
      <c r="AT109">
        <f>IFERROR(N(INDEX(_pivot!$AI$106:$AI$115,MATCH(5,$AR$105:$AR$114,0))),0)</f>
        <v>0</v>
      </c>
      <c r="AU109">
        <f>IF(AQ109=1,N(_pivot!AK$110),0)</f>
        <v>0</v>
      </c>
    </row>
    <row r="110" spans="32:47" x14ac:dyDescent="0.25">
      <c r="AF110" t="s">
        <v>235</v>
      </c>
      <c r="AG110" s="2">
        <v>34280.530000000006</v>
      </c>
      <c r="AH110" s="2">
        <v>34280.53</v>
      </c>
      <c r="AI110" s="2">
        <v>-7.2759576141834259E-12</v>
      </c>
      <c r="AJ110" s="3">
        <v>-2.1224752400804264E-16</v>
      </c>
      <c r="AK110" s="2">
        <v>-7.2759576141834259E-12</v>
      </c>
      <c r="AL110" s="2">
        <v>0</v>
      </c>
      <c r="AM110" s="2">
        <v>7.2759576141834259E-12</v>
      </c>
      <c r="AQ110">
        <f>IF(AND(N(_pivot!AL$111)=1,_pivot!AF$111&lt;&gt;"ONL",_pivot!AF$111&lt;&gt;""),1,0)</f>
        <v>0</v>
      </c>
      <c r="AR110">
        <f>SUM($AQ$105:AQ110)</f>
        <v>1</v>
      </c>
      <c r="AS110" t="str">
        <f>IFERROR(INDEX(_pivot!$AF$106:$AF$115,MATCH(6,$AR$105:$AR$114,0)),"")</f>
        <v/>
      </c>
      <c r="AT110">
        <f>IFERROR(N(INDEX(_pivot!$AI$106:$AI$115,MATCH(6,$AR$105:$AR$114,0))),0)</f>
        <v>0</v>
      </c>
      <c r="AU110">
        <f>IF(AQ110=1,N(_pivot!AK$111),0)</f>
        <v>0</v>
      </c>
    </row>
    <row r="111" spans="32:47" x14ac:dyDescent="0.25">
      <c r="AF111" t="s">
        <v>143</v>
      </c>
      <c r="AG111" s="2">
        <v>20276.049999999996</v>
      </c>
      <c r="AH111" s="2">
        <v>20276.05</v>
      </c>
      <c r="AI111" s="2">
        <v>3.637978807091713E-12</v>
      </c>
      <c r="AJ111" s="3">
        <v>1.7942246182524274E-16</v>
      </c>
      <c r="AK111" s="2">
        <v>3.637978807091713E-12</v>
      </c>
      <c r="AL111" s="2">
        <v>0</v>
      </c>
      <c r="AM111" s="2">
        <v>3.637978807091713E-12</v>
      </c>
      <c r="AQ111">
        <f>IF(AND(N(_pivot!AL$112)=1,_pivot!AF$112&lt;&gt;"ONL",_pivot!AF$112&lt;&gt;""),1,0)</f>
        <v>0</v>
      </c>
      <c r="AR111">
        <f>SUM($AQ$105:AQ111)</f>
        <v>1</v>
      </c>
      <c r="AS111" t="str">
        <f>IFERROR(INDEX(_pivot!$AF$106:$AF$115,MATCH(7,$AR$105:$AR$114,0)),"")</f>
        <v/>
      </c>
      <c r="AT111">
        <f>IFERROR(N(INDEX(_pivot!$AI$106:$AI$115,MATCH(7,$AR$105:$AR$114,0))),0)</f>
        <v>0</v>
      </c>
      <c r="AU111">
        <f>IF(AQ111=1,N(_pivot!AK$112),0)</f>
        <v>0</v>
      </c>
    </row>
    <row r="112" spans="32:47" x14ac:dyDescent="0.25">
      <c r="AF112" t="s">
        <v>145</v>
      </c>
      <c r="AG112" s="2">
        <v>23121.180000000004</v>
      </c>
      <c r="AH112" s="2">
        <v>23121.18</v>
      </c>
      <c r="AI112" s="2">
        <v>-3.637978807091713E-12</v>
      </c>
      <c r="AJ112" s="3">
        <v>-1.5734399399562274E-16</v>
      </c>
      <c r="AK112" s="2">
        <v>-3.637978807091713E-12</v>
      </c>
      <c r="AL112" s="2">
        <v>0</v>
      </c>
      <c r="AM112" s="2">
        <v>3.637978807091713E-12</v>
      </c>
      <c r="AQ112">
        <f>IF(AND(N(_pivot!AL$113)=1,_pivot!AF$113&lt;&gt;"ONL",_pivot!AF$113&lt;&gt;""),1,0)</f>
        <v>0</v>
      </c>
      <c r="AR112">
        <f>SUM($AQ$105:AQ112)</f>
        <v>1</v>
      </c>
      <c r="AS112" t="str">
        <f>IFERROR(INDEX(_pivot!$AF$106:$AF$115,MATCH(8,$AR$105:$AR$114,0)),"")</f>
        <v/>
      </c>
      <c r="AT112">
        <f>IFERROR(N(INDEX(_pivot!$AI$106:$AI$115,MATCH(8,$AR$105:$AR$114,0))),0)</f>
        <v>0</v>
      </c>
      <c r="AU112">
        <f>IF(AQ112=1,N(_pivot!AK$113),0)</f>
        <v>0</v>
      </c>
    </row>
    <row r="113" spans="28:47" x14ac:dyDescent="0.25">
      <c r="AF113" t="s">
        <v>221</v>
      </c>
      <c r="AG113" s="2">
        <v>22422.079999999998</v>
      </c>
      <c r="AH113" s="2">
        <v>22422.080000000002</v>
      </c>
      <c r="AI113" s="2">
        <v>3.637978807091713E-12</v>
      </c>
      <c r="AJ113" s="3">
        <v>1.6224983619234758E-16</v>
      </c>
      <c r="AK113" s="2">
        <v>3.637978807091713E-12</v>
      </c>
      <c r="AL113" s="2">
        <v>0</v>
      </c>
      <c r="AM113" s="2">
        <v>3.637978807091713E-12</v>
      </c>
      <c r="AQ113">
        <f>IF(AND(N(_pivot!AL$114)=1,_pivot!AF$114&lt;&gt;"ONL",_pivot!AF$114&lt;&gt;""),1,0)</f>
        <v>0</v>
      </c>
      <c r="AR113">
        <f>SUM($AQ$105:AQ113)</f>
        <v>1</v>
      </c>
      <c r="AS113" t="str">
        <f>IFERROR(INDEX(_pivot!$AF$106:$AF$115,MATCH(9,$AR$105:$AR$114,0)),"")</f>
        <v/>
      </c>
      <c r="AT113">
        <f>IFERROR(N(INDEX(_pivot!$AI$106:$AI$115,MATCH(9,$AR$105:$AR$114,0))),0)</f>
        <v>0</v>
      </c>
      <c r="AU113">
        <f>IF(AQ113=1,N(_pivot!AK$114),0)</f>
        <v>0</v>
      </c>
    </row>
    <row r="114" spans="28:47" x14ac:dyDescent="0.25">
      <c r="AF114" t="s">
        <v>233</v>
      </c>
      <c r="AG114" s="2">
        <v>27309.000000000004</v>
      </c>
      <c r="AH114" s="2">
        <v>27309</v>
      </c>
      <c r="AI114" s="2">
        <v>-3.637978807091713E-12</v>
      </c>
      <c r="AJ114" s="3">
        <v>-1.3321537980488898E-16</v>
      </c>
      <c r="AK114" s="2">
        <v>-3.637978807091713E-12</v>
      </c>
      <c r="AL114" s="2">
        <v>0</v>
      </c>
      <c r="AM114" s="2">
        <v>3.637978807091713E-12</v>
      </c>
      <c r="AQ114">
        <f>IF(AND(N(_pivot!AL$115)=1,_pivot!AF$115&lt;&gt;"ONL",_pivot!AF$115&lt;&gt;""),1,0)</f>
        <v>0</v>
      </c>
      <c r="AR114">
        <f>SUM($AQ$105:AQ114)</f>
        <v>1</v>
      </c>
      <c r="AS114" t="str">
        <f>IFERROR(INDEX(_pivot!$AF$106:$AF$115,MATCH(10,$AR$105:$AR$114,0)),"")</f>
        <v/>
      </c>
      <c r="AT114">
        <f>IFERROR(N(INDEX(_pivot!$AI$106:$AI$115,MATCH(10,$AR$105:$AR$114,0))),0)</f>
        <v>0</v>
      </c>
      <c r="AU114">
        <f>IF(AQ114=1,N(_pivot!AK$115),0)</f>
        <v>0</v>
      </c>
    </row>
    <row r="115" spans="28:47" x14ac:dyDescent="0.25">
      <c r="AF115" t="s">
        <v>181</v>
      </c>
      <c r="AG115" s="2">
        <v>17868.089999999997</v>
      </c>
      <c r="AH115" s="2">
        <v>17868.09</v>
      </c>
      <c r="AI115" s="2">
        <v>3.637978807091713E-12</v>
      </c>
      <c r="AJ115" s="3">
        <v>2.0360199702887733E-16</v>
      </c>
      <c r="AK115" s="2">
        <v>3.637978807091713E-12</v>
      </c>
      <c r="AL115" s="2">
        <v>0</v>
      </c>
      <c r="AM115" s="2">
        <v>3.637978807091713E-12</v>
      </c>
    </row>
    <row r="116" spans="28:47" x14ac:dyDescent="0.25">
      <c r="AQ116" t="s">
        <v>276</v>
      </c>
      <c r="AU116">
        <f>SUM(AU105:AU114)</f>
        <v>10141.040000000001</v>
      </c>
    </row>
    <row r="123" spans="28:47" x14ac:dyDescent="0.25">
      <c r="AB123" t="s">
        <v>128</v>
      </c>
      <c r="AC123" t="s">
        <v>118</v>
      </c>
    </row>
    <row r="124" spans="28:47" x14ac:dyDescent="0.25">
      <c r="AB124" t="s">
        <v>130</v>
      </c>
      <c r="AC124" t="s">
        <v>104</v>
      </c>
    </row>
    <row r="125" spans="28:47" x14ac:dyDescent="0.25">
      <c r="AB125" t="s">
        <v>132</v>
      </c>
      <c r="AC125" t="s">
        <v>104</v>
      </c>
      <c r="AF125" s="1" t="s">
        <v>268</v>
      </c>
      <c r="AG125" t="s">
        <v>32</v>
      </c>
      <c r="AH125" t="s">
        <v>44</v>
      </c>
    </row>
    <row r="126" spans="28:47" x14ac:dyDescent="0.25">
      <c r="AB126" t="s">
        <v>134</v>
      </c>
      <c r="AC126" t="s">
        <v>104</v>
      </c>
      <c r="AF126" t="s">
        <v>127</v>
      </c>
      <c r="AG126" s="2">
        <v>153113.19000000006</v>
      </c>
      <c r="AH126" s="2">
        <v>130301</v>
      </c>
    </row>
    <row r="127" spans="28:47" x14ac:dyDescent="0.25">
      <c r="AB127" t="s">
        <v>136</v>
      </c>
      <c r="AC127" t="s">
        <v>104</v>
      </c>
      <c r="AF127" t="s">
        <v>129</v>
      </c>
      <c r="AG127" s="2">
        <v>4068.7</v>
      </c>
      <c r="AH127" s="2">
        <v>4068.7</v>
      </c>
    </row>
    <row r="128" spans="28:47" x14ac:dyDescent="0.25">
      <c r="AB128" t="s">
        <v>138</v>
      </c>
      <c r="AC128" t="s">
        <v>104</v>
      </c>
      <c r="AF128" t="s">
        <v>137</v>
      </c>
      <c r="AG128" s="2">
        <v>5762.5</v>
      </c>
      <c r="AH128" s="2">
        <v>5762.5</v>
      </c>
    </row>
    <row r="129" spans="28:46" x14ac:dyDescent="0.25">
      <c r="AB129" t="s">
        <v>140</v>
      </c>
      <c r="AC129" t="s">
        <v>104</v>
      </c>
      <c r="AF129" t="s">
        <v>139</v>
      </c>
      <c r="AG129" s="2">
        <v>12055.7</v>
      </c>
      <c r="AH129" s="2">
        <v>12055.7</v>
      </c>
      <c r="AQ129" t="s">
        <v>277</v>
      </c>
    </row>
    <row r="130" spans="28:46" x14ac:dyDescent="0.25">
      <c r="AB130" t="s">
        <v>142</v>
      </c>
      <c r="AC130" t="s">
        <v>105</v>
      </c>
      <c r="AF130" t="s">
        <v>143</v>
      </c>
      <c r="AG130" s="2">
        <v>20276.049999999996</v>
      </c>
      <c r="AH130" s="2">
        <v>20276.05</v>
      </c>
      <c r="AQ130" t="s">
        <v>24</v>
      </c>
      <c r="AR130" t="s">
        <v>278</v>
      </c>
      <c r="AS130" t="s">
        <v>279</v>
      </c>
      <c r="AT130" t="s">
        <v>32</v>
      </c>
    </row>
    <row r="131" spans="28:46" x14ac:dyDescent="0.25">
      <c r="AB131" t="s">
        <v>144</v>
      </c>
      <c r="AC131" t="s">
        <v>105</v>
      </c>
      <c r="AF131" t="s">
        <v>145</v>
      </c>
      <c r="AG131" s="2">
        <v>23121.180000000004</v>
      </c>
      <c r="AH131" s="2">
        <v>23121.18</v>
      </c>
      <c r="AQ131" s="31">
        <f>_pivot!$C$20/1000</f>
        <v>640.55111000000011</v>
      </c>
      <c r="AR131" s="31">
        <f>-_pivot!$C$21/1000</f>
        <v>-24.739370000000001</v>
      </c>
      <c r="AS131" s="31">
        <f>-_pivot!$C$23/1000</f>
        <v>-9.6866699999999994</v>
      </c>
      <c r="AT131" s="31">
        <f>_pivot!$C$24/1000</f>
        <v>606.12507000000005</v>
      </c>
    </row>
    <row r="132" spans="28:46" x14ac:dyDescent="0.25">
      <c r="AB132" t="s">
        <v>146</v>
      </c>
      <c r="AC132" t="s">
        <v>105</v>
      </c>
      <c r="AF132" t="s">
        <v>147</v>
      </c>
      <c r="AG132" s="2">
        <v>5972.6799999999994</v>
      </c>
      <c r="AH132" s="2">
        <v>5972.68</v>
      </c>
    </row>
    <row r="133" spans="28:46" x14ac:dyDescent="0.25">
      <c r="AB133" t="s">
        <v>148</v>
      </c>
      <c r="AC133" t="s">
        <v>105</v>
      </c>
      <c r="AF133" t="s">
        <v>151</v>
      </c>
      <c r="AG133" s="2">
        <v>20853.349999999999</v>
      </c>
      <c r="AH133" s="2">
        <v>30994.39</v>
      </c>
    </row>
    <row r="134" spans="28:46" x14ac:dyDescent="0.25">
      <c r="AB134" t="s">
        <v>150</v>
      </c>
      <c r="AC134" t="s">
        <v>105</v>
      </c>
      <c r="AF134" t="s">
        <v>153</v>
      </c>
      <c r="AG134" s="2">
        <v>144.20999999999998</v>
      </c>
      <c r="AH134" s="2">
        <v>144.21</v>
      </c>
    </row>
    <row r="135" spans="28:46" x14ac:dyDescent="0.25">
      <c r="AB135" t="s">
        <v>152</v>
      </c>
      <c r="AC135" t="s">
        <v>109</v>
      </c>
      <c r="AF135" t="s">
        <v>155</v>
      </c>
      <c r="AG135" s="2">
        <v>3845.1500000000005</v>
      </c>
      <c r="AH135" s="2">
        <v>3845.15</v>
      </c>
      <c r="AQ135" t="s">
        <v>277</v>
      </c>
    </row>
    <row r="136" spans="28:46" x14ac:dyDescent="0.25">
      <c r="AB136" t="s">
        <v>154</v>
      </c>
      <c r="AC136" t="s">
        <v>109</v>
      </c>
      <c r="AF136" t="s">
        <v>159</v>
      </c>
      <c r="AG136" s="2">
        <v>4305.63</v>
      </c>
      <c r="AH136" s="2">
        <v>4305.63</v>
      </c>
      <c r="AQ136" t="s">
        <v>280</v>
      </c>
      <c r="AR136" t="s">
        <v>281</v>
      </c>
      <c r="AS136" t="s">
        <v>282</v>
      </c>
      <c r="AT136" t="s">
        <v>283</v>
      </c>
    </row>
    <row r="137" spans="28:46" x14ac:dyDescent="0.25">
      <c r="AB137" t="s">
        <v>156</v>
      </c>
      <c r="AC137" t="s">
        <v>109</v>
      </c>
      <c r="AF137" t="s">
        <v>163</v>
      </c>
      <c r="AG137" s="2">
        <v>4654.95</v>
      </c>
      <c r="AH137" s="2">
        <v>4654.95</v>
      </c>
      <c r="AQ137" s="31">
        <f>_pivot!$C$43/1000</f>
        <v>-22.812190000000061</v>
      </c>
      <c r="AR137" s="31">
        <f>_pivot!$AU$116/1000</f>
        <v>10.14104</v>
      </c>
      <c r="AS137" s="31">
        <f>(_pivot!$C$33-_pivot!$AU$116)/1000</f>
        <v>0.13491999999996188</v>
      </c>
      <c r="AT137" s="31">
        <f>_pivot!$C$31/1000</f>
        <v>-12.536230000000097</v>
      </c>
    </row>
    <row r="138" spans="28:46" x14ac:dyDescent="0.25">
      <c r="AB138" t="s">
        <v>158</v>
      </c>
      <c r="AC138" t="s">
        <v>109</v>
      </c>
      <c r="AF138" t="s">
        <v>165</v>
      </c>
      <c r="AG138" s="2">
        <v>6052.92</v>
      </c>
      <c r="AH138" s="2">
        <v>6052.92</v>
      </c>
    </row>
    <row r="139" spans="28:46" x14ac:dyDescent="0.25">
      <c r="AB139" t="s">
        <v>160</v>
      </c>
      <c r="AC139" t="s">
        <v>109</v>
      </c>
      <c r="AF139" t="s">
        <v>169</v>
      </c>
      <c r="AG139" s="2">
        <v>1032.43</v>
      </c>
      <c r="AH139" s="2">
        <v>1032.43</v>
      </c>
    </row>
    <row r="140" spans="28:46" x14ac:dyDescent="0.25">
      <c r="AB140" t="s">
        <v>162</v>
      </c>
      <c r="AC140" t="s">
        <v>109</v>
      </c>
      <c r="AF140" t="s">
        <v>171</v>
      </c>
      <c r="AG140" s="2">
        <v>8169.63</v>
      </c>
      <c r="AH140" s="2">
        <v>8169.63</v>
      </c>
    </row>
    <row r="141" spans="28:46" x14ac:dyDescent="0.25">
      <c r="AB141" t="s">
        <v>164</v>
      </c>
      <c r="AC141" t="s">
        <v>109</v>
      </c>
      <c r="AF141" t="s">
        <v>173</v>
      </c>
      <c r="AG141" s="2">
        <v>17836.7</v>
      </c>
      <c r="AH141" s="2">
        <v>17836.7</v>
      </c>
    </row>
    <row r="142" spans="28:46" x14ac:dyDescent="0.25">
      <c r="AB142" t="s">
        <v>166</v>
      </c>
      <c r="AC142" t="s">
        <v>107</v>
      </c>
      <c r="AF142" t="s">
        <v>175</v>
      </c>
      <c r="AG142" s="2">
        <v>1911.62</v>
      </c>
      <c r="AH142" s="2">
        <v>1911.62</v>
      </c>
    </row>
    <row r="143" spans="28:46" x14ac:dyDescent="0.25">
      <c r="AB143" t="s">
        <v>168</v>
      </c>
      <c r="AC143" t="s">
        <v>107</v>
      </c>
      <c r="AF143" t="s">
        <v>179</v>
      </c>
      <c r="AG143" s="2">
        <v>7500.2999999999993</v>
      </c>
      <c r="AH143" s="2">
        <v>7500.3</v>
      </c>
    </row>
    <row r="144" spans="28:46" x14ac:dyDescent="0.25">
      <c r="AB144" t="s">
        <v>170</v>
      </c>
      <c r="AC144" t="s">
        <v>107</v>
      </c>
      <c r="AF144" t="s">
        <v>181</v>
      </c>
      <c r="AG144" s="2">
        <v>17868.089999999997</v>
      </c>
      <c r="AH144" s="2">
        <v>17868.09</v>
      </c>
    </row>
    <row r="145" spans="28:34" x14ac:dyDescent="0.25">
      <c r="AB145" t="s">
        <v>172</v>
      </c>
      <c r="AC145" t="s">
        <v>107</v>
      </c>
      <c r="AF145" t="s">
        <v>185</v>
      </c>
      <c r="AG145" s="2">
        <v>5388.05</v>
      </c>
      <c r="AH145" s="2">
        <v>5388.05</v>
      </c>
    </row>
    <row r="146" spans="28:34" x14ac:dyDescent="0.25">
      <c r="AB146" t="s">
        <v>174</v>
      </c>
      <c r="AC146" t="s">
        <v>107</v>
      </c>
      <c r="AF146" t="s">
        <v>187</v>
      </c>
      <c r="AG146" s="2">
        <v>8267.32</v>
      </c>
      <c r="AH146" s="2">
        <v>8267.32</v>
      </c>
    </row>
    <row r="147" spans="28:34" x14ac:dyDescent="0.25">
      <c r="AB147" t="s">
        <v>176</v>
      </c>
      <c r="AC147" t="s">
        <v>107</v>
      </c>
      <c r="AF147" t="s">
        <v>189</v>
      </c>
      <c r="AG147" s="2">
        <v>879.81999999999994</v>
      </c>
      <c r="AH147" s="2">
        <v>879.82</v>
      </c>
    </row>
    <row r="148" spans="28:34" x14ac:dyDescent="0.25">
      <c r="AB148" t="s">
        <v>178</v>
      </c>
      <c r="AC148" t="s">
        <v>107</v>
      </c>
      <c r="AF148" t="s">
        <v>191</v>
      </c>
      <c r="AG148" s="2">
        <v>4499.04</v>
      </c>
      <c r="AH148" s="2">
        <v>4499.04</v>
      </c>
    </row>
    <row r="149" spans="28:34" x14ac:dyDescent="0.25">
      <c r="AB149" t="s">
        <v>180</v>
      </c>
      <c r="AC149" t="s">
        <v>107</v>
      </c>
      <c r="AF149" t="s">
        <v>193</v>
      </c>
      <c r="AG149" s="2">
        <v>299</v>
      </c>
      <c r="AH149" s="2">
        <v>299</v>
      </c>
    </row>
    <row r="150" spans="28:34" x14ac:dyDescent="0.25">
      <c r="AB150" t="s">
        <v>182</v>
      </c>
      <c r="AC150" t="s">
        <v>107</v>
      </c>
      <c r="AF150" t="s">
        <v>195</v>
      </c>
      <c r="AG150" s="2">
        <v>102.31</v>
      </c>
      <c r="AH150" s="2">
        <v>102.31</v>
      </c>
    </row>
    <row r="151" spans="28:34" x14ac:dyDescent="0.25">
      <c r="AB151" t="s">
        <v>184</v>
      </c>
      <c r="AC151" t="s">
        <v>111</v>
      </c>
      <c r="AF151" t="s">
        <v>199</v>
      </c>
      <c r="AG151" s="2">
        <v>8165.48</v>
      </c>
      <c r="AH151" s="2">
        <v>8165.48</v>
      </c>
    </row>
    <row r="152" spans="28:34" x14ac:dyDescent="0.25">
      <c r="AB152" t="s">
        <v>186</v>
      </c>
      <c r="AC152" t="s">
        <v>111</v>
      </c>
      <c r="AF152" t="s">
        <v>201</v>
      </c>
      <c r="AG152" s="2">
        <v>413.82</v>
      </c>
      <c r="AH152" s="2">
        <v>413.82</v>
      </c>
    </row>
    <row r="153" spans="28:34" x14ac:dyDescent="0.25">
      <c r="AB153" t="s">
        <v>188</v>
      </c>
      <c r="AC153" t="s">
        <v>111</v>
      </c>
      <c r="AF153" t="s">
        <v>203</v>
      </c>
      <c r="AG153" s="2">
        <v>19962.52</v>
      </c>
      <c r="AH153" s="2">
        <v>19962.52</v>
      </c>
    </row>
    <row r="154" spans="28:34" x14ac:dyDescent="0.25">
      <c r="AB154" t="s">
        <v>190</v>
      </c>
      <c r="AC154" t="s">
        <v>113</v>
      </c>
      <c r="AF154" t="s">
        <v>205</v>
      </c>
      <c r="AG154" s="2">
        <v>2958.83</v>
      </c>
      <c r="AH154" s="2">
        <v>2958.83</v>
      </c>
    </row>
    <row r="155" spans="28:34" x14ac:dyDescent="0.25">
      <c r="AB155" t="s">
        <v>192</v>
      </c>
      <c r="AC155" t="s">
        <v>113</v>
      </c>
      <c r="AF155" t="s">
        <v>207</v>
      </c>
      <c r="AG155" s="2">
        <v>4104.5599999999995</v>
      </c>
      <c r="AH155" s="2">
        <v>4104.5600000000004</v>
      </c>
    </row>
    <row r="156" spans="28:34" x14ac:dyDescent="0.25">
      <c r="AB156" t="s">
        <v>194</v>
      </c>
      <c r="AC156" t="s">
        <v>113</v>
      </c>
      <c r="AF156" t="s">
        <v>211</v>
      </c>
      <c r="AG156" s="2">
        <v>2438.8000000000002</v>
      </c>
      <c r="AH156" s="2">
        <v>2438.8000000000002</v>
      </c>
    </row>
    <row r="157" spans="28:34" x14ac:dyDescent="0.25">
      <c r="AB157" t="s">
        <v>196</v>
      </c>
      <c r="AC157" t="s">
        <v>113</v>
      </c>
      <c r="AF157" t="s">
        <v>213</v>
      </c>
      <c r="AG157" s="2">
        <v>7439.6399999999994</v>
      </c>
      <c r="AH157" s="2">
        <v>7439.64</v>
      </c>
    </row>
    <row r="158" spans="28:34" x14ac:dyDescent="0.25">
      <c r="AB158" t="s">
        <v>198</v>
      </c>
      <c r="AC158" t="s">
        <v>113</v>
      </c>
      <c r="AF158" t="s">
        <v>215</v>
      </c>
      <c r="AG158" s="2">
        <v>7384.8700000000008</v>
      </c>
      <c r="AH158" s="2">
        <v>7384.87</v>
      </c>
    </row>
    <row r="159" spans="28:34" x14ac:dyDescent="0.25">
      <c r="AB159" t="s">
        <v>200</v>
      </c>
      <c r="AC159" t="s">
        <v>115</v>
      </c>
      <c r="AF159" t="s">
        <v>217</v>
      </c>
      <c r="AG159" s="2">
        <v>13676.989999999998</v>
      </c>
      <c r="AH159" s="2">
        <v>13676.99</v>
      </c>
    </row>
    <row r="160" spans="28:34" x14ac:dyDescent="0.25">
      <c r="AB160" t="s">
        <v>202</v>
      </c>
      <c r="AC160" t="s">
        <v>115</v>
      </c>
      <c r="AF160" t="s">
        <v>221</v>
      </c>
      <c r="AG160" s="2">
        <v>22422.079999999998</v>
      </c>
      <c r="AH160" s="2">
        <v>22422.080000000002</v>
      </c>
    </row>
    <row r="161" spans="28:34" x14ac:dyDescent="0.25">
      <c r="AB161" t="s">
        <v>204</v>
      </c>
      <c r="AC161" t="s">
        <v>115</v>
      </c>
      <c r="AF161" t="s">
        <v>223</v>
      </c>
      <c r="AG161" s="2">
        <v>3453.48</v>
      </c>
      <c r="AH161" s="2">
        <v>3453.48</v>
      </c>
    </row>
    <row r="162" spans="28:34" x14ac:dyDescent="0.25">
      <c r="AB162" t="s">
        <v>206</v>
      </c>
      <c r="AC162" t="s">
        <v>115</v>
      </c>
      <c r="AF162" t="s">
        <v>225</v>
      </c>
      <c r="AG162" s="2">
        <v>15690.710000000001</v>
      </c>
      <c r="AH162" s="2">
        <v>15690.71</v>
      </c>
    </row>
    <row r="163" spans="28:34" x14ac:dyDescent="0.25">
      <c r="AB163" t="s">
        <v>208</v>
      </c>
      <c r="AC163" t="s">
        <v>115</v>
      </c>
      <c r="AF163" t="s">
        <v>227</v>
      </c>
      <c r="AG163" s="2">
        <v>15066.699999999999</v>
      </c>
      <c r="AH163" s="2">
        <v>15066.7</v>
      </c>
    </row>
    <row r="164" spans="28:34" x14ac:dyDescent="0.25">
      <c r="AB164" t="s">
        <v>210</v>
      </c>
      <c r="AC164" t="s">
        <v>115</v>
      </c>
      <c r="AF164" t="s">
        <v>229</v>
      </c>
      <c r="AG164" s="2">
        <v>16902.34</v>
      </c>
      <c r="AH164" s="2">
        <v>16902.34</v>
      </c>
    </row>
    <row r="165" spans="28:34" x14ac:dyDescent="0.25">
      <c r="AB165" t="s">
        <v>212</v>
      </c>
      <c r="AC165" t="s">
        <v>115</v>
      </c>
      <c r="AF165" t="s">
        <v>233</v>
      </c>
      <c r="AG165" s="2">
        <v>27309.000000000004</v>
      </c>
      <c r="AH165" s="2">
        <v>27309</v>
      </c>
    </row>
    <row r="166" spans="28:34" x14ac:dyDescent="0.25">
      <c r="AB166" t="s">
        <v>214</v>
      </c>
      <c r="AC166" t="s">
        <v>117</v>
      </c>
      <c r="AF166" t="s">
        <v>235</v>
      </c>
      <c r="AG166" s="2">
        <v>34280.530000000006</v>
      </c>
      <c r="AH166" s="2">
        <v>34280.53</v>
      </c>
    </row>
    <row r="167" spans="28:34" x14ac:dyDescent="0.25">
      <c r="AB167" t="s">
        <v>216</v>
      </c>
      <c r="AC167" t="s">
        <v>117</v>
      </c>
      <c r="AF167" t="s">
        <v>237</v>
      </c>
      <c r="AG167" s="2">
        <v>5398.7900000000009</v>
      </c>
      <c r="AH167" s="2">
        <v>5398.79</v>
      </c>
    </row>
    <row r="168" spans="28:34" x14ac:dyDescent="0.25">
      <c r="AB168" t="s">
        <v>218</v>
      </c>
      <c r="AC168" t="s">
        <v>117</v>
      </c>
      <c r="AF168" t="s">
        <v>239</v>
      </c>
      <c r="AG168" s="2">
        <v>10091.929999999998</v>
      </c>
      <c r="AH168" s="2">
        <v>10091.93</v>
      </c>
    </row>
    <row r="169" spans="28:34" x14ac:dyDescent="0.25">
      <c r="AB169" t="s">
        <v>220</v>
      </c>
      <c r="AC169" t="s">
        <v>117</v>
      </c>
      <c r="AF169" t="s">
        <v>241</v>
      </c>
      <c r="AG169" s="2">
        <v>5817.34</v>
      </c>
      <c r="AH169" s="2">
        <v>5817.34</v>
      </c>
    </row>
    <row r="170" spans="28:34" x14ac:dyDescent="0.25">
      <c r="AB170" t="s">
        <v>222</v>
      </c>
      <c r="AC170" t="s">
        <v>117</v>
      </c>
      <c r="AF170" t="s">
        <v>245</v>
      </c>
      <c r="AG170" s="2">
        <v>7009.4800000000005</v>
      </c>
      <c r="AH170" s="2">
        <v>7009.48</v>
      </c>
    </row>
    <row r="171" spans="28:34" x14ac:dyDescent="0.25">
      <c r="AB171" t="s">
        <v>224</v>
      </c>
      <c r="AC171" t="s">
        <v>117</v>
      </c>
      <c r="AF171" t="s">
        <v>249</v>
      </c>
      <c r="AG171" s="2">
        <v>3839.09</v>
      </c>
      <c r="AH171" s="2">
        <v>3839.09</v>
      </c>
    </row>
    <row r="172" spans="28:34" x14ac:dyDescent="0.25">
      <c r="AB172" t="s">
        <v>226</v>
      </c>
      <c r="AC172" t="s">
        <v>117</v>
      </c>
      <c r="AF172" t="s">
        <v>251</v>
      </c>
      <c r="AG172" s="2">
        <v>6191.920000000001</v>
      </c>
      <c r="AH172" s="2">
        <v>6278.89</v>
      </c>
    </row>
    <row r="173" spans="28:34" x14ac:dyDescent="0.25">
      <c r="AB173" t="s">
        <v>228</v>
      </c>
      <c r="AC173" t="s">
        <v>117</v>
      </c>
      <c r="AF173" t="s">
        <v>255</v>
      </c>
      <c r="AG173" s="2">
        <v>11843.740000000002</v>
      </c>
      <c r="AH173" s="2">
        <v>11891.69</v>
      </c>
    </row>
    <row r="174" spans="28:34" x14ac:dyDescent="0.25">
      <c r="AB174" t="s">
        <v>230</v>
      </c>
      <c r="AC174" t="s">
        <v>117</v>
      </c>
      <c r="AF174" t="s">
        <v>257</v>
      </c>
      <c r="AG174" s="2">
        <v>12035.689999999999</v>
      </c>
      <c r="AH174" s="2">
        <v>12035.69</v>
      </c>
    </row>
    <row r="175" spans="28:34" x14ac:dyDescent="0.25">
      <c r="AB175" t="s">
        <v>232</v>
      </c>
      <c r="AC175" t="s">
        <v>117</v>
      </c>
      <c r="AF175" t="s">
        <v>259</v>
      </c>
      <c r="AG175" s="2">
        <v>4246.22</v>
      </c>
      <c r="AH175" s="2">
        <v>4246.22</v>
      </c>
    </row>
    <row r="176" spans="28:34" x14ac:dyDescent="0.25">
      <c r="AB176" t="s">
        <v>234</v>
      </c>
      <c r="AC176" t="s">
        <v>117</v>
      </c>
    </row>
    <row r="177" spans="28:29" x14ac:dyDescent="0.25">
      <c r="AB177" t="s">
        <v>236</v>
      </c>
      <c r="AC177" t="s">
        <v>117</v>
      </c>
    </row>
    <row r="178" spans="28:29" x14ac:dyDescent="0.25">
      <c r="AB178" t="s">
        <v>238</v>
      </c>
      <c r="AC178" t="s">
        <v>117</v>
      </c>
    </row>
    <row r="179" spans="28:29" x14ac:dyDescent="0.25">
      <c r="AB179" t="s">
        <v>240</v>
      </c>
      <c r="AC179" t="s">
        <v>117</v>
      </c>
    </row>
    <row r="180" spans="28:29" x14ac:dyDescent="0.25">
      <c r="AB180" t="s">
        <v>242</v>
      </c>
      <c r="AC180" t="s">
        <v>117</v>
      </c>
    </row>
    <row r="181" spans="28:29" x14ac:dyDescent="0.25">
      <c r="AB181" t="s">
        <v>244</v>
      </c>
      <c r="AC181" t="s">
        <v>117</v>
      </c>
    </row>
    <row r="182" spans="28:29" x14ac:dyDescent="0.25">
      <c r="AB182" t="s">
        <v>246</v>
      </c>
      <c r="AC182" t="s">
        <v>117</v>
      </c>
    </row>
    <row r="183" spans="28:29" x14ac:dyDescent="0.25">
      <c r="AB183" t="s">
        <v>248</v>
      </c>
      <c r="AC183" t="s">
        <v>117</v>
      </c>
    </row>
    <row r="184" spans="28:29" x14ac:dyDescent="0.25">
      <c r="AB184" t="s">
        <v>250</v>
      </c>
      <c r="AC184" t="s">
        <v>117</v>
      </c>
    </row>
    <row r="185" spans="28:29" x14ac:dyDescent="0.25">
      <c r="AB185" t="s">
        <v>252</v>
      </c>
      <c r="AC185" t="s">
        <v>117</v>
      </c>
    </row>
    <row r="186" spans="28:29" x14ac:dyDescent="0.25">
      <c r="AB186" t="s">
        <v>254</v>
      </c>
      <c r="AC186" t="s">
        <v>117</v>
      </c>
    </row>
    <row r="187" spans="28:29" x14ac:dyDescent="0.25">
      <c r="AB187" t="s">
        <v>256</v>
      </c>
      <c r="AC187" t="s">
        <v>117</v>
      </c>
    </row>
    <row r="188" spans="28:29" x14ac:dyDescent="0.25">
      <c r="AB188" t="s">
        <v>258</v>
      </c>
      <c r="AC188" t="s">
        <v>117</v>
      </c>
    </row>
    <row r="189" spans="28:29" x14ac:dyDescent="0.25">
      <c r="AB189" t="s">
        <v>260</v>
      </c>
      <c r="AC189"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1078811-A109-412C-A071-85A92D3BE0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Tong_quan</vt:lpstr>
      <vt:lpstr>Doanh_thu</vt:lpstr>
      <vt:lpstr>Doi_soat</vt:lpstr>
      <vt:lpstr>Hoan_tra</vt:lpstr>
      <vt:lpstr>Huong_dan</vt:lpstr>
      <vt:lpstr>_pivot</vt:lpstr>
      <vt:lpstr>map_store</vt:lpstr>
      <vt:lpstr>map_store_name</vt:lpstr>
      <vt:lpstr>map_vi</vt:lpstr>
      <vt:lpstr>Doanh_thu!Print_Area</vt:lpstr>
      <vt:lpstr>Doi_soat!Print_Area</vt:lpstr>
      <vt:lpstr>Hoan_tra!Print_Area</vt:lpstr>
      <vt:lpstr>Tong_quan!Print_Area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Phuc Nguyen - PTD KV2</dc:creator>
  <cp:lastModifiedBy>Nguyen Phuc Nguyen - PTD KV2</cp:lastModifiedBy>
  <dcterms:created xsi:type="dcterms:W3CDTF">2026-10-10T10:42:59Z</dcterms:created>
  <dcterms:modified xsi:type="dcterms:W3CDTF">2026-10-10T10:44:45Z</dcterms:modified>
</cp:coreProperties>
</file>