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 User\Desktop\"/>
    </mc:Choice>
  </mc:AlternateContent>
  <bookViews>
    <workbookView xWindow="0" yWindow="0" windowWidth="23040" windowHeight="9336"/>
  </bookViews>
  <sheets>
    <sheet name="Character Damage 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1" l="1"/>
  <c r="G109" i="1"/>
  <c r="G96" i="1"/>
  <c r="G78" i="1"/>
  <c r="G94" i="1" s="1"/>
  <c r="G79" i="1"/>
  <c r="G95" i="1" s="1"/>
  <c r="G80" i="1"/>
  <c r="G81" i="1"/>
  <c r="G97" i="1" s="1"/>
  <c r="G82" i="1"/>
  <c r="G77" i="1"/>
  <c r="G76" i="1"/>
  <c r="G44" i="1" s="1"/>
  <c r="G92" i="1" s="1"/>
  <c r="G73" i="1"/>
  <c r="G74" i="1"/>
  <c r="G75" i="1"/>
  <c r="G72" i="1"/>
  <c r="G71" i="1"/>
  <c r="G70" i="1"/>
  <c r="G69" i="1"/>
  <c r="G68" i="1"/>
  <c r="G67" i="1"/>
  <c r="H46" i="1" l="1"/>
  <c r="H47" i="1"/>
  <c r="H48" i="1"/>
  <c r="H49" i="1"/>
  <c r="H50" i="1"/>
  <c r="H45" i="1"/>
  <c r="G45" i="1"/>
  <c r="G93" i="1" s="1"/>
  <c r="H44" i="1"/>
  <c r="H43" i="1"/>
  <c r="H42" i="1"/>
  <c r="G43" i="1"/>
  <c r="G91" i="1" s="1"/>
  <c r="G46" i="1"/>
  <c r="G49" i="1"/>
  <c r="G47" i="1"/>
  <c r="G48" i="1"/>
  <c r="G50" i="1"/>
  <c r="G98" i="1" s="1"/>
  <c r="G99" i="1" s="1"/>
  <c r="S16" i="1"/>
  <c r="G38" i="1" s="1"/>
  <c r="S14" i="1"/>
  <c r="H39" i="1" s="1"/>
  <c r="S17" i="1"/>
  <c r="S18" i="1"/>
  <c r="G41" i="1" s="1"/>
  <c r="G89" i="1" s="1"/>
  <c r="G101" i="1" s="1"/>
  <c r="S20" i="1"/>
  <c r="S19" i="1"/>
  <c r="G42" i="1" s="1"/>
  <c r="G90" i="1" s="1"/>
  <c r="S13" i="1"/>
  <c r="S12" i="1"/>
  <c r="H37" i="1" s="1"/>
  <c r="S15" i="1"/>
  <c r="S11" i="1"/>
  <c r="G85" i="1" s="1"/>
  <c r="Z12" i="1"/>
  <c r="Z11" i="1"/>
  <c r="Q22" i="1"/>
  <c r="H41" i="1" l="1"/>
  <c r="G54" i="1"/>
  <c r="G103" i="1" s="1"/>
  <c r="G55" i="1"/>
  <c r="G104" i="1" s="1"/>
  <c r="G40" i="1"/>
  <c r="G88" i="1" s="1"/>
  <c r="H40" i="1"/>
  <c r="G56" i="1"/>
  <c r="G105" i="1" s="1"/>
  <c r="G86" i="1"/>
  <c r="G53" i="1"/>
  <c r="G102" i="1" s="1"/>
  <c r="G118" i="1"/>
  <c r="G120" i="1"/>
  <c r="G119" i="1"/>
  <c r="G52" i="1"/>
  <c r="G87" i="1"/>
  <c r="G51" i="1"/>
  <c r="G100" i="1"/>
  <c r="H38" i="1"/>
  <c r="G39" i="1"/>
  <c r="G37" i="1"/>
  <c r="H56" i="1" l="1"/>
  <c r="H55" i="1"/>
  <c r="H54" i="1"/>
  <c r="H52" i="1"/>
  <c r="H53" i="1"/>
  <c r="H51" i="1"/>
</calcChain>
</file>

<file path=xl/sharedStrings.xml><?xml version="1.0" encoding="utf-8"?>
<sst xmlns="http://schemas.openxmlformats.org/spreadsheetml/2006/main" count="177" uniqueCount="107">
  <si>
    <t>Athena#2444</t>
  </si>
  <si>
    <t>ATK</t>
  </si>
  <si>
    <t>ATK%</t>
  </si>
  <si>
    <t>CR%</t>
  </si>
  <si>
    <t>CD%</t>
  </si>
  <si>
    <t>DEF</t>
  </si>
  <si>
    <t>DEF%</t>
  </si>
  <si>
    <t>ER%</t>
  </si>
  <si>
    <t>EM</t>
  </si>
  <si>
    <t>HP</t>
  </si>
  <si>
    <t>HP%</t>
  </si>
  <si>
    <t>Geo DMG%</t>
  </si>
  <si>
    <t>Cryo DMG%</t>
  </si>
  <si>
    <t>Anemo DMG%</t>
  </si>
  <si>
    <t>Hydro DMG%</t>
  </si>
  <si>
    <t>Pyro DMG%</t>
  </si>
  <si>
    <t>Electro DMG%</t>
  </si>
  <si>
    <t>Dendro DMG%</t>
  </si>
  <si>
    <t>Physical DMG%</t>
  </si>
  <si>
    <t>Healing Bonus%</t>
  </si>
  <si>
    <t>Incoming Healing Bonus%</t>
  </si>
  <si>
    <t>DMG%</t>
  </si>
  <si>
    <t>Elemental Skill DMG%</t>
  </si>
  <si>
    <t>Elemental Burst DMG%</t>
  </si>
  <si>
    <t>Name</t>
  </si>
  <si>
    <t>Character</t>
  </si>
  <si>
    <t>Weapon</t>
  </si>
  <si>
    <t>Base</t>
  </si>
  <si>
    <t>NA DMG%</t>
  </si>
  <si>
    <t>CA DMG%</t>
  </si>
  <si>
    <t>Plunge DMG%</t>
  </si>
  <si>
    <t>Artifact set</t>
  </si>
  <si>
    <t>Flower</t>
  </si>
  <si>
    <t>Feather</t>
  </si>
  <si>
    <t>Sand</t>
  </si>
  <si>
    <t>Goblet</t>
  </si>
  <si>
    <t>Circlet</t>
  </si>
  <si>
    <t>CR</t>
  </si>
  <si>
    <t>CD</t>
  </si>
  <si>
    <t>ER</t>
  </si>
  <si>
    <t>Ele Dmg%</t>
  </si>
  <si>
    <t>Artifact Sub Stats</t>
  </si>
  <si>
    <t>Artifact Main Stats</t>
  </si>
  <si>
    <t>Flat ATK</t>
  </si>
  <si>
    <t>Flat DEF</t>
  </si>
  <si>
    <t>Flat HP</t>
  </si>
  <si>
    <t xml:space="preserve">Default (KQM) </t>
  </si>
  <si>
    <t>Enemy Level</t>
  </si>
  <si>
    <t>DEF Multiplier</t>
  </si>
  <si>
    <t>RES Multiplier</t>
  </si>
  <si>
    <t>DEF Shred</t>
  </si>
  <si>
    <t>RES Shred</t>
  </si>
  <si>
    <t>Weapon Level</t>
  </si>
  <si>
    <t>Character Level</t>
  </si>
  <si>
    <t>Burst Level</t>
  </si>
  <si>
    <t>Skill Level</t>
  </si>
  <si>
    <t>NA Level</t>
  </si>
  <si>
    <t>N1</t>
  </si>
  <si>
    <t>N2</t>
  </si>
  <si>
    <t>N3</t>
  </si>
  <si>
    <t>N4</t>
  </si>
  <si>
    <t>N5</t>
  </si>
  <si>
    <t>N6</t>
  </si>
  <si>
    <t>CA1</t>
  </si>
  <si>
    <t>CA2</t>
  </si>
  <si>
    <t>Plunge</t>
  </si>
  <si>
    <t>Low Plunge</t>
  </si>
  <si>
    <t>HighPlunge</t>
  </si>
  <si>
    <t>E1</t>
  </si>
  <si>
    <t>E2</t>
  </si>
  <si>
    <t>Special</t>
  </si>
  <si>
    <t>Q</t>
  </si>
  <si>
    <t>Q1</t>
  </si>
  <si>
    <t>Q2</t>
  </si>
  <si>
    <t>E</t>
  </si>
  <si>
    <t>Total Stats</t>
  </si>
  <si>
    <t>Elemental DMG%</t>
  </si>
  <si>
    <t>Vape / Reverse Melt</t>
  </si>
  <si>
    <t>Reverse Vape / Melt</t>
  </si>
  <si>
    <t>Overload</t>
  </si>
  <si>
    <t>Shatter</t>
  </si>
  <si>
    <t>EC</t>
  </si>
  <si>
    <t>Swirl</t>
  </si>
  <si>
    <t>Buffed</t>
  </si>
  <si>
    <t>Buffs</t>
  </si>
  <si>
    <t>Total Sub Rolls</t>
  </si>
  <si>
    <t>Damage type</t>
  </si>
  <si>
    <t>Damage Calculation</t>
  </si>
  <si>
    <t>Attack Type</t>
  </si>
  <si>
    <t>ATK MV</t>
  </si>
  <si>
    <t>HP MV</t>
  </si>
  <si>
    <t>DEF MV</t>
  </si>
  <si>
    <t>Flat DMG</t>
  </si>
  <si>
    <t>Non Crit DMG</t>
  </si>
  <si>
    <t>Avg DMG</t>
  </si>
  <si>
    <t>Crit DMG</t>
  </si>
  <si>
    <t>Burst</t>
  </si>
  <si>
    <t>Total DMG%</t>
  </si>
  <si>
    <t>RES Multi</t>
  </si>
  <si>
    <t>DEF Multi</t>
  </si>
  <si>
    <t>Reaction Modifier</t>
  </si>
  <si>
    <t>Elemental</t>
  </si>
  <si>
    <t>SubRolls (KQM)</t>
  </si>
  <si>
    <t>Sub Stats</t>
  </si>
  <si>
    <t>Buffs #1</t>
  </si>
  <si>
    <t>Buff #2</t>
  </si>
  <si>
    <t>Buff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</si>
</sst>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 tint="0.3999755851924192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FF99CC"/>
      <name val="Calibri"/>
      <family val="2"/>
      <scheme val="minor"/>
    </font>
    <font>
      <sz val="10"/>
      <color rgb="FFFF99CC"/>
      <name val="Arial"/>
      <family val="2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0" xfId="0" applyFont="1"/>
    <xf numFmtId="0" fontId="0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0" fillId="0" borderId="5" xfId="0" applyFont="1" applyBorder="1" applyAlignment="1"/>
    <xf numFmtId="0" fontId="0" fillId="0" borderId="1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6" xfId="0" applyFont="1" applyBorder="1"/>
    <xf numFmtId="0" fontId="0" fillId="0" borderId="8" xfId="0" applyFont="1" applyFill="1" applyBorder="1"/>
    <xf numFmtId="0" fontId="0" fillId="0" borderId="9" xfId="0" applyFont="1" applyBorder="1"/>
    <xf numFmtId="0" fontId="5" fillId="0" borderId="0" xfId="0" applyFont="1" applyFill="1" applyBorder="1" applyAlignment="1">
      <alignment wrapText="1"/>
    </xf>
    <xf numFmtId="0" fontId="2" fillId="0" borderId="0" xfId="0" applyFont="1"/>
    <xf numFmtId="0" fontId="0" fillId="0" borderId="3" xfId="0" applyFont="1" applyBorder="1" applyAlignment="1"/>
    <xf numFmtId="0" fontId="4" fillId="0" borderId="5" xfId="0" applyFont="1" applyBorder="1" applyAlignment="1"/>
    <xf numFmtId="0" fontId="4" fillId="0" borderId="5" xfId="0" applyFont="1" applyFill="1" applyBorder="1" applyAlignment="1"/>
    <xf numFmtId="0" fontId="4" fillId="0" borderId="7" xfId="0" applyFont="1" applyBorder="1" applyAlignment="1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/>
    <xf numFmtId="0" fontId="3" fillId="0" borderId="4" xfId="0" applyFont="1" applyBorder="1" applyAlignment="1">
      <alignment horizontal="right"/>
    </xf>
    <xf numFmtId="0" fontId="3" fillId="0" borderId="5" xfId="0" applyFont="1" applyBorder="1" applyAlignment="1"/>
    <xf numFmtId="10" fontId="3" fillId="0" borderId="6" xfId="2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6" xfId="0" applyFont="1" applyBorder="1" applyAlignment="1"/>
    <xf numFmtId="0" fontId="3" fillId="0" borderId="7" xfId="0" applyFont="1" applyBorder="1" applyAlignment="1"/>
    <xf numFmtId="9" fontId="3" fillId="0" borderId="9" xfId="0" applyNumberFormat="1" applyFont="1" applyBorder="1" applyAlignment="1">
      <alignment horizontal="right"/>
    </xf>
    <xf numFmtId="0" fontId="0" fillId="0" borderId="4" xfId="0" applyFont="1" applyFill="1" applyBorder="1"/>
    <xf numFmtId="10" fontId="0" fillId="0" borderId="6" xfId="2" applyNumberFormat="1" applyFont="1" applyBorder="1"/>
    <xf numFmtId="43" fontId="0" fillId="0" borderId="6" xfId="1" applyFont="1" applyBorder="1"/>
    <xf numFmtId="0" fontId="0" fillId="0" borderId="8" xfId="0" applyFont="1" applyBorder="1"/>
    <xf numFmtId="10" fontId="0" fillId="0" borderId="9" xfId="2" applyNumberFormat="1" applyFont="1" applyBorder="1"/>
    <xf numFmtId="0" fontId="0" fillId="0" borderId="13" xfId="0" applyFont="1" applyBorder="1" applyAlignment="1"/>
    <xf numFmtId="0" fontId="0" fillId="0" borderId="12" xfId="0" applyFont="1" applyBorder="1" applyAlignment="1"/>
    <xf numFmtId="0" fontId="0" fillId="0" borderId="14" xfId="0" applyFont="1" applyBorder="1" applyAlignment="1"/>
    <xf numFmtId="0" fontId="0" fillId="0" borderId="1" xfId="0" applyFont="1" applyFill="1" applyBorder="1" applyAlignment="1"/>
    <xf numFmtId="43" fontId="0" fillId="0" borderId="1" xfId="0" applyNumberFormat="1" applyFont="1" applyBorder="1"/>
    <xf numFmtId="10" fontId="0" fillId="0" borderId="1" xfId="0" applyNumberFormat="1" applyFont="1" applyBorder="1"/>
    <xf numFmtId="2" fontId="6" fillId="0" borderId="1" xfId="0" applyNumberFormat="1" applyFont="1" applyBorder="1"/>
    <xf numFmtId="2" fontId="0" fillId="0" borderId="1" xfId="0" applyNumberFormat="1" applyFont="1" applyBorder="1"/>
    <xf numFmtId="0" fontId="0" fillId="0" borderId="4" xfId="0" applyFont="1" applyFill="1" applyBorder="1" applyAlignment="1"/>
    <xf numFmtId="43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1" xfId="2" applyNumberFormat="1" applyFont="1" applyBorder="1"/>
    <xf numFmtId="0" fontId="7" fillId="0" borderId="5" xfId="0" applyFont="1" applyBorder="1" applyAlignment="1"/>
    <xf numFmtId="0" fontId="8" fillId="0" borderId="5" xfId="0" applyFont="1" applyBorder="1" applyAlignment="1"/>
    <xf numFmtId="0" fontId="9" fillId="0" borderId="5" xfId="0" applyFont="1" applyBorder="1" applyAlignment="1"/>
    <xf numFmtId="0" fontId="10" fillId="0" borderId="5" xfId="0" applyFont="1" applyBorder="1" applyAlignment="1"/>
    <xf numFmtId="0" fontId="11" fillId="0" borderId="5" xfId="0" applyFont="1" applyBorder="1" applyAlignment="1"/>
    <xf numFmtId="0" fontId="12" fillId="0" borderId="5" xfId="0" applyFont="1" applyBorder="1" applyAlignment="1"/>
    <xf numFmtId="0" fontId="13" fillId="0" borderId="5" xfId="0" applyFont="1" applyBorder="1" applyAlignment="1"/>
    <xf numFmtId="10" fontId="0" fillId="0" borderId="1" xfId="0" applyNumberFormat="1" applyFont="1" applyBorder="1" applyAlignment="1"/>
    <xf numFmtId="9" fontId="0" fillId="0" borderId="8" xfId="0" applyNumberFormat="1" applyFont="1" applyBorder="1" applyAlignment="1"/>
    <xf numFmtId="10" fontId="0" fillId="0" borderId="0" xfId="0" applyNumberFormat="1"/>
    <xf numFmtId="43" fontId="0" fillId="0" borderId="0" xfId="1" applyFont="1"/>
    <xf numFmtId="0" fontId="0" fillId="0" borderId="0" xfId="0" applyFont="1" applyFill="1" applyBorder="1" applyAlignment="1"/>
    <xf numFmtId="0" fontId="14" fillId="0" borderId="1" xfId="0" applyFont="1" applyBorder="1"/>
    <xf numFmtId="0" fontId="15" fillId="0" borderId="10" xfId="0" applyFont="1" applyFill="1" applyBorder="1" applyAlignment="1">
      <alignment wrapText="1"/>
    </xf>
    <xf numFmtId="0" fontId="14" fillId="0" borderId="11" xfId="0" applyFont="1" applyBorder="1"/>
    <xf numFmtId="9" fontId="14" fillId="0" borderId="0" xfId="0" applyNumberFormat="1" applyFont="1"/>
    <xf numFmtId="10" fontId="6" fillId="0" borderId="0" xfId="0" applyNumberFormat="1" applyFont="1"/>
    <xf numFmtId="10" fontId="6" fillId="0" borderId="0" xfId="2" applyNumberFormat="1" applyFont="1"/>
    <xf numFmtId="9" fontId="0" fillId="0" borderId="0" xfId="0" applyNumberFormat="1" applyFont="1"/>
    <xf numFmtId="0" fontId="0" fillId="0" borderId="3" xfId="0" applyFont="1" applyFill="1" applyBorder="1" applyAlignment="1"/>
    <xf numFmtId="0" fontId="0" fillId="0" borderId="4" xfId="0" applyBorder="1"/>
    <xf numFmtId="43" fontId="0" fillId="0" borderId="6" xfId="0" applyNumberFormat="1" applyBorder="1"/>
    <xf numFmtId="10" fontId="0" fillId="0" borderId="6" xfId="0" applyNumberFormat="1" applyBorder="1"/>
    <xf numFmtId="0" fontId="0" fillId="0" borderId="5" xfId="0" applyFont="1" applyFill="1" applyBorder="1" applyAlignment="1"/>
    <xf numFmtId="0" fontId="0" fillId="0" borderId="6" xfId="0" applyBorder="1"/>
    <xf numFmtId="2" fontId="6" fillId="0" borderId="6" xfId="0" applyNumberFormat="1" applyFont="1" applyBorder="1"/>
    <xf numFmtId="2" fontId="0" fillId="0" borderId="6" xfId="0" applyNumberFormat="1" applyFont="1" applyBorder="1"/>
    <xf numFmtId="0" fontId="0" fillId="0" borderId="7" xfId="0" applyFont="1" applyFill="1" applyBorder="1" applyAlignment="1"/>
    <xf numFmtId="2" fontId="0" fillId="0" borderId="8" xfId="0" applyNumberFormat="1" applyFont="1" applyBorder="1"/>
    <xf numFmtId="2" fontId="0" fillId="0" borderId="9" xfId="0" applyNumberFormat="1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9" xfId="0" applyBorder="1"/>
    <xf numFmtId="0" fontId="16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tabSelected="1" topLeftCell="A49" zoomScaleNormal="100" workbookViewId="0">
      <selection activeCell="L67" sqref="L66:L67"/>
    </sheetView>
  </sheetViews>
  <sheetFormatPr defaultRowHeight="14.4" x14ac:dyDescent="0.3"/>
  <cols>
    <col min="1" max="1" width="13.77734375" bestFit="1" customWidth="1"/>
    <col min="3" max="3" width="7.88671875" customWidth="1"/>
    <col min="4" max="4" width="8" customWidth="1"/>
    <col min="5" max="5" width="9" bestFit="1" customWidth="1"/>
    <col min="6" max="6" width="21.109375" bestFit="1" customWidth="1"/>
    <col min="7" max="7" width="10" bestFit="1" customWidth="1"/>
    <col min="8" max="8" width="9.109375" bestFit="1" customWidth="1"/>
    <col min="9" max="9" width="10" bestFit="1" customWidth="1"/>
    <col min="14" max="14" width="8.88671875" customWidth="1"/>
    <col min="15" max="15" width="9.44140625" customWidth="1"/>
    <col min="16" max="16" width="16.21875" bestFit="1" customWidth="1"/>
    <col min="17" max="18" width="16.21875" customWidth="1"/>
    <col min="19" max="24" width="13.109375" bestFit="1" customWidth="1"/>
    <col min="25" max="25" width="12.33203125" bestFit="1" customWidth="1"/>
    <col min="26" max="26" width="12.109375" customWidth="1"/>
  </cols>
  <sheetData>
    <row r="1" spans="1:26" x14ac:dyDescent="0.3">
      <c r="A1" s="23" t="s">
        <v>0</v>
      </c>
      <c r="B1" s="3"/>
      <c r="F1" s="4" t="s">
        <v>27</v>
      </c>
      <c r="G1" s="24" t="s">
        <v>25</v>
      </c>
      <c r="H1" s="24" t="s">
        <v>26</v>
      </c>
      <c r="I1" s="24" t="s">
        <v>31</v>
      </c>
      <c r="J1" s="75" t="s">
        <v>104</v>
      </c>
      <c r="K1" s="75" t="s">
        <v>105</v>
      </c>
      <c r="L1" s="51" t="s">
        <v>106</v>
      </c>
      <c r="M1" s="67"/>
      <c r="N1" s="3"/>
      <c r="O1" s="3"/>
      <c r="P1" s="4" t="s">
        <v>42</v>
      </c>
      <c r="Q1" s="43" t="s">
        <v>9</v>
      </c>
      <c r="R1" s="43" t="s">
        <v>1</v>
      </c>
      <c r="S1" s="5" t="s">
        <v>2</v>
      </c>
      <c r="T1" s="5" t="s">
        <v>6</v>
      </c>
      <c r="U1" s="5" t="s">
        <v>10</v>
      </c>
      <c r="V1" s="5" t="s">
        <v>37</v>
      </c>
      <c r="W1" s="5" t="s">
        <v>38</v>
      </c>
      <c r="X1" s="5" t="s">
        <v>39</v>
      </c>
      <c r="Y1" s="5" t="s">
        <v>8</v>
      </c>
      <c r="Z1" s="6" t="s">
        <v>40</v>
      </c>
    </row>
    <row r="2" spans="1:26" x14ac:dyDescent="0.3">
      <c r="F2" s="7" t="s">
        <v>24</v>
      </c>
      <c r="G2" s="8"/>
      <c r="H2" s="8"/>
      <c r="I2" s="8"/>
      <c r="J2" s="15"/>
      <c r="K2" s="15"/>
      <c r="L2" s="19"/>
      <c r="M2" s="14"/>
      <c r="N2" s="3"/>
      <c r="O2" s="3"/>
      <c r="P2" s="7" t="s">
        <v>32</v>
      </c>
      <c r="Q2" s="44">
        <v>4780</v>
      </c>
      <c r="R2" s="44"/>
      <c r="S2" s="8"/>
      <c r="T2" s="8"/>
      <c r="U2" s="8"/>
      <c r="V2" s="8"/>
      <c r="W2" s="8"/>
      <c r="X2" s="8"/>
      <c r="Y2" s="8"/>
      <c r="Z2" s="9"/>
    </row>
    <row r="3" spans="1:26" x14ac:dyDescent="0.3">
      <c r="A3" s="15" t="s">
        <v>53</v>
      </c>
      <c r="B3" s="15">
        <v>90</v>
      </c>
      <c r="F3" s="25" t="s">
        <v>1</v>
      </c>
      <c r="G3" s="8"/>
      <c r="H3" s="8"/>
      <c r="I3" s="8"/>
      <c r="J3" s="15"/>
      <c r="K3" s="15"/>
      <c r="L3" s="19"/>
      <c r="M3" s="14"/>
      <c r="N3" s="3"/>
      <c r="O3" s="3"/>
      <c r="P3" s="7" t="s">
        <v>33</v>
      </c>
      <c r="Q3" s="44"/>
      <c r="R3" s="44">
        <v>311</v>
      </c>
      <c r="S3" s="8"/>
      <c r="T3" s="8"/>
      <c r="U3" s="8"/>
      <c r="V3" s="8"/>
      <c r="W3" s="8"/>
      <c r="X3" s="8"/>
      <c r="Y3" s="8"/>
      <c r="Z3" s="9"/>
    </row>
    <row r="4" spans="1:26" x14ac:dyDescent="0.3">
      <c r="A4" s="14"/>
      <c r="B4" s="14"/>
      <c r="F4" s="25" t="s">
        <v>2</v>
      </c>
      <c r="G4" s="8"/>
      <c r="H4" s="8"/>
      <c r="I4" s="8"/>
      <c r="J4" s="15"/>
      <c r="K4" s="15"/>
      <c r="L4" s="19"/>
      <c r="M4" s="14"/>
      <c r="N4" s="3"/>
      <c r="O4" s="3"/>
      <c r="P4" s="7" t="s">
        <v>34</v>
      </c>
      <c r="Q4" s="44"/>
      <c r="R4" s="44"/>
      <c r="S4" s="8"/>
      <c r="T4" s="8"/>
      <c r="U4" s="8"/>
      <c r="V4" s="8"/>
      <c r="W4" s="8"/>
      <c r="X4" s="8"/>
      <c r="Y4" s="8"/>
      <c r="Z4" s="9"/>
    </row>
    <row r="5" spans="1:26" x14ac:dyDescent="0.3">
      <c r="A5" s="15" t="s">
        <v>52</v>
      </c>
      <c r="B5" s="15">
        <v>90</v>
      </c>
      <c r="F5" s="25" t="s">
        <v>9</v>
      </c>
      <c r="G5" s="8"/>
      <c r="H5" s="8"/>
      <c r="I5" s="8"/>
      <c r="J5" s="15"/>
      <c r="K5" s="15"/>
      <c r="L5" s="19"/>
      <c r="M5" s="14"/>
      <c r="N5" s="3"/>
      <c r="O5" s="3"/>
      <c r="P5" s="7" t="s">
        <v>35</v>
      </c>
      <c r="Q5" s="44"/>
      <c r="R5" s="44"/>
      <c r="S5" s="8"/>
      <c r="T5" s="8"/>
      <c r="U5" s="8"/>
      <c r="V5" s="8"/>
      <c r="W5" s="8"/>
      <c r="X5" s="8"/>
      <c r="Y5" s="8"/>
      <c r="Z5" s="9"/>
    </row>
    <row r="6" spans="1:26" ht="15" thickBot="1" x14ac:dyDescent="0.35">
      <c r="A6" s="14"/>
      <c r="B6" s="14"/>
      <c r="F6" s="25" t="s">
        <v>10</v>
      </c>
      <c r="G6" s="8"/>
      <c r="H6" s="8"/>
      <c r="I6" s="8"/>
      <c r="J6" s="15"/>
      <c r="K6" s="15"/>
      <c r="L6" s="19"/>
      <c r="M6" s="14"/>
      <c r="N6" s="3"/>
      <c r="O6" s="3"/>
      <c r="P6" s="10" t="s">
        <v>36</v>
      </c>
      <c r="Q6" s="45"/>
      <c r="R6" s="45"/>
      <c r="S6" s="11"/>
      <c r="T6" s="11"/>
      <c r="U6" s="11"/>
      <c r="V6" s="11"/>
      <c r="W6" s="11"/>
      <c r="X6" s="11"/>
      <c r="Y6" s="11"/>
      <c r="Z6" s="12"/>
    </row>
    <row r="7" spans="1:26" x14ac:dyDescent="0.3">
      <c r="A7" s="17" t="s">
        <v>56</v>
      </c>
      <c r="B7" s="86">
        <v>9</v>
      </c>
      <c r="F7" s="25" t="s">
        <v>5</v>
      </c>
      <c r="G7" s="8"/>
      <c r="H7" s="8"/>
      <c r="I7" s="8"/>
      <c r="J7" s="15"/>
      <c r="K7" s="15"/>
      <c r="L7" s="19"/>
      <c r="M7" s="1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">
      <c r="A8" s="87" t="s">
        <v>57</v>
      </c>
      <c r="B8" s="19"/>
      <c r="F8" s="25" t="s">
        <v>6</v>
      </c>
      <c r="G8" s="8"/>
      <c r="H8" s="8"/>
      <c r="I8" s="8"/>
      <c r="J8" s="15"/>
      <c r="K8" s="15"/>
      <c r="L8" s="19"/>
      <c r="M8" s="1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thickBot="1" x14ac:dyDescent="0.35">
      <c r="A9" s="88" t="s">
        <v>58</v>
      </c>
      <c r="B9" s="80"/>
      <c r="F9" s="25" t="s">
        <v>7</v>
      </c>
      <c r="G9" s="8"/>
      <c r="H9" s="8"/>
      <c r="I9" s="8"/>
      <c r="J9" s="15"/>
      <c r="K9" s="15"/>
      <c r="L9" s="19"/>
      <c r="M9" s="1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">
      <c r="A10" s="88" t="s">
        <v>59</v>
      </c>
      <c r="B10" s="80"/>
      <c r="F10" s="25" t="s">
        <v>8</v>
      </c>
      <c r="G10" s="8"/>
      <c r="H10" s="8"/>
      <c r="I10" s="8"/>
      <c r="J10" s="15"/>
      <c r="K10" s="15"/>
      <c r="L10" s="19"/>
      <c r="M10" s="14"/>
      <c r="N10" s="3"/>
      <c r="O10" s="3"/>
      <c r="P10" s="17" t="s">
        <v>41</v>
      </c>
      <c r="Q10" s="18" t="s">
        <v>46</v>
      </c>
      <c r="R10" s="18" t="s">
        <v>102</v>
      </c>
      <c r="S10" s="38" t="s">
        <v>103</v>
      </c>
      <c r="T10" s="13"/>
      <c r="V10" s="3"/>
      <c r="W10" s="3"/>
      <c r="X10" s="3"/>
      <c r="Y10" s="30" t="s">
        <v>47</v>
      </c>
      <c r="Z10" s="31">
        <v>100</v>
      </c>
    </row>
    <row r="11" spans="1:26" x14ac:dyDescent="0.3">
      <c r="A11" s="88" t="s">
        <v>60</v>
      </c>
      <c r="B11" s="80"/>
      <c r="F11" s="25" t="s">
        <v>3</v>
      </c>
      <c r="G11" s="8"/>
      <c r="H11" s="8"/>
      <c r="I11" s="8"/>
      <c r="J11" s="15"/>
      <c r="K11" s="15"/>
      <c r="L11" s="19"/>
      <c r="M11" s="14"/>
      <c r="N11" s="3"/>
      <c r="O11" s="3"/>
      <c r="P11" s="1" t="s">
        <v>2</v>
      </c>
      <c r="Q11" s="15">
        <v>2</v>
      </c>
      <c r="R11" s="15">
        <v>2</v>
      </c>
      <c r="S11" s="39">
        <f>4.96%*SUM((Q11:R11))</f>
        <v>0.19839999999999999</v>
      </c>
      <c r="V11" s="3"/>
      <c r="W11" s="3"/>
      <c r="X11" s="3"/>
      <c r="Y11" s="32" t="s">
        <v>48</v>
      </c>
      <c r="Z11" s="33">
        <f>((100+B3)/((100+Z10)+(100+B3)*(1-Z14)))</f>
        <v>0.48717948717948717</v>
      </c>
    </row>
    <row r="12" spans="1:26" x14ac:dyDescent="0.3">
      <c r="A12" s="88" t="s">
        <v>61</v>
      </c>
      <c r="B12" s="19"/>
      <c r="F12" s="25" t="s">
        <v>4</v>
      </c>
      <c r="G12" s="8"/>
      <c r="H12" s="8"/>
      <c r="I12" s="8"/>
      <c r="J12" s="15"/>
      <c r="K12" s="15"/>
      <c r="L12" s="19"/>
      <c r="M12" s="14"/>
      <c r="N12" s="3"/>
      <c r="O12" s="3"/>
      <c r="P12" s="1" t="s">
        <v>43</v>
      </c>
      <c r="Q12" s="15">
        <v>2</v>
      </c>
      <c r="R12" s="15">
        <v>0</v>
      </c>
      <c r="S12" s="40">
        <f>16.54*SUM((Q12:R12))</f>
        <v>33.08</v>
      </c>
      <c r="V12" s="3"/>
      <c r="W12" s="3"/>
      <c r="X12" s="3"/>
      <c r="Y12" s="32" t="s">
        <v>49</v>
      </c>
      <c r="Z12" s="34">
        <f>90%+(Z15+10%)/2</f>
        <v>0.9</v>
      </c>
    </row>
    <row r="13" spans="1:26" x14ac:dyDescent="0.3">
      <c r="A13" s="88" t="s">
        <v>62</v>
      </c>
      <c r="B13" s="19"/>
      <c r="F13" s="56" t="s">
        <v>11</v>
      </c>
      <c r="G13" s="8"/>
      <c r="H13" s="8"/>
      <c r="I13" s="63"/>
      <c r="J13" s="15"/>
      <c r="K13" s="15"/>
      <c r="L13" s="19"/>
      <c r="M13" s="14"/>
      <c r="N13" s="3"/>
      <c r="O13" s="3"/>
      <c r="P13" s="1" t="s">
        <v>6</v>
      </c>
      <c r="Q13" s="15">
        <v>2</v>
      </c>
      <c r="R13" s="15">
        <v>0</v>
      </c>
      <c r="S13" s="39">
        <f>6.2%*SUM((Q13:R13))</f>
        <v>0.124</v>
      </c>
      <c r="V13" s="3"/>
      <c r="W13" s="3"/>
      <c r="X13" s="3"/>
      <c r="Y13" s="32"/>
      <c r="Z13" s="35"/>
    </row>
    <row r="14" spans="1:26" x14ac:dyDescent="0.3">
      <c r="A14" s="88" t="s">
        <v>63</v>
      </c>
      <c r="B14" s="19"/>
      <c r="F14" s="60" t="s">
        <v>12</v>
      </c>
      <c r="G14" s="8"/>
      <c r="H14" s="8"/>
      <c r="I14" s="8"/>
      <c r="J14" s="15"/>
      <c r="K14" s="15"/>
      <c r="L14" s="19"/>
      <c r="M14" s="14"/>
      <c r="N14" s="3"/>
      <c r="O14" s="3"/>
      <c r="P14" s="1" t="s">
        <v>44</v>
      </c>
      <c r="Q14" s="16">
        <v>2</v>
      </c>
      <c r="R14" s="15">
        <v>0</v>
      </c>
      <c r="S14" s="40">
        <f>19.68*SUM((Q14:R14))</f>
        <v>39.36</v>
      </c>
      <c r="V14" s="3"/>
      <c r="W14" s="3"/>
      <c r="X14" s="3"/>
      <c r="Y14" s="32" t="s">
        <v>50</v>
      </c>
      <c r="Z14" s="35"/>
    </row>
    <row r="15" spans="1:26" ht="15" thickBot="1" x14ac:dyDescent="0.35">
      <c r="A15" s="88" t="s">
        <v>64</v>
      </c>
      <c r="B15" s="19"/>
      <c r="F15" s="58" t="s">
        <v>13</v>
      </c>
      <c r="G15" s="8"/>
      <c r="H15" s="8"/>
      <c r="I15" s="8"/>
      <c r="J15" s="15"/>
      <c r="K15" s="15"/>
      <c r="L15" s="19"/>
      <c r="M15" s="14"/>
      <c r="N15" s="3"/>
      <c r="O15" s="3"/>
      <c r="P15" s="1" t="s">
        <v>10</v>
      </c>
      <c r="Q15" s="16">
        <v>2</v>
      </c>
      <c r="R15" s="15">
        <v>0</v>
      </c>
      <c r="S15" s="39">
        <f t="shared" ref="S15" si="0">4.96%*SUM((Q15:R15))</f>
        <v>9.9199999999999997E-2</v>
      </c>
      <c r="V15" s="3"/>
      <c r="W15" s="3"/>
      <c r="X15" s="3"/>
      <c r="Y15" s="36" t="s">
        <v>51</v>
      </c>
      <c r="Z15" s="37">
        <v>-0.1</v>
      </c>
    </row>
    <row r="16" spans="1:26" x14ac:dyDescent="0.3">
      <c r="A16" s="88" t="s">
        <v>65</v>
      </c>
      <c r="B16" s="19"/>
      <c r="F16" s="57" t="s">
        <v>14</v>
      </c>
      <c r="G16" s="8"/>
      <c r="H16" s="8"/>
      <c r="I16" s="8"/>
      <c r="J16" s="15"/>
      <c r="K16" s="15"/>
      <c r="L16" s="19"/>
      <c r="M16" s="14"/>
      <c r="N16" s="3"/>
      <c r="O16" s="3"/>
      <c r="P16" s="1" t="s">
        <v>45</v>
      </c>
      <c r="Q16" s="16">
        <v>2</v>
      </c>
      <c r="R16" s="15">
        <v>0</v>
      </c>
      <c r="S16" s="40">
        <f>253.94*SUM((Q16:R16))</f>
        <v>507.88</v>
      </c>
      <c r="V16" s="3"/>
      <c r="W16" s="3"/>
      <c r="X16" s="3"/>
      <c r="Y16" s="3"/>
      <c r="Z16" s="3"/>
    </row>
    <row r="17" spans="1:26" x14ac:dyDescent="0.3">
      <c r="A17" s="88" t="s">
        <v>66</v>
      </c>
      <c r="B17" s="19"/>
      <c r="F17" s="61" t="s">
        <v>15</v>
      </c>
      <c r="G17" s="8"/>
      <c r="H17" s="8"/>
      <c r="I17" s="8"/>
      <c r="J17" s="15"/>
      <c r="K17" s="15"/>
      <c r="L17" s="19"/>
      <c r="M17" s="14"/>
      <c r="N17" s="3"/>
      <c r="O17" s="3"/>
      <c r="P17" s="1" t="s">
        <v>39</v>
      </c>
      <c r="Q17" s="16">
        <v>2</v>
      </c>
      <c r="R17" s="15">
        <v>0</v>
      </c>
      <c r="S17" s="39">
        <f>5.51%*SUM((Q17:R17))</f>
        <v>0.11019999999999999</v>
      </c>
      <c r="V17" s="3"/>
      <c r="W17" s="3"/>
      <c r="X17" s="3"/>
      <c r="Y17" s="3"/>
      <c r="Z17" s="3"/>
    </row>
    <row r="18" spans="1:26" ht="15" thickBot="1" x14ac:dyDescent="0.35">
      <c r="A18" s="89" t="s">
        <v>67</v>
      </c>
      <c r="B18" s="21"/>
      <c r="F18" s="62" t="s">
        <v>16</v>
      </c>
      <c r="G18" s="8"/>
      <c r="H18" s="8"/>
      <c r="I18" s="8"/>
      <c r="J18" s="15"/>
      <c r="K18" s="15"/>
      <c r="L18" s="19"/>
      <c r="M18" s="14"/>
      <c r="N18" s="3"/>
      <c r="O18" s="3"/>
      <c r="P18" s="1" t="s">
        <v>8</v>
      </c>
      <c r="Q18" s="16">
        <v>2</v>
      </c>
      <c r="R18" s="15">
        <v>0</v>
      </c>
      <c r="S18" s="40">
        <f>19.82*SUM((Q18:R18))</f>
        <v>39.64</v>
      </c>
      <c r="V18" s="3"/>
      <c r="W18" s="3"/>
      <c r="X18" s="3"/>
      <c r="Y18" s="3"/>
      <c r="Z18" s="3"/>
    </row>
    <row r="19" spans="1:26" ht="15" thickBot="1" x14ac:dyDescent="0.35">
      <c r="F19" s="59" t="s">
        <v>17</v>
      </c>
      <c r="G19" s="8"/>
      <c r="H19" s="8"/>
      <c r="I19" s="8"/>
      <c r="J19" s="15"/>
      <c r="K19" s="15"/>
      <c r="L19" s="19"/>
      <c r="M19" s="14"/>
      <c r="N19" s="3"/>
      <c r="O19" s="3"/>
      <c r="P19" s="1" t="s">
        <v>37</v>
      </c>
      <c r="Q19" s="16">
        <v>2</v>
      </c>
      <c r="R19" s="15">
        <v>8</v>
      </c>
      <c r="S19" s="39">
        <f>3.31%*SUM((Q19:R19))</f>
        <v>0.33099999999999996</v>
      </c>
      <c r="V19" s="3"/>
      <c r="W19" s="3"/>
      <c r="X19" s="3"/>
      <c r="Y19" s="3"/>
      <c r="Z19" s="3"/>
    </row>
    <row r="20" spans="1:26" ht="15" thickBot="1" x14ac:dyDescent="0.35">
      <c r="A20" s="17" t="s">
        <v>55</v>
      </c>
      <c r="B20" s="76">
        <v>9</v>
      </c>
      <c r="F20" s="25" t="s">
        <v>18</v>
      </c>
      <c r="G20" s="8"/>
      <c r="H20" s="8"/>
      <c r="I20" s="8"/>
      <c r="J20" s="15"/>
      <c r="K20" s="15"/>
      <c r="L20" s="19"/>
      <c r="M20" s="14"/>
      <c r="N20" s="3"/>
      <c r="O20" s="3"/>
      <c r="P20" s="2" t="s">
        <v>38</v>
      </c>
      <c r="Q20" s="20">
        <v>2</v>
      </c>
      <c r="R20" s="41">
        <v>10</v>
      </c>
      <c r="S20" s="42">
        <f>6.62%*SUM((Q20:R20))</f>
        <v>0.7944</v>
      </c>
      <c r="V20" s="3"/>
      <c r="W20" s="3"/>
      <c r="X20" s="3"/>
      <c r="Y20" s="3"/>
      <c r="Z20" s="3"/>
    </row>
    <row r="21" spans="1:26" ht="15" thickBot="1" x14ac:dyDescent="0.35">
      <c r="A21" s="87" t="s">
        <v>74</v>
      </c>
      <c r="B21" s="19"/>
      <c r="F21" s="25" t="s">
        <v>19</v>
      </c>
      <c r="G21" s="8"/>
      <c r="H21" s="8"/>
      <c r="I21" s="8"/>
      <c r="J21" s="15"/>
      <c r="K21" s="15"/>
      <c r="L21" s="19"/>
      <c r="M21" s="14"/>
      <c r="N21" s="3"/>
      <c r="O21" s="3"/>
      <c r="S21" s="3"/>
      <c r="T21" s="3"/>
      <c r="U21" s="3"/>
      <c r="V21" s="3"/>
      <c r="W21" s="3"/>
      <c r="X21" s="3"/>
      <c r="Y21" s="3"/>
      <c r="Z21" s="3"/>
    </row>
    <row r="22" spans="1:26" ht="15" thickBot="1" x14ac:dyDescent="0.35">
      <c r="A22" s="87" t="s">
        <v>68</v>
      </c>
      <c r="B22" s="80"/>
      <c r="F22" s="25" t="s">
        <v>20</v>
      </c>
      <c r="G22" s="8"/>
      <c r="H22" s="8"/>
      <c r="I22" s="8"/>
      <c r="J22" s="15"/>
      <c r="K22" s="15"/>
      <c r="L22" s="19"/>
      <c r="M22" s="14"/>
      <c r="N22" s="3"/>
      <c r="O22" s="3"/>
      <c r="P22" s="69" t="s">
        <v>85</v>
      </c>
      <c r="Q22" s="70">
        <f>SUM(Q11:R20)</f>
        <v>40</v>
      </c>
      <c r="R22" s="22"/>
      <c r="S22" s="28"/>
      <c r="T22" s="3"/>
      <c r="U22" s="3"/>
      <c r="V22" s="3"/>
      <c r="W22" s="3"/>
      <c r="X22" s="3"/>
      <c r="Y22" s="3"/>
      <c r="Z22" s="3"/>
    </row>
    <row r="23" spans="1:26" x14ac:dyDescent="0.3">
      <c r="A23" s="88" t="s">
        <v>69</v>
      </c>
      <c r="B23" s="19"/>
      <c r="F23" s="25" t="s">
        <v>21</v>
      </c>
      <c r="G23" s="8"/>
      <c r="H23" s="8"/>
      <c r="I23" s="8"/>
      <c r="J23" s="15"/>
      <c r="K23" s="15"/>
      <c r="L23" s="1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3">
      <c r="A24" s="88" t="s">
        <v>70</v>
      </c>
      <c r="B24" s="19"/>
      <c r="F24" s="26" t="s">
        <v>28</v>
      </c>
      <c r="G24" s="8"/>
      <c r="H24" s="8"/>
      <c r="I24" s="8"/>
      <c r="J24" s="15"/>
      <c r="K24" s="15"/>
      <c r="L24" s="19"/>
      <c r="M24" s="1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thickBot="1" x14ac:dyDescent="0.35">
      <c r="A25" s="89" t="s">
        <v>70</v>
      </c>
      <c r="B25" s="21"/>
      <c r="F25" s="26" t="s">
        <v>29</v>
      </c>
      <c r="G25" s="8"/>
      <c r="H25" s="8"/>
      <c r="I25" s="8"/>
      <c r="J25" s="15"/>
      <c r="K25" s="15"/>
      <c r="L25" s="19"/>
      <c r="M25" s="1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3">
      <c r="A26" s="3"/>
      <c r="B26" s="3"/>
      <c r="F26" s="26" t="s">
        <v>30</v>
      </c>
      <c r="G26" s="8"/>
      <c r="H26" s="8"/>
      <c r="I26" s="8"/>
      <c r="J26" s="15"/>
      <c r="K26" s="15"/>
      <c r="L26" s="19"/>
      <c r="M26" s="1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thickBot="1" x14ac:dyDescent="0.35">
      <c r="A27" s="3"/>
      <c r="F27" s="25" t="s">
        <v>22</v>
      </c>
      <c r="G27" s="8"/>
      <c r="H27" s="8"/>
      <c r="I27" s="8"/>
      <c r="J27" s="15"/>
      <c r="K27" s="15"/>
      <c r="L27" s="19"/>
      <c r="M27" s="1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thickBot="1" x14ac:dyDescent="0.35">
      <c r="A28" s="17" t="s">
        <v>54</v>
      </c>
      <c r="B28" s="86">
        <v>9</v>
      </c>
      <c r="F28" s="27" t="s">
        <v>23</v>
      </c>
      <c r="G28" s="11"/>
      <c r="H28" s="11"/>
      <c r="I28" s="64"/>
      <c r="J28" s="41"/>
      <c r="K28" s="41"/>
      <c r="L28" s="21"/>
      <c r="M28" s="1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88" t="s">
        <v>71</v>
      </c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6" x14ac:dyDescent="0.3">
      <c r="A30" s="88" t="s">
        <v>72</v>
      </c>
      <c r="B30" s="80"/>
      <c r="N30" s="3"/>
    </row>
    <row r="31" spans="1:26" x14ac:dyDescent="0.3">
      <c r="A31" s="88" t="s">
        <v>73</v>
      </c>
      <c r="B31" s="80"/>
      <c r="N31" s="3"/>
    </row>
    <row r="32" spans="1:26" x14ac:dyDescent="0.3">
      <c r="A32" s="88" t="s">
        <v>70</v>
      </c>
      <c r="B32" s="80"/>
      <c r="N32" s="3"/>
    </row>
    <row r="33" spans="1:9" ht="15" thickBot="1" x14ac:dyDescent="0.35">
      <c r="A33" s="89" t="s">
        <v>70</v>
      </c>
      <c r="B33" s="90"/>
    </row>
    <row r="35" spans="1:9" ht="15" thickBot="1" x14ac:dyDescent="0.35"/>
    <row r="36" spans="1:9" x14ac:dyDescent="0.3">
      <c r="F36" s="17" t="s">
        <v>75</v>
      </c>
      <c r="G36" s="18" t="s">
        <v>27</v>
      </c>
      <c r="H36" s="76" t="s">
        <v>83</v>
      </c>
      <c r="I36" s="28"/>
    </row>
    <row r="37" spans="1:9" x14ac:dyDescent="0.3">
      <c r="F37" s="7" t="s">
        <v>1</v>
      </c>
      <c r="G37" s="47">
        <f>(G3+H3)*(100%+SUM(G4:I4)+SUM(S2:S6)+S11)+S12+SUM(R2:R6)</f>
        <v>344.08</v>
      </c>
      <c r="H37" s="77">
        <f>SUM(G3:J3)*(100%+SUM(G4:J4)+SUM(S2:S6)+S11)+S12+SUM(R2:R6)</f>
        <v>344.08</v>
      </c>
      <c r="I37" s="28"/>
    </row>
    <row r="38" spans="1:9" x14ac:dyDescent="0.3">
      <c r="F38" s="7" t="s">
        <v>9</v>
      </c>
      <c r="G38" s="47">
        <f>G5*(100%+SUM(G6:I6)+SUM(U2:U6)+S15)+Q2+S16</f>
        <v>5287.88</v>
      </c>
      <c r="H38" s="77">
        <f>G5*(100%+SUM(G6:J6)+SUM(U2:U6)+S15)+Q2+S16</f>
        <v>5287.88</v>
      </c>
      <c r="I38" s="28"/>
    </row>
    <row r="39" spans="1:9" x14ac:dyDescent="0.3">
      <c r="F39" s="7" t="s">
        <v>5</v>
      </c>
      <c r="G39" s="47">
        <f>G7*(100%+SUM(G8:I8)+SUM(T2:T6)+S13)+S14</f>
        <v>39.36</v>
      </c>
      <c r="H39" s="77">
        <f>G7*(100%+SUM(G8:J8)+SUM(T2:T6)+S13)+S14</f>
        <v>39.36</v>
      </c>
      <c r="I39" s="28"/>
    </row>
    <row r="40" spans="1:9" x14ac:dyDescent="0.3">
      <c r="F40" s="7" t="s">
        <v>7</v>
      </c>
      <c r="G40" s="48">
        <f>SUM(G9:I9)+SUM(X2:X6)+S17+G72+100%</f>
        <v>1.1102000000000001</v>
      </c>
      <c r="H40" s="78">
        <f>SUM(G9:J9)+SUM(X2:X6)+S17+100%</f>
        <v>1.1102000000000001</v>
      </c>
      <c r="I40" s="28"/>
    </row>
    <row r="41" spans="1:9" x14ac:dyDescent="0.3">
      <c r="F41" s="7" t="s">
        <v>8</v>
      </c>
      <c r="G41" s="47">
        <f>S18+SUM(G10:I10)+G73</f>
        <v>39.64</v>
      </c>
      <c r="H41" s="77">
        <f>S18+SUM(G10:J10)</f>
        <v>39.64</v>
      </c>
      <c r="I41" s="28"/>
    </row>
    <row r="42" spans="1:9" x14ac:dyDescent="0.3">
      <c r="F42" s="7" t="s">
        <v>3</v>
      </c>
      <c r="G42" s="48">
        <f>SUM(G11:I11)+S19+SUM(V2:V6)</f>
        <v>0.33099999999999996</v>
      </c>
      <c r="H42" s="78">
        <f>SUM(G11:J11)+S19+SUM(V2:V6)</f>
        <v>0.33099999999999996</v>
      </c>
      <c r="I42" s="28"/>
    </row>
    <row r="43" spans="1:9" x14ac:dyDescent="0.3">
      <c r="F43" s="7" t="s">
        <v>4</v>
      </c>
      <c r="G43" s="48">
        <f>SUM(G12:I12)+SUM(W2:W6)+S20</f>
        <v>0.7944</v>
      </c>
      <c r="H43" s="78">
        <f>SUM(G12:J12)+SUM(W2:W6)+S20</f>
        <v>0.7944</v>
      </c>
      <c r="I43" s="28"/>
    </row>
    <row r="44" spans="1:9" x14ac:dyDescent="0.3">
      <c r="F44" s="79" t="s">
        <v>76</v>
      </c>
      <c r="G44" s="15">
        <f>SUM(G13:I20)+SUM(Z2:Z6)+G76</f>
        <v>0</v>
      </c>
      <c r="H44" s="80">
        <f>SUM(G13:J20)+SUM(Z2:Z6)</f>
        <v>0</v>
      </c>
      <c r="I44" s="28"/>
    </row>
    <row r="45" spans="1:9" x14ac:dyDescent="0.3">
      <c r="F45" s="7" t="s">
        <v>21</v>
      </c>
      <c r="G45" s="15">
        <f>SUM(G23:I23)</f>
        <v>0</v>
      </c>
      <c r="H45" s="80">
        <f>SUM(G23:J23)</f>
        <v>0</v>
      </c>
      <c r="I45" s="28"/>
    </row>
    <row r="46" spans="1:9" x14ac:dyDescent="0.3">
      <c r="F46" s="79" t="s">
        <v>28</v>
      </c>
      <c r="G46" s="15">
        <f t="shared" ref="G46:G50" si="1">SUM(G24:I24)</f>
        <v>0</v>
      </c>
      <c r="H46" s="80">
        <f t="shared" ref="H46:H50" si="2">SUM(G24:J24)</f>
        <v>0</v>
      </c>
      <c r="I46" s="28"/>
    </row>
    <row r="47" spans="1:9" x14ac:dyDescent="0.3">
      <c r="F47" s="79" t="s">
        <v>29</v>
      </c>
      <c r="G47" s="15">
        <f t="shared" si="1"/>
        <v>0</v>
      </c>
      <c r="H47" s="80">
        <f t="shared" si="2"/>
        <v>0</v>
      </c>
      <c r="I47" s="28"/>
    </row>
    <row r="48" spans="1:9" x14ac:dyDescent="0.3">
      <c r="F48" s="79" t="s">
        <v>30</v>
      </c>
      <c r="G48" s="15">
        <f t="shared" si="1"/>
        <v>0</v>
      </c>
      <c r="H48" s="80">
        <f t="shared" si="2"/>
        <v>0</v>
      </c>
      <c r="I48" s="28"/>
    </row>
    <row r="49" spans="6:9" x14ac:dyDescent="0.3">
      <c r="F49" s="7" t="s">
        <v>22</v>
      </c>
      <c r="G49" s="15">
        <f>SUM(G27:I27)</f>
        <v>0</v>
      </c>
      <c r="H49" s="80">
        <f t="shared" si="2"/>
        <v>0</v>
      </c>
      <c r="I49" s="28"/>
    </row>
    <row r="50" spans="6:9" x14ac:dyDescent="0.3">
      <c r="F50" s="7" t="s">
        <v>23</v>
      </c>
      <c r="G50" s="15">
        <f t="shared" si="1"/>
        <v>0</v>
      </c>
      <c r="H50" s="80">
        <f t="shared" si="2"/>
        <v>0</v>
      </c>
      <c r="I50" s="28"/>
    </row>
    <row r="51" spans="6:9" x14ac:dyDescent="0.3">
      <c r="F51" s="79" t="s">
        <v>77</v>
      </c>
      <c r="G51" s="55">
        <f>150%*(1+((2.78*G41)/(1400+G41)))</f>
        <v>1.6148195382178878</v>
      </c>
      <c r="H51" s="39">
        <f>150%*(1+((2.78*H41)/(1400+H41)))</f>
        <v>1.6148195382178878</v>
      </c>
      <c r="I51" s="28"/>
    </row>
    <row r="52" spans="6:9" x14ac:dyDescent="0.3">
      <c r="F52" s="79" t="s">
        <v>78</v>
      </c>
      <c r="G52" s="55">
        <f>200%*(1+((2.78*G41)/(1400+G41)))</f>
        <v>2.1530927176238506</v>
      </c>
      <c r="H52" s="39">
        <f>200%*(1+((2.78*H41)/(1400+H41)))</f>
        <v>2.1530927176238506</v>
      </c>
      <c r="I52" s="28"/>
    </row>
    <row r="53" spans="6:9" x14ac:dyDescent="0.3">
      <c r="F53" s="79" t="s">
        <v>79</v>
      </c>
      <c r="G53" s="49">
        <f>4*(1+((16*G41)/(2000+G41)))*(0.00194*$B$3^3-0.319*$B$3^2+30.7*$B$3-868)</f>
        <v>3803.6626008511298</v>
      </c>
      <c r="H53" s="81">
        <f>4*(1+((16*H41)/(2000+H41)))*(0.00194*$B$3^3-0.319*$B$3^2+30.7*$B$3-868)</f>
        <v>3803.6626008511298</v>
      </c>
      <c r="I53" s="28"/>
    </row>
    <row r="54" spans="6:9" x14ac:dyDescent="0.3">
      <c r="F54" s="79" t="s">
        <v>80</v>
      </c>
      <c r="G54" s="50">
        <f>3*(1+((16*G41)/(2000+G41)))*(0.00194*$B$3^3-0.319*$B$3^2+30.7*$B$3-868)</f>
        <v>2852.7469506383472</v>
      </c>
      <c r="H54" s="82">
        <f>3*(1+((16*H41)/(2000+H41)))*(0.00194*$B$3^3-0.319*$B$3^2+30.7*$B$3-868)</f>
        <v>2852.7469506383472</v>
      </c>
      <c r="I54" s="28"/>
    </row>
    <row r="55" spans="6:9" x14ac:dyDescent="0.3">
      <c r="F55" s="79" t="s">
        <v>81</v>
      </c>
      <c r="G55" s="50">
        <f>2.4*(1+((16*G41)/(2000+G41)))*(0.00194*$B$3^3-0.319*$B$3^2+30.7*$B$3-868)</f>
        <v>2282.1975605106777</v>
      </c>
      <c r="H55" s="82">
        <f>2.4*(1+((16*H41)/(2000+H41)))*(0.00194*$B$3^3-0.319*$B$3^2+30.7*$B$3-868)</f>
        <v>2282.1975605106777</v>
      </c>
      <c r="I55" s="28"/>
    </row>
    <row r="56" spans="6:9" ht="15" thickBot="1" x14ac:dyDescent="0.35">
      <c r="F56" s="83" t="s">
        <v>82</v>
      </c>
      <c r="G56" s="84">
        <f>1.2*(1+((16*G41)/(2000+G41)))*(0.00194*$B$3^3-0.319*$B$3^2+30.7*$B$3-868)</f>
        <v>1141.0987802553389</v>
      </c>
      <c r="H56" s="85">
        <f>1.2*(1+((16*H41)/(2000+H41)))*(0.00194*$B$3^3-0.319*$B$3^2+30.7*$B$3-868)</f>
        <v>1141.0987802553389</v>
      </c>
      <c r="I56" s="28"/>
    </row>
    <row r="61" spans="6:9" x14ac:dyDescent="0.3">
      <c r="F61" s="29" t="s">
        <v>87</v>
      </c>
    </row>
    <row r="62" spans="6:9" x14ac:dyDescent="0.3">
      <c r="F62" s="29" t="s">
        <v>86</v>
      </c>
      <c r="G62" t="s">
        <v>101</v>
      </c>
    </row>
    <row r="63" spans="6:9" x14ac:dyDescent="0.3">
      <c r="F63" s="29" t="s">
        <v>88</v>
      </c>
      <c r="G63" t="s">
        <v>96</v>
      </c>
    </row>
    <row r="65" spans="6:7" x14ac:dyDescent="0.3">
      <c r="F65" s="91" t="s">
        <v>84</v>
      </c>
    </row>
    <row r="66" spans="6:7" x14ac:dyDescent="0.3">
      <c r="F66" s="29" t="s">
        <v>1</v>
      </c>
      <c r="G66">
        <v>0</v>
      </c>
    </row>
    <row r="67" spans="6:7" x14ac:dyDescent="0.3">
      <c r="F67" s="29" t="s">
        <v>9</v>
      </c>
      <c r="G67">
        <f>J5</f>
        <v>0</v>
      </c>
    </row>
    <row r="68" spans="6:7" x14ac:dyDescent="0.3">
      <c r="F68" s="29" t="s">
        <v>5</v>
      </c>
      <c r="G68">
        <f>J7</f>
        <v>0</v>
      </c>
    </row>
    <row r="69" spans="6:7" x14ac:dyDescent="0.3">
      <c r="F69" s="8" t="s">
        <v>2</v>
      </c>
      <c r="G69">
        <f>J4</f>
        <v>0</v>
      </c>
    </row>
    <row r="70" spans="6:7" x14ac:dyDescent="0.3">
      <c r="F70" s="8" t="s">
        <v>10</v>
      </c>
      <c r="G70">
        <f>J6</f>
        <v>0</v>
      </c>
    </row>
    <row r="71" spans="6:7" x14ac:dyDescent="0.3">
      <c r="F71" s="8" t="s">
        <v>6</v>
      </c>
      <c r="G71">
        <f>J8</f>
        <v>0</v>
      </c>
    </row>
    <row r="72" spans="6:7" x14ac:dyDescent="0.3">
      <c r="F72" s="8" t="s">
        <v>7</v>
      </c>
      <c r="G72">
        <f>J9</f>
        <v>0</v>
      </c>
    </row>
    <row r="73" spans="6:7" x14ac:dyDescent="0.3">
      <c r="F73" s="8" t="s">
        <v>8</v>
      </c>
      <c r="G73">
        <f>J10</f>
        <v>0</v>
      </c>
    </row>
    <row r="74" spans="6:7" x14ac:dyDescent="0.3">
      <c r="F74" s="8" t="s">
        <v>3</v>
      </c>
      <c r="G74">
        <f>J11</f>
        <v>0</v>
      </c>
    </row>
    <row r="75" spans="6:7" x14ac:dyDescent="0.3">
      <c r="F75" s="8" t="s">
        <v>4</v>
      </c>
      <c r="G75">
        <f>J12</f>
        <v>0</v>
      </c>
    </row>
    <row r="76" spans="6:7" x14ac:dyDescent="0.3">
      <c r="F76" s="46" t="s">
        <v>76</v>
      </c>
      <c r="G76">
        <f>SUM(J13:J20)</f>
        <v>0</v>
      </c>
    </row>
    <row r="77" spans="6:7" x14ac:dyDescent="0.3">
      <c r="F77" s="8" t="s">
        <v>21</v>
      </c>
      <c r="G77">
        <f>J23</f>
        <v>0</v>
      </c>
    </row>
    <row r="78" spans="6:7" x14ac:dyDescent="0.3">
      <c r="F78" s="46" t="s">
        <v>28</v>
      </c>
      <c r="G78">
        <f>J24</f>
        <v>0</v>
      </c>
    </row>
    <row r="79" spans="6:7" x14ac:dyDescent="0.3">
      <c r="F79" s="46" t="s">
        <v>29</v>
      </c>
      <c r="G79">
        <f>J25</f>
        <v>0</v>
      </c>
    </row>
    <row r="80" spans="6:7" x14ac:dyDescent="0.3">
      <c r="F80" s="46" t="s">
        <v>30</v>
      </c>
      <c r="G80">
        <f>J26</f>
        <v>0</v>
      </c>
    </row>
    <row r="81" spans="6:7" x14ac:dyDescent="0.3">
      <c r="F81" s="8" t="s">
        <v>22</v>
      </c>
      <c r="G81">
        <f>J27</f>
        <v>0</v>
      </c>
    </row>
    <row r="82" spans="6:7" x14ac:dyDescent="0.3">
      <c r="F82" s="8" t="s">
        <v>23</v>
      </c>
      <c r="G82">
        <f>J28</f>
        <v>0</v>
      </c>
    </row>
    <row r="84" spans="6:7" x14ac:dyDescent="0.3">
      <c r="F84" s="91" t="s">
        <v>83</v>
      </c>
    </row>
    <row r="85" spans="6:7" x14ac:dyDescent="0.3">
      <c r="F85" s="8" t="s">
        <v>1</v>
      </c>
      <c r="G85" s="52">
        <f>($G$3+$H$3)*(100%+SUM($G$4:$I$4)+SUM($S$2:$S$6)+$S$11+G69)+$S$12+SUM($R$2:$R$6)+G66</f>
        <v>344.08</v>
      </c>
    </row>
    <row r="86" spans="6:7" x14ac:dyDescent="0.3">
      <c r="F86" s="8" t="s">
        <v>9</v>
      </c>
      <c r="G86" s="52">
        <f>$G$5*(100%+SUM($G$6:$I$6)+SUM($U$2:$U$6)+$S$15+G70)+$Q$2+$S$16+G67</f>
        <v>5287.88</v>
      </c>
    </row>
    <row r="87" spans="6:7" x14ac:dyDescent="0.3">
      <c r="F87" s="8" t="s">
        <v>5</v>
      </c>
      <c r="G87" s="52">
        <f>$G$7*(100%+SUM($G$8:$I$8)+SUM($T$2:$T$6)+$S$13+G71)+$S$14+G68</f>
        <v>39.36</v>
      </c>
    </row>
    <row r="88" spans="6:7" x14ac:dyDescent="0.3">
      <c r="F88" s="8" t="s">
        <v>7</v>
      </c>
      <c r="G88" s="65">
        <f>$G$40</f>
        <v>1.1102000000000001</v>
      </c>
    </row>
    <row r="89" spans="6:7" x14ac:dyDescent="0.3">
      <c r="F89" s="8" t="s">
        <v>8</v>
      </c>
      <c r="G89" s="52">
        <f>$G$41+G73</f>
        <v>39.64</v>
      </c>
    </row>
    <row r="90" spans="6:7" x14ac:dyDescent="0.3">
      <c r="F90" s="8" t="s">
        <v>3</v>
      </c>
      <c r="G90" s="65">
        <f>$G$42+G74</f>
        <v>0.33099999999999996</v>
      </c>
    </row>
    <row r="91" spans="6:7" x14ac:dyDescent="0.3">
      <c r="F91" s="8" t="s">
        <v>4</v>
      </c>
      <c r="G91" s="54">
        <f>$G$43+G75</f>
        <v>0.7944</v>
      </c>
    </row>
    <row r="92" spans="6:7" x14ac:dyDescent="0.3">
      <c r="F92" s="46" t="s">
        <v>76</v>
      </c>
      <c r="G92" s="53">
        <f>$G$44+G76</f>
        <v>0</v>
      </c>
    </row>
    <row r="93" spans="6:7" x14ac:dyDescent="0.3">
      <c r="F93" s="8" t="s">
        <v>21</v>
      </c>
      <c r="G93" s="53">
        <f>$G$45+G77</f>
        <v>0</v>
      </c>
    </row>
    <row r="94" spans="6:7" x14ac:dyDescent="0.3">
      <c r="F94" s="46" t="s">
        <v>28</v>
      </c>
      <c r="G94" s="53">
        <f>IF(G63 = "NA", $G$46, 0)+G78</f>
        <v>0</v>
      </c>
    </row>
    <row r="95" spans="6:7" x14ac:dyDescent="0.3">
      <c r="F95" s="46" t="s">
        <v>29</v>
      </c>
      <c r="G95" s="53">
        <f>IF(G63 = "CA", $G$47, 0)+G79</f>
        <v>0</v>
      </c>
    </row>
    <row r="96" spans="6:7" x14ac:dyDescent="0.3">
      <c r="F96" s="46" t="s">
        <v>30</v>
      </c>
      <c r="G96" s="53">
        <f>IF(G63 = "Plunge", $G$48, 0)+G80</f>
        <v>0</v>
      </c>
    </row>
    <row r="97" spans="6:7" x14ac:dyDescent="0.3">
      <c r="F97" s="8" t="s">
        <v>22</v>
      </c>
      <c r="G97" s="53">
        <f>IF(G63 = "Skill", $G$49, 0)+G81</f>
        <v>0</v>
      </c>
    </row>
    <row r="98" spans="6:7" x14ac:dyDescent="0.3">
      <c r="F98" s="8" t="s">
        <v>23</v>
      </c>
      <c r="G98" s="53">
        <f>IF(G63 = "Burst", $G$50, 0)+G82</f>
        <v>0</v>
      </c>
    </row>
    <row r="99" spans="6:7" x14ac:dyDescent="0.3">
      <c r="F99" s="68" t="s">
        <v>97</v>
      </c>
      <c r="G99" s="71">
        <f>SUM((G92:G98))</f>
        <v>0</v>
      </c>
    </row>
    <row r="100" spans="6:7" x14ac:dyDescent="0.3">
      <c r="F100" s="46" t="s">
        <v>77</v>
      </c>
      <c r="G100" s="54">
        <f>150%*(1+((2.78*G89)/(1400+G89)))</f>
        <v>1.6148195382178878</v>
      </c>
    </row>
    <row r="101" spans="6:7" x14ac:dyDescent="0.3">
      <c r="F101" s="46" t="s">
        <v>78</v>
      </c>
      <c r="G101" s="54">
        <f>200%*(1+((2.78*G89)/(1400+G89)))</f>
        <v>2.1530927176238506</v>
      </c>
    </row>
    <row r="102" spans="6:7" x14ac:dyDescent="0.3">
      <c r="F102" s="46" t="s">
        <v>79</v>
      </c>
      <c r="G102" s="66">
        <f>G53</f>
        <v>3803.6626008511298</v>
      </c>
    </row>
    <row r="103" spans="6:7" x14ac:dyDescent="0.3">
      <c r="F103" s="46" t="s">
        <v>80</v>
      </c>
      <c r="G103" s="66">
        <f>G54</f>
        <v>2852.7469506383472</v>
      </c>
    </row>
    <row r="104" spans="6:7" x14ac:dyDescent="0.3">
      <c r="F104" s="46" t="s">
        <v>81</v>
      </c>
      <c r="G104" s="66">
        <f>G55</f>
        <v>2282.1975605106777</v>
      </c>
    </row>
    <row r="105" spans="6:7" x14ac:dyDescent="0.3">
      <c r="F105" s="46" t="s">
        <v>82</v>
      </c>
      <c r="G105" s="66">
        <f>G56</f>
        <v>1141.0987802553389</v>
      </c>
    </row>
    <row r="106" spans="6:7" x14ac:dyDescent="0.3">
      <c r="F106" s="67"/>
      <c r="G106" s="28"/>
    </row>
    <row r="107" spans="6:7" x14ac:dyDescent="0.3">
      <c r="F107" s="46" t="s">
        <v>51</v>
      </c>
      <c r="G107" s="74">
        <v>-0.1</v>
      </c>
    </row>
    <row r="108" spans="6:7" x14ac:dyDescent="0.3">
      <c r="F108" s="46" t="s">
        <v>50</v>
      </c>
      <c r="G108" s="3">
        <v>0</v>
      </c>
    </row>
    <row r="109" spans="6:7" x14ac:dyDescent="0.3">
      <c r="F109" s="46" t="s">
        <v>98</v>
      </c>
      <c r="G109" s="72">
        <f>90%+(G107+10%)/2</f>
        <v>0.9</v>
      </c>
    </row>
    <row r="110" spans="6:7" x14ac:dyDescent="0.3">
      <c r="F110" s="46" t="s">
        <v>99</v>
      </c>
      <c r="G110" s="73">
        <f>((100+$B$3)/((100+$Z$10)+(100+$B$3)*(1-G108)))</f>
        <v>0.48717948717948717</v>
      </c>
    </row>
    <row r="111" spans="6:7" x14ac:dyDescent="0.3">
      <c r="F111" s="46" t="s">
        <v>100</v>
      </c>
      <c r="G111" s="74">
        <v>1</v>
      </c>
    </row>
    <row r="113" spans="6:7" x14ac:dyDescent="0.3">
      <c r="F113" s="29" t="s">
        <v>89</v>
      </c>
      <c r="G113" s="28"/>
    </row>
    <row r="114" spans="6:7" x14ac:dyDescent="0.3">
      <c r="F114" s="29" t="s">
        <v>90</v>
      </c>
      <c r="G114" s="28"/>
    </row>
    <row r="115" spans="6:7" x14ac:dyDescent="0.3">
      <c r="F115" s="29" t="s">
        <v>91</v>
      </c>
      <c r="G115" s="28"/>
    </row>
    <row r="116" spans="6:7" x14ac:dyDescent="0.3">
      <c r="F116" s="29" t="s">
        <v>92</v>
      </c>
      <c r="G116" s="28"/>
    </row>
    <row r="117" spans="6:7" x14ac:dyDescent="0.3">
      <c r="G117" s="28"/>
    </row>
    <row r="118" spans="6:7" x14ac:dyDescent="0.3">
      <c r="F118" s="29" t="s">
        <v>93</v>
      </c>
      <c r="G118">
        <f>(G85*G113+G86*G114+G87*G115+G116)*(100%+G99)*G109*G110*G111</f>
        <v>0</v>
      </c>
    </row>
    <row r="119" spans="6:7" x14ac:dyDescent="0.3">
      <c r="F119" s="29" t="s">
        <v>94</v>
      </c>
      <c r="G119">
        <f>(G85*G113+G86*G114+G87*G115)*(100%+G90*G91)*(100%+G99)*G109*G110*G111</f>
        <v>0</v>
      </c>
    </row>
    <row r="120" spans="6:7" x14ac:dyDescent="0.3">
      <c r="F120" s="29" t="s">
        <v>95</v>
      </c>
      <c r="G120">
        <f>(G85*G113+G86*G114+G87*G115)*(100%*G91)*(100%+G99)*G109*G110*G111</f>
        <v>0</v>
      </c>
    </row>
  </sheetData>
  <dataValidations count="2">
    <dataValidation type="list" allowBlank="1" showInputMessage="1" showErrorMessage="1" sqref="G62">
      <formula1>"Elemental, Physical"</formula1>
    </dataValidation>
    <dataValidation type="list" allowBlank="1" showInputMessage="1" showErrorMessage="1" sqref="G63">
      <formula1>"NA, CA, Plunge, Skill, Burst, Overload, Shatter, EC, Swirl"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 Damage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User</dc:creator>
  <cp:lastModifiedBy>New User</cp:lastModifiedBy>
  <dcterms:created xsi:type="dcterms:W3CDTF">2022-04-27T07:19:09Z</dcterms:created>
  <dcterms:modified xsi:type="dcterms:W3CDTF">2022-04-27T14:04:43Z</dcterms:modified>
</cp:coreProperties>
</file>