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3b601f073c4bb1/Tài liệu/Word - Powerpoint - Excel/"/>
    </mc:Choice>
  </mc:AlternateContent>
  <xr:revisionPtr revIDLastSave="5" documentId="8_{DD646D32-DE3D-48B9-AB08-12F68B4CF290}" xr6:coauthVersionLast="47" xr6:coauthVersionMax="47" xr10:uidLastSave="{74B1C1C7-EC5D-45CA-B0B4-E382755BF108}"/>
  <bookViews>
    <workbookView xWindow="-110" yWindow="-110" windowWidth="19420" windowHeight="11500" xr2:uid="{B45FD476-A3C3-4198-8BCE-303CA71F5154}"/>
  </bookViews>
  <sheets>
    <sheet name="BT1" sheetId="1" r:id="rId1"/>
    <sheet name="BT2" sheetId="2" r:id="rId2"/>
    <sheet name="BT3" sheetId="3" r:id="rId3"/>
    <sheet name="BT4" sheetId="4" r:id="rId4"/>
  </sheets>
  <definedNames>
    <definedName name="_xlnm._FilterDatabase" localSheetId="1" hidden="1">'BT2'!$A$1:$S$21</definedName>
    <definedName name="_xlnm._FilterDatabase" localSheetId="2" hidden="1">'BT3'!$A$3:$P$18</definedName>
    <definedName name="_xlnm._FilterDatabase" localSheetId="3" hidden="1">'BT4'!$A$1:$I$12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9" i="1" l="1"/>
  <c r="AJ8" i="1"/>
  <c r="AJ7" i="1"/>
  <c r="AJ6" i="1"/>
  <c r="I2" i="4" a="1"/>
  <c r="I2" i="4"/>
  <c r="D16" i="4"/>
  <c r="D15" i="4"/>
  <c r="V24" i="2"/>
  <c r="H11" i="4"/>
  <c r="I11" i="4" s="1" a="1"/>
  <c r="I11" i="4" s="1"/>
  <c r="H5" i="4"/>
  <c r="I5" i="4" s="1" a="1"/>
  <c r="I5" i="4" s="1"/>
  <c r="H6" i="4"/>
  <c r="I6" i="4" s="1" a="1"/>
  <c r="I6" i="4" s="1"/>
  <c r="H9" i="4"/>
  <c r="I9" i="4" s="1" a="1"/>
  <c r="I9" i="4" s="1"/>
  <c r="H2" i="4"/>
  <c r="H4" i="4"/>
  <c r="I4" i="4" s="1" a="1"/>
  <c r="I4" i="4" s="1"/>
  <c r="H12" i="4"/>
  <c r="I12" i="4" s="1" a="1"/>
  <c r="I12" i="4" s="1"/>
  <c r="H8" i="4"/>
  <c r="I8" i="4" s="1" a="1"/>
  <c r="I8" i="4" s="1"/>
  <c r="H3" i="4"/>
  <c r="I3" i="4" s="1" a="1"/>
  <c r="I3" i="4" s="1"/>
  <c r="H7" i="4"/>
  <c r="I7" i="4" s="1" a="1"/>
  <c r="I7" i="4" s="1"/>
  <c r="H10" i="4"/>
  <c r="I10" i="4" s="1" a="1"/>
  <c r="I10" i="4" s="1"/>
  <c r="M15" i="3"/>
  <c r="L9" i="3"/>
  <c r="M9" i="3" s="1"/>
  <c r="L13" i="3"/>
  <c r="M13" i="3" s="1"/>
  <c r="L5" i="3"/>
  <c r="M5" i="3" s="1"/>
  <c r="L8" i="3"/>
  <c r="M8" i="3" s="1"/>
  <c r="L7" i="3"/>
  <c r="M7" i="3" s="1"/>
  <c r="L4" i="3"/>
  <c r="M4" i="3" s="1"/>
  <c r="L18" i="3"/>
  <c r="M18" i="3" s="1"/>
  <c r="L16" i="3"/>
  <c r="M16" i="3" s="1"/>
  <c r="L6" i="3"/>
  <c r="M6" i="3" s="1"/>
  <c r="L14" i="3"/>
  <c r="M14" i="3" s="1"/>
  <c r="L10" i="3"/>
  <c r="M10" i="3" s="1"/>
  <c r="L12" i="3"/>
  <c r="M12" i="3" s="1"/>
  <c r="L11" i="3"/>
  <c r="M11" i="3" s="1"/>
  <c r="L15" i="3"/>
  <c r="L17" i="3"/>
  <c r="M17" i="3" s="1"/>
  <c r="K9" i="3"/>
  <c r="K13" i="3"/>
  <c r="K5" i="3"/>
  <c r="K8" i="3"/>
  <c r="K7" i="3"/>
  <c r="K4" i="3"/>
  <c r="K18" i="3"/>
  <c r="K16" i="3"/>
  <c r="K6" i="3"/>
  <c r="K14" i="3"/>
  <c r="K10" i="3"/>
  <c r="K12" i="3"/>
  <c r="K11" i="3"/>
  <c r="K15" i="3"/>
  <c r="K17" i="3"/>
  <c r="J15" i="3"/>
  <c r="N15" i="3" s="1"/>
  <c r="J9" i="3"/>
  <c r="N9" i="3" s="1"/>
  <c r="J13" i="3"/>
  <c r="N13" i="3" s="1"/>
  <c r="O13" i="3" s="1"/>
  <c r="J5" i="3"/>
  <c r="N5" i="3" s="1"/>
  <c r="J8" i="3"/>
  <c r="N8" i="3" s="1"/>
  <c r="J7" i="3"/>
  <c r="N7" i="3" s="1"/>
  <c r="J4" i="3"/>
  <c r="N4" i="3" s="1"/>
  <c r="J18" i="3"/>
  <c r="N18" i="3" s="1"/>
  <c r="J16" i="3"/>
  <c r="N16" i="3" s="1"/>
  <c r="J6" i="3"/>
  <c r="N6" i="3" s="1"/>
  <c r="J14" i="3"/>
  <c r="N14" i="3" s="1"/>
  <c r="J10" i="3"/>
  <c r="N10" i="3" s="1"/>
  <c r="J12" i="3"/>
  <c r="N12" i="3" s="1"/>
  <c r="J11" i="3"/>
  <c r="N11" i="3" s="1"/>
  <c r="J17" i="3"/>
  <c r="N17" i="3" s="1"/>
  <c r="S10" i="2"/>
  <c r="S15" i="2"/>
  <c r="S4" i="2"/>
  <c r="S9" i="2"/>
  <c r="S7" i="2"/>
  <c r="S2" i="2"/>
  <c r="S19" i="2"/>
  <c r="S18" i="2"/>
  <c r="S6" i="2"/>
  <c r="S17" i="2"/>
  <c r="S12" i="2"/>
  <c r="S14" i="2"/>
  <c r="S11" i="2"/>
  <c r="S16" i="2"/>
  <c r="S8" i="2"/>
  <c r="S13" i="2"/>
  <c r="S21" i="2"/>
  <c r="S5" i="2"/>
  <c r="S3" i="2"/>
  <c r="S20" i="2"/>
  <c r="R20" i="2"/>
  <c r="R10" i="2"/>
  <c r="R15" i="2"/>
  <c r="R4" i="2"/>
  <c r="R9" i="2"/>
  <c r="R7" i="2"/>
  <c r="R2" i="2"/>
  <c r="R19" i="2"/>
  <c r="R18" i="2"/>
  <c r="R6" i="2"/>
  <c r="R17" i="2"/>
  <c r="R12" i="2"/>
  <c r="R14" i="2"/>
  <c r="R11" i="2"/>
  <c r="R16" i="2"/>
  <c r="R8" i="2"/>
  <c r="R13" i="2"/>
  <c r="R21" i="2"/>
  <c r="R5" i="2"/>
  <c r="R3" i="2"/>
  <c r="O20" i="2"/>
  <c r="P20" i="2" s="1"/>
  <c r="O10" i="2"/>
  <c r="P10" i="2" s="1"/>
  <c r="O15" i="2"/>
  <c r="P15" i="2" s="1"/>
  <c r="O4" i="2"/>
  <c r="P4" i="2" s="1"/>
  <c r="O9" i="2"/>
  <c r="P9" i="2" s="1"/>
  <c r="O7" i="2"/>
  <c r="P7" i="2" s="1"/>
  <c r="O2" i="2"/>
  <c r="P2" i="2" s="1"/>
  <c r="O19" i="2"/>
  <c r="P19" i="2" s="1"/>
  <c r="O18" i="2"/>
  <c r="P18" i="2" s="1"/>
  <c r="O6" i="2"/>
  <c r="P6" i="2" s="1"/>
  <c r="O17" i="2"/>
  <c r="P17" i="2" s="1"/>
  <c r="O12" i="2"/>
  <c r="P12" i="2" s="1"/>
  <c r="O14" i="2"/>
  <c r="P14" i="2" s="1"/>
  <c r="O11" i="2"/>
  <c r="P11" i="2" s="1"/>
  <c r="O16" i="2"/>
  <c r="P16" i="2" s="1"/>
  <c r="O8" i="2"/>
  <c r="P8" i="2" s="1"/>
  <c r="O13" i="2"/>
  <c r="P13" i="2" s="1"/>
  <c r="O21" i="2"/>
  <c r="P21" i="2" s="1"/>
  <c r="O5" i="2"/>
  <c r="P5" i="2" s="1"/>
  <c r="O3" i="2"/>
  <c r="P3" i="2" s="1"/>
  <c r="M10" i="2"/>
  <c r="M15" i="2"/>
  <c r="M4" i="2"/>
  <c r="M9" i="2"/>
  <c r="M7" i="2"/>
  <c r="M2" i="2"/>
  <c r="M19" i="2"/>
  <c r="M18" i="2"/>
  <c r="M6" i="2"/>
  <c r="M17" i="2"/>
  <c r="M12" i="2"/>
  <c r="M14" i="2"/>
  <c r="M11" i="2"/>
  <c r="M16" i="2"/>
  <c r="M8" i="2"/>
  <c r="M13" i="2"/>
  <c r="M21" i="2"/>
  <c r="M5" i="2"/>
  <c r="M3" i="2"/>
  <c r="M20" i="2"/>
  <c r="L10" i="2"/>
  <c r="L15" i="2"/>
  <c r="L4" i="2"/>
  <c r="L9" i="2"/>
  <c r="L7" i="2"/>
  <c r="L2" i="2"/>
  <c r="L19" i="2"/>
  <c r="L18" i="2"/>
  <c r="L6" i="2"/>
  <c r="L17" i="2"/>
  <c r="L12" i="2"/>
  <c r="L14" i="2"/>
  <c r="L11" i="2"/>
  <c r="L16" i="2"/>
  <c r="L8" i="2"/>
  <c r="L13" i="2"/>
  <c r="L21" i="2"/>
  <c r="L5" i="2"/>
  <c r="L3" i="2"/>
  <c r="L20" i="2"/>
  <c r="AJ5" i="1"/>
  <c r="AJ4" i="1"/>
  <c r="AJ3" i="1"/>
  <c r="AJ2" i="1"/>
  <c r="W7" i="1"/>
  <c r="X7" i="1"/>
  <c r="Y7" i="1"/>
  <c r="Z7" i="1"/>
  <c r="AA7" i="1"/>
  <c r="AA4" i="1"/>
  <c r="AA5" i="1"/>
  <c r="AA6" i="1"/>
  <c r="AA3" i="1"/>
  <c r="Z4" i="1"/>
  <c r="Z5" i="1"/>
  <c r="Z6" i="1"/>
  <c r="Z3" i="1"/>
  <c r="Y4" i="1"/>
  <c r="Y5" i="1"/>
  <c r="Y6" i="1"/>
  <c r="Y3" i="1"/>
  <c r="X4" i="1"/>
  <c r="X5" i="1"/>
  <c r="X6" i="1"/>
  <c r="X3" i="1"/>
  <c r="W4" i="1"/>
  <c r="W5" i="1"/>
  <c r="W6" i="1"/>
  <c r="W3" i="1"/>
  <c r="V4" i="1"/>
  <c r="V5" i="1"/>
  <c r="V6" i="1"/>
  <c r="V3" i="1"/>
  <c r="V7" i="1" s="1"/>
  <c r="R9" i="1"/>
  <c r="R8" i="1"/>
  <c r="R7" i="1"/>
  <c r="R6" i="1"/>
  <c r="R5" i="1"/>
  <c r="R4" i="1"/>
  <c r="R3" i="1"/>
  <c r="O8" i="1"/>
  <c r="O7" i="1"/>
  <c r="N8" i="1"/>
  <c r="N7" i="1"/>
  <c r="M8" i="1"/>
  <c r="M7" i="1"/>
  <c r="O4" i="1"/>
  <c r="O3" i="1"/>
  <c r="N4" i="1"/>
  <c r="N3" i="1"/>
  <c r="M4" i="1"/>
  <c r="M3" i="1"/>
  <c r="I4" i="1"/>
  <c r="I5" i="1"/>
  <c r="I6" i="1"/>
  <c r="I3" i="1"/>
  <c r="H4" i="1"/>
  <c r="H5" i="1"/>
  <c r="H6" i="1"/>
  <c r="H3" i="1"/>
  <c r="G4" i="1"/>
  <c r="G5" i="1"/>
  <c r="G6" i="1"/>
  <c r="G3" i="1"/>
  <c r="F4" i="1"/>
  <c r="F5" i="1"/>
  <c r="F6" i="1"/>
  <c r="F3" i="1"/>
  <c r="O5" i="3" l="1"/>
  <c r="P5" i="3" s="1"/>
  <c r="O9" i="3"/>
  <c r="P9" i="3" s="1"/>
  <c r="O16" i="3"/>
  <c r="P16" i="3" s="1"/>
  <c r="O18" i="3"/>
  <c r="P18" i="3" s="1"/>
  <c r="O17" i="3"/>
  <c r="P17" i="3" s="1"/>
  <c r="O7" i="3"/>
  <c r="P7" i="3" s="1"/>
  <c r="O14" i="3"/>
  <c r="P14" i="3" s="1"/>
  <c r="O15" i="3"/>
  <c r="P15" i="3" s="1"/>
  <c r="O4" i="3"/>
  <c r="P4" i="3" s="1"/>
  <c r="O11" i="3"/>
  <c r="P11" i="3" s="1"/>
  <c r="O8" i="3"/>
  <c r="P8" i="3" s="1"/>
  <c r="O10" i="3"/>
  <c r="P10" i="3" s="1"/>
  <c r="O12" i="3"/>
  <c r="P12" i="3" s="1"/>
  <c r="P13" i="3"/>
  <c r="O6" i="3"/>
  <c r="P6" i="3" s="1"/>
  <c r="N13" i="2"/>
  <c r="Q13" i="2" s="1"/>
  <c r="N8" i="2"/>
  <c r="Q8" i="2" s="1"/>
  <c r="N16" i="2"/>
  <c r="Q16" i="2" s="1"/>
  <c r="N2" i="2"/>
  <c r="Q2" i="2" s="1"/>
  <c r="N18" i="2"/>
  <c r="Q18" i="2" s="1"/>
  <c r="N19" i="2"/>
  <c r="Q19" i="2" s="1"/>
  <c r="N11" i="2"/>
  <c r="Q11" i="2" s="1"/>
  <c r="N7" i="2"/>
  <c r="Q7" i="2" s="1"/>
  <c r="N14" i="2"/>
  <c r="Q14" i="2" s="1"/>
  <c r="N3" i="2"/>
  <c r="Q3" i="2" s="1"/>
  <c r="N4" i="2"/>
  <c r="Q4" i="2" s="1"/>
  <c r="N5" i="2"/>
  <c r="Q5" i="2" s="1"/>
  <c r="N17" i="2"/>
  <c r="Q17" i="2" s="1"/>
  <c r="N15" i="2"/>
  <c r="Q15" i="2" s="1"/>
  <c r="N6" i="2"/>
  <c r="Q6" i="2" s="1"/>
  <c r="N20" i="2"/>
  <c r="Q20" i="2" s="1"/>
  <c r="N9" i="2"/>
  <c r="Q9" i="2" s="1"/>
  <c r="N12" i="2"/>
  <c r="Q12" i="2" s="1"/>
  <c r="N21" i="2"/>
  <c r="Q21" i="2" s="1"/>
  <c r="N10" i="2"/>
  <c r="Q10" i="2" s="1"/>
  <c r="W24" i="2" l="1"/>
  <c r="X24" i="2" s="1"/>
  <c r="W25" i="2" l="1"/>
  <c r="V25" i="2"/>
  <c r="X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<sst xmlns="http://schemas.openxmlformats.org/spreadsheetml/2006/main" count="297" uniqueCount="193">
  <si>
    <t>Chưa định dạng</t>
  </si>
  <si>
    <t>Định dạng</t>
  </si>
  <si>
    <t>a</t>
  </si>
  <si>
    <t>b</t>
  </si>
  <si>
    <t>a&gt;b</t>
  </si>
  <si>
    <t>a&lt;b</t>
  </si>
  <si>
    <t>a&gt;=b</t>
  </si>
  <si>
    <t>a&lt;=b</t>
  </si>
  <si>
    <t>A</t>
  </si>
  <si>
    <t>B</t>
  </si>
  <si>
    <t>A/B</t>
  </si>
  <si>
    <t>A lũy thừa B</t>
  </si>
  <si>
    <t>Căn bậc 2 của A</t>
  </si>
  <si>
    <t>(A-B)*A</t>
  </si>
  <si>
    <r>
      <t>A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+B</t>
    </r>
  </si>
  <si>
    <r>
      <t>((A+B)/(A-B))</t>
    </r>
    <r>
      <rPr>
        <vertAlign val="superscript"/>
        <sz val="9"/>
        <color theme="1"/>
        <rFont val="Arial"/>
        <family val="2"/>
      </rPr>
      <t>4</t>
    </r>
  </si>
  <si>
    <t>MS Excel</t>
  </si>
  <si>
    <t>Lấy từ trái qua 3 ký tự</t>
  </si>
  <si>
    <t>Từ vị trí thứ 2 lấy 3 ký tự</t>
  </si>
  <si>
    <t>Đổi thành chữ hoa</t>
  </si>
  <si>
    <t>Viết hoa chữ đầu tiên</t>
  </si>
  <si>
    <t>Tìm vị trí của "Ex" trong chuỗi</t>
  </si>
  <si>
    <t>Lấy từ phải qua 4 ký tự</t>
  </si>
  <si>
    <t>Đổi thành chữ thường</t>
  </si>
  <si>
    <t>x</t>
  </si>
  <si>
    <t>y</t>
  </si>
  <si>
    <t>Mod(x,y)</t>
  </si>
  <si>
    <t>Int(x/y)</t>
  </si>
  <si>
    <t>Sqrt(x+y)</t>
  </si>
  <si>
    <t>Round(x/y,2)</t>
  </si>
  <si>
    <t>Power(x,4)</t>
  </si>
  <si>
    <t>Tổng cộng(sum)</t>
  </si>
  <si>
    <t>Product(x,y)</t>
  </si>
  <si>
    <t>d</t>
  </si>
  <si>
    <t>compare</t>
  </si>
  <si>
    <t>study</t>
  </si>
  <si>
    <t>computer</t>
  </si>
  <si>
    <t>some</t>
  </si>
  <si>
    <t>command</t>
  </si>
  <si>
    <t>Learn</t>
  </si>
  <si>
    <t>Giá trị lớn nhất</t>
  </si>
  <si>
    <t>Giá trị nhỏ nhất</t>
  </si>
  <si>
    <t>Giá trị trung bình</t>
  </si>
  <si>
    <t>Tổng các giá trị</t>
  </si>
  <si>
    <t>Số ô chứa giá trị</t>
  </si>
  <si>
    <t>Số ô chứa giá trị chuỗi</t>
  </si>
  <si>
    <t>Số ô chứa giá trị &gt; 50</t>
  </si>
  <si>
    <t>Số ô bắt đầu bằng chữ "com"</t>
  </si>
  <si>
    <t>A250-1</t>
  </si>
  <si>
    <t>Lâm Đức</t>
  </si>
  <si>
    <t>Trí</t>
  </si>
  <si>
    <t>Huế</t>
  </si>
  <si>
    <t>B356-2</t>
  </si>
  <si>
    <t xml:space="preserve">Nguyễn Thị </t>
  </si>
  <si>
    <t>Nghĩa</t>
  </si>
  <si>
    <t>Đà Lạt</t>
  </si>
  <si>
    <t>C452-1</t>
  </si>
  <si>
    <t>Trần Hải</t>
  </si>
  <si>
    <t>Thanh</t>
  </si>
  <si>
    <t>Sông Bé</t>
  </si>
  <si>
    <t>B897-3</t>
  </si>
  <si>
    <t>Nguyễn Thuỵ Ngọc</t>
  </si>
  <si>
    <t>Châu</t>
  </si>
  <si>
    <t>Hà Nội</t>
  </si>
  <si>
    <t>B696-1</t>
  </si>
  <si>
    <t>Phan Thành</t>
  </si>
  <si>
    <t>Long</t>
  </si>
  <si>
    <t>TP. HCM</t>
  </si>
  <si>
    <t>C897-1</t>
  </si>
  <si>
    <t>Võ Trường</t>
  </si>
  <si>
    <t>Hải</t>
  </si>
  <si>
    <t>D456-2</t>
  </si>
  <si>
    <t>Nguyễn Ngọc</t>
  </si>
  <si>
    <t>Bích</t>
  </si>
  <si>
    <t>A123-3</t>
  </si>
  <si>
    <t>Thái Minh</t>
  </si>
  <si>
    <t>Tiền Giang</t>
  </si>
  <si>
    <t>C556-2</t>
  </si>
  <si>
    <t>Lê Thu</t>
  </si>
  <si>
    <t>Trang</t>
  </si>
  <si>
    <t>Nha Trang</t>
  </si>
  <si>
    <t>D658-3</t>
  </si>
  <si>
    <t xml:space="preserve">Trần Chí </t>
  </si>
  <si>
    <t>Đà Nẵng</t>
  </si>
  <si>
    <t>C478-1</t>
  </si>
  <si>
    <t xml:space="preserve">Nguyễn Bích </t>
  </si>
  <si>
    <t>Thủy</t>
  </si>
  <si>
    <t>B285-2</t>
  </si>
  <si>
    <t>Lê Ngọc</t>
  </si>
  <si>
    <t>Quỳnh</t>
  </si>
  <si>
    <t>Vũng Tàu</t>
  </si>
  <si>
    <t>A396-1</t>
  </si>
  <si>
    <t>Ngô Thanh</t>
  </si>
  <si>
    <t>Tâm</t>
  </si>
  <si>
    <t>B963-2</t>
  </si>
  <si>
    <t>Trần Như</t>
  </si>
  <si>
    <t>D987-3</t>
  </si>
  <si>
    <t>Nguyễn Thị Bích</t>
  </si>
  <si>
    <t>Minh Hải</t>
  </si>
  <si>
    <t>B465-3</t>
  </si>
  <si>
    <t xml:space="preserve">Trần Văn </t>
  </si>
  <si>
    <t>Linh</t>
  </si>
  <si>
    <t>C324-1</t>
  </si>
  <si>
    <t>Vũ Ngọc</t>
  </si>
  <si>
    <t>Sơn</t>
  </si>
  <si>
    <t>A782-2</t>
  </si>
  <si>
    <t>Phan Thái</t>
  </si>
  <si>
    <t>Trung</t>
  </si>
  <si>
    <t>A659-2</t>
  </si>
  <si>
    <t xml:space="preserve">Nguyễn Mạnh </t>
  </si>
  <si>
    <t>Dũng</t>
  </si>
  <si>
    <t>A333-1</t>
  </si>
  <si>
    <t xml:space="preserve">Lân Ngọc </t>
  </si>
  <si>
    <t>Kiên Giang</t>
  </si>
  <si>
    <t>Nguyễn Xuân</t>
  </si>
  <si>
    <t>Ái</t>
  </si>
  <si>
    <t>A012</t>
  </si>
  <si>
    <t>Hồ Thị</t>
  </si>
  <si>
    <t>Cúc</t>
  </si>
  <si>
    <t>B067</t>
  </si>
  <si>
    <t>Ngô Ngọc</t>
  </si>
  <si>
    <t>Định</t>
  </si>
  <si>
    <t>A065</t>
  </si>
  <si>
    <t>Lê Thị Ngọc</t>
  </si>
  <si>
    <t>Hân</t>
  </si>
  <si>
    <t>C123</t>
  </si>
  <si>
    <t>Lê Quang</t>
  </si>
  <si>
    <t>Lợi</t>
  </si>
  <si>
    <t>A115</t>
  </si>
  <si>
    <t>Trần Đình</t>
  </si>
  <si>
    <t>Phú</t>
  </si>
  <si>
    <t>B106</t>
  </si>
  <si>
    <t>Võ Vinh</t>
  </si>
  <si>
    <t>Quang</t>
  </si>
  <si>
    <t>C165</t>
  </si>
  <si>
    <t>Đinh Xuân</t>
  </si>
  <si>
    <t>Thành</t>
  </si>
  <si>
    <t>C209</t>
  </si>
  <si>
    <t>Lý Ngọc</t>
  </si>
  <si>
    <t>Thịnh</t>
  </si>
  <si>
    <t>B231</t>
  </si>
  <si>
    <t>Văn Viết</t>
  </si>
  <si>
    <t>Tạo</t>
  </si>
  <si>
    <t>A256</t>
  </si>
  <si>
    <t>Huỳnh Văn</t>
  </si>
  <si>
    <t>Xê</t>
  </si>
  <si>
    <t>A300</t>
  </si>
  <si>
    <t>BẢNG THỐNG KÊ</t>
  </si>
  <si>
    <t>Số thí sinh đậu</t>
  </si>
  <si>
    <t>Số thí sinh hỏng</t>
  </si>
  <si>
    <t>SBD</t>
  </si>
  <si>
    <t>Họ</t>
  </si>
  <si>
    <t>Tên</t>
  </si>
  <si>
    <t>Phái</t>
  </si>
  <si>
    <t>Năm sinh</t>
  </si>
  <si>
    <t>Nơi sinh</t>
  </si>
  <si>
    <t>Toán</t>
  </si>
  <si>
    <t>Lý</t>
  </si>
  <si>
    <t>Hóa</t>
  </si>
  <si>
    <t>ĐKQ</t>
  </si>
  <si>
    <t>KQ1</t>
  </si>
  <si>
    <t>KQ2</t>
  </si>
  <si>
    <t>Sinh</t>
  </si>
  <si>
    <t>STT</t>
  </si>
  <si>
    <t>Stt</t>
  </si>
  <si>
    <t>Tổng
điểm</t>
  </si>
  <si>
    <t>Ưu
tiên</t>
  </si>
  <si>
    <t>Ngành
thi</t>
  </si>
  <si>
    <t>Điểm
chuẩn</t>
  </si>
  <si>
    <t>Kết
quả</t>
  </si>
  <si>
    <t>TỔNG SỐ HỌC
SINH</t>
  </si>
  <si>
    <t>TỶ LỆ (%)</t>
  </si>
  <si>
    <t>KẾT QUẢ</t>
  </si>
  <si>
    <t>ĐẠT</t>
  </si>
  <si>
    <t>KHÔNG ĐẠT</t>
  </si>
  <si>
    <t>TỔNG
CỘNG</t>
  </si>
  <si>
    <t>MÃ NV</t>
  </si>
  <si>
    <t>Ngày vào
làm việc</t>
  </si>
  <si>
    <t>Ngày
công</t>
  </si>
  <si>
    <t>Bậc Lương</t>
  </si>
  <si>
    <t>Phòng ban</t>
  </si>
  <si>
    <t>Thâm niên</t>
  </si>
  <si>
    <t>Phụ cấp
Thâm niên</t>
  </si>
  <si>
    <t>Lương</t>
  </si>
  <si>
    <t>Tạm ứng</t>
  </si>
  <si>
    <t>Thực lãnh</t>
  </si>
  <si>
    <t>Ngày công quy định</t>
  </si>
  <si>
    <t>Họ Lót</t>
  </si>
  <si>
    <t>Số Báo Danh</t>
  </si>
  <si>
    <t>Kết Quả</t>
  </si>
  <si>
    <t>Tổng Điểm</t>
  </si>
  <si>
    <t>T/M Hội Đồng tuyển sinh</t>
  </si>
  <si>
    <t>(gõ vào tên bạn)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</si>
</sst>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#,##0.00\ [$đồng]"/>
    <numFmt numFmtId="165" formatCode="[$VND]\ #,##0.0"/>
    <numFmt numFmtId="166" formatCode="d/mm/yyyy"/>
    <numFmt numFmtId="167" formatCode="[$-F800]dddd\,mmmm\ dd\,\ yyyy"/>
    <numFmt numFmtId="168" formatCode="###\-###\-####"/>
    <numFmt numFmtId="169" formatCode="[$-F400]h:mm:ss\ AM/PM"/>
    <numFmt numFmtId="170" formatCode="0#"/>
    <numFmt numFmtId="171" formatCode="mm/dd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9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DFA8E"/>
        <bgColor indexed="64"/>
      </patternFill>
    </fill>
    <fill>
      <patternFill patternType="solid">
        <fgColor rgb="FFC2FED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8B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C00000"/>
      </bottom>
      <diagonal/>
    </border>
    <border>
      <left style="thin">
        <color indexed="64"/>
      </left>
      <right style="thick">
        <color rgb="FFC00000"/>
      </right>
      <top/>
      <bottom/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medium">
        <color indexed="64"/>
      </right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rgb="FF8C138F"/>
      </left>
      <right style="thick">
        <color rgb="FF8C138F"/>
      </right>
      <top style="thick">
        <color rgb="FF8C138F"/>
      </top>
      <bottom style="thick">
        <color rgb="FF8C138F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8" fontId="1" fillId="0" borderId="1" xfId="0" applyNumberFormat="1" applyFont="1" applyBorder="1"/>
    <xf numFmtId="21" fontId="1" fillId="0" borderId="1" xfId="0" applyNumberFormat="1" applyFont="1" applyBorder="1"/>
    <xf numFmtId="169" fontId="1" fillId="0" borderId="1" xfId="0" applyNumberFormat="1" applyFont="1" applyBorder="1"/>
    <xf numFmtId="12" fontId="1" fillId="0" borderId="1" xfId="0" applyNumberFormat="1" applyFont="1" applyBorder="1"/>
    <xf numFmtId="13" fontId="1" fillId="0" borderId="1" xfId="0" applyNumberFormat="1" applyFont="1" applyBorder="1"/>
    <xf numFmtId="11" fontId="1" fillId="0" borderId="1" xfId="0" applyNumberFormat="1" applyFont="1" applyBorder="1"/>
    <xf numFmtId="0" fontId="1" fillId="0" borderId="2" xfId="0" applyFont="1" applyBorder="1"/>
    <xf numFmtId="10" fontId="1" fillId="0" borderId="2" xfId="0" applyNumberFormat="1" applyFont="1" applyBorder="1"/>
    <xf numFmtId="17" fontId="1" fillId="0" borderId="4" xfId="0" applyNumberFormat="1" applyFont="1" applyBorder="1"/>
    <xf numFmtId="14" fontId="1" fillId="0" borderId="4" xfId="0" applyNumberFormat="1" applyFont="1" applyBorder="1"/>
    <xf numFmtId="166" fontId="1" fillId="0" borderId="4" xfId="0" applyNumberFormat="1" applyFont="1" applyBorder="1"/>
    <xf numFmtId="0" fontId="1" fillId="0" borderId="3" xfId="0" applyFont="1" applyBorder="1"/>
    <xf numFmtId="43" fontId="1" fillId="0" borderId="3" xfId="0" applyNumberFormat="1" applyFont="1" applyBorder="1"/>
    <xf numFmtId="167" fontId="1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0" xfId="0" applyFont="1"/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1" fillId="4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6" fillId="0" borderId="15" xfId="0" applyFont="1" applyBorder="1" applyAlignment="1">
      <alignment horizontal="left" vertical="center"/>
    </xf>
    <xf numFmtId="0" fontId="0" fillId="0" borderId="0" xfId="0" applyAlignment="1">
      <alignment horizontal="left"/>
    </xf>
    <xf numFmtId="170" fontId="0" fillId="0" borderId="15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righ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70" fontId="0" fillId="0" borderId="16" xfId="0" applyNumberForma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170" fontId="0" fillId="0" borderId="15" xfId="0" applyNumberFormat="1" applyBorder="1" applyAlignment="1">
      <alignment horizontal="left" vertical="center"/>
    </xf>
    <xf numFmtId="14" fontId="5" fillId="0" borderId="15" xfId="0" applyNumberFormat="1" applyFont="1" applyBorder="1" applyAlignment="1">
      <alignment horizontal="right"/>
    </xf>
    <xf numFmtId="14" fontId="0" fillId="0" borderId="0" xfId="0" applyNumberFormat="1"/>
    <xf numFmtId="171" fontId="0" fillId="0" borderId="0" xfId="0" applyNumberFormat="1"/>
    <xf numFmtId="0" fontId="8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5" borderId="0" xfId="0" applyFill="1" applyAlignment="1">
      <alignment horizontal="center"/>
    </xf>
    <xf numFmtId="0" fontId="1" fillId="4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138F"/>
      <color rgb="FF77107A"/>
      <color rgb="FFF9F8BE"/>
      <color rgb="FFC2FEDF"/>
      <color rgb="FFFDF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'BT2'!$U$24</c:f>
              <c:strCache>
                <c:ptCount val="1"/>
                <c:pt idx="0">
                  <c:v>TỔNG SỐ HỌC
SINH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55-405D-8F69-D41046BB88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55-405D-8F69-D41046BB88B7}"/>
              </c:ext>
            </c:extLst>
          </c:dPt>
          <c:cat>
            <c:strRef>
              <c:f>'BT2'!$V$23:$W$23</c:f>
              <c:strCache>
                <c:ptCount val="2"/>
                <c:pt idx="0">
                  <c:v>ĐẠT</c:v>
                </c:pt>
                <c:pt idx="1">
                  <c:v>KHÔNG ĐẠT</c:v>
                </c:pt>
              </c:strCache>
            </c:strRef>
          </c:cat>
          <c:val>
            <c:numRef>
              <c:f>'BT2'!$V$24:$W$24</c:f>
              <c:numCache>
                <c:formatCode>General</c:formatCode>
                <c:ptCount val="2"/>
                <c:pt idx="0">
                  <c:v>12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3-4D56-9C80-EB69319B9FA0}"/>
            </c:ext>
          </c:extLst>
        </c:ser>
        <c:ser>
          <c:idx val="1"/>
          <c:order val="1"/>
          <c:tx>
            <c:strRef>
              <c:f>'BT2'!$U$25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55-405D-8F69-D41046BB88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55-405D-8F69-D41046BB88B7}"/>
              </c:ext>
            </c:extLst>
          </c:dPt>
          <c:cat>
            <c:strRef>
              <c:f>'BT2'!$V$23:$W$23</c:f>
              <c:strCache>
                <c:ptCount val="2"/>
                <c:pt idx="0">
                  <c:v>ĐẠT</c:v>
                </c:pt>
                <c:pt idx="1">
                  <c:v>KHÔNG ĐẠT</c:v>
                </c:pt>
              </c:strCache>
            </c:strRef>
          </c:cat>
          <c:val>
            <c:numRef>
              <c:f>'BT2'!$V$25:$W$25</c:f>
              <c:numCache>
                <c:formatCode>General</c:formatCode>
                <c:ptCount val="2"/>
                <c:pt idx="0">
                  <c:v>60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3-4D56-9C80-EB69319B9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26-4DEF-90BC-2F7657867A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26-4DEF-90BC-2F7657867A07}"/>
              </c:ext>
            </c:extLst>
          </c:dPt>
          <c:cat>
            <c:strRef>
              <c:f>'BT4'!$C$15:$C$16</c:f>
              <c:strCache>
                <c:ptCount val="2"/>
                <c:pt idx="0">
                  <c:v>Số thí sinh đậu</c:v>
                </c:pt>
                <c:pt idx="1">
                  <c:v>Số thí sinh hỏng</c:v>
                </c:pt>
              </c:strCache>
            </c:strRef>
          </c:cat>
          <c:val>
            <c:numRef>
              <c:f>'BT4'!$D$15:$D$16</c:f>
              <c:numCache>
                <c:formatCode>General</c:formatCode>
                <c:ptCount val="2"/>
                <c:pt idx="0">
                  <c:v>7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C-4CC3-B969-AA49B1512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301625</xdr:colOff>
      <xdr:row>5</xdr:row>
      <xdr:rowOff>0</xdr:rowOff>
    </xdr:from>
    <xdr:to>
      <xdr:col>25</xdr:col>
      <xdr:colOff>574675</xdr:colOff>
      <xdr:row>19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1E78A1-E05E-C2A1-DE15-A561DFCDC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320675</xdr:colOff>
      <xdr:row>16</xdr:row>
      <xdr:rowOff>152400</xdr:rowOff>
    </xdr:from>
    <xdr:to>
      <xdr:col>6</xdr:col>
      <xdr:colOff>260350</xdr:colOff>
      <xdr:row>29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6F3935-AF65-80DA-C5B4-08C52174D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DE96-BD5C-48C3-AAEB-1253CB3B8283}">
  <dimension ref="A1:AJ13"/>
  <sheetViews>
    <sheetView tabSelected="1" topLeftCell="V1" workbookViewId="0">
      <selection activeCell="AJ10" sqref="AJ10"/>
    </sheetView>
  </sheetViews>
  <sheetFormatPr defaultRowHeight="14.5" x14ac:dyDescent="0.35"/>
  <cols>
    <col min="1" max="1" width="18.453125" customWidth="1"/>
    <col min="2" max="2" width="23.81640625" customWidth="1"/>
    <col min="3" max="3" width="13.54296875" bestFit="1" customWidth="1"/>
    <col min="14" max="14" width="11.453125" customWidth="1"/>
    <col min="15" max="15" width="15.08984375" customWidth="1"/>
    <col min="17" max="17" width="26.36328125" customWidth="1"/>
    <col min="18" max="18" width="17.90625" customWidth="1"/>
    <col min="22" max="24" width="11.81640625" customWidth="1"/>
    <col min="25" max="25" width="12.453125" customWidth="1"/>
    <col min="26" max="27" width="11.81640625" customWidth="1"/>
    <col min="35" max="35" width="25.1796875" customWidth="1"/>
  </cols>
  <sheetData>
    <row r="1" spans="1:36" ht="15.5" thickBot="1" x14ac:dyDescent="0.4">
      <c r="A1" s="1" t="s">
        <v>0</v>
      </c>
      <c r="B1" s="1" t="s">
        <v>1</v>
      </c>
      <c r="D1" s="19"/>
      <c r="E1" s="19"/>
      <c r="F1" s="19"/>
      <c r="G1" s="19"/>
      <c r="H1" s="19"/>
      <c r="I1" s="19"/>
    </row>
    <row r="2" spans="1:36" ht="15.5" thickTop="1" thickBot="1" x14ac:dyDescent="0.4">
      <c r="A2" s="2">
        <v>54666</v>
      </c>
      <c r="B2" s="3">
        <v>54666</v>
      </c>
      <c r="C2" s="20"/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3" t="s">
        <v>7</v>
      </c>
      <c r="K2" s="35" t="s">
        <v>8</v>
      </c>
      <c r="L2" s="35" t="s">
        <v>9</v>
      </c>
      <c r="M2" s="35" t="s">
        <v>10</v>
      </c>
      <c r="N2" s="35" t="s">
        <v>11</v>
      </c>
      <c r="O2" s="35" t="s">
        <v>12</v>
      </c>
      <c r="Q2" s="78" t="s">
        <v>16</v>
      </c>
      <c r="R2" s="78"/>
      <c r="T2" s="40" t="s">
        <v>24</v>
      </c>
      <c r="U2" s="40" t="s">
        <v>25</v>
      </c>
      <c r="V2" s="40" t="s">
        <v>26</v>
      </c>
      <c r="W2" s="40" t="s">
        <v>27</v>
      </c>
      <c r="X2" s="40" t="s">
        <v>28</v>
      </c>
      <c r="Y2" s="40" t="s">
        <v>29</v>
      </c>
      <c r="Z2" s="40" t="s">
        <v>30</v>
      </c>
      <c r="AA2" s="40" t="s">
        <v>32</v>
      </c>
      <c r="AC2" s="44">
        <v>14</v>
      </c>
      <c r="AD2" s="44">
        <v>28</v>
      </c>
      <c r="AE2" s="44">
        <v>36</v>
      </c>
      <c r="AF2" s="44" t="s">
        <v>33</v>
      </c>
      <c r="AG2" s="44">
        <v>2</v>
      </c>
      <c r="AI2" s="42" t="s">
        <v>40</v>
      </c>
      <c r="AJ2" s="43">
        <f>MAX(AC2:AG8)</f>
        <v>85</v>
      </c>
    </row>
    <row r="3" spans="1:36" ht="15.5" thickTop="1" thickBot="1" x14ac:dyDescent="0.4">
      <c r="A3" s="2">
        <v>54666</v>
      </c>
      <c r="B3" s="4">
        <v>54666</v>
      </c>
      <c r="C3" s="20"/>
      <c r="D3" s="22">
        <v>47</v>
      </c>
      <c r="E3" s="22">
        <v>23</v>
      </c>
      <c r="F3" s="24" t="b">
        <f>D3&gt;E3</f>
        <v>1</v>
      </c>
      <c r="G3" s="24" t="b">
        <f>D3&lt;E3</f>
        <v>0</v>
      </c>
      <c r="H3" s="24" t="b">
        <f>D3&gt;=E3</f>
        <v>1</v>
      </c>
      <c r="I3" s="25" t="b">
        <f>D3&lt;=E3</f>
        <v>0</v>
      </c>
      <c r="K3" s="33">
        <v>1</v>
      </c>
      <c r="L3" s="33">
        <v>10</v>
      </c>
      <c r="M3" s="33">
        <f>K3/L3</f>
        <v>0.1</v>
      </c>
      <c r="N3" s="33">
        <f>POWER(K3,L3)</f>
        <v>1</v>
      </c>
      <c r="O3" s="33">
        <f>SQRT(K3)</f>
        <v>1</v>
      </c>
      <c r="Q3" s="39" t="s">
        <v>17</v>
      </c>
      <c r="R3" s="39" t="str">
        <f>LEFT(Q2,3)</f>
        <v xml:space="preserve">MS </v>
      </c>
      <c r="T3" s="40">
        <v>7</v>
      </c>
      <c r="U3" s="40">
        <v>2</v>
      </c>
      <c r="V3" s="41">
        <f>MOD(T3,U3)</f>
        <v>1</v>
      </c>
      <c r="W3" s="41">
        <f>INT(T3/U3)</f>
        <v>3</v>
      </c>
      <c r="X3" s="41">
        <f>SQRT(T3+U3)</f>
        <v>3</v>
      </c>
      <c r="Y3" s="41">
        <f>ROUND(T3/U3,2)</f>
        <v>3.5</v>
      </c>
      <c r="Z3" s="41">
        <f>POWER(T3,4)</f>
        <v>2401</v>
      </c>
      <c r="AA3" s="41">
        <f>PRODUCT(T3,U3)</f>
        <v>14</v>
      </c>
      <c r="AC3" s="44" t="s">
        <v>3</v>
      </c>
      <c r="AD3" s="44"/>
      <c r="AE3" s="44">
        <v>43</v>
      </c>
      <c r="AF3" s="44">
        <v>57</v>
      </c>
      <c r="AG3" s="44">
        <v>85</v>
      </c>
      <c r="AI3" s="42" t="s">
        <v>41</v>
      </c>
      <c r="AJ3" s="43">
        <f>MIN(AC2:AG8)</f>
        <v>2</v>
      </c>
    </row>
    <row r="4" spans="1:36" ht="15.5" thickTop="1" thickBot="1" x14ac:dyDescent="0.4">
      <c r="A4" s="11">
        <v>0.45660000000000001</v>
      </c>
      <c r="B4" s="12">
        <v>0.45660000000000001</v>
      </c>
      <c r="C4" s="21"/>
      <c r="D4" s="22">
        <v>58</v>
      </c>
      <c r="E4" s="22">
        <v>58</v>
      </c>
      <c r="F4" s="24" t="b">
        <f t="shared" ref="F4:F6" si="0">D4&gt;E4</f>
        <v>0</v>
      </c>
      <c r="G4" s="24" t="b">
        <f t="shared" ref="G4:G6" si="1">D4&lt;E4</f>
        <v>0</v>
      </c>
      <c r="H4" s="24" t="b">
        <f t="shared" ref="H4:H6" si="2">D4&gt;=E4</f>
        <v>1</v>
      </c>
      <c r="I4" s="25" t="b">
        <f t="shared" ref="I4:I6" si="3">D4&lt;=E4</f>
        <v>1</v>
      </c>
      <c r="K4" s="33">
        <v>3</v>
      </c>
      <c r="L4" s="33">
        <v>3</v>
      </c>
      <c r="M4" s="33">
        <f>K4/L4</f>
        <v>1</v>
      </c>
      <c r="N4" s="33">
        <f>POWER(K4,L4)</f>
        <v>27</v>
      </c>
      <c r="O4" s="33">
        <f>SQRT(K4)</f>
        <v>1.7320508075688772</v>
      </c>
      <c r="Q4" s="39" t="s">
        <v>22</v>
      </c>
      <c r="R4" s="39" t="str">
        <f>RIGHT(Q2,4)</f>
        <v>xcel</v>
      </c>
      <c r="T4" s="40">
        <v>13</v>
      </c>
      <c r="U4" s="40">
        <v>-4</v>
      </c>
      <c r="V4" s="41">
        <f t="shared" ref="V4:V6" si="4">MOD(T4,U4)</f>
        <v>-3</v>
      </c>
      <c r="W4" s="41">
        <f t="shared" ref="W4:W6" si="5">INT(T4/U4)</f>
        <v>-4</v>
      </c>
      <c r="X4" s="41">
        <f t="shared" ref="X4:X6" si="6">SQRT(T4+U4)</f>
        <v>3</v>
      </c>
      <c r="Y4" s="41">
        <f t="shared" ref="Y4:Y6" si="7">ROUND(T4/U4,2)</f>
        <v>-3.25</v>
      </c>
      <c r="Z4" s="41">
        <f t="shared" ref="Z4:Z6" si="8">POWER(T4,4)</f>
        <v>28561</v>
      </c>
      <c r="AA4" s="41">
        <f t="shared" ref="AA4:AA6" si="9">PRODUCT(T4,U4)</f>
        <v>-52</v>
      </c>
      <c r="AC4" s="44">
        <v>19</v>
      </c>
      <c r="AD4" s="44">
        <v>35</v>
      </c>
      <c r="AE4" s="44" t="s">
        <v>35</v>
      </c>
      <c r="AF4" s="44" t="s">
        <v>34</v>
      </c>
      <c r="AG4" s="44">
        <v>13</v>
      </c>
      <c r="AI4" s="42" t="s">
        <v>42</v>
      </c>
      <c r="AJ4" s="43">
        <f>AVERAGE(AC2:AG8)</f>
        <v>36.208333333333336</v>
      </c>
    </row>
    <row r="5" spans="1:36" ht="15.5" thickTop="1" thickBot="1" x14ac:dyDescent="0.4">
      <c r="A5" s="13">
        <v>39212</v>
      </c>
      <c r="B5" s="14">
        <v>39212</v>
      </c>
      <c r="C5" s="20"/>
      <c r="D5" s="26">
        <v>12</v>
      </c>
      <c r="E5" s="26">
        <v>49</v>
      </c>
      <c r="F5" s="27" t="b">
        <f t="shared" si="0"/>
        <v>0</v>
      </c>
      <c r="G5" s="27" t="b">
        <f t="shared" si="1"/>
        <v>1</v>
      </c>
      <c r="H5" s="27" t="b">
        <f t="shared" si="2"/>
        <v>0</v>
      </c>
      <c r="I5" s="28" t="b">
        <f t="shared" si="3"/>
        <v>1</v>
      </c>
      <c r="K5" s="32"/>
      <c r="L5" s="32"/>
      <c r="M5" s="32"/>
      <c r="N5" s="32"/>
      <c r="O5" s="32"/>
      <c r="Q5" s="39" t="s">
        <v>18</v>
      </c>
      <c r="R5" s="39" t="str">
        <f>MID(Q2,2,3)</f>
        <v>S E</v>
      </c>
      <c r="T5" s="40">
        <v>15</v>
      </c>
      <c r="U5" s="40">
        <v>66</v>
      </c>
      <c r="V5" s="41">
        <f t="shared" si="4"/>
        <v>15</v>
      </c>
      <c r="W5" s="41">
        <f t="shared" si="5"/>
        <v>0</v>
      </c>
      <c r="X5" s="41">
        <f t="shared" si="6"/>
        <v>9</v>
      </c>
      <c r="Y5" s="41">
        <f t="shared" si="7"/>
        <v>0.23</v>
      </c>
      <c r="Z5" s="41">
        <f t="shared" si="8"/>
        <v>50625</v>
      </c>
      <c r="AA5" s="41">
        <f t="shared" si="9"/>
        <v>990</v>
      </c>
      <c r="AC5" s="44">
        <v>23</v>
      </c>
      <c r="AD5" s="44">
        <v>56</v>
      </c>
      <c r="AE5" s="44">
        <v>14</v>
      </c>
      <c r="AF5" s="44">
        <v>10</v>
      </c>
      <c r="AG5" s="44" t="s">
        <v>36</v>
      </c>
      <c r="AI5" s="42" t="s">
        <v>43</v>
      </c>
      <c r="AJ5" s="43">
        <f>SUM(AC2:AG8)</f>
        <v>869</v>
      </c>
    </row>
    <row r="6" spans="1:36" ht="15.5" thickTop="1" thickBot="1" x14ac:dyDescent="0.4">
      <c r="A6" s="13">
        <v>39212</v>
      </c>
      <c r="B6" s="15">
        <v>39212</v>
      </c>
      <c r="C6" s="20"/>
      <c r="D6" s="29">
        <v>35</v>
      </c>
      <c r="E6" s="29">
        <v>75</v>
      </c>
      <c r="F6" s="30" t="b">
        <f t="shared" si="0"/>
        <v>0</v>
      </c>
      <c r="G6" s="30" t="b">
        <f t="shared" si="1"/>
        <v>1</v>
      </c>
      <c r="H6" s="30" t="b">
        <f t="shared" si="2"/>
        <v>0</v>
      </c>
      <c r="I6" s="31" t="b">
        <f t="shared" si="3"/>
        <v>1</v>
      </c>
      <c r="K6" s="35" t="s">
        <v>8</v>
      </c>
      <c r="L6" s="35" t="s">
        <v>9</v>
      </c>
      <c r="M6" s="36" t="s">
        <v>14</v>
      </c>
      <c r="N6" s="35" t="s">
        <v>13</v>
      </c>
      <c r="O6" s="35" t="s">
        <v>15</v>
      </c>
      <c r="Q6" s="39" t="s">
        <v>19</v>
      </c>
      <c r="R6" s="39" t="str">
        <f>UPPER(Q2)</f>
        <v>MS EXCEL</v>
      </c>
      <c r="T6" s="40">
        <v>8</v>
      </c>
      <c r="U6" s="40">
        <v>8</v>
      </c>
      <c r="V6" s="41">
        <f t="shared" si="4"/>
        <v>0</v>
      </c>
      <c r="W6" s="41">
        <f t="shared" si="5"/>
        <v>1</v>
      </c>
      <c r="X6" s="41">
        <f t="shared" si="6"/>
        <v>4</v>
      </c>
      <c r="Y6" s="41">
        <f t="shared" si="7"/>
        <v>1</v>
      </c>
      <c r="Z6" s="41">
        <f t="shared" si="8"/>
        <v>4096</v>
      </c>
      <c r="AA6" s="41">
        <f t="shared" si="9"/>
        <v>64</v>
      </c>
      <c r="AC6" s="44" t="s">
        <v>37</v>
      </c>
      <c r="AD6" s="44">
        <v>49</v>
      </c>
      <c r="AE6" s="44">
        <v>28</v>
      </c>
      <c r="AF6" s="44">
        <v>53</v>
      </c>
      <c r="AG6" s="44"/>
      <c r="AI6" s="42" t="s">
        <v>44</v>
      </c>
      <c r="AJ6" s="43">
        <f>COUNT(AC2:AG8)</f>
        <v>24</v>
      </c>
    </row>
    <row r="7" spans="1:36" ht="15.5" thickTop="1" thickBot="1" x14ac:dyDescent="0.4">
      <c r="A7" s="13">
        <v>39212</v>
      </c>
      <c r="B7" s="18">
        <v>39212</v>
      </c>
      <c r="K7" s="34">
        <v>16</v>
      </c>
      <c r="L7" s="34">
        <v>4</v>
      </c>
      <c r="M7" s="34">
        <f xml:space="preserve"> POWER(K7,2)+L7</f>
        <v>260</v>
      </c>
      <c r="N7" s="34">
        <f>(K7-L7)*K7</f>
        <v>192</v>
      </c>
      <c r="O7" s="34">
        <f>POWER(((K7+L7)/(K7-L7)),4)</f>
        <v>7.7160493827160517</v>
      </c>
      <c r="Q7" s="39" t="s">
        <v>23</v>
      </c>
      <c r="R7" s="39" t="str">
        <f>LOWER(Q2)</f>
        <v>ms excel</v>
      </c>
      <c r="T7" s="79" t="s">
        <v>31</v>
      </c>
      <c r="U7" s="79"/>
      <c r="V7" s="41">
        <f>SUM(V3,V4,V5,V6)</f>
        <v>13</v>
      </c>
      <c r="W7" s="41">
        <f t="shared" ref="W7:AA7" si="10">SUM(W3,W4,W5,W6)</f>
        <v>0</v>
      </c>
      <c r="X7" s="41">
        <f t="shared" si="10"/>
        <v>19</v>
      </c>
      <c r="Y7" s="41">
        <f t="shared" si="10"/>
        <v>1.48</v>
      </c>
      <c r="Z7" s="41">
        <f t="shared" si="10"/>
        <v>85683</v>
      </c>
      <c r="AA7" s="41">
        <f t="shared" si="10"/>
        <v>1016</v>
      </c>
      <c r="AC7" s="44">
        <v>65</v>
      </c>
      <c r="AD7" s="44">
        <v>8</v>
      </c>
      <c r="AE7" s="44" t="s">
        <v>38</v>
      </c>
      <c r="AF7" s="44">
        <v>52</v>
      </c>
      <c r="AG7" s="44">
        <v>24</v>
      </c>
      <c r="AI7" s="42" t="s">
        <v>45</v>
      </c>
      <c r="AJ7" s="43">
        <f>COUNTA(AC2:AG8)-COUNT(AC2:AG8)</f>
        <v>8</v>
      </c>
    </row>
    <row r="8" spans="1:36" ht="15.5" thickTop="1" thickBot="1" x14ac:dyDescent="0.4">
      <c r="A8" s="16">
        <v>646564622</v>
      </c>
      <c r="B8" s="17">
        <v>646564622</v>
      </c>
      <c r="K8" s="34">
        <v>5</v>
      </c>
      <c r="L8" s="34">
        <v>5</v>
      </c>
      <c r="M8" s="34">
        <f xml:space="preserve"> POWER(K8,2)+L8</f>
        <v>30</v>
      </c>
      <c r="N8" s="34">
        <f>(K8-L8)*K8</f>
        <v>0</v>
      </c>
      <c r="O8" s="34" t="e">
        <f>POWER(((K8+L8)/(K8-L8)),4)</f>
        <v>#DIV/0!</v>
      </c>
      <c r="Q8" s="39" t="s">
        <v>20</v>
      </c>
      <c r="R8" s="39" t="str">
        <f>PROPER(Q2)</f>
        <v>Ms Excel</v>
      </c>
      <c r="AC8" s="44">
        <v>66</v>
      </c>
      <c r="AD8" s="44"/>
      <c r="AE8" s="44">
        <v>51</v>
      </c>
      <c r="AF8" s="44">
        <v>38</v>
      </c>
      <c r="AG8" s="44" t="s">
        <v>39</v>
      </c>
      <c r="AI8" s="42" t="s">
        <v>46</v>
      </c>
      <c r="AJ8" s="43">
        <f>COUNTIF(AC2:AG8,"&gt;50")</f>
        <v>8</v>
      </c>
    </row>
    <row r="9" spans="1:36" ht="15.5" thickTop="1" thickBot="1" x14ac:dyDescent="0.4">
      <c r="A9" s="2">
        <v>8489325103</v>
      </c>
      <c r="B9" s="5">
        <v>8489325103</v>
      </c>
      <c r="Q9" s="39" t="s">
        <v>21</v>
      </c>
      <c r="R9" s="39">
        <f>FIND("Ex",Q2)</f>
        <v>4</v>
      </c>
      <c r="AI9" s="42" t="s">
        <v>47</v>
      </c>
      <c r="AJ9" s="43">
        <f>COUNTIF(AC2:AG8,"com*")</f>
        <v>3</v>
      </c>
    </row>
    <row r="10" spans="1:36" x14ac:dyDescent="0.35">
      <c r="A10" s="6">
        <v>0.66500000000000004</v>
      </c>
      <c r="B10" s="7">
        <v>0.66500000000000004</v>
      </c>
    </row>
    <row r="11" spans="1:36" x14ac:dyDescent="0.35">
      <c r="A11" s="2">
        <v>0.25</v>
      </c>
      <c r="B11" s="8">
        <v>0.25</v>
      </c>
    </row>
    <row r="12" spans="1:36" x14ac:dyDescent="0.35">
      <c r="A12" s="2">
        <v>2.5000000000000001E-2</v>
      </c>
      <c r="B12" s="9">
        <v>2.5000000000000001E-2</v>
      </c>
    </row>
    <row r="13" spans="1:36" x14ac:dyDescent="0.35">
      <c r="A13" s="2">
        <v>646564622</v>
      </c>
      <c r="B13" s="10">
        <v>646564622</v>
      </c>
    </row>
  </sheetData>
  <mergeCells count="2">
    <mergeCell ref="Q2:R2"/>
    <mergeCell ref="T7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696D-AD8B-4C6F-BE3C-69B88DC2103C}">
  <dimension ref="A1:AM25"/>
  <sheetViews>
    <sheetView topLeftCell="K9" zoomScaleNormal="100" workbookViewId="0">
      <selection activeCell="V24" sqref="V24"/>
    </sheetView>
  </sheetViews>
  <sheetFormatPr defaultRowHeight="14.5" x14ac:dyDescent="0.35"/>
  <cols>
    <col min="1" max="1" width="5.36328125" style="53" customWidth="1"/>
    <col min="2" max="2" width="6.81640625" customWidth="1"/>
    <col min="3" max="3" width="16.36328125" customWidth="1"/>
    <col min="4" max="4" width="8" customWidth="1"/>
    <col min="5" max="5" width="4.90625" customWidth="1"/>
    <col min="6" max="6" width="9.7265625" customWidth="1"/>
    <col min="7" max="7" width="10.81640625" customWidth="1"/>
    <col min="8" max="8" width="5.90625" customWidth="1"/>
    <col min="10" max="10" width="8.7265625" customWidth="1"/>
    <col min="14" max="14" width="5.90625" customWidth="1"/>
    <col min="17" max="17" width="6" customWidth="1"/>
    <col min="18" max="18" width="5.453125" customWidth="1"/>
    <col min="19" max="19" width="5.36328125" customWidth="1"/>
    <col min="21" max="21" width="14.7265625" customWidth="1"/>
    <col min="23" max="23" width="11.90625" customWidth="1"/>
  </cols>
  <sheetData>
    <row r="1" spans="1:39" ht="29" customHeight="1" x14ac:dyDescent="0.35">
      <c r="A1" s="52" t="s">
        <v>164</v>
      </c>
      <c r="B1" s="48" t="s">
        <v>150</v>
      </c>
      <c r="C1" s="48" t="s">
        <v>151</v>
      </c>
      <c r="D1" s="48" t="s">
        <v>152</v>
      </c>
      <c r="E1" s="48" t="s">
        <v>153</v>
      </c>
      <c r="F1" s="48" t="s">
        <v>154</v>
      </c>
      <c r="G1" s="48" t="s">
        <v>155</v>
      </c>
      <c r="H1" s="48" t="s">
        <v>156</v>
      </c>
      <c r="I1" s="48" t="s">
        <v>162</v>
      </c>
      <c r="J1" s="48" t="s">
        <v>157</v>
      </c>
      <c r="K1" s="48" t="s">
        <v>158</v>
      </c>
      <c r="L1" s="49" t="s">
        <v>165</v>
      </c>
      <c r="M1" s="49" t="s">
        <v>166</v>
      </c>
      <c r="N1" s="48" t="s">
        <v>159</v>
      </c>
      <c r="O1" s="49" t="s">
        <v>167</v>
      </c>
      <c r="P1" s="49" t="s">
        <v>168</v>
      </c>
      <c r="Q1" s="49" t="s">
        <v>169</v>
      </c>
      <c r="R1" s="48" t="s">
        <v>160</v>
      </c>
      <c r="S1" s="48" t="s">
        <v>161</v>
      </c>
      <c r="U1" s="57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9"/>
      <c r="AG1" s="59"/>
      <c r="AH1" s="58"/>
      <c r="AI1" s="59"/>
      <c r="AJ1" s="59"/>
      <c r="AK1" s="59"/>
      <c r="AL1" s="58"/>
      <c r="AM1" s="58"/>
    </row>
    <row r="2" spans="1:39" x14ac:dyDescent="0.35">
      <c r="A2" s="54">
        <v>7</v>
      </c>
      <c r="B2" s="50" t="s">
        <v>71</v>
      </c>
      <c r="C2" s="50" t="s">
        <v>72</v>
      </c>
      <c r="D2" s="50" t="s">
        <v>73</v>
      </c>
      <c r="E2" s="50" t="s">
        <v>24</v>
      </c>
      <c r="F2" s="51">
        <v>1977</v>
      </c>
      <c r="G2" s="50" t="s">
        <v>55</v>
      </c>
      <c r="H2" s="51">
        <v>9</v>
      </c>
      <c r="I2" s="51">
        <v>10</v>
      </c>
      <c r="J2" s="51">
        <v>9</v>
      </c>
      <c r="K2" s="51">
        <v>9</v>
      </c>
      <c r="L2" s="50">
        <f t="shared" ref="L2:L21" si="0">SUM(H2:K2)</f>
        <v>37</v>
      </c>
      <c r="M2" s="56">
        <f t="shared" ref="M2:M21" si="1">IF(RIGHT(B2,1)="1",2,IF(RIGHT(B2,1)="2",1.5,1))</f>
        <v>1.5</v>
      </c>
      <c r="N2" s="38">
        <f t="shared" ref="N2:N21" si="2">SUM(L2,M2)</f>
        <v>38.5</v>
      </c>
      <c r="O2" s="38" t="str">
        <f t="shared" ref="O2:O21" si="3">IF(LEFT(B2,1)="A","Toán",IF(LEFT(B2,1)="B","Lý",IF(LEFT(B2,1)="C","Hóa","Sinh")))</f>
        <v>Sinh</v>
      </c>
      <c r="P2" s="38">
        <f t="shared" ref="P2:P21" si="4">IF(O2="Toán",30,IF(O2="Lý",28,IF(O2="Hóa",26,24)))</f>
        <v>24</v>
      </c>
      <c r="Q2" s="38" t="str">
        <f>IF(N2&gt;=P2,"Đạt","")</f>
        <v>Đạt</v>
      </c>
      <c r="R2" s="38" t="str">
        <f t="shared" ref="R2:R21" si="5">IF(AND(H2&gt;=9,OR(J2&gt;=8,K2&gt;=8)),"x","")</f>
        <v>x</v>
      </c>
      <c r="S2" s="38" t="str">
        <f t="shared" ref="S2:S21" si="6">IF(AND(H2&gt;=9,OR(I2&gt;=8,K2&gt;=8)),"x","")</f>
        <v>x</v>
      </c>
      <c r="Y2" s="45"/>
      <c r="Z2" s="46"/>
      <c r="AA2" s="45"/>
      <c r="AB2" s="46"/>
      <c r="AC2" s="46"/>
      <c r="AD2" s="46"/>
      <c r="AE2" s="46"/>
      <c r="AF2" s="45"/>
      <c r="AG2" s="61"/>
    </row>
    <row r="3" spans="1:39" x14ac:dyDescent="0.35">
      <c r="A3" s="55">
        <v>20</v>
      </c>
      <c r="B3" s="50" t="s">
        <v>111</v>
      </c>
      <c r="C3" s="50" t="s">
        <v>112</v>
      </c>
      <c r="D3" s="50" t="s">
        <v>62</v>
      </c>
      <c r="E3" s="50" t="s">
        <v>24</v>
      </c>
      <c r="F3" s="51">
        <v>1984</v>
      </c>
      <c r="G3" s="50" t="s">
        <v>113</v>
      </c>
      <c r="H3" s="51">
        <v>5</v>
      </c>
      <c r="I3" s="51">
        <v>8</v>
      </c>
      <c r="J3" s="51">
        <v>9</v>
      </c>
      <c r="K3" s="51">
        <v>7</v>
      </c>
      <c r="L3" s="50">
        <f t="shared" si="0"/>
        <v>29</v>
      </c>
      <c r="M3" s="56">
        <f t="shared" si="1"/>
        <v>2</v>
      </c>
      <c r="N3" s="38">
        <f t="shared" si="2"/>
        <v>31</v>
      </c>
      <c r="O3" s="38" t="str">
        <f t="shared" si="3"/>
        <v>Toán</v>
      </c>
      <c r="P3" s="38">
        <f t="shared" si="4"/>
        <v>30</v>
      </c>
      <c r="Q3" s="38" t="str">
        <f t="shared" ref="Q3:Q21" si="7">IF(N3&gt;=P3,"Đạt","")</f>
        <v>Đạt</v>
      </c>
      <c r="R3" s="38" t="str">
        <f t="shared" si="5"/>
        <v/>
      </c>
      <c r="S3" s="38" t="str">
        <f t="shared" si="6"/>
        <v/>
      </c>
      <c r="Y3" s="45"/>
      <c r="Z3" s="46"/>
      <c r="AA3" s="45"/>
      <c r="AB3" s="46"/>
      <c r="AC3" s="46"/>
      <c r="AD3" s="46"/>
      <c r="AE3" s="46"/>
      <c r="AF3" s="45"/>
      <c r="AG3" s="61"/>
    </row>
    <row r="4" spans="1:39" x14ac:dyDescent="0.35">
      <c r="A4" s="54">
        <v>4</v>
      </c>
      <c r="B4" s="50" t="s">
        <v>60</v>
      </c>
      <c r="C4" s="50" t="s">
        <v>61</v>
      </c>
      <c r="D4" s="50" t="s">
        <v>62</v>
      </c>
      <c r="E4" s="50" t="s">
        <v>24</v>
      </c>
      <c r="F4" s="51">
        <v>1969</v>
      </c>
      <c r="G4" s="50" t="s">
        <v>63</v>
      </c>
      <c r="H4" s="51">
        <v>6</v>
      </c>
      <c r="I4" s="51">
        <v>3</v>
      </c>
      <c r="J4" s="51">
        <v>3</v>
      </c>
      <c r="K4" s="51">
        <v>7</v>
      </c>
      <c r="L4" s="50">
        <f t="shared" si="0"/>
        <v>19</v>
      </c>
      <c r="M4" s="56">
        <f t="shared" si="1"/>
        <v>1</v>
      </c>
      <c r="N4" s="38">
        <f t="shared" si="2"/>
        <v>20</v>
      </c>
      <c r="O4" s="38" t="str">
        <f t="shared" si="3"/>
        <v>Lý</v>
      </c>
      <c r="P4" s="38">
        <f t="shared" si="4"/>
        <v>28</v>
      </c>
      <c r="Q4" s="38" t="str">
        <f t="shared" si="7"/>
        <v/>
      </c>
      <c r="R4" s="38" t="str">
        <f t="shared" si="5"/>
        <v/>
      </c>
      <c r="S4" s="38" t="str">
        <f t="shared" si="6"/>
        <v/>
      </c>
      <c r="U4" s="60"/>
      <c r="V4" s="45"/>
      <c r="W4" s="45"/>
      <c r="X4" s="45"/>
      <c r="Y4" s="45"/>
      <c r="Z4" s="46"/>
      <c r="AA4" s="45"/>
      <c r="AB4" s="46"/>
      <c r="AC4" s="46"/>
      <c r="AD4" s="46"/>
      <c r="AE4" s="46"/>
      <c r="AF4" s="45"/>
      <c r="AG4" s="61"/>
    </row>
    <row r="5" spans="1:39" x14ac:dyDescent="0.35">
      <c r="A5" s="55">
        <v>19</v>
      </c>
      <c r="B5" s="50" t="s">
        <v>108</v>
      </c>
      <c r="C5" s="50" t="s">
        <v>109</v>
      </c>
      <c r="D5" s="50" t="s">
        <v>110</v>
      </c>
      <c r="E5" s="50"/>
      <c r="F5" s="51">
        <v>1985</v>
      </c>
      <c r="G5" s="50" t="s">
        <v>63</v>
      </c>
      <c r="H5" s="51">
        <v>8</v>
      </c>
      <c r="I5" s="51">
        <v>3</v>
      </c>
      <c r="J5" s="51">
        <v>5</v>
      </c>
      <c r="K5" s="51">
        <v>6</v>
      </c>
      <c r="L5" s="50">
        <f t="shared" si="0"/>
        <v>22</v>
      </c>
      <c r="M5" s="56">
        <f t="shared" si="1"/>
        <v>1.5</v>
      </c>
      <c r="N5" s="38">
        <f t="shared" si="2"/>
        <v>23.5</v>
      </c>
      <c r="O5" s="38" t="str">
        <f t="shared" si="3"/>
        <v>Toán</v>
      </c>
      <c r="P5" s="38">
        <f t="shared" si="4"/>
        <v>30</v>
      </c>
      <c r="Q5" s="38" t="str">
        <f t="shared" si="7"/>
        <v/>
      </c>
      <c r="R5" s="38" t="str">
        <f t="shared" si="5"/>
        <v/>
      </c>
      <c r="S5" s="38" t="str">
        <f t="shared" si="6"/>
        <v/>
      </c>
      <c r="U5" s="53"/>
      <c r="V5" s="45"/>
      <c r="W5" s="45"/>
      <c r="X5" s="45"/>
      <c r="Y5" s="45"/>
      <c r="Z5" s="46"/>
      <c r="AA5" s="45"/>
      <c r="AB5" s="46"/>
      <c r="AC5" s="46"/>
      <c r="AD5" s="46"/>
      <c r="AE5" s="46"/>
      <c r="AF5" s="45"/>
      <c r="AG5" s="61"/>
    </row>
    <row r="6" spans="1:39" x14ac:dyDescent="0.35">
      <c r="A6" s="55">
        <v>10</v>
      </c>
      <c r="B6" s="50" t="s">
        <v>81</v>
      </c>
      <c r="C6" s="50" t="s">
        <v>82</v>
      </c>
      <c r="D6" s="50" t="s">
        <v>70</v>
      </c>
      <c r="E6" s="50"/>
      <c r="F6" s="51">
        <v>1970</v>
      </c>
      <c r="G6" s="50" t="s">
        <v>83</v>
      </c>
      <c r="H6" s="51">
        <v>8</v>
      </c>
      <c r="I6" s="51">
        <v>8</v>
      </c>
      <c r="J6" s="51">
        <v>6</v>
      </c>
      <c r="K6" s="51">
        <v>6</v>
      </c>
      <c r="L6" s="50">
        <f t="shared" si="0"/>
        <v>28</v>
      </c>
      <c r="M6" s="56">
        <f t="shared" si="1"/>
        <v>1</v>
      </c>
      <c r="N6" s="38">
        <f t="shared" si="2"/>
        <v>29</v>
      </c>
      <c r="O6" s="38" t="str">
        <f t="shared" si="3"/>
        <v>Sinh</v>
      </c>
      <c r="P6" s="38">
        <f t="shared" si="4"/>
        <v>24</v>
      </c>
      <c r="Q6" s="38" t="str">
        <f t="shared" si="7"/>
        <v>Đạt</v>
      </c>
      <c r="R6" s="38" t="str">
        <f t="shared" si="5"/>
        <v/>
      </c>
      <c r="S6" s="38" t="str">
        <f t="shared" si="6"/>
        <v/>
      </c>
      <c r="U6" s="53"/>
      <c r="V6" s="45"/>
      <c r="W6" s="45"/>
      <c r="X6" s="45"/>
      <c r="Y6" s="45"/>
      <c r="Z6" s="46"/>
      <c r="AA6" s="45"/>
      <c r="AB6" s="46"/>
      <c r="AC6" s="46"/>
      <c r="AD6" s="46"/>
      <c r="AE6" s="46"/>
      <c r="AF6" s="45"/>
      <c r="AG6" s="61"/>
    </row>
    <row r="7" spans="1:39" x14ac:dyDescent="0.35">
      <c r="A7" s="54">
        <v>6</v>
      </c>
      <c r="B7" s="50" t="s">
        <v>68</v>
      </c>
      <c r="C7" s="50" t="s">
        <v>69</v>
      </c>
      <c r="D7" s="50" t="s">
        <v>70</v>
      </c>
      <c r="E7" s="50"/>
      <c r="F7" s="51">
        <v>1980</v>
      </c>
      <c r="G7" s="50" t="s">
        <v>51</v>
      </c>
      <c r="H7" s="51">
        <v>8</v>
      </c>
      <c r="I7" s="51">
        <v>5</v>
      </c>
      <c r="J7" s="51">
        <v>2</v>
      </c>
      <c r="K7" s="51">
        <v>5</v>
      </c>
      <c r="L7" s="50">
        <f t="shared" si="0"/>
        <v>20</v>
      </c>
      <c r="M7" s="56">
        <f t="shared" si="1"/>
        <v>2</v>
      </c>
      <c r="N7" s="38">
        <f t="shared" si="2"/>
        <v>22</v>
      </c>
      <c r="O7" s="38" t="str">
        <f t="shared" si="3"/>
        <v>Hóa</v>
      </c>
      <c r="P7" s="38">
        <f t="shared" si="4"/>
        <v>26</v>
      </c>
      <c r="Q7" s="38" t="str">
        <f t="shared" si="7"/>
        <v/>
      </c>
      <c r="R7" s="38" t="str">
        <f t="shared" si="5"/>
        <v/>
      </c>
      <c r="S7" s="38" t="str">
        <f t="shared" si="6"/>
        <v/>
      </c>
      <c r="U7" s="60"/>
      <c r="V7" s="45"/>
      <c r="W7" s="45"/>
      <c r="X7" s="45"/>
      <c r="Y7" s="45"/>
      <c r="Z7" s="46"/>
      <c r="AA7" s="45"/>
      <c r="AB7" s="46"/>
      <c r="AC7" s="46"/>
      <c r="AD7" s="46"/>
      <c r="AE7" s="46"/>
      <c r="AF7" s="45"/>
      <c r="AG7" s="61"/>
    </row>
    <row r="8" spans="1:39" x14ac:dyDescent="0.35">
      <c r="A8" s="55">
        <v>16</v>
      </c>
      <c r="B8" s="50" t="s">
        <v>99</v>
      </c>
      <c r="C8" s="50" t="s">
        <v>100</v>
      </c>
      <c r="D8" s="50" t="s">
        <v>101</v>
      </c>
      <c r="E8" s="50"/>
      <c r="F8" s="51">
        <v>1986</v>
      </c>
      <c r="G8" s="50" t="s">
        <v>80</v>
      </c>
      <c r="H8" s="51">
        <v>6</v>
      </c>
      <c r="I8" s="51">
        <v>4</v>
      </c>
      <c r="J8" s="51">
        <v>5</v>
      </c>
      <c r="K8" s="51">
        <v>7</v>
      </c>
      <c r="L8" s="50">
        <f t="shared" si="0"/>
        <v>22</v>
      </c>
      <c r="M8" s="56">
        <f t="shared" si="1"/>
        <v>1</v>
      </c>
      <c r="N8" s="38">
        <f t="shared" si="2"/>
        <v>23</v>
      </c>
      <c r="O8" s="38" t="str">
        <f t="shared" si="3"/>
        <v>Lý</v>
      </c>
      <c r="P8" s="38">
        <f t="shared" si="4"/>
        <v>28</v>
      </c>
      <c r="Q8" s="38" t="str">
        <f t="shared" si="7"/>
        <v/>
      </c>
      <c r="R8" s="38" t="str">
        <f t="shared" si="5"/>
        <v/>
      </c>
      <c r="S8" s="38" t="str">
        <f t="shared" si="6"/>
        <v/>
      </c>
      <c r="U8" s="53"/>
      <c r="V8" s="45"/>
      <c r="W8" s="45"/>
      <c r="X8" s="45"/>
      <c r="Y8" s="45"/>
      <c r="Z8" s="46"/>
      <c r="AA8" s="45"/>
      <c r="AB8" s="46"/>
      <c r="AC8" s="46"/>
      <c r="AD8" s="46"/>
      <c r="AE8" s="46"/>
      <c r="AF8" s="45"/>
      <c r="AG8" s="61"/>
    </row>
    <row r="9" spans="1:39" x14ac:dyDescent="0.35">
      <c r="A9" s="54">
        <v>5</v>
      </c>
      <c r="B9" s="50" t="s">
        <v>64</v>
      </c>
      <c r="C9" s="50" t="s">
        <v>65</v>
      </c>
      <c r="D9" s="50" t="s">
        <v>66</v>
      </c>
      <c r="E9" s="50"/>
      <c r="F9" s="51">
        <v>1972</v>
      </c>
      <c r="G9" s="50" t="s">
        <v>67</v>
      </c>
      <c r="H9" s="51">
        <v>5</v>
      </c>
      <c r="I9" s="51">
        <v>8</v>
      </c>
      <c r="J9" s="51">
        <v>1</v>
      </c>
      <c r="K9" s="51">
        <v>9</v>
      </c>
      <c r="L9" s="50">
        <f t="shared" si="0"/>
        <v>23</v>
      </c>
      <c r="M9" s="56">
        <f t="shared" si="1"/>
        <v>2</v>
      </c>
      <c r="N9" s="38">
        <f t="shared" si="2"/>
        <v>25</v>
      </c>
      <c r="O9" s="38" t="str">
        <f t="shared" si="3"/>
        <v>Lý</v>
      </c>
      <c r="P9" s="38">
        <f t="shared" si="4"/>
        <v>28</v>
      </c>
      <c r="Q9" s="38" t="str">
        <f t="shared" si="7"/>
        <v/>
      </c>
      <c r="R9" s="38" t="str">
        <f t="shared" si="5"/>
        <v/>
      </c>
      <c r="S9" s="38" t="str">
        <f t="shared" si="6"/>
        <v/>
      </c>
      <c r="U9" s="60"/>
      <c r="V9" s="45"/>
      <c r="W9" s="45"/>
      <c r="X9" s="45"/>
      <c r="Y9" s="45"/>
      <c r="Z9" s="46"/>
      <c r="AA9" s="45"/>
      <c r="AB9" s="46"/>
      <c r="AC9" s="46"/>
      <c r="AD9" s="46"/>
      <c r="AE9" s="46"/>
      <c r="AF9" s="45"/>
      <c r="AG9" s="61"/>
    </row>
    <row r="10" spans="1:39" x14ac:dyDescent="0.35">
      <c r="A10" s="54">
        <v>2</v>
      </c>
      <c r="B10" s="50" t="s">
        <v>52</v>
      </c>
      <c r="C10" s="50" t="s">
        <v>53</v>
      </c>
      <c r="D10" s="50" t="s">
        <v>54</v>
      </c>
      <c r="E10" s="50" t="s">
        <v>24</v>
      </c>
      <c r="F10" s="51">
        <v>1974</v>
      </c>
      <c r="G10" s="50" t="s">
        <v>55</v>
      </c>
      <c r="H10" s="51">
        <v>6</v>
      </c>
      <c r="I10" s="51">
        <v>8</v>
      </c>
      <c r="J10" s="51">
        <v>5</v>
      </c>
      <c r="K10" s="51">
        <v>10</v>
      </c>
      <c r="L10" s="50">
        <f t="shared" si="0"/>
        <v>29</v>
      </c>
      <c r="M10" s="56">
        <f t="shared" si="1"/>
        <v>1.5</v>
      </c>
      <c r="N10" s="38">
        <f t="shared" si="2"/>
        <v>30.5</v>
      </c>
      <c r="O10" s="38" t="str">
        <f t="shared" si="3"/>
        <v>Lý</v>
      </c>
      <c r="P10" s="38">
        <f t="shared" si="4"/>
        <v>28</v>
      </c>
      <c r="Q10" s="38" t="str">
        <f t="shared" si="7"/>
        <v>Đạt</v>
      </c>
      <c r="R10" s="38" t="str">
        <f t="shared" si="5"/>
        <v/>
      </c>
      <c r="S10" s="38" t="str">
        <f t="shared" si="6"/>
        <v/>
      </c>
      <c r="U10" s="60"/>
      <c r="V10" s="45"/>
      <c r="W10" s="45"/>
      <c r="X10" s="45"/>
      <c r="Y10" s="45"/>
      <c r="Z10" s="46"/>
      <c r="AA10" s="45"/>
      <c r="AB10" s="46"/>
      <c r="AC10" s="46"/>
      <c r="AD10" s="46"/>
      <c r="AE10" s="46"/>
      <c r="AF10" s="45"/>
      <c r="AG10" s="61"/>
    </row>
    <row r="11" spans="1:39" x14ac:dyDescent="0.35">
      <c r="A11" s="55">
        <v>14</v>
      </c>
      <c r="B11" s="50" t="s">
        <v>94</v>
      </c>
      <c r="C11" s="50" t="s">
        <v>95</v>
      </c>
      <c r="D11" s="50" t="s">
        <v>89</v>
      </c>
      <c r="E11" s="50"/>
      <c r="F11" s="51">
        <v>1984</v>
      </c>
      <c r="G11" s="50" t="s">
        <v>55</v>
      </c>
      <c r="H11" s="51">
        <v>7</v>
      </c>
      <c r="I11" s="51">
        <v>9</v>
      </c>
      <c r="J11" s="51">
        <v>8</v>
      </c>
      <c r="K11" s="51">
        <v>10</v>
      </c>
      <c r="L11" s="50">
        <f t="shared" si="0"/>
        <v>34</v>
      </c>
      <c r="M11" s="56">
        <f t="shared" si="1"/>
        <v>1.5</v>
      </c>
      <c r="N11" s="38">
        <f t="shared" si="2"/>
        <v>35.5</v>
      </c>
      <c r="O11" s="38" t="str">
        <f t="shared" si="3"/>
        <v>Lý</v>
      </c>
      <c r="P11" s="38">
        <f t="shared" si="4"/>
        <v>28</v>
      </c>
      <c r="Q11" s="38" t="str">
        <f t="shared" si="7"/>
        <v>Đạt</v>
      </c>
      <c r="R11" s="38" t="str">
        <f t="shared" si="5"/>
        <v/>
      </c>
      <c r="S11" s="38" t="str">
        <f t="shared" si="6"/>
        <v/>
      </c>
      <c r="U11" s="53"/>
      <c r="V11" s="45"/>
      <c r="W11" s="45"/>
      <c r="X11" s="45"/>
      <c r="Y11" s="45"/>
      <c r="Z11" s="46"/>
      <c r="AA11" s="45"/>
      <c r="AB11" s="46"/>
      <c r="AC11" s="46"/>
      <c r="AD11" s="46"/>
      <c r="AE11" s="46"/>
      <c r="AF11" s="45"/>
      <c r="AG11" s="61"/>
    </row>
    <row r="12" spans="1:39" x14ac:dyDescent="0.35">
      <c r="A12" s="55">
        <v>12</v>
      </c>
      <c r="B12" s="50" t="s">
        <v>87</v>
      </c>
      <c r="C12" s="50" t="s">
        <v>88</v>
      </c>
      <c r="D12" s="50" t="s">
        <v>89</v>
      </c>
      <c r="E12" s="50" t="s">
        <v>24</v>
      </c>
      <c r="F12" s="51">
        <v>1982</v>
      </c>
      <c r="G12" s="50" t="s">
        <v>90</v>
      </c>
      <c r="H12" s="51">
        <v>6</v>
      </c>
      <c r="I12" s="51">
        <v>9</v>
      </c>
      <c r="J12" s="51">
        <v>10</v>
      </c>
      <c r="K12" s="51">
        <v>8</v>
      </c>
      <c r="L12" s="50">
        <f t="shared" si="0"/>
        <v>33</v>
      </c>
      <c r="M12" s="56">
        <f t="shared" si="1"/>
        <v>1.5</v>
      </c>
      <c r="N12" s="38">
        <f t="shared" si="2"/>
        <v>34.5</v>
      </c>
      <c r="O12" s="38" t="str">
        <f t="shared" si="3"/>
        <v>Lý</v>
      </c>
      <c r="P12" s="38">
        <f t="shared" si="4"/>
        <v>28</v>
      </c>
      <c r="Q12" s="38" t="str">
        <f t="shared" si="7"/>
        <v>Đạt</v>
      </c>
      <c r="R12" s="38" t="str">
        <f t="shared" si="5"/>
        <v/>
      </c>
      <c r="S12" s="38" t="str">
        <f t="shared" si="6"/>
        <v/>
      </c>
      <c r="U12" s="53"/>
      <c r="V12" s="45"/>
      <c r="W12" s="45"/>
      <c r="X12" s="45"/>
      <c r="Y12" s="45"/>
      <c r="Z12" s="46"/>
      <c r="AA12" s="45"/>
      <c r="AB12" s="46"/>
      <c r="AC12" s="46"/>
      <c r="AD12" s="46"/>
      <c r="AE12" s="46"/>
      <c r="AF12" s="45"/>
      <c r="AG12" s="61"/>
    </row>
    <row r="13" spans="1:39" x14ac:dyDescent="0.35">
      <c r="A13" s="55">
        <v>17</v>
      </c>
      <c r="B13" s="50" t="s">
        <v>102</v>
      </c>
      <c r="C13" s="50" t="s">
        <v>103</v>
      </c>
      <c r="D13" s="50" t="s">
        <v>104</v>
      </c>
      <c r="E13" s="50"/>
      <c r="F13" s="51">
        <v>1985</v>
      </c>
      <c r="G13" s="50" t="s">
        <v>83</v>
      </c>
      <c r="H13" s="51">
        <v>7</v>
      </c>
      <c r="I13" s="51">
        <v>4</v>
      </c>
      <c r="J13" s="51">
        <v>7</v>
      </c>
      <c r="K13" s="51">
        <v>7</v>
      </c>
      <c r="L13" s="50">
        <f t="shared" si="0"/>
        <v>25</v>
      </c>
      <c r="M13" s="56">
        <f t="shared" si="1"/>
        <v>2</v>
      </c>
      <c r="N13" s="38">
        <f t="shared" si="2"/>
        <v>27</v>
      </c>
      <c r="O13" s="38" t="str">
        <f t="shared" si="3"/>
        <v>Hóa</v>
      </c>
      <c r="P13" s="38">
        <f t="shared" si="4"/>
        <v>26</v>
      </c>
      <c r="Q13" s="38" t="str">
        <f t="shared" si="7"/>
        <v>Đạt</v>
      </c>
      <c r="R13" s="38" t="str">
        <f t="shared" si="5"/>
        <v/>
      </c>
      <c r="S13" s="38" t="str">
        <f t="shared" si="6"/>
        <v/>
      </c>
      <c r="U13" s="53"/>
      <c r="V13" s="45"/>
      <c r="W13" s="45"/>
      <c r="X13" s="45"/>
      <c r="Y13" s="45"/>
      <c r="Z13" s="46"/>
      <c r="AA13" s="45"/>
      <c r="AB13" s="46"/>
      <c r="AC13" s="46"/>
      <c r="AD13" s="46"/>
      <c r="AE13" s="46"/>
      <c r="AF13" s="45"/>
      <c r="AG13" s="61"/>
    </row>
    <row r="14" spans="1:39" x14ac:dyDescent="0.35">
      <c r="A14" s="55">
        <v>13</v>
      </c>
      <c r="B14" s="50" t="s">
        <v>91</v>
      </c>
      <c r="C14" s="50" t="s">
        <v>92</v>
      </c>
      <c r="D14" s="50" t="s">
        <v>93</v>
      </c>
      <c r="E14" s="50" t="s">
        <v>24</v>
      </c>
      <c r="F14" s="51">
        <v>1985</v>
      </c>
      <c r="G14" s="50" t="s">
        <v>51</v>
      </c>
      <c r="H14" s="51">
        <v>8</v>
      </c>
      <c r="I14" s="51">
        <v>5</v>
      </c>
      <c r="J14" s="51">
        <v>9</v>
      </c>
      <c r="K14" s="51">
        <v>10</v>
      </c>
      <c r="L14" s="50">
        <f t="shared" si="0"/>
        <v>32</v>
      </c>
      <c r="M14" s="56">
        <f t="shared" si="1"/>
        <v>2</v>
      </c>
      <c r="N14" s="38">
        <f t="shared" si="2"/>
        <v>34</v>
      </c>
      <c r="O14" s="38" t="str">
        <f t="shared" si="3"/>
        <v>Toán</v>
      </c>
      <c r="P14" s="38">
        <f t="shared" si="4"/>
        <v>30</v>
      </c>
      <c r="Q14" s="38" t="str">
        <f t="shared" si="7"/>
        <v>Đạt</v>
      </c>
      <c r="R14" s="38" t="str">
        <f t="shared" si="5"/>
        <v/>
      </c>
      <c r="S14" s="38" t="str">
        <f t="shared" si="6"/>
        <v/>
      </c>
      <c r="U14" s="53"/>
      <c r="V14" s="45"/>
      <c r="W14" s="45"/>
      <c r="X14" s="45"/>
      <c r="Y14" s="45"/>
      <c r="Z14" s="46"/>
      <c r="AA14" s="45"/>
      <c r="AB14" s="46"/>
      <c r="AC14" s="46"/>
      <c r="AD14" s="46"/>
      <c r="AE14" s="46"/>
      <c r="AF14" s="45"/>
      <c r="AG14" s="61"/>
    </row>
    <row r="15" spans="1:39" x14ac:dyDescent="0.35">
      <c r="A15" s="54">
        <v>3</v>
      </c>
      <c r="B15" s="50" t="s">
        <v>56</v>
      </c>
      <c r="C15" s="50" t="s">
        <v>57</v>
      </c>
      <c r="D15" s="50" t="s">
        <v>58</v>
      </c>
      <c r="E15" s="50"/>
      <c r="F15" s="51">
        <v>1975</v>
      </c>
      <c r="G15" s="50" t="s">
        <v>59</v>
      </c>
      <c r="H15" s="51">
        <v>4</v>
      </c>
      <c r="I15" s="51">
        <v>4</v>
      </c>
      <c r="J15" s="51">
        <v>5</v>
      </c>
      <c r="K15" s="51">
        <v>5</v>
      </c>
      <c r="L15" s="50">
        <f t="shared" si="0"/>
        <v>18</v>
      </c>
      <c r="M15" s="56">
        <f t="shared" si="1"/>
        <v>2</v>
      </c>
      <c r="N15" s="38">
        <f t="shared" si="2"/>
        <v>20</v>
      </c>
      <c r="O15" s="38" t="str">
        <f t="shared" si="3"/>
        <v>Hóa</v>
      </c>
      <c r="P15" s="38">
        <f t="shared" si="4"/>
        <v>26</v>
      </c>
      <c r="Q15" s="38" t="str">
        <f t="shared" si="7"/>
        <v/>
      </c>
      <c r="R15" s="38" t="str">
        <f t="shared" si="5"/>
        <v/>
      </c>
      <c r="S15" s="38" t="str">
        <f t="shared" si="6"/>
        <v/>
      </c>
      <c r="U15" s="60"/>
      <c r="V15" s="45"/>
      <c r="W15" s="45"/>
      <c r="X15" s="45"/>
      <c r="Y15" s="45"/>
      <c r="Z15" s="46"/>
      <c r="AA15" s="45"/>
      <c r="AB15" s="46"/>
      <c r="AC15" s="46"/>
      <c r="AD15" s="46"/>
      <c r="AE15" s="46"/>
      <c r="AF15" s="45"/>
      <c r="AG15" s="61"/>
    </row>
    <row r="16" spans="1:39" x14ac:dyDescent="0.35">
      <c r="A16" s="55">
        <v>15</v>
      </c>
      <c r="B16" s="50" t="s">
        <v>96</v>
      </c>
      <c r="C16" s="50" t="s">
        <v>97</v>
      </c>
      <c r="D16" s="50" t="s">
        <v>86</v>
      </c>
      <c r="E16" s="50" t="s">
        <v>24</v>
      </c>
      <c r="F16" s="51">
        <v>1982</v>
      </c>
      <c r="G16" s="50" t="s">
        <v>98</v>
      </c>
      <c r="H16" s="51">
        <v>8</v>
      </c>
      <c r="I16" s="51">
        <v>8</v>
      </c>
      <c r="J16" s="51">
        <v>10</v>
      </c>
      <c r="K16" s="51">
        <v>7</v>
      </c>
      <c r="L16" s="50">
        <f t="shared" si="0"/>
        <v>33</v>
      </c>
      <c r="M16" s="56">
        <f t="shared" si="1"/>
        <v>1</v>
      </c>
      <c r="N16" s="38">
        <f t="shared" si="2"/>
        <v>34</v>
      </c>
      <c r="O16" s="38" t="str">
        <f t="shared" si="3"/>
        <v>Sinh</v>
      </c>
      <c r="P16" s="38">
        <f t="shared" si="4"/>
        <v>24</v>
      </c>
      <c r="Q16" s="38" t="str">
        <f t="shared" si="7"/>
        <v>Đạt</v>
      </c>
      <c r="R16" s="38" t="str">
        <f t="shared" si="5"/>
        <v/>
      </c>
      <c r="S16" s="38" t="str">
        <f t="shared" si="6"/>
        <v/>
      </c>
      <c r="U16" s="53"/>
      <c r="V16" s="45"/>
      <c r="W16" s="45"/>
      <c r="X16" s="45"/>
      <c r="Y16" s="45"/>
      <c r="Z16" s="46"/>
      <c r="AA16" s="45"/>
      <c r="AB16" s="46"/>
      <c r="AC16" s="46"/>
      <c r="AD16" s="46"/>
      <c r="AE16" s="46"/>
      <c r="AF16" s="45"/>
      <c r="AG16" s="61"/>
    </row>
    <row r="17" spans="1:33" x14ac:dyDescent="0.35">
      <c r="A17" s="55">
        <v>11</v>
      </c>
      <c r="B17" s="50" t="s">
        <v>84</v>
      </c>
      <c r="C17" s="50" t="s">
        <v>85</v>
      </c>
      <c r="D17" s="50" t="s">
        <v>86</v>
      </c>
      <c r="E17" s="50" t="s">
        <v>24</v>
      </c>
      <c r="F17" s="51">
        <v>1986</v>
      </c>
      <c r="G17" s="50" t="s">
        <v>67</v>
      </c>
      <c r="H17" s="51">
        <v>7</v>
      </c>
      <c r="I17" s="51">
        <v>5</v>
      </c>
      <c r="J17" s="51">
        <v>8</v>
      </c>
      <c r="K17" s="51">
        <v>8</v>
      </c>
      <c r="L17" s="50">
        <f t="shared" si="0"/>
        <v>28</v>
      </c>
      <c r="M17" s="56">
        <f t="shared" si="1"/>
        <v>2</v>
      </c>
      <c r="N17" s="38">
        <f t="shared" si="2"/>
        <v>30</v>
      </c>
      <c r="O17" s="38" t="str">
        <f t="shared" si="3"/>
        <v>Hóa</v>
      </c>
      <c r="P17" s="38">
        <f t="shared" si="4"/>
        <v>26</v>
      </c>
      <c r="Q17" s="38" t="str">
        <f t="shared" si="7"/>
        <v>Đạt</v>
      </c>
      <c r="R17" s="38" t="str">
        <f t="shared" si="5"/>
        <v/>
      </c>
      <c r="S17" s="38" t="str">
        <f t="shared" si="6"/>
        <v/>
      </c>
      <c r="U17" s="53"/>
      <c r="V17" s="45"/>
      <c r="W17" s="45"/>
      <c r="X17" s="45"/>
      <c r="Y17" s="45"/>
      <c r="Z17" s="46"/>
      <c r="AA17" s="45"/>
      <c r="AB17" s="46"/>
      <c r="AC17" s="46"/>
      <c r="AD17" s="46"/>
      <c r="AE17" s="46"/>
      <c r="AF17" s="45"/>
      <c r="AG17" s="61"/>
    </row>
    <row r="18" spans="1:33" x14ac:dyDescent="0.35">
      <c r="A18" s="54">
        <v>9</v>
      </c>
      <c r="B18" s="50" t="s">
        <v>77</v>
      </c>
      <c r="C18" s="50" t="s">
        <v>78</v>
      </c>
      <c r="D18" s="50" t="s">
        <v>79</v>
      </c>
      <c r="E18" s="50" t="s">
        <v>24</v>
      </c>
      <c r="F18" s="51">
        <v>1975</v>
      </c>
      <c r="G18" s="50" t="s">
        <v>80</v>
      </c>
      <c r="H18" s="51">
        <v>8</v>
      </c>
      <c r="I18" s="51">
        <v>5</v>
      </c>
      <c r="J18" s="51">
        <v>4</v>
      </c>
      <c r="K18" s="51">
        <v>6</v>
      </c>
      <c r="L18" s="50">
        <f t="shared" si="0"/>
        <v>23</v>
      </c>
      <c r="M18" s="56">
        <f t="shared" si="1"/>
        <v>1.5</v>
      </c>
      <c r="N18" s="38">
        <f t="shared" si="2"/>
        <v>24.5</v>
      </c>
      <c r="O18" s="38" t="str">
        <f t="shared" si="3"/>
        <v>Hóa</v>
      </c>
      <c r="P18" s="38">
        <f t="shared" si="4"/>
        <v>26</v>
      </c>
      <c r="Q18" s="38" t="str">
        <f t="shared" si="7"/>
        <v/>
      </c>
      <c r="R18" s="38" t="str">
        <f t="shared" si="5"/>
        <v/>
      </c>
      <c r="S18" s="38" t="str">
        <f t="shared" si="6"/>
        <v/>
      </c>
      <c r="U18" s="60"/>
      <c r="V18" s="45"/>
      <c r="W18" s="45"/>
      <c r="X18" s="45"/>
      <c r="Y18" s="45"/>
      <c r="Z18" s="46"/>
      <c r="AA18" s="45"/>
      <c r="AB18" s="46"/>
      <c r="AC18" s="46"/>
      <c r="AD18" s="46"/>
      <c r="AE18" s="46"/>
      <c r="AF18" s="45"/>
      <c r="AG18" s="61"/>
    </row>
    <row r="19" spans="1:33" x14ac:dyDescent="0.35">
      <c r="A19" s="54">
        <v>8</v>
      </c>
      <c r="B19" s="50" t="s">
        <v>74</v>
      </c>
      <c r="C19" s="50" t="s">
        <v>75</v>
      </c>
      <c r="D19" s="50" t="s">
        <v>50</v>
      </c>
      <c r="E19" s="50"/>
      <c r="F19" s="51">
        <v>1973</v>
      </c>
      <c r="G19" s="50" t="s">
        <v>76</v>
      </c>
      <c r="H19" s="51">
        <v>10</v>
      </c>
      <c r="I19" s="51">
        <v>9</v>
      </c>
      <c r="J19" s="51">
        <v>7</v>
      </c>
      <c r="K19" s="51">
        <v>4</v>
      </c>
      <c r="L19" s="50">
        <f t="shared" si="0"/>
        <v>30</v>
      </c>
      <c r="M19" s="56">
        <f t="shared" si="1"/>
        <v>1</v>
      </c>
      <c r="N19" s="38">
        <f t="shared" si="2"/>
        <v>31</v>
      </c>
      <c r="O19" s="38" t="str">
        <f t="shared" si="3"/>
        <v>Toán</v>
      </c>
      <c r="P19" s="38">
        <f t="shared" si="4"/>
        <v>30</v>
      </c>
      <c r="Q19" s="38" t="str">
        <f t="shared" si="7"/>
        <v>Đạt</v>
      </c>
      <c r="R19" s="38" t="str">
        <f t="shared" si="5"/>
        <v/>
      </c>
      <c r="S19" s="38" t="str">
        <f t="shared" si="6"/>
        <v>x</v>
      </c>
      <c r="U19" s="60"/>
      <c r="V19" s="45"/>
      <c r="W19" s="45"/>
      <c r="X19" s="45"/>
      <c r="Y19" s="45"/>
      <c r="Z19" s="46"/>
      <c r="AA19" s="45"/>
      <c r="AB19" s="46"/>
      <c r="AC19" s="46"/>
      <c r="AD19" s="46"/>
      <c r="AE19" s="46"/>
      <c r="AF19" s="45"/>
      <c r="AG19" s="61"/>
    </row>
    <row r="20" spans="1:33" x14ac:dyDescent="0.35">
      <c r="A20" s="54">
        <v>1</v>
      </c>
      <c r="B20" s="50" t="s">
        <v>48</v>
      </c>
      <c r="C20" s="50" t="s">
        <v>49</v>
      </c>
      <c r="D20" s="50" t="s">
        <v>50</v>
      </c>
      <c r="E20" s="50"/>
      <c r="F20" s="51">
        <v>1973</v>
      </c>
      <c r="G20" s="50" t="s">
        <v>51</v>
      </c>
      <c r="H20" s="51">
        <v>5</v>
      </c>
      <c r="I20" s="51">
        <v>3</v>
      </c>
      <c r="J20" s="51">
        <v>4</v>
      </c>
      <c r="K20" s="51">
        <v>8</v>
      </c>
      <c r="L20" s="50">
        <f t="shared" si="0"/>
        <v>20</v>
      </c>
      <c r="M20" s="56">
        <f t="shared" si="1"/>
        <v>2</v>
      </c>
      <c r="N20" s="38">
        <f t="shared" si="2"/>
        <v>22</v>
      </c>
      <c r="O20" s="38" t="str">
        <f t="shared" si="3"/>
        <v>Toán</v>
      </c>
      <c r="P20" s="38">
        <f t="shared" si="4"/>
        <v>30</v>
      </c>
      <c r="Q20" s="38" t="str">
        <f t="shared" si="7"/>
        <v/>
      </c>
      <c r="R20" s="38" t="str">
        <f t="shared" si="5"/>
        <v/>
      </c>
      <c r="S20" s="38" t="str">
        <f t="shared" si="6"/>
        <v/>
      </c>
      <c r="U20" s="60"/>
      <c r="V20" s="45"/>
      <c r="W20" s="45"/>
      <c r="X20" s="45"/>
      <c r="Y20" s="45"/>
      <c r="Z20" s="46"/>
      <c r="AA20" s="45"/>
      <c r="AB20" s="46"/>
      <c r="AC20" s="46"/>
      <c r="AD20" s="46"/>
      <c r="AE20" s="46"/>
      <c r="AF20" s="45"/>
      <c r="AG20" s="61"/>
    </row>
    <row r="21" spans="1:33" x14ac:dyDescent="0.35">
      <c r="A21" s="55">
        <v>18</v>
      </c>
      <c r="B21" s="50" t="s">
        <v>105</v>
      </c>
      <c r="C21" s="50" t="s">
        <v>106</v>
      </c>
      <c r="D21" s="50" t="s">
        <v>107</v>
      </c>
      <c r="E21" s="50"/>
      <c r="F21" s="51">
        <v>1986</v>
      </c>
      <c r="G21" s="50" t="s">
        <v>67</v>
      </c>
      <c r="H21" s="51">
        <v>6</v>
      </c>
      <c r="I21" s="51">
        <v>10</v>
      </c>
      <c r="J21" s="51">
        <v>9</v>
      </c>
      <c r="K21" s="51">
        <v>8</v>
      </c>
      <c r="L21" s="50">
        <f t="shared" si="0"/>
        <v>33</v>
      </c>
      <c r="M21" s="56">
        <f t="shared" si="1"/>
        <v>1.5</v>
      </c>
      <c r="N21" s="38">
        <f t="shared" si="2"/>
        <v>34.5</v>
      </c>
      <c r="O21" s="38" t="str">
        <f t="shared" si="3"/>
        <v>Toán</v>
      </c>
      <c r="P21" s="38">
        <f t="shared" si="4"/>
        <v>30</v>
      </c>
      <c r="Q21" s="38" t="str">
        <f t="shared" si="7"/>
        <v>Đạt</v>
      </c>
      <c r="R21" s="38" t="str">
        <f t="shared" si="5"/>
        <v/>
      </c>
      <c r="S21" s="38" t="str">
        <f t="shared" si="6"/>
        <v/>
      </c>
      <c r="U21" s="53"/>
      <c r="V21" s="45"/>
      <c r="W21" s="45"/>
      <c r="X21" s="45"/>
      <c r="Y21" s="45"/>
      <c r="Z21" s="46"/>
      <c r="AA21" s="45"/>
      <c r="AB21" s="46"/>
      <c r="AC21" s="46"/>
      <c r="AD21" s="46"/>
      <c r="AE21" s="46"/>
      <c r="AF21" s="45"/>
      <c r="AG21" s="61"/>
    </row>
    <row r="22" spans="1:33" ht="15" thickBot="1" x14ac:dyDescent="0.4"/>
    <row r="23" spans="1:33" ht="29.5" thickBot="1" x14ac:dyDescent="0.4">
      <c r="U23" s="62" t="s">
        <v>172</v>
      </c>
      <c r="V23" s="63" t="s">
        <v>173</v>
      </c>
      <c r="W23" s="63" t="s">
        <v>174</v>
      </c>
      <c r="X23" s="64" t="s">
        <v>175</v>
      </c>
    </row>
    <row r="24" spans="1:33" ht="29.5" thickBot="1" x14ac:dyDescent="0.4">
      <c r="U24" s="64" t="s">
        <v>170</v>
      </c>
      <c r="V24" s="63">
        <f>COUNTIF(Q1:Q21,"Đạt")</f>
        <v>12</v>
      </c>
      <c r="W24" s="63">
        <f>COUNTIF(Q2:Q21,"")</f>
        <v>8</v>
      </c>
      <c r="X24" s="63">
        <f>SUM(V24,W24)</f>
        <v>20</v>
      </c>
    </row>
    <row r="25" spans="1:33" ht="15" thickBot="1" x14ac:dyDescent="0.4">
      <c r="U25" s="65" t="s">
        <v>171</v>
      </c>
      <c r="V25" s="65">
        <f>V24/$X$24 * 100</f>
        <v>60</v>
      </c>
      <c r="W25" s="65">
        <f>W24/$X$24 * 100</f>
        <v>40</v>
      </c>
      <c r="X25" s="65">
        <f t="shared" ref="X25" si="8">X24/$X$24 * 100</f>
        <v>100</v>
      </c>
    </row>
  </sheetData>
  <sortState xmlns:xlrd2="http://schemas.microsoft.com/office/spreadsheetml/2017/richdata2" ref="A2:S21">
    <sortCondition ref="D2:D21"/>
    <sortCondition descending="1" ref="L2:L2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9305-97AB-4A11-80C7-17AF531A075A}">
  <dimension ref="A1:P31"/>
  <sheetViews>
    <sheetView zoomScaleNormal="100" workbookViewId="0">
      <selection activeCell="L7" sqref="L7"/>
    </sheetView>
  </sheetViews>
  <sheetFormatPr defaultRowHeight="14.5" x14ac:dyDescent="0.35"/>
  <cols>
    <col min="3" max="3" width="17.1796875" customWidth="1"/>
    <col min="5" max="5" width="5.26953125" customWidth="1"/>
    <col min="7" max="7" width="10.36328125" customWidth="1"/>
    <col min="8" max="8" width="10.26953125" bestFit="1" customWidth="1"/>
    <col min="9" max="9" width="8" customWidth="1"/>
    <col min="10" max="10" width="10" customWidth="1"/>
    <col min="11" max="11" width="10.54296875" customWidth="1"/>
    <col min="12" max="12" width="10.1796875" customWidth="1"/>
    <col min="13" max="13" width="10.6328125" customWidth="1"/>
    <col min="15" max="15" width="8.6328125" customWidth="1"/>
  </cols>
  <sheetData>
    <row r="1" spans="1:16" x14ac:dyDescent="0.35">
      <c r="I1" s="80" t="s">
        <v>186</v>
      </c>
      <c r="J1" s="80"/>
      <c r="K1" s="72">
        <v>24</v>
      </c>
    </row>
    <row r="3" spans="1:16" ht="26.5" customHeight="1" x14ac:dyDescent="0.35">
      <c r="A3" s="66" t="s">
        <v>163</v>
      </c>
      <c r="B3" s="66" t="s">
        <v>176</v>
      </c>
      <c r="C3" s="66" t="s">
        <v>151</v>
      </c>
      <c r="D3" s="66" t="s">
        <v>152</v>
      </c>
      <c r="E3" s="66" t="s">
        <v>153</v>
      </c>
      <c r="F3" s="66" t="s">
        <v>154</v>
      </c>
      <c r="G3" s="66" t="s">
        <v>155</v>
      </c>
      <c r="H3" s="67" t="s">
        <v>177</v>
      </c>
      <c r="I3" s="67" t="s">
        <v>178</v>
      </c>
      <c r="J3" s="66" t="s">
        <v>179</v>
      </c>
      <c r="K3" s="66" t="s">
        <v>180</v>
      </c>
      <c r="L3" s="66" t="s">
        <v>181</v>
      </c>
      <c r="M3" s="67" t="s">
        <v>182</v>
      </c>
      <c r="N3" s="66" t="s">
        <v>183</v>
      </c>
      <c r="O3" s="66" t="s">
        <v>184</v>
      </c>
      <c r="P3" s="66" t="s">
        <v>185</v>
      </c>
    </row>
    <row r="4" spans="1:16" x14ac:dyDescent="0.35">
      <c r="A4" s="68">
        <v>7</v>
      </c>
      <c r="B4" s="50" t="s">
        <v>71</v>
      </c>
      <c r="C4" s="50" t="s">
        <v>72</v>
      </c>
      <c r="D4" s="50" t="s">
        <v>73</v>
      </c>
      <c r="E4" s="50" t="s">
        <v>24</v>
      </c>
      <c r="F4" s="51">
        <v>1977</v>
      </c>
      <c r="G4" s="50" t="s">
        <v>55</v>
      </c>
      <c r="H4" s="69">
        <v>34957</v>
      </c>
      <c r="I4" s="51">
        <v>20</v>
      </c>
      <c r="J4" s="38">
        <f t="shared" ref="J4:J18" si="0">IF(LEFT(B4,1)="A",330,IF(LEFT(B4,1)="B",310,IF(LEFT(B4,1)="C",290,275)))</f>
        <v>275</v>
      </c>
      <c r="K4" s="38" t="str">
        <f t="shared" ref="K4:K18" si="1">IF(RIGHT(B4,1)="1","Kỹ thuật",IF(RIGHT(B4,1)="2","Kế toán","Kế hoạch"))</f>
        <v>Kế toán</v>
      </c>
      <c r="L4" s="38">
        <f t="shared" ref="L4:L18" si="2">2023-YEAR(H4)</f>
        <v>28</v>
      </c>
      <c r="M4" s="38">
        <f t="shared" ref="M4:M18" si="3" xml:space="preserve"> L4 * 20000</f>
        <v>560000</v>
      </c>
      <c r="N4" s="38">
        <f t="shared" ref="N4:N16" si="4">IF(I4&lt;=24,I4*J4*1000,((I4-24)*2 + 24) *J4 * 1000)</f>
        <v>5500000</v>
      </c>
      <c r="O4" s="38">
        <f t="shared" ref="O4:O18" si="5">INT(N4/3)</f>
        <v>1833333</v>
      </c>
      <c r="P4" s="38">
        <f t="shared" ref="P4:P18" si="6">N4+M4-O4</f>
        <v>4226667</v>
      </c>
    </row>
    <row r="5" spans="1:16" x14ac:dyDescent="0.35">
      <c r="A5" s="68">
        <v>4</v>
      </c>
      <c r="B5" s="50" t="s">
        <v>60</v>
      </c>
      <c r="C5" s="50" t="s">
        <v>61</v>
      </c>
      <c r="D5" s="50" t="s">
        <v>62</v>
      </c>
      <c r="E5" s="50" t="s">
        <v>24</v>
      </c>
      <c r="F5" s="51">
        <v>1969</v>
      </c>
      <c r="G5" s="50" t="s">
        <v>63</v>
      </c>
      <c r="H5" s="69">
        <v>34545</v>
      </c>
      <c r="I5" s="51">
        <v>24</v>
      </c>
      <c r="J5" s="38">
        <f t="shared" si="0"/>
        <v>310</v>
      </c>
      <c r="K5" s="38" t="str">
        <f t="shared" si="1"/>
        <v>Kế hoạch</v>
      </c>
      <c r="L5" s="38">
        <f t="shared" si="2"/>
        <v>29</v>
      </c>
      <c r="M5" s="38">
        <f t="shared" si="3"/>
        <v>580000</v>
      </c>
      <c r="N5" s="38">
        <f t="shared" si="4"/>
        <v>7440000</v>
      </c>
      <c r="O5" s="38">
        <f t="shared" si="5"/>
        <v>2480000</v>
      </c>
      <c r="P5" s="38">
        <f t="shared" si="6"/>
        <v>5540000</v>
      </c>
    </row>
    <row r="6" spans="1:16" x14ac:dyDescent="0.35">
      <c r="A6" s="68">
        <v>10</v>
      </c>
      <c r="B6" s="50" t="s">
        <v>81</v>
      </c>
      <c r="C6" s="50" t="s">
        <v>82</v>
      </c>
      <c r="D6" s="50" t="s">
        <v>70</v>
      </c>
      <c r="E6" s="50"/>
      <c r="F6" s="51">
        <v>1970</v>
      </c>
      <c r="G6" s="50" t="s">
        <v>83</v>
      </c>
      <c r="H6" s="69">
        <v>35789</v>
      </c>
      <c r="I6" s="51">
        <v>24</v>
      </c>
      <c r="J6" s="38">
        <f t="shared" si="0"/>
        <v>275</v>
      </c>
      <c r="K6" s="38" t="str">
        <f t="shared" si="1"/>
        <v>Kế hoạch</v>
      </c>
      <c r="L6" s="38">
        <f t="shared" si="2"/>
        <v>26</v>
      </c>
      <c r="M6" s="38">
        <f t="shared" si="3"/>
        <v>520000</v>
      </c>
      <c r="N6" s="38">
        <f t="shared" si="4"/>
        <v>6600000</v>
      </c>
      <c r="O6" s="38">
        <f t="shared" si="5"/>
        <v>2200000</v>
      </c>
      <c r="P6" s="38">
        <f t="shared" si="6"/>
        <v>4920000</v>
      </c>
    </row>
    <row r="7" spans="1:16" x14ac:dyDescent="0.35">
      <c r="A7" s="68">
        <v>6</v>
      </c>
      <c r="B7" s="50" t="s">
        <v>68</v>
      </c>
      <c r="C7" s="50" t="s">
        <v>69</v>
      </c>
      <c r="D7" s="50" t="s">
        <v>70</v>
      </c>
      <c r="E7" s="50"/>
      <c r="F7" s="51">
        <v>1964</v>
      </c>
      <c r="G7" s="50" t="s">
        <v>51</v>
      </c>
      <c r="H7" s="69">
        <v>34344</v>
      </c>
      <c r="I7" s="51">
        <v>26</v>
      </c>
      <c r="J7" s="38">
        <f t="shared" si="0"/>
        <v>290</v>
      </c>
      <c r="K7" s="38" t="str">
        <f t="shared" si="1"/>
        <v>Kỹ thuật</v>
      </c>
      <c r="L7" s="38">
        <f t="shared" si="2"/>
        <v>29</v>
      </c>
      <c r="M7" s="38">
        <f t="shared" si="3"/>
        <v>580000</v>
      </c>
      <c r="N7" s="38">
        <f t="shared" si="4"/>
        <v>8120000</v>
      </c>
      <c r="O7" s="38">
        <f t="shared" si="5"/>
        <v>2706666</v>
      </c>
      <c r="P7" s="38">
        <f t="shared" si="6"/>
        <v>5993334</v>
      </c>
    </row>
    <row r="8" spans="1:16" x14ac:dyDescent="0.35">
      <c r="A8" s="68">
        <v>5</v>
      </c>
      <c r="B8" s="50" t="s">
        <v>64</v>
      </c>
      <c r="C8" s="50" t="s">
        <v>65</v>
      </c>
      <c r="D8" s="50" t="s">
        <v>66</v>
      </c>
      <c r="E8" s="50"/>
      <c r="F8" s="51">
        <v>1972</v>
      </c>
      <c r="G8" s="50" t="s">
        <v>67</v>
      </c>
      <c r="H8" s="69">
        <v>35972</v>
      </c>
      <c r="I8" s="51">
        <v>25</v>
      </c>
      <c r="J8" s="38">
        <f t="shared" si="0"/>
        <v>310</v>
      </c>
      <c r="K8" s="38" t="str">
        <f t="shared" si="1"/>
        <v>Kỹ thuật</v>
      </c>
      <c r="L8" s="38">
        <f t="shared" si="2"/>
        <v>25</v>
      </c>
      <c r="M8" s="38">
        <f t="shared" si="3"/>
        <v>500000</v>
      </c>
      <c r="N8" s="38">
        <f t="shared" si="4"/>
        <v>8060000</v>
      </c>
      <c r="O8" s="38">
        <f t="shared" si="5"/>
        <v>2686666</v>
      </c>
      <c r="P8" s="38">
        <f t="shared" si="6"/>
        <v>5873334</v>
      </c>
    </row>
    <row r="9" spans="1:16" x14ac:dyDescent="0.35">
      <c r="A9" s="68">
        <v>2</v>
      </c>
      <c r="B9" s="50" t="s">
        <v>52</v>
      </c>
      <c r="C9" s="50" t="s">
        <v>53</v>
      </c>
      <c r="D9" s="50" t="s">
        <v>54</v>
      </c>
      <c r="E9" s="50" t="s">
        <v>24</v>
      </c>
      <c r="F9" s="51">
        <v>1974</v>
      </c>
      <c r="G9" s="50" t="s">
        <v>55</v>
      </c>
      <c r="H9" s="69">
        <v>35935</v>
      </c>
      <c r="I9" s="51">
        <v>25</v>
      </c>
      <c r="J9" s="38">
        <f t="shared" si="0"/>
        <v>310</v>
      </c>
      <c r="K9" s="38" t="str">
        <f t="shared" si="1"/>
        <v>Kế toán</v>
      </c>
      <c r="L9" s="38">
        <f t="shared" si="2"/>
        <v>25</v>
      </c>
      <c r="M9" s="38">
        <f t="shared" si="3"/>
        <v>500000</v>
      </c>
      <c r="N9" s="38">
        <f t="shared" si="4"/>
        <v>8060000</v>
      </c>
      <c r="O9" s="38">
        <f t="shared" si="5"/>
        <v>2686666</v>
      </c>
      <c r="P9" s="38">
        <f t="shared" si="6"/>
        <v>5873334</v>
      </c>
    </row>
    <row r="10" spans="1:16" x14ac:dyDescent="0.35">
      <c r="A10" s="68">
        <v>12</v>
      </c>
      <c r="B10" s="50" t="s">
        <v>87</v>
      </c>
      <c r="C10" s="50" t="s">
        <v>88</v>
      </c>
      <c r="D10" s="50" t="s">
        <v>89</v>
      </c>
      <c r="E10" s="50" t="s">
        <v>24</v>
      </c>
      <c r="F10" s="51">
        <v>1960</v>
      </c>
      <c r="G10" s="50" t="s">
        <v>90</v>
      </c>
      <c r="H10" s="69">
        <v>34069</v>
      </c>
      <c r="I10" s="51">
        <v>24</v>
      </c>
      <c r="J10" s="38">
        <f t="shared" si="0"/>
        <v>310</v>
      </c>
      <c r="K10" s="38" t="str">
        <f t="shared" si="1"/>
        <v>Kế toán</v>
      </c>
      <c r="L10" s="38">
        <f t="shared" si="2"/>
        <v>30</v>
      </c>
      <c r="M10" s="38">
        <f t="shared" si="3"/>
        <v>600000</v>
      </c>
      <c r="N10" s="38">
        <f t="shared" si="4"/>
        <v>7440000</v>
      </c>
      <c r="O10" s="38">
        <f t="shared" si="5"/>
        <v>2480000</v>
      </c>
      <c r="P10" s="38">
        <f t="shared" si="6"/>
        <v>5560000</v>
      </c>
    </row>
    <row r="11" spans="1:16" x14ac:dyDescent="0.35">
      <c r="A11" s="68">
        <v>14</v>
      </c>
      <c r="B11" s="50" t="s">
        <v>94</v>
      </c>
      <c r="C11" s="50" t="s">
        <v>95</v>
      </c>
      <c r="D11" s="50" t="s">
        <v>89</v>
      </c>
      <c r="E11" s="50"/>
      <c r="F11" s="51">
        <v>1970</v>
      </c>
      <c r="G11" s="50" t="s">
        <v>55</v>
      </c>
      <c r="H11" s="69">
        <v>34986</v>
      </c>
      <c r="I11" s="51">
        <v>26</v>
      </c>
      <c r="J11" s="38">
        <f t="shared" si="0"/>
        <v>310</v>
      </c>
      <c r="K11" s="38" t="str">
        <f t="shared" si="1"/>
        <v>Kế toán</v>
      </c>
      <c r="L11" s="38">
        <f t="shared" si="2"/>
        <v>28</v>
      </c>
      <c r="M11" s="38">
        <f t="shared" si="3"/>
        <v>560000</v>
      </c>
      <c r="N11" s="38">
        <f t="shared" si="4"/>
        <v>8680000</v>
      </c>
      <c r="O11" s="38">
        <f t="shared" si="5"/>
        <v>2893333</v>
      </c>
      <c r="P11" s="38">
        <f t="shared" si="6"/>
        <v>6346667</v>
      </c>
    </row>
    <row r="12" spans="1:16" x14ac:dyDescent="0.35">
      <c r="A12" s="68">
        <v>13</v>
      </c>
      <c r="B12" s="50" t="s">
        <v>91</v>
      </c>
      <c r="C12" s="50" t="s">
        <v>92</v>
      </c>
      <c r="D12" s="50" t="s">
        <v>93</v>
      </c>
      <c r="E12" s="50" t="s">
        <v>24</v>
      </c>
      <c r="F12" s="51">
        <v>1962</v>
      </c>
      <c r="G12" s="50" t="s">
        <v>51</v>
      </c>
      <c r="H12" s="69">
        <v>34501</v>
      </c>
      <c r="I12" s="51">
        <v>25</v>
      </c>
      <c r="J12" s="38">
        <f t="shared" si="0"/>
        <v>330</v>
      </c>
      <c r="K12" s="38" t="str">
        <f t="shared" si="1"/>
        <v>Kỹ thuật</v>
      </c>
      <c r="L12" s="38">
        <f t="shared" si="2"/>
        <v>29</v>
      </c>
      <c r="M12" s="38">
        <f t="shared" si="3"/>
        <v>580000</v>
      </c>
      <c r="N12" s="38">
        <f t="shared" si="4"/>
        <v>8580000</v>
      </c>
      <c r="O12" s="38">
        <f t="shared" si="5"/>
        <v>2860000</v>
      </c>
      <c r="P12" s="38">
        <f t="shared" si="6"/>
        <v>6300000</v>
      </c>
    </row>
    <row r="13" spans="1:16" x14ac:dyDescent="0.35">
      <c r="A13" s="68">
        <v>3</v>
      </c>
      <c r="B13" s="50" t="s">
        <v>56</v>
      </c>
      <c r="C13" s="50" t="s">
        <v>57</v>
      </c>
      <c r="D13" s="50" t="s">
        <v>58</v>
      </c>
      <c r="E13" s="50"/>
      <c r="F13" s="51">
        <v>1975</v>
      </c>
      <c r="G13" s="50" t="s">
        <v>59</v>
      </c>
      <c r="H13" s="69">
        <v>36032</v>
      </c>
      <c r="I13" s="51">
        <v>24</v>
      </c>
      <c r="J13" s="38">
        <f t="shared" si="0"/>
        <v>290</v>
      </c>
      <c r="K13" s="38" t="str">
        <f t="shared" si="1"/>
        <v>Kỹ thuật</v>
      </c>
      <c r="L13" s="38">
        <f t="shared" si="2"/>
        <v>25</v>
      </c>
      <c r="M13" s="38">
        <f t="shared" si="3"/>
        <v>500000</v>
      </c>
      <c r="N13" s="38">
        <f t="shared" si="4"/>
        <v>6960000</v>
      </c>
      <c r="O13" s="38">
        <f t="shared" si="5"/>
        <v>2320000</v>
      </c>
      <c r="P13" s="38">
        <f t="shared" si="6"/>
        <v>5140000</v>
      </c>
    </row>
    <row r="14" spans="1:16" x14ac:dyDescent="0.35">
      <c r="A14" s="68">
        <v>11</v>
      </c>
      <c r="B14" s="50" t="s">
        <v>84</v>
      </c>
      <c r="C14" s="50" t="s">
        <v>85</v>
      </c>
      <c r="D14" s="50" t="s">
        <v>86</v>
      </c>
      <c r="E14" s="50" t="s">
        <v>24</v>
      </c>
      <c r="F14" s="51">
        <v>1966</v>
      </c>
      <c r="G14" s="50" t="s">
        <v>67</v>
      </c>
      <c r="H14" s="69">
        <v>35238</v>
      </c>
      <c r="I14" s="51">
        <v>25</v>
      </c>
      <c r="J14" s="38">
        <f t="shared" si="0"/>
        <v>290</v>
      </c>
      <c r="K14" s="38" t="str">
        <f t="shared" si="1"/>
        <v>Kỹ thuật</v>
      </c>
      <c r="L14" s="38">
        <f t="shared" si="2"/>
        <v>27</v>
      </c>
      <c r="M14" s="38">
        <f t="shared" si="3"/>
        <v>540000</v>
      </c>
      <c r="N14" s="38">
        <f t="shared" si="4"/>
        <v>7540000</v>
      </c>
      <c r="O14" s="38">
        <f t="shared" si="5"/>
        <v>2513333</v>
      </c>
      <c r="P14" s="38">
        <f t="shared" si="6"/>
        <v>5566667</v>
      </c>
    </row>
    <row r="15" spans="1:16" x14ac:dyDescent="0.35">
      <c r="A15" s="68">
        <v>15</v>
      </c>
      <c r="B15" s="50" t="s">
        <v>96</v>
      </c>
      <c r="C15" s="50" t="s">
        <v>97</v>
      </c>
      <c r="D15" s="50" t="s">
        <v>86</v>
      </c>
      <c r="E15" s="50" t="s">
        <v>24</v>
      </c>
      <c r="F15" s="51">
        <v>1972</v>
      </c>
      <c r="G15" s="50" t="s">
        <v>98</v>
      </c>
      <c r="H15" s="69">
        <v>35753</v>
      </c>
      <c r="I15" s="51">
        <v>28</v>
      </c>
      <c r="J15" s="38">
        <f t="shared" si="0"/>
        <v>275</v>
      </c>
      <c r="K15" s="38" t="str">
        <f t="shared" si="1"/>
        <v>Kế hoạch</v>
      </c>
      <c r="L15" s="38">
        <f t="shared" si="2"/>
        <v>26</v>
      </c>
      <c r="M15" s="38">
        <f t="shared" si="3"/>
        <v>520000</v>
      </c>
      <c r="N15" s="38">
        <f t="shared" si="4"/>
        <v>8800000</v>
      </c>
      <c r="O15" s="38">
        <f t="shared" si="5"/>
        <v>2933333</v>
      </c>
      <c r="P15" s="38">
        <f t="shared" si="6"/>
        <v>6386667</v>
      </c>
    </row>
    <row r="16" spans="1:16" x14ac:dyDescent="0.35">
      <c r="A16" s="68">
        <v>9</v>
      </c>
      <c r="B16" s="50" t="s">
        <v>77</v>
      </c>
      <c r="C16" s="50" t="s">
        <v>78</v>
      </c>
      <c r="D16" s="50" t="s">
        <v>79</v>
      </c>
      <c r="E16" s="50" t="s">
        <v>24</v>
      </c>
      <c r="F16" s="51">
        <v>1975</v>
      </c>
      <c r="G16" s="50" t="s">
        <v>80</v>
      </c>
      <c r="H16" s="69">
        <v>35709</v>
      </c>
      <c r="I16" s="51">
        <v>24</v>
      </c>
      <c r="J16" s="38">
        <f t="shared" si="0"/>
        <v>290</v>
      </c>
      <c r="K16" s="38" t="str">
        <f t="shared" si="1"/>
        <v>Kế toán</v>
      </c>
      <c r="L16" s="38">
        <f t="shared" si="2"/>
        <v>26</v>
      </c>
      <c r="M16" s="38">
        <f t="shared" si="3"/>
        <v>520000</v>
      </c>
      <c r="N16" s="38">
        <f t="shared" si="4"/>
        <v>6960000</v>
      </c>
      <c r="O16" s="38">
        <f t="shared" si="5"/>
        <v>2320000</v>
      </c>
      <c r="P16" s="38">
        <f t="shared" si="6"/>
        <v>5160000</v>
      </c>
    </row>
    <row r="17" spans="1:16" x14ac:dyDescent="0.35">
      <c r="A17" s="68">
        <v>1</v>
      </c>
      <c r="B17" s="50" t="s">
        <v>48</v>
      </c>
      <c r="C17" s="50" t="s">
        <v>49</v>
      </c>
      <c r="D17" s="50" t="s">
        <v>50</v>
      </c>
      <c r="E17" s="50"/>
      <c r="F17" s="51">
        <v>1973</v>
      </c>
      <c r="G17" s="50" t="s">
        <v>51</v>
      </c>
      <c r="H17" s="69">
        <v>35462</v>
      </c>
      <c r="I17" s="51">
        <v>20</v>
      </c>
      <c r="J17" s="38">
        <f t="shared" si="0"/>
        <v>330</v>
      </c>
      <c r="K17" s="38" t="str">
        <f t="shared" si="1"/>
        <v>Kỹ thuật</v>
      </c>
      <c r="L17" s="38">
        <f t="shared" si="2"/>
        <v>26</v>
      </c>
      <c r="M17" s="38">
        <f t="shared" si="3"/>
        <v>520000</v>
      </c>
      <c r="N17" s="38">
        <f>IF(I17&lt;=24,I17*J17*1000,((I17-24)*2 + 24)*J17*1000)</f>
        <v>6600000</v>
      </c>
      <c r="O17" s="38">
        <f t="shared" si="5"/>
        <v>2200000</v>
      </c>
      <c r="P17" s="38">
        <f t="shared" si="6"/>
        <v>4920000</v>
      </c>
    </row>
    <row r="18" spans="1:16" x14ac:dyDescent="0.35">
      <c r="A18" s="68">
        <v>8</v>
      </c>
      <c r="B18" s="50" t="s">
        <v>74</v>
      </c>
      <c r="C18" s="50" t="s">
        <v>75</v>
      </c>
      <c r="D18" s="50" t="s">
        <v>50</v>
      </c>
      <c r="E18" s="50"/>
      <c r="F18" s="51">
        <v>1973</v>
      </c>
      <c r="G18" s="50" t="s">
        <v>76</v>
      </c>
      <c r="H18" s="69">
        <v>35251</v>
      </c>
      <c r="I18" s="51">
        <v>22</v>
      </c>
      <c r="J18" s="38">
        <f t="shared" si="0"/>
        <v>330</v>
      </c>
      <c r="K18" s="38" t="str">
        <f t="shared" si="1"/>
        <v>Kế hoạch</v>
      </c>
      <c r="L18" s="38">
        <f t="shared" si="2"/>
        <v>27</v>
      </c>
      <c r="M18" s="38">
        <f t="shared" si="3"/>
        <v>540000</v>
      </c>
      <c r="N18" s="38">
        <f>IF(I18&lt;=24,I18*J18*1000,((I18-24)*2 + 24) *J18 * 1000)</f>
        <v>7260000</v>
      </c>
      <c r="O18" s="38">
        <f t="shared" si="5"/>
        <v>2420000</v>
      </c>
      <c r="P18" s="38">
        <f t="shared" si="6"/>
        <v>5380000</v>
      </c>
    </row>
    <row r="21" spans="1:16" x14ac:dyDescent="0.35">
      <c r="H21" s="70"/>
    </row>
    <row r="22" spans="1:16" x14ac:dyDescent="0.35">
      <c r="H22" s="70"/>
      <c r="I22" s="71"/>
      <c r="K22" s="71"/>
    </row>
    <row r="23" spans="1:16" x14ac:dyDescent="0.35">
      <c r="H23" s="70"/>
    </row>
    <row r="24" spans="1:16" x14ac:dyDescent="0.35">
      <c r="H24" s="70"/>
    </row>
    <row r="25" spans="1:16" x14ac:dyDescent="0.35">
      <c r="H25" s="70"/>
    </row>
    <row r="30" spans="1:16" x14ac:dyDescent="0.35">
      <c r="K30" s="71"/>
    </row>
    <row r="31" spans="1:16" x14ac:dyDescent="0.35">
      <c r="K31" s="71"/>
    </row>
  </sheetData>
  <sortState xmlns:xlrd2="http://schemas.microsoft.com/office/spreadsheetml/2017/richdata2" ref="A4:P18">
    <sortCondition ref="D4:D18"/>
    <sortCondition ref="C4:C18"/>
    <sortCondition ref="K4:K18"/>
  </sortState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D5DC-2D84-4A25-B789-C59ADECBDDA0}">
  <dimension ref="A1:I16"/>
  <sheetViews>
    <sheetView workbookViewId="0">
      <selection activeCell="I2" sqref="I2"/>
    </sheetView>
  </sheetViews>
  <sheetFormatPr defaultRowHeight="14.5" x14ac:dyDescent="0.35"/>
  <cols>
    <col min="2" max="2" width="12.1796875" customWidth="1"/>
    <col min="4" max="4" width="12.54296875" customWidth="1"/>
    <col min="8" max="8" width="11.1796875" customWidth="1"/>
    <col min="9" max="9" width="10.54296875" customWidth="1"/>
  </cols>
  <sheetData>
    <row r="1" spans="1:9" x14ac:dyDescent="0.35">
      <c r="A1" s="76" t="s">
        <v>163</v>
      </c>
      <c r="B1" s="76" t="s">
        <v>187</v>
      </c>
      <c r="C1" s="76" t="s">
        <v>152</v>
      </c>
      <c r="D1" s="76" t="s">
        <v>188</v>
      </c>
      <c r="E1" s="76" t="s">
        <v>156</v>
      </c>
      <c r="F1" s="76" t="s">
        <v>157</v>
      </c>
      <c r="G1" s="76" t="s">
        <v>158</v>
      </c>
      <c r="H1" s="76" t="s">
        <v>190</v>
      </c>
      <c r="I1" s="76" t="s">
        <v>189</v>
      </c>
    </row>
    <row r="2" spans="1:9" x14ac:dyDescent="0.35">
      <c r="A2" s="77">
        <v>6</v>
      </c>
      <c r="B2" s="73" t="s">
        <v>129</v>
      </c>
      <c r="C2" s="73" t="s">
        <v>130</v>
      </c>
      <c r="D2" s="74" t="s">
        <v>131</v>
      </c>
      <c r="E2" s="74">
        <v>4</v>
      </c>
      <c r="F2" s="74">
        <v>5</v>
      </c>
      <c r="G2" s="74">
        <v>4</v>
      </c>
      <c r="H2" s="75">
        <f t="shared" ref="H2:H12" si="0">SUM(E2:G2)</f>
        <v>13</v>
      </c>
      <c r="I2" s="73" t="str" cm="1">
        <f t="array" ref="I2" xml:space="preserve"> IF(AND(E2:G2&gt;=3,H2&gt;IF(LEFT(D2,1)="A",18,IF(LEFT(D2,1)="B",17,16))),"ĐẬU","HỎNG")</f>
        <v>HỎNG</v>
      </c>
    </row>
    <row r="3" spans="1:9" x14ac:dyDescent="0.35">
      <c r="A3" s="77">
        <v>10</v>
      </c>
      <c r="B3" s="73" t="s">
        <v>141</v>
      </c>
      <c r="C3" s="73" t="s">
        <v>142</v>
      </c>
      <c r="D3" s="74" t="s">
        <v>143</v>
      </c>
      <c r="E3" s="74">
        <v>3</v>
      </c>
      <c r="F3" s="74">
        <v>6</v>
      </c>
      <c r="G3" s="74">
        <v>6</v>
      </c>
      <c r="H3" s="75">
        <f t="shared" si="0"/>
        <v>15</v>
      </c>
      <c r="I3" s="73" t="str" cm="1">
        <f t="array" ref="I3" xml:space="preserve"> IF(AND(E3:G3&gt;=3,H3&gt;IF(LEFT(D3,1)="A",18,IF(LEFT(D3,1)="B",17,16))),"ĐẬU","HỎNG")</f>
        <v>HỎNG</v>
      </c>
    </row>
    <row r="4" spans="1:9" x14ac:dyDescent="0.35">
      <c r="A4" s="77">
        <v>7</v>
      </c>
      <c r="B4" s="73" t="s">
        <v>132</v>
      </c>
      <c r="C4" s="73" t="s">
        <v>133</v>
      </c>
      <c r="D4" s="74" t="s">
        <v>134</v>
      </c>
      <c r="E4" s="74">
        <v>4.5</v>
      </c>
      <c r="F4" s="74">
        <v>4</v>
      </c>
      <c r="G4" s="74">
        <v>8</v>
      </c>
      <c r="H4" s="75">
        <f t="shared" si="0"/>
        <v>16.5</v>
      </c>
      <c r="I4" s="73" t="str" cm="1">
        <f t="array" ref="I4" xml:space="preserve"> IF(AND(E4:G4&gt;=3,H4&gt;IF(LEFT(D4,1)="A",18,IF(LEFT(D4,1)="B",17,16))),"ĐẬU","HỎNG")</f>
        <v>ĐẬU</v>
      </c>
    </row>
    <row r="5" spans="1:9" x14ac:dyDescent="0.35">
      <c r="A5" s="77">
        <v>3</v>
      </c>
      <c r="B5" s="73" t="s">
        <v>120</v>
      </c>
      <c r="C5" s="73" t="s">
        <v>121</v>
      </c>
      <c r="D5" s="74" t="s">
        <v>122</v>
      </c>
      <c r="E5" s="74">
        <v>2.5</v>
      </c>
      <c r="F5" s="74">
        <v>8</v>
      </c>
      <c r="G5" s="74">
        <v>8</v>
      </c>
      <c r="H5" s="75">
        <f t="shared" si="0"/>
        <v>18.5</v>
      </c>
      <c r="I5" s="73" t="str" cm="1">
        <f t="array" ref="I5" xml:space="preserve"> IF(AND(E5:G5&gt;=3,H5&gt;IF(LEFT(D5,1)="A",18,IF(LEFT(D5,1)="B",17,16))),"ĐẬU","HỎNG")</f>
        <v>HỎNG</v>
      </c>
    </row>
    <row r="6" spans="1:9" x14ac:dyDescent="0.35">
      <c r="A6" s="77">
        <v>4</v>
      </c>
      <c r="B6" s="73" t="s">
        <v>123</v>
      </c>
      <c r="C6" s="73" t="s">
        <v>124</v>
      </c>
      <c r="D6" s="74" t="s">
        <v>125</v>
      </c>
      <c r="E6" s="74">
        <v>4</v>
      </c>
      <c r="F6" s="74">
        <v>7</v>
      </c>
      <c r="G6" s="74">
        <v>8</v>
      </c>
      <c r="H6" s="75">
        <f t="shared" si="0"/>
        <v>19</v>
      </c>
      <c r="I6" s="73" t="str" cm="1">
        <f t="array" ref="I6" xml:space="preserve"> IF(AND(E6:G6&gt;=3,H6&gt;IF(LEFT(D6,1)="A",18,IF(LEFT(D6,1)="B",17,16))),"ĐẬU","HỎNG")</f>
        <v>ĐẬU</v>
      </c>
    </row>
    <row r="7" spans="1:9" x14ac:dyDescent="0.35">
      <c r="A7" s="77">
        <v>11</v>
      </c>
      <c r="B7" s="73" t="s">
        <v>144</v>
      </c>
      <c r="C7" s="73" t="s">
        <v>145</v>
      </c>
      <c r="D7" s="74" t="s">
        <v>146</v>
      </c>
      <c r="E7" s="74">
        <v>2.5</v>
      </c>
      <c r="F7" s="74">
        <v>9</v>
      </c>
      <c r="G7" s="74">
        <v>8</v>
      </c>
      <c r="H7" s="75">
        <f t="shared" si="0"/>
        <v>19.5</v>
      </c>
      <c r="I7" s="73" t="str" cm="1">
        <f t="array" ref="I7" xml:space="preserve"> IF(AND(E7:G7&gt;=3,H7&gt;IF(LEFT(D7,1)="A",18,IF(LEFT(D7,1)="B",17,16))),"ĐẬU","HỎNG")</f>
        <v>HỎNG</v>
      </c>
    </row>
    <row r="8" spans="1:9" x14ac:dyDescent="0.35">
      <c r="A8" s="77">
        <v>9</v>
      </c>
      <c r="B8" s="73" t="s">
        <v>138</v>
      </c>
      <c r="C8" s="73" t="s">
        <v>139</v>
      </c>
      <c r="D8" s="74" t="s">
        <v>140</v>
      </c>
      <c r="E8" s="74">
        <v>8</v>
      </c>
      <c r="F8" s="74">
        <v>6</v>
      </c>
      <c r="G8" s="74">
        <v>6</v>
      </c>
      <c r="H8" s="75">
        <f t="shared" si="0"/>
        <v>20</v>
      </c>
      <c r="I8" s="73" t="str" cm="1">
        <f t="array" ref="I8" xml:space="preserve"> IF(AND(E8:G8&gt;=3,H8&gt;IF(LEFT(D8,1)="A",18,IF(LEFT(D8,1)="B",17,16))),"ĐẬU","HỎNG")</f>
        <v>ĐẬU</v>
      </c>
    </row>
    <row r="9" spans="1:9" x14ac:dyDescent="0.35">
      <c r="A9" s="77">
        <v>5</v>
      </c>
      <c r="B9" s="73" t="s">
        <v>126</v>
      </c>
      <c r="C9" s="73" t="s">
        <v>127</v>
      </c>
      <c r="D9" s="74" t="s">
        <v>128</v>
      </c>
      <c r="E9" s="74">
        <v>7</v>
      </c>
      <c r="F9" s="74">
        <v>7.5</v>
      </c>
      <c r="G9" s="74">
        <v>6</v>
      </c>
      <c r="H9" s="75">
        <f t="shared" si="0"/>
        <v>20.5</v>
      </c>
      <c r="I9" s="73" t="str" cm="1">
        <f t="array" ref="I9" xml:space="preserve"> IF(AND(E9:G9&gt;=3,H9&gt;IF(LEFT(D9,1)="A",18,IF(LEFT(D9,1)="B",17,16))),"ĐẬU","HỎNG")</f>
        <v>ĐẬU</v>
      </c>
    </row>
    <row r="10" spans="1:9" x14ac:dyDescent="0.35">
      <c r="A10" s="77">
        <v>1</v>
      </c>
      <c r="B10" s="73" t="s">
        <v>114</v>
      </c>
      <c r="C10" s="73" t="s">
        <v>115</v>
      </c>
      <c r="D10" s="74" t="s">
        <v>116</v>
      </c>
      <c r="E10" s="74">
        <v>6</v>
      </c>
      <c r="F10" s="74">
        <v>8</v>
      </c>
      <c r="G10" s="74">
        <v>8</v>
      </c>
      <c r="H10" s="75">
        <f t="shared" si="0"/>
        <v>22</v>
      </c>
      <c r="I10" s="73" t="str" cm="1">
        <f t="array" ref="I10" xml:space="preserve"> IF(AND(E10:G10&gt;=3,H10&gt;IF(LEFT(D10,1)="A",18,IF(LEFT(D10,1)="B",17,16))),"ĐẬU","HỎNG")</f>
        <v>ĐẬU</v>
      </c>
    </row>
    <row r="11" spans="1:9" x14ac:dyDescent="0.35">
      <c r="A11" s="77">
        <v>2</v>
      </c>
      <c r="B11" s="73" t="s">
        <v>117</v>
      </c>
      <c r="C11" s="73" t="s">
        <v>118</v>
      </c>
      <c r="D11" s="74" t="s">
        <v>119</v>
      </c>
      <c r="E11" s="74">
        <v>8</v>
      </c>
      <c r="F11" s="74">
        <v>5</v>
      </c>
      <c r="G11" s="74">
        <v>9</v>
      </c>
      <c r="H11" s="75">
        <f t="shared" si="0"/>
        <v>22</v>
      </c>
      <c r="I11" s="73" t="str" cm="1">
        <f t="array" ref="I11" xml:space="preserve"> IF(AND(E11:G11&gt;=3,H11&gt;IF(LEFT(D11,1)="A",18,IF(LEFT(D11,1)="B",17,16))),"ĐẬU","HỎNG")</f>
        <v>ĐẬU</v>
      </c>
    </row>
    <row r="12" spans="1:9" x14ac:dyDescent="0.35">
      <c r="A12" s="77">
        <v>8</v>
      </c>
      <c r="B12" s="73" t="s">
        <v>135</v>
      </c>
      <c r="C12" s="73" t="s">
        <v>136</v>
      </c>
      <c r="D12" s="74" t="s">
        <v>137</v>
      </c>
      <c r="E12" s="74">
        <v>10</v>
      </c>
      <c r="F12" s="74">
        <v>9</v>
      </c>
      <c r="G12" s="74">
        <v>9</v>
      </c>
      <c r="H12" s="75">
        <f t="shared" si="0"/>
        <v>28</v>
      </c>
      <c r="I12" s="73" t="str" cm="1">
        <f t="array" ref="I12" xml:space="preserve"> IF(AND(E12:G12&gt;=3,H12&gt;IF(LEFT(D12,1)="A",18,IF(LEFT(D12,1)="B",17,16))),"ĐẬU","HỎNG")</f>
        <v>ĐẬU</v>
      </c>
    </row>
    <row r="13" spans="1:9" x14ac:dyDescent="0.35">
      <c r="B13" s="45"/>
      <c r="C13" s="45"/>
      <c r="D13" s="45"/>
      <c r="E13" s="45"/>
      <c r="F13" s="45"/>
      <c r="G13" s="45"/>
      <c r="H13" s="45"/>
      <c r="I13" s="45"/>
    </row>
    <row r="14" spans="1:9" x14ac:dyDescent="0.35">
      <c r="B14" s="45"/>
      <c r="C14" s="81" t="s">
        <v>147</v>
      </c>
      <c r="D14" s="81"/>
      <c r="E14" s="45"/>
      <c r="F14" s="45"/>
      <c r="G14" s="45"/>
      <c r="H14" s="45"/>
      <c r="I14" s="45"/>
    </row>
    <row r="15" spans="1:9" x14ac:dyDescent="0.35">
      <c r="B15" s="45"/>
      <c r="C15" s="46" t="s">
        <v>148</v>
      </c>
      <c r="D15" s="47">
        <f>COUNTIF(I3:I13,"ĐẬU")</f>
        <v>7</v>
      </c>
      <c r="E15" s="45"/>
      <c r="F15" s="82" t="s">
        <v>191</v>
      </c>
      <c r="G15" s="82"/>
      <c r="H15" s="82"/>
      <c r="I15" s="45"/>
    </row>
    <row r="16" spans="1:9" x14ac:dyDescent="0.35">
      <c r="B16" s="45"/>
      <c r="C16" s="46" t="s">
        <v>149</v>
      </c>
      <c r="D16" s="37">
        <f>COUNTIF(I2:I12,"HỎNG")</f>
        <v>4</v>
      </c>
      <c r="E16" s="45"/>
      <c r="F16" s="82" t="s">
        <v>192</v>
      </c>
      <c r="G16" s="82"/>
      <c r="H16" s="82"/>
      <c r="I16" s="45"/>
    </row>
  </sheetData>
  <sortState xmlns:xlrd2="http://schemas.microsoft.com/office/spreadsheetml/2017/richdata2" ref="A2:I12">
    <sortCondition ref="H2:H12"/>
  </sortState>
  <mergeCells count="3">
    <mergeCell ref="C14:D14"/>
    <mergeCell ref="F15:H15"/>
    <mergeCell ref="F16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BT1</vt:lpstr>
      <vt:lpstr>BT2</vt:lpstr>
      <vt:lpstr>BT3</vt:lpstr>
      <vt:lpstr>BT4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Nguyên</dc:creator>
  <cp:lastModifiedBy>Tạ Nguyên</cp:lastModifiedBy>
  <dcterms:created xsi:type="dcterms:W3CDTF">2023-12-14T00:51:52Z</dcterms:created>
  <dcterms:modified xsi:type="dcterms:W3CDTF">2023-12-29T14:48:11Z</dcterms:modified>
</cp:coreProperties>
</file>