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14" documentId="8_{41C91E60-CA26-4018-BEA1-4D3075F75E6F}" xr6:coauthVersionLast="47" xr6:coauthVersionMax="47" xr10:uidLastSave="{2D411C0B-D0B1-4CD0-880D-B093A915BA74}"/>
  <bookViews>
    <workbookView xWindow="-90" yWindow="0" windowWidth="9780" windowHeight="11370" firstSheet="3" activeTab="5" xr2:uid="{B2D00D5D-AE90-486D-ABEE-2334F6A3CDF0}"/>
  </bookViews>
  <sheets>
    <sheet name="BT1" sheetId="1" r:id="rId1"/>
    <sheet name="DS DAU" sheetId="7" r:id="rId2"/>
    <sheet name="BT2" sheetId="2" r:id="rId3"/>
    <sheet name="BT3" sheetId="3" r:id="rId4"/>
    <sheet name="BT4" sheetId="4" r:id="rId5"/>
    <sheet name="BT5" sheetId="5" r:id="rId6"/>
    <sheet name="BT6" sheetId="6" r:id="rId7"/>
  </sheets>
  <definedNames>
    <definedName name="_xlnm._FilterDatabase" localSheetId="0" hidden="1">'BT1'!$A$3:$L$11</definedName>
    <definedName name="_xlnm._FilterDatabase" localSheetId="2" hidden="1">'BT2'!$C$14:$G$19</definedName>
    <definedName name="_xlnm._FilterDatabase" localSheetId="3" hidden="1">'BT3'!$A$2:$N$17</definedName>
    <definedName name="_xlnm._FilterDatabase" localSheetId="4" hidden="1">'BT4'!$A$5:$K$16</definedName>
    <definedName name="_xlnm._FilterDatabase" localSheetId="5" hidden="1">'BT5'!$A$4:$K$19</definedName>
    <definedName name="_xlnm._FilterDatabase" localSheetId="6" hidden="1">'BT6'!$A$3:$J$15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6" i="5"/>
  <c r="G6" i="5"/>
  <c r="H4" i="6"/>
  <c r="N18" i="6" s="1"/>
  <c r="G8" i="6"/>
  <c r="G4" i="6"/>
  <c r="G9" i="6"/>
  <c r="G10" i="6"/>
  <c r="G15" i="6"/>
  <c r="G11" i="6"/>
  <c r="G12" i="6"/>
  <c r="G6" i="6"/>
  <c r="G13" i="6"/>
  <c r="G14" i="6"/>
  <c r="G7" i="6"/>
  <c r="G5" i="6"/>
  <c r="C8" i="6"/>
  <c r="H8" i="6" s="1"/>
  <c r="C4" i="6"/>
  <c r="C9" i="6"/>
  <c r="H9" i="6" s="1"/>
  <c r="C10" i="6"/>
  <c r="H10" i="6" s="1"/>
  <c r="C15" i="6"/>
  <c r="D15" i="6" s="1"/>
  <c r="C11" i="6"/>
  <c r="H11" i="6" s="1"/>
  <c r="C12" i="6"/>
  <c r="C6" i="6"/>
  <c r="C13" i="6"/>
  <c r="I13" i="6" s="1"/>
  <c r="C14" i="6"/>
  <c r="H14" i="6" s="1"/>
  <c r="C7" i="6"/>
  <c r="D7" i="6" s="1"/>
  <c r="C5" i="6"/>
  <c r="D5" i="6" s="1"/>
  <c r="A25" i="6"/>
  <c r="A24" i="6"/>
  <c r="A23" i="6"/>
  <c r="A22" i="6"/>
  <c r="A21" i="6"/>
  <c r="A20" i="6"/>
  <c r="A19" i="6"/>
  <c r="E13" i="5"/>
  <c r="H6" i="5"/>
  <c r="H7" i="5"/>
  <c r="H8" i="5"/>
  <c r="H9" i="5"/>
  <c r="H10" i="5"/>
  <c r="H11" i="5"/>
  <c r="H12" i="5"/>
  <c r="G7" i="5"/>
  <c r="G8" i="5"/>
  <c r="G9" i="5"/>
  <c r="G10" i="5"/>
  <c r="G11" i="5"/>
  <c r="G12" i="5"/>
  <c r="G6" i="4"/>
  <c r="H7" i="4"/>
  <c r="H10" i="4"/>
  <c r="H11" i="4"/>
  <c r="H13" i="4"/>
  <c r="H8" i="4"/>
  <c r="H14" i="4"/>
  <c r="H12" i="4"/>
  <c r="H9" i="4"/>
  <c r="H15" i="4"/>
  <c r="H6" i="4"/>
  <c r="D7" i="4"/>
  <c r="D10" i="4"/>
  <c r="D11" i="4"/>
  <c r="D13" i="4"/>
  <c r="D8" i="4"/>
  <c r="F19" i="4" s="1"/>
  <c r="D14" i="4"/>
  <c r="D12" i="4"/>
  <c r="D9" i="4"/>
  <c r="D15" i="4"/>
  <c r="D6" i="4"/>
  <c r="G7" i="4"/>
  <c r="G10" i="4"/>
  <c r="J10" i="4" s="1"/>
  <c r="G11" i="4"/>
  <c r="G13" i="4"/>
  <c r="G8" i="4"/>
  <c r="G14" i="4"/>
  <c r="G12" i="4"/>
  <c r="G9" i="4"/>
  <c r="G15" i="4"/>
  <c r="L3" i="3"/>
  <c r="L17" i="3"/>
  <c r="L7" i="3"/>
  <c r="L5" i="3"/>
  <c r="L10" i="3"/>
  <c r="L16" i="3"/>
  <c r="L13" i="3"/>
  <c r="L11" i="3"/>
  <c r="L14" i="3"/>
  <c r="L15" i="3"/>
  <c r="L8" i="3"/>
  <c r="L9" i="3"/>
  <c r="L6" i="3"/>
  <c r="L12" i="3"/>
  <c r="L4" i="3"/>
  <c r="K3" i="3"/>
  <c r="K17" i="3"/>
  <c r="K7" i="3"/>
  <c r="K5" i="3"/>
  <c r="K10" i="3"/>
  <c r="K16" i="3"/>
  <c r="K13" i="3"/>
  <c r="K11" i="3"/>
  <c r="K14" i="3"/>
  <c r="K15" i="3"/>
  <c r="K8" i="3"/>
  <c r="K9" i="3"/>
  <c r="K6" i="3"/>
  <c r="K12" i="3"/>
  <c r="K4" i="3"/>
  <c r="J3" i="3"/>
  <c r="J17" i="3"/>
  <c r="J7" i="3"/>
  <c r="J5" i="3"/>
  <c r="J10" i="3"/>
  <c r="J16" i="3"/>
  <c r="J13" i="3"/>
  <c r="J11" i="3"/>
  <c r="J14" i="3"/>
  <c r="J15" i="3"/>
  <c r="J8" i="3"/>
  <c r="J9" i="3"/>
  <c r="J6" i="3"/>
  <c r="J12" i="3"/>
  <c r="J4" i="3"/>
  <c r="I3" i="3"/>
  <c r="I17" i="3"/>
  <c r="I7" i="3"/>
  <c r="M7" i="3" s="1"/>
  <c r="I5" i="3"/>
  <c r="I10" i="3"/>
  <c r="I16" i="3"/>
  <c r="I13" i="3"/>
  <c r="I11" i="3"/>
  <c r="I14" i="3"/>
  <c r="I15" i="3"/>
  <c r="I8" i="3"/>
  <c r="M8" i="3" s="1"/>
  <c r="I9" i="3"/>
  <c r="I6" i="3"/>
  <c r="I12" i="3"/>
  <c r="I4" i="3"/>
  <c r="G4" i="3"/>
  <c r="G3" i="3"/>
  <c r="G17" i="3"/>
  <c r="G7" i="3"/>
  <c r="G5" i="3"/>
  <c r="G10" i="3"/>
  <c r="G16" i="3"/>
  <c r="G13" i="3"/>
  <c r="G11" i="3"/>
  <c r="G14" i="3"/>
  <c r="G15" i="3"/>
  <c r="G8" i="3"/>
  <c r="G9" i="3"/>
  <c r="G6" i="3"/>
  <c r="G12" i="3"/>
  <c r="F16" i="2"/>
  <c r="F17" i="2"/>
  <c r="F18" i="2"/>
  <c r="F19" i="2"/>
  <c r="F15" i="2"/>
  <c r="E16" i="2"/>
  <c r="G16" i="2" s="1"/>
  <c r="E17" i="2"/>
  <c r="G17" i="2" s="1"/>
  <c r="E18" i="2"/>
  <c r="G18" i="2" s="1"/>
  <c r="E19" i="2"/>
  <c r="G19" i="2" s="1"/>
  <c r="E15" i="2"/>
  <c r="G15" i="2" s="1"/>
  <c r="D15" i="2"/>
  <c r="D17" i="2"/>
  <c r="D19" i="2"/>
  <c r="D16" i="2"/>
  <c r="D18" i="2"/>
  <c r="H5" i="2"/>
  <c r="H7" i="2"/>
  <c r="H9" i="2"/>
  <c r="H6" i="2"/>
  <c r="H8" i="2"/>
  <c r="N23" i="1"/>
  <c r="N22" i="1"/>
  <c r="N21" i="1"/>
  <c r="L6" i="1"/>
  <c r="I4" i="1"/>
  <c r="L4" i="1" s="1"/>
  <c r="I5" i="1"/>
  <c r="L5" i="1" s="1"/>
  <c r="I6" i="1"/>
  <c r="I7" i="1"/>
  <c r="L7" i="1" s="1"/>
  <c r="I8" i="1"/>
  <c r="L8" i="1" s="1"/>
  <c r="I9" i="1"/>
  <c r="L9" i="1" s="1"/>
  <c r="I10" i="1"/>
  <c r="L10" i="1" s="1"/>
  <c r="I11" i="1"/>
  <c r="E4" i="1"/>
  <c r="E5" i="1"/>
  <c r="E6" i="1"/>
  <c r="E7" i="1"/>
  <c r="E8" i="1"/>
  <c r="E9" i="1"/>
  <c r="E10" i="1"/>
  <c r="E11" i="1"/>
  <c r="D4" i="1"/>
  <c r="J4" i="1" s="1"/>
  <c r="K4" i="1" s="1"/>
  <c r="D5" i="1"/>
  <c r="J5" i="1" s="1"/>
  <c r="D6" i="1"/>
  <c r="J6" i="1" s="1"/>
  <c r="K6" i="1" s="1"/>
  <c r="D7" i="1"/>
  <c r="J7" i="1" s="1"/>
  <c r="D8" i="1"/>
  <c r="J8" i="1" s="1"/>
  <c r="K8" i="1" s="1"/>
  <c r="D9" i="1"/>
  <c r="J9" i="1" s="1"/>
  <c r="D10" i="1"/>
  <c r="J10" i="1" s="1"/>
  <c r="D11" i="1"/>
  <c r="J11" i="1" s="1"/>
  <c r="M18" i="6" l="1"/>
  <c r="D11" i="6"/>
  <c r="I12" i="6"/>
  <c r="I6" i="6"/>
  <c r="D13" i="6"/>
  <c r="H5" i="6"/>
  <c r="I15" i="6"/>
  <c r="I11" i="6"/>
  <c r="J11" i="6" s="1"/>
  <c r="D9" i="6"/>
  <c r="I4" i="6"/>
  <c r="J4" i="6" s="1"/>
  <c r="L18" i="6" s="1"/>
  <c r="H13" i="6"/>
  <c r="J13" i="6" s="1"/>
  <c r="D6" i="6"/>
  <c r="H6" i="6"/>
  <c r="J6" i="6" s="1"/>
  <c r="I5" i="6"/>
  <c r="I10" i="6"/>
  <c r="J10" i="6" s="1"/>
  <c r="D8" i="6"/>
  <c r="D12" i="6"/>
  <c r="H12" i="6"/>
  <c r="J12" i="6" s="1"/>
  <c r="I7" i="6"/>
  <c r="I9" i="6"/>
  <c r="J9" i="6" s="1"/>
  <c r="I14" i="6"/>
  <c r="J14" i="6" s="1"/>
  <c r="H15" i="6"/>
  <c r="J15" i="6" s="1"/>
  <c r="I8" i="6"/>
  <c r="J8" i="6" s="1"/>
  <c r="D10" i="6"/>
  <c r="H7" i="6"/>
  <c r="D14" i="6"/>
  <c r="D4" i="6"/>
  <c r="H13" i="5"/>
  <c r="J9" i="5"/>
  <c r="K9" i="5" s="1"/>
  <c r="G13" i="5"/>
  <c r="J12" i="5"/>
  <c r="J8" i="5"/>
  <c r="K8" i="5" s="1"/>
  <c r="J7" i="5"/>
  <c r="K7" i="5" s="1"/>
  <c r="J6" i="5"/>
  <c r="J11" i="5"/>
  <c r="K11" i="5" s="1"/>
  <c r="J10" i="5"/>
  <c r="K10" i="5" s="1"/>
  <c r="F21" i="4"/>
  <c r="J12" i="4"/>
  <c r="F20" i="4"/>
  <c r="I15" i="4"/>
  <c r="I9" i="4"/>
  <c r="I6" i="4"/>
  <c r="J11" i="4"/>
  <c r="K11" i="4" s="1"/>
  <c r="I8" i="4"/>
  <c r="I7" i="4"/>
  <c r="I14" i="4"/>
  <c r="J8" i="4"/>
  <c r="J9" i="4"/>
  <c r="I11" i="4"/>
  <c r="I13" i="4"/>
  <c r="J14" i="4"/>
  <c r="J6" i="4"/>
  <c r="K6" i="4" s="1"/>
  <c r="J15" i="4"/>
  <c r="K15" i="4" s="1"/>
  <c r="J7" i="4"/>
  <c r="I12" i="4"/>
  <c r="K12" i="4" s="1"/>
  <c r="H16" i="4"/>
  <c r="J13" i="4"/>
  <c r="G16" i="4"/>
  <c r="I10" i="4"/>
  <c r="K10" i="4" s="1"/>
  <c r="M11" i="3"/>
  <c r="N11" i="3" s="1"/>
  <c r="M17" i="3"/>
  <c r="M3" i="3"/>
  <c r="N3" i="3" s="1"/>
  <c r="M4" i="3"/>
  <c r="N4" i="3" s="1"/>
  <c r="M13" i="3"/>
  <c r="M15" i="3"/>
  <c r="N15" i="3" s="1"/>
  <c r="M14" i="3"/>
  <c r="N14" i="3" s="1"/>
  <c r="M12" i="3"/>
  <c r="N12" i="3" s="1"/>
  <c r="M16" i="3"/>
  <c r="N16" i="3" s="1"/>
  <c r="M6" i="3"/>
  <c r="N6" i="3" s="1"/>
  <c r="M10" i="3"/>
  <c r="N10" i="3" s="1"/>
  <c r="M9" i="3"/>
  <c r="N9" i="3" s="1"/>
  <c r="M5" i="3"/>
  <c r="N5" i="3" s="1"/>
  <c r="N8" i="3"/>
  <c r="N7" i="3"/>
  <c r="N13" i="3"/>
  <c r="N17" i="3"/>
  <c r="K11" i="1"/>
  <c r="L11" i="1"/>
  <c r="K10" i="1"/>
  <c r="K9" i="1"/>
  <c r="K7" i="1"/>
  <c r="K5" i="1"/>
  <c r="J5" i="6" l="1"/>
  <c r="J7" i="6"/>
  <c r="K6" i="5"/>
  <c r="K12" i="5"/>
  <c r="J13" i="5"/>
  <c r="K7" i="4"/>
  <c r="K8" i="4"/>
  <c r="K9" i="4"/>
  <c r="J16" i="4"/>
  <c r="K14" i="4"/>
  <c r="K13" i="4"/>
  <c r="I16" i="4"/>
  <c r="K13" i="5" l="1"/>
  <c r="K16" i="4"/>
</calcChain>
</file>

<file path=xl/sharedStrings.xml><?xml version="1.0" encoding="utf-8"?>
<sst xmlns="http://schemas.openxmlformats.org/spreadsheetml/2006/main" count="410" uniqueCount="216">
  <si>
    <t>SBD</t>
  </si>
  <si>
    <t>Họ</t>
  </si>
  <si>
    <t>Tên</t>
  </si>
  <si>
    <t>Toán</t>
  </si>
  <si>
    <t>Lý</t>
  </si>
  <si>
    <t>Hóa</t>
  </si>
  <si>
    <t xml:space="preserve">Kết quả </t>
  </si>
  <si>
    <t>KẾT QUẢ TUYỂN SINH</t>
  </si>
  <si>
    <t>D204</t>
  </si>
  <si>
    <t>Nguyễn Mạnh</t>
  </si>
  <si>
    <t>Đình</t>
  </si>
  <si>
    <t>C203</t>
  </si>
  <si>
    <t>Lê Minh</t>
  </si>
  <si>
    <t>Định</t>
  </si>
  <si>
    <t>B102</t>
  </si>
  <si>
    <t>Trương Quang</t>
  </si>
  <si>
    <t>Minh</t>
  </si>
  <si>
    <t>Tấn</t>
  </si>
  <si>
    <t>A101</t>
  </si>
  <si>
    <t>A205</t>
  </si>
  <si>
    <t>Nguyễn Thị</t>
  </si>
  <si>
    <t>Thanh</t>
  </si>
  <si>
    <t>Thế</t>
  </si>
  <si>
    <t>Châu Thanh</t>
  </si>
  <si>
    <t>C106</t>
  </si>
  <si>
    <t>D107</t>
  </si>
  <si>
    <t>Trần</t>
  </si>
  <si>
    <t>Trung</t>
  </si>
  <si>
    <t>Vinh</t>
  </si>
  <si>
    <t>Phan Bá</t>
  </si>
  <si>
    <t>A208</t>
  </si>
  <si>
    <t>Bảng 1</t>
  </si>
  <si>
    <t>Mã ngành</t>
  </si>
  <si>
    <t>Ngành thi</t>
  </si>
  <si>
    <t>A</t>
  </si>
  <si>
    <t>C</t>
  </si>
  <si>
    <t>B</t>
  </si>
  <si>
    <t>D</t>
  </si>
  <si>
    <t>Máy tính</t>
  </si>
  <si>
    <t>Điện tử</t>
  </si>
  <si>
    <t>Xây dựng</t>
  </si>
  <si>
    <t>Bảng 2</t>
  </si>
  <si>
    <t>Điểm h bổng</t>
  </si>
  <si>
    <t>Điểm</t>
  </si>
  <si>
    <t>chuẩn 1</t>
  </si>
  <si>
    <t xml:space="preserve">chuẩn 2 </t>
  </si>
  <si>
    <t xml:space="preserve">Tên hàng </t>
  </si>
  <si>
    <t>DVT</t>
  </si>
  <si>
    <t>Việt Nam</t>
  </si>
  <si>
    <t xml:space="preserve">Thế giới </t>
  </si>
  <si>
    <t>Gạo</t>
  </si>
  <si>
    <t>Cà Phê</t>
  </si>
  <si>
    <t>Phân Bón</t>
  </si>
  <si>
    <t>Dầu Thô</t>
  </si>
  <si>
    <t>Vàng</t>
  </si>
  <si>
    <t>Hồ Tiêu</t>
  </si>
  <si>
    <t>Cao su</t>
  </si>
  <si>
    <t>Mặt hàng</t>
  </si>
  <si>
    <t>Tỷ lệ</t>
  </si>
  <si>
    <t>Giá trị</t>
  </si>
  <si>
    <t>Tổng kim ngạch xuất khẩu 6 tháng đầu năm</t>
  </si>
  <si>
    <t>Tỷ giá</t>
  </si>
  <si>
    <t>Cà phê</t>
  </si>
  <si>
    <t>Dầu thô</t>
  </si>
  <si>
    <t>Hồ tiêu</t>
  </si>
  <si>
    <t xml:space="preserve">Bảng thống kê </t>
  </si>
  <si>
    <t>Số lượng tính theo
giá thị trường</t>
  </si>
  <si>
    <t>Chênh lệch</t>
  </si>
  <si>
    <t xml:space="preserve">Bảng giá thị trường thế giới và thị trường Việt Nam  </t>
  </si>
  <si>
    <t>STT</t>
  </si>
  <si>
    <t>Môn học</t>
  </si>
  <si>
    <t>Mã lớp</t>
  </si>
  <si>
    <t>Loại</t>
  </si>
  <si>
    <t>Sĩ số</t>
  </si>
  <si>
    <t>Chức danh</t>
  </si>
  <si>
    <t>Số tiết</t>
  </si>
  <si>
    <t>HS đông</t>
  </si>
  <si>
    <t>Giảng
viên</t>
  </si>
  <si>
    <t>HS đêm</t>
  </si>
  <si>
    <t>HS xa</t>
  </si>
  <si>
    <t>HS cao
học</t>
  </si>
  <si>
    <t>Số tiết
quy đổi</t>
  </si>
  <si>
    <t>Số tiền</t>
  </si>
  <si>
    <t>THDC</t>
  </si>
  <si>
    <t>THQL</t>
  </si>
  <si>
    <t>PTHT</t>
  </si>
  <si>
    <t>HDH</t>
  </si>
  <si>
    <t>CTDL</t>
  </si>
  <si>
    <t>KTLT</t>
  </si>
  <si>
    <t>CSDL1</t>
  </si>
  <si>
    <t>THCN</t>
  </si>
  <si>
    <t>BTG3</t>
  </si>
  <si>
    <t>TKT19</t>
  </si>
  <si>
    <t>CQ20</t>
  </si>
  <si>
    <t>TKT20</t>
  </si>
  <si>
    <t>DL20</t>
  </si>
  <si>
    <t>CH5</t>
  </si>
  <si>
    <t>CH4</t>
  </si>
  <si>
    <t>DGK</t>
  </si>
  <si>
    <t>NGK</t>
  </si>
  <si>
    <t>NXK</t>
  </si>
  <si>
    <t>NXC</t>
  </si>
  <si>
    <t>NKC</t>
  </si>
  <si>
    <t>Cao</t>
  </si>
  <si>
    <t>Thạnh</t>
  </si>
  <si>
    <t>Hương</t>
  </si>
  <si>
    <t>Dung</t>
  </si>
  <si>
    <t>Liêm</t>
  </si>
  <si>
    <t>Liễu</t>
  </si>
  <si>
    <t>TĐạt</t>
  </si>
  <si>
    <t>Lệ</t>
  </si>
  <si>
    <t>Đơn giá</t>
  </si>
  <si>
    <t>GV</t>
  </si>
  <si>
    <t>GVC</t>
  </si>
  <si>
    <t>PTS</t>
  </si>
  <si>
    <t>TG</t>
  </si>
  <si>
    <t>BẢNG CHI TIẾT TÍNH SỐ GIỜ QUY ĐỔI</t>
  </si>
  <si>
    <t>HỌ TÊN</t>
  </si>
  <si>
    <t>LOẠI</t>
  </si>
  <si>
    <t>ĐỊNH MỨC</t>
  </si>
  <si>
    <t>CŨ</t>
  </si>
  <si>
    <t>MỚI</t>
  </si>
  <si>
    <t>TIÊU THỤ</t>
  </si>
  <si>
    <t>TRONG</t>
  </si>
  <si>
    <t>VƯỢT</t>
  </si>
  <si>
    <t>CỘNG</t>
  </si>
  <si>
    <t>Trương Mỹ Dung</t>
  </si>
  <si>
    <t>Trần Thị Ngọc Bích</t>
  </si>
  <si>
    <t>Phạm Du Liêm</t>
  </si>
  <si>
    <t>Nguyễn Quốc Hùng</t>
  </si>
  <si>
    <t>Huỳnh Ngọc Liểu</t>
  </si>
  <si>
    <t>Nguyễn Tiến Đạt</t>
  </si>
  <si>
    <t>Lê Ngọc Thạnh</t>
  </si>
  <si>
    <t>Hứa Thị Ngọc Nga</t>
  </si>
  <si>
    <t>Vũ Thị Liên Hương</t>
  </si>
  <si>
    <t>Võ Hà Quang Định</t>
  </si>
  <si>
    <t>TỔNG CỘNG</t>
  </si>
  <si>
    <t>ĐƠN GIÁ</t>
  </si>
  <si>
    <t>Tháng 2/2006</t>
  </si>
  <si>
    <t>BẢNG TÍNH TIỀN ĐIỆN</t>
  </si>
  <si>
    <t>Mã số</t>
  </si>
  <si>
    <t>Lương</t>
  </si>
  <si>
    <t>căn bản</t>
  </si>
  <si>
    <t>Xếp loại</t>
  </si>
  <si>
    <t>Hệ số</t>
  </si>
  <si>
    <t>Phụ</t>
  </si>
  <si>
    <t>cấp</t>
  </si>
  <si>
    <t>Tạm ứng</t>
  </si>
  <si>
    <t>Thưởng</t>
  </si>
  <si>
    <t>Thực</t>
  </si>
  <si>
    <t>lãnh</t>
  </si>
  <si>
    <t xml:space="preserve">Tổng thưởng : </t>
  </si>
  <si>
    <t xml:space="preserve">Tỷ giá : </t>
  </si>
  <si>
    <t xml:space="preserve">Hệ số : </t>
  </si>
  <si>
    <t>BẢNG TÍNH LƯƠNG CBCNV</t>
  </si>
  <si>
    <t>Nguyễn Văn</t>
  </si>
  <si>
    <t>Ân</t>
  </si>
  <si>
    <t>A1CB</t>
  </si>
  <si>
    <t>Nguyễn Thị Cẩm</t>
  </si>
  <si>
    <t>Hồng</t>
  </si>
  <si>
    <t xml:space="preserve">Lại Thị Phương </t>
  </si>
  <si>
    <t>Quỳnh</t>
  </si>
  <si>
    <t>A2CB</t>
  </si>
  <si>
    <t xml:space="preserve">Nguyễn Đình </t>
  </si>
  <si>
    <t>Tuấn</t>
  </si>
  <si>
    <t>C3CB</t>
  </si>
  <si>
    <t>Võ Công</t>
  </si>
  <si>
    <t>Đồng</t>
  </si>
  <si>
    <t>C3NV</t>
  </si>
  <si>
    <t>Nguyễn Thị Hiếu</t>
  </si>
  <si>
    <t>Hạnh</t>
  </si>
  <si>
    <t>Phước</t>
  </si>
  <si>
    <t>Tổng</t>
  </si>
  <si>
    <t>Bảng tính phụ cấp</t>
  </si>
  <si>
    <t>CB</t>
  </si>
  <si>
    <t>NV</t>
  </si>
  <si>
    <t>Bảng tính Hệ số</t>
  </si>
  <si>
    <t>Hệ số Xếp loại</t>
  </si>
  <si>
    <t>Số gọi</t>
  </si>
  <si>
    <t>Tỉnh / TP</t>
  </si>
  <si>
    <t>Vùng</t>
  </si>
  <si>
    <t>Giờ BD</t>
  </si>
  <si>
    <t>Giờ KT</t>
  </si>
  <si>
    <t>Thời gian
gọi</t>
  </si>
  <si>
    <t>Số cuộc
gọi</t>
  </si>
  <si>
    <t>Tiền phải
trả</t>
  </si>
  <si>
    <t>056-825557</t>
  </si>
  <si>
    <t>014-533801</t>
  </si>
  <si>
    <t>064-839871</t>
  </si>
  <si>
    <t>061-8444150</t>
  </si>
  <si>
    <t>063-843771</t>
  </si>
  <si>
    <t>BẢNG THEO DÕI CÁC CUỘC GỌI ĐIỆN THOẠI</t>
  </si>
  <si>
    <t>Mã</t>
  </si>
  <si>
    <t>Hà Nội</t>
  </si>
  <si>
    <t>Bình Định</t>
  </si>
  <si>
    <t>Khánh Hòa</t>
  </si>
  <si>
    <t>Đồng Nai</t>
  </si>
  <si>
    <t>Lâm Đồng</t>
  </si>
  <si>
    <t>Vũng Tàu</t>
  </si>
  <si>
    <t>Sông Bé</t>
  </si>
  <si>
    <t>Đ giá</t>
  </si>
  <si>
    <t>Khu vực</t>
  </si>
  <si>
    <t>Tổng điểm</t>
  </si>
  <si>
    <t>Điểm chuẩn</t>
  </si>
  <si>
    <t>Học bổng</t>
  </si>
  <si>
    <t>1</t>
  </si>
  <si>
    <t>Đậu</t>
  </si>
  <si>
    <t/>
  </si>
  <si>
    <t>2</t>
  </si>
  <si>
    <t>Có</t>
  </si>
  <si>
    <t>Thống kê</t>
  </si>
  <si>
    <t>Số thí sinh đậu</t>
  </si>
  <si>
    <t>Số thí sinh hỏng</t>
  </si>
  <si>
    <t>Số thí sinh có học bổng</t>
  </si>
  <si>
    <t>TỔNG KW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</si>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</sst>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00,000\ [$USD]"/>
    <numFmt numFmtId="165" formatCode="#\ [$ USD]"/>
    <numFmt numFmtId="166" formatCode="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1"/>
      <name val="Tahoma"/>
      <family val="2"/>
    </font>
    <font>
      <b/>
      <i/>
      <sz val="11"/>
      <color theme="1"/>
      <name val="Tahoma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1208D6"/>
      <name val="Tahoma"/>
      <family val="2"/>
    </font>
    <font>
      <b/>
      <sz val="11"/>
      <color rgb="FF1208D6"/>
      <name val="Tahoma"/>
      <family val="2"/>
    </font>
    <font>
      <b/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rgb="FF0C8635"/>
      </left>
      <right style="medium">
        <color rgb="FF0C8635"/>
      </right>
      <top style="thick">
        <color rgb="FF0C8635"/>
      </top>
      <bottom style="thick">
        <color rgb="FF0C8635"/>
      </bottom>
      <diagonal/>
    </border>
    <border>
      <left style="medium">
        <color rgb="FF0C8635"/>
      </left>
      <right style="thick">
        <color rgb="FF0C8635"/>
      </right>
      <top style="thick">
        <color rgb="FF0C8635"/>
      </top>
      <bottom style="thick">
        <color rgb="FF0C8635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3" fontId="1" fillId="0" borderId="0" xfId="0" applyNumberFormat="1" applyFont="1"/>
    <xf numFmtId="9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/>
    <xf numFmtId="0" fontId="3" fillId="0" borderId="2" xfId="0" applyFont="1" applyBorder="1"/>
    <xf numFmtId="0" fontId="1" fillId="0" borderId="13" xfId="0" applyFont="1" applyBorder="1"/>
    <xf numFmtId="0" fontId="3" fillId="2" borderId="14" xfId="0" applyFont="1" applyFill="1" applyBorder="1" applyAlignment="1">
      <alignment horizontal="center"/>
    </xf>
    <xf numFmtId="0" fontId="1" fillId="0" borderId="14" xfId="0" applyFont="1" applyBorder="1"/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5" xfId="0" applyFont="1" applyBorder="1" applyAlignment="1">
      <alignment wrapText="1"/>
    </xf>
    <xf numFmtId="164" fontId="1" fillId="0" borderId="1" xfId="0" applyNumberFormat="1" applyFont="1" applyBorder="1"/>
    <xf numFmtId="165" fontId="1" fillId="0" borderId="14" xfId="0" applyNumberFormat="1" applyFont="1" applyBorder="1" applyAlignment="1">
      <alignment horizontal="right" vertical="center"/>
    </xf>
    <xf numFmtId="165" fontId="1" fillId="0" borderId="14" xfId="0" applyNumberFormat="1" applyFont="1" applyBorder="1"/>
    <xf numFmtId="1" fontId="1" fillId="0" borderId="14" xfId="0" applyNumberFormat="1" applyFont="1" applyBorder="1"/>
    <xf numFmtId="166" fontId="1" fillId="0" borderId="14" xfId="0" applyNumberFormat="1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Slicer Style 1" pivot="0" table="0" count="0" xr9:uid="{5AD45FB6-D456-4123-BF75-D3475B03561C}"/>
  </tableStyles>
  <colors>
    <mruColors>
      <color rgb="FF1208D6"/>
      <color rgb="FFFFFFCC"/>
      <color rgb="FF501DF3"/>
      <color rgb="FF6600FF"/>
      <color rgb="FF0C8635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3AA-1E9A-4DD7-8220-B74EEC6A5861}">
  <dimension ref="A1:N23"/>
  <sheetViews>
    <sheetView topLeftCell="B5" workbookViewId="0">
      <selection activeCell="O24" sqref="O24"/>
    </sheetView>
  </sheetViews>
  <sheetFormatPr defaultRowHeight="14" x14ac:dyDescent="0.3"/>
  <cols>
    <col min="1" max="1" width="10.81640625" style="1" bestFit="1" customWidth="1"/>
    <col min="2" max="2" width="17.54296875" style="1" customWidth="1"/>
    <col min="3" max="3" width="8.7265625" style="1"/>
    <col min="4" max="4" width="10.81640625" style="1" bestFit="1" customWidth="1"/>
    <col min="5" max="5" width="9.90625" style="1" customWidth="1"/>
    <col min="6" max="6" width="10.54296875" style="1" customWidth="1"/>
    <col min="7" max="7" width="8.7265625" style="1"/>
    <col min="8" max="11" width="13.6328125" style="1" customWidth="1"/>
    <col min="12" max="12" width="10.54296875" style="1" bestFit="1" customWidth="1"/>
    <col min="13" max="13" width="24.54296875" style="1" bestFit="1" customWidth="1"/>
    <col min="14" max="16384" width="8.7265625" style="1"/>
  </cols>
  <sheetData>
    <row r="1" spans="1:12" ht="23.5" customHeight="1" x14ac:dyDescent="0.3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4.5" thickBot="1" x14ac:dyDescent="0.35"/>
    <row r="3" spans="1:12" ht="14.5" thickBot="1" x14ac:dyDescent="0.35">
      <c r="A3" s="2" t="s">
        <v>0</v>
      </c>
      <c r="B3" s="2" t="s">
        <v>1</v>
      </c>
      <c r="C3" s="2" t="s">
        <v>2</v>
      </c>
      <c r="D3" s="2" t="s">
        <v>33</v>
      </c>
      <c r="E3" s="2" t="s">
        <v>201</v>
      </c>
      <c r="F3" s="2" t="s">
        <v>3</v>
      </c>
      <c r="G3" s="2" t="s">
        <v>4</v>
      </c>
      <c r="H3" s="2" t="s">
        <v>5</v>
      </c>
      <c r="I3" s="2" t="s">
        <v>202</v>
      </c>
      <c r="J3" s="2" t="s">
        <v>203</v>
      </c>
      <c r="K3" s="2" t="s">
        <v>6</v>
      </c>
      <c r="L3" s="2" t="s">
        <v>204</v>
      </c>
    </row>
    <row r="4" spans="1:12" ht="14.5" thickBot="1" x14ac:dyDescent="0.35">
      <c r="A4" s="3" t="s">
        <v>8</v>
      </c>
      <c r="B4" s="3" t="s">
        <v>9</v>
      </c>
      <c r="C4" s="3" t="s">
        <v>10</v>
      </c>
      <c r="D4" s="3" t="str">
        <f>VLOOKUP(LEFT(A4,1),$A$14:$B$19,2,0)</f>
        <v>Hóa</v>
      </c>
      <c r="E4" s="3" t="str">
        <f>MID(A4,2,1)</f>
        <v>2</v>
      </c>
      <c r="F4" s="3">
        <v>2</v>
      </c>
      <c r="G4" s="3">
        <v>4</v>
      </c>
      <c r="H4" s="3">
        <v>2</v>
      </c>
      <c r="I4" s="3">
        <f>SUM(F4:H4)</f>
        <v>8</v>
      </c>
      <c r="J4" s="3">
        <f t="shared" ref="J4:J11" si="0">VLOOKUP(D4,$B$14:$D$19,IF(E4="1",2,3),0)</f>
        <v>14</v>
      </c>
      <c r="K4" s="3" t="str">
        <f>IF(I4&gt;=J4,"Đậu","Hỏng")</f>
        <v>Hỏng</v>
      </c>
      <c r="L4" s="3" t="str">
        <f>IF(I4&gt;=HLOOKUP(LEFT(A4,1),$H$14:$L$15,2,0),"Có","")</f>
        <v/>
      </c>
    </row>
    <row r="5" spans="1:12" ht="14.5" thickBot="1" x14ac:dyDescent="0.35">
      <c r="A5" s="3" t="s">
        <v>11</v>
      </c>
      <c r="B5" s="3" t="s">
        <v>12</v>
      </c>
      <c r="C5" s="3" t="s">
        <v>13</v>
      </c>
      <c r="D5" s="3" t="str">
        <f t="shared" ref="D5:D11" si="1">VLOOKUP(LEFT(A5,1),$A$14:$B$19,2,0)</f>
        <v>Xây dựng</v>
      </c>
      <c r="E5" s="3" t="str">
        <f t="shared" ref="E5:E11" si="2">MID(A5,2,1)</f>
        <v>2</v>
      </c>
      <c r="F5" s="3">
        <v>4</v>
      </c>
      <c r="G5" s="3">
        <v>3</v>
      </c>
      <c r="H5" s="3">
        <v>1</v>
      </c>
      <c r="I5" s="3">
        <f t="shared" ref="I5:I11" si="3">SUM(F5:H5)</f>
        <v>8</v>
      </c>
      <c r="J5" s="3">
        <f t="shared" si="0"/>
        <v>16</v>
      </c>
      <c r="K5" s="3" t="str">
        <f t="shared" ref="K5:K11" si="4">IF(I5&gt;=J5,"Đậu","Hỏng")</f>
        <v>Hỏng</v>
      </c>
      <c r="L5" s="3" t="str">
        <f t="shared" ref="L5:L11" si="5">IF(I5&gt;=HLOOKUP(LEFT(A5,1),$H$14:$L$15,2,0),"Có","")</f>
        <v/>
      </c>
    </row>
    <row r="6" spans="1:12" ht="14.5" thickBot="1" x14ac:dyDescent="0.35">
      <c r="A6" s="3" t="s">
        <v>14</v>
      </c>
      <c r="B6" s="3" t="s">
        <v>15</v>
      </c>
      <c r="C6" s="3" t="s">
        <v>16</v>
      </c>
      <c r="D6" s="3" t="str">
        <f t="shared" si="1"/>
        <v>Điện tử</v>
      </c>
      <c r="E6" s="3" t="str">
        <f t="shared" si="2"/>
        <v>1</v>
      </c>
      <c r="F6" s="3">
        <v>5</v>
      </c>
      <c r="G6" s="3">
        <v>6</v>
      </c>
      <c r="H6" s="3">
        <v>6</v>
      </c>
      <c r="I6" s="3">
        <f t="shared" si="3"/>
        <v>17</v>
      </c>
      <c r="J6" s="3">
        <f>VLOOKUP(D6,$B$14:$D$19,IF(E6="1",2,3),0)</f>
        <v>17</v>
      </c>
      <c r="K6" s="3" t="str">
        <f t="shared" si="4"/>
        <v>Đậu</v>
      </c>
      <c r="L6" s="3" t="str">
        <f t="shared" si="5"/>
        <v/>
      </c>
    </row>
    <row r="7" spans="1:12" ht="14.5" thickBot="1" x14ac:dyDescent="0.35">
      <c r="A7" s="3" t="s">
        <v>18</v>
      </c>
      <c r="B7" s="3" t="s">
        <v>12</v>
      </c>
      <c r="C7" s="3" t="s">
        <v>17</v>
      </c>
      <c r="D7" s="3" t="str">
        <f t="shared" si="1"/>
        <v>Máy tính</v>
      </c>
      <c r="E7" s="3" t="str">
        <f t="shared" si="2"/>
        <v>1</v>
      </c>
      <c r="F7" s="3">
        <v>4</v>
      </c>
      <c r="G7" s="3">
        <v>7</v>
      </c>
      <c r="H7" s="3">
        <v>5</v>
      </c>
      <c r="I7" s="3">
        <f t="shared" si="3"/>
        <v>16</v>
      </c>
      <c r="J7" s="3">
        <f t="shared" si="0"/>
        <v>19</v>
      </c>
      <c r="K7" s="3" t="str">
        <f t="shared" si="4"/>
        <v>Hỏng</v>
      </c>
      <c r="L7" s="3" t="str">
        <f t="shared" si="5"/>
        <v/>
      </c>
    </row>
    <row r="8" spans="1:12" ht="14.5" thickBot="1" x14ac:dyDescent="0.35">
      <c r="A8" s="3" t="s">
        <v>19</v>
      </c>
      <c r="B8" s="3" t="s">
        <v>20</v>
      </c>
      <c r="C8" s="3" t="s">
        <v>21</v>
      </c>
      <c r="D8" s="3" t="str">
        <f t="shared" si="1"/>
        <v>Máy tính</v>
      </c>
      <c r="E8" s="3" t="str">
        <f t="shared" si="2"/>
        <v>2</v>
      </c>
      <c r="F8" s="3">
        <v>6</v>
      </c>
      <c r="G8" s="3">
        <v>7</v>
      </c>
      <c r="H8" s="3">
        <v>9</v>
      </c>
      <c r="I8" s="3">
        <f t="shared" si="3"/>
        <v>22</v>
      </c>
      <c r="J8" s="3">
        <f t="shared" si="0"/>
        <v>10</v>
      </c>
      <c r="K8" s="3" t="str">
        <f t="shared" si="4"/>
        <v>Đậu</v>
      </c>
      <c r="L8" s="3" t="str">
        <f t="shared" si="5"/>
        <v/>
      </c>
    </row>
    <row r="9" spans="1:12" ht="14.5" thickBot="1" x14ac:dyDescent="0.35">
      <c r="A9" s="3" t="s">
        <v>24</v>
      </c>
      <c r="B9" s="3" t="s">
        <v>23</v>
      </c>
      <c r="C9" s="3" t="s">
        <v>22</v>
      </c>
      <c r="D9" s="3" t="str">
        <f t="shared" si="1"/>
        <v>Xây dựng</v>
      </c>
      <c r="E9" s="3" t="str">
        <f t="shared" si="2"/>
        <v>1</v>
      </c>
      <c r="F9" s="3">
        <v>8</v>
      </c>
      <c r="G9" s="3">
        <v>6</v>
      </c>
      <c r="H9" s="3">
        <v>7</v>
      </c>
      <c r="I9" s="3">
        <f t="shared" si="3"/>
        <v>21</v>
      </c>
      <c r="J9" s="3">
        <f t="shared" si="0"/>
        <v>15</v>
      </c>
      <c r="K9" s="3" t="str">
        <f t="shared" si="4"/>
        <v>Đậu</v>
      </c>
      <c r="L9" s="3" t="str">
        <f t="shared" si="5"/>
        <v>Có</v>
      </c>
    </row>
    <row r="10" spans="1:12" ht="14.5" thickBot="1" x14ac:dyDescent="0.35">
      <c r="A10" s="3" t="s">
        <v>25</v>
      </c>
      <c r="B10" s="3" t="s">
        <v>26</v>
      </c>
      <c r="C10" s="3" t="s">
        <v>27</v>
      </c>
      <c r="D10" s="3" t="str">
        <f t="shared" si="1"/>
        <v>Hóa</v>
      </c>
      <c r="E10" s="3" t="str">
        <f t="shared" si="2"/>
        <v>1</v>
      </c>
      <c r="F10" s="3">
        <v>9</v>
      </c>
      <c r="G10" s="3">
        <v>7</v>
      </c>
      <c r="H10" s="3">
        <v>8</v>
      </c>
      <c r="I10" s="3">
        <f t="shared" si="3"/>
        <v>24</v>
      </c>
      <c r="J10" s="3">
        <f t="shared" si="0"/>
        <v>13</v>
      </c>
      <c r="K10" s="3" t="str">
        <f t="shared" si="4"/>
        <v>Đậu</v>
      </c>
      <c r="L10" s="3" t="str">
        <f t="shared" si="5"/>
        <v>Có</v>
      </c>
    </row>
    <row r="11" spans="1:12" ht="14.5" thickBot="1" x14ac:dyDescent="0.35">
      <c r="A11" s="3" t="s">
        <v>30</v>
      </c>
      <c r="B11" s="3" t="s">
        <v>29</v>
      </c>
      <c r="C11" s="3" t="s">
        <v>28</v>
      </c>
      <c r="D11" s="3" t="str">
        <f t="shared" si="1"/>
        <v>Máy tính</v>
      </c>
      <c r="E11" s="3" t="str">
        <f t="shared" si="2"/>
        <v>2</v>
      </c>
      <c r="F11" s="3">
        <v>9</v>
      </c>
      <c r="G11" s="3">
        <v>9</v>
      </c>
      <c r="H11" s="3">
        <v>9</v>
      </c>
      <c r="I11" s="3">
        <f t="shared" si="3"/>
        <v>27</v>
      </c>
      <c r="J11" s="3">
        <f t="shared" si="0"/>
        <v>10</v>
      </c>
      <c r="K11" s="3" t="str">
        <f t="shared" si="4"/>
        <v>Đậu</v>
      </c>
      <c r="L11" s="3" t="str">
        <f t="shared" si="5"/>
        <v>Có</v>
      </c>
    </row>
    <row r="13" spans="1:12" ht="14.5" thickBot="1" x14ac:dyDescent="0.35">
      <c r="A13" s="1" t="s">
        <v>31</v>
      </c>
      <c r="H13" s="1" t="s">
        <v>41</v>
      </c>
    </row>
    <row r="14" spans="1:12" ht="14.5" thickBot="1" x14ac:dyDescent="0.35">
      <c r="A14" s="41" t="s">
        <v>32</v>
      </c>
      <c r="B14" s="41" t="s">
        <v>33</v>
      </c>
      <c r="C14" s="33" t="s">
        <v>43</v>
      </c>
      <c r="D14" s="33" t="s">
        <v>43</v>
      </c>
      <c r="E14" s="31"/>
      <c r="H14" s="2" t="s">
        <v>32</v>
      </c>
      <c r="I14" s="2" t="s">
        <v>34</v>
      </c>
      <c r="J14" s="2" t="s">
        <v>36</v>
      </c>
      <c r="K14" s="2" t="s">
        <v>35</v>
      </c>
      <c r="L14" s="2" t="s">
        <v>37</v>
      </c>
    </row>
    <row r="15" spans="1:12" ht="14.5" thickBot="1" x14ac:dyDescent="0.35">
      <c r="A15" s="41"/>
      <c r="B15" s="41"/>
      <c r="C15" s="21" t="s">
        <v>44</v>
      </c>
      <c r="D15" s="21" t="s">
        <v>45</v>
      </c>
      <c r="E15" s="32"/>
      <c r="H15" s="2" t="s">
        <v>42</v>
      </c>
      <c r="I15" s="3">
        <v>25</v>
      </c>
      <c r="J15" s="3">
        <v>23</v>
      </c>
      <c r="K15" s="3">
        <v>21</v>
      </c>
      <c r="L15" s="3">
        <v>19</v>
      </c>
    </row>
    <row r="16" spans="1:12" ht="14.5" thickBot="1" x14ac:dyDescent="0.35">
      <c r="A16" s="2" t="s">
        <v>34</v>
      </c>
      <c r="B16" s="3" t="s">
        <v>38</v>
      </c>
      <c r="C16" s="3">
        <v>19</v>
      </c>
      <c r="D16" s="3">
        <v>10</v>
      </c>
    </row>
    <row r="17" spans="1:14" ht="14.5" thickBot="1" x14ac:dyDescent="0.35">
      <c r="A17" s="2" t="s">
        <v>36</v>
      </c>
      <c r="B17" s="3" t="s">
        <v>39</v>
      </c>
      <c r="C17" s="3">
        <v>17</v>
      </c>
      <c r="D17" s="3">
        <v>18</v>
      </c>
    </row>
    <row r="18" spans="1:14" ht="14.5" thickBot="1" x14ac:dyDescent="0.35">
      <c r="A18" s="2" t="s">
        <v>35</v>
      </c>
      <c r="B18" s="3" t="s">
        <v>40</v>
      </c>
      <c r="C18" s="3">
        <v>15</v>
      </c>
      <c r="D18" s="3">
        <v>16</v>
      </c>
    </row>
    <row r="19" spans="1:14" ht="14.5" thickBot="1" x14ac:dyDescent="0.35">
      <c r="A19" s="2" t="s">
        <v>37</v>
      </c>
      <c r="B19" s="3" t="s">
        <v>5</v>
      </c>
      <c r="C19" s="3">
        <v>13</v>
      </c>
      <c r="D19" s="3">
        <v>14</v>
      </c>
    </row>
    <row r="20" spans="1:14" ht="14.5" thickBot="1" x14ac:dyDescent="0.35">
      <c r="M20" s="3" t="s">
        <v>210</v>
      </c>
      <c r="N20" s="3"/>
    </row>
    <row r="21" spans="1:14" ht="14.5" thickBot="1" x14ac:dyDescent="0.35">
      <c r="M21" s="2" t="s">
        <v>211</v>
      </c>
      <c r="N21" s="3">
        <f>COUNTIF(K4:K11,"Đậu")</f>
        <v>5</v>
      </c>
    </row>
    <row r="22" spans="1:14" ht="14.5" thickBot="1" x14ac:dyDescent="0.35">
      <c r="M22" s="2" t="s">
        <v>212</v>
      </c>
      <c r="N22" s="3">
        <f>COUNTIF(K4:K11,"Hỏng")</f>
        <v>3</v>
      </c>
    </row>
    <row r="23" spans="1:14" ht="14.5" thickBot="1" x14ac:dyDescent="0.35">
      <c r="M23" s="2" t="s">
        <v>213</v>
      </c>
      <c r="N23" s="3">
        <f>COUNTIF(L4:L11,"Có")</f>
        <v>3</v>
      </c>
    </row>
  </sheetData>
  <sortState xmlns:xlrd2="http://schemas.microsoft.com/office/spreadsheetml/2017/richdata2" ref="A4:L11">
    <sortCondition ref="C4:C11"/>
  </sortState>
  <mergeCells count="3">
    <mergeCell ref="A1:L1"/>
    <mergeCell ref="A14:A15"/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725C-20A6-4829-9E79-EB03EDF91604}">
  <dimension ref="A1:M20"/>
  <sheetViews>
    <sheetView topLeftCell="D1" workbookViewId="0">
      <selection activeCell="M17" sqref="M17"/>
    </sheetView>
  </sheetViews>
  <sheetFormatPr defaultRowHeight="14.5" x14ac:dyDescent="0.35"/>
  <cols>
    <col min="1" max="1" width="10.81640625" bestFit="1" customWidth="1"/>
    <col min="2" max="2" width="13.7265625" bestFit="1" customWidth="1"/>
    <col min="3" max="3" width="8.90625" bestFit="1" customWidth="1"/>
    <col min="4" max="4" width="10.81640625" bestFit="1" customWidth="1"/>
    <col min="8" max="8" width="13.81640625" bestFit="1" customWidth="1"/>
    <col min="9" max="9" width="11.54296875" bestFit="1" customWidth="1"/>
    <col min="10" max="10" width="12.90625" bestFit="1" customWidth="1"/>
    <col min="11" max="11" width="9.1796875" bestFit="1" customWidth="1"/>
    <col min="12" max="12" width="10.54296875" bestFit="1" customWidth="1"/>
    <col min="13" max="13" width="24.54296875" bestFit="1" customWidth="1"/>
  </cols>
  <sheetData>
    <row r="1" spans="1:12" ht="28.5" customHeigh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thickBot="1" x14ac:dyDescent="0.4">
      <c r="A3" s="2" t="s">
        <v>0</v>
      </c>
      <c r="B3" s="2" t="s">
        <v>1</v>
      </c>
      <c r="C3" s="2" t="s">
        <v>2</v>
      </c>
      <c r="D3" s="2" t="s">
        <v>33</v>
      </c>
      <c r="E3" s="2" t="s">
        <v>201</v>
      </c>
      <c r="F3" s="2" t="s">
        <v>3</v>
      </c>
      <c r="G3" s="2" t="s">
        <v>4</v>
      </c>
      <c r="H3" s="2" t="s">
        <v>5</v>
      </c>
      <c r="I3" s="2" t="s">
        <v>202</v>
      </c>
      <c r="J3" s="2" t="s">
        <v>203</v>
      </c>
      <c r="K3" s="2" t="s">
        <v>6</v>
      </c>
      <c r="L3" s="2" t="s">
        <v>204</v>
      </c>
    </row>
    <row r="4" spans="1:12" ht="15" thickBot="1" x14ac:dyDescent="0.4">
      <c r="A4" s="3" t="s">
        <v>14</v>
      </c>
      <c r="B4" s="3" t="s">
        <v>15</v>
      </c>
      <c r="C4" s="3" t="s">
        <v>16</v>
      </c>
      <c r="D4" s="3" t="s">
        <v>39</v>
      </c>
      <c r="E4" s="3" t="s">
        <v>205</v>
      </c>
      <c r="F4" s="3">
        <v>5</v>
      </c>
      <c r="G4" s="3">
        <v>6</v>
      </c>
      <c r="H4" s="3">
        <v>6</v>
      </c>
      <c r="I4" s="3">
        <v>17</v>
      </c>
      <c r="J4" s="3">
        <v>17</v>
      </c>
      <c r="K4" s="3" t="s">
        <v>206</v>
      </c>
      <c r="L4" s="3" t="s">
        <v>207</v>
      </c>
    </row>
    <row r="5" spans="1:12" ht="15" thickBot="1" x14ac:dyDescent="0.4">
      <c r="A5" s="3" t="s">
        <v>19</v>
      </c>
      <c r="B5" s="3" t="s">
        <v>20</v>
      </c>
      <c r="C5" s="3" t="s">
        <v>21</v>
      </c>
      <c r="D5" s="3" t="s">
        <v>38</v>
      </c>
      <c r="E5" s="3" t="s">
        <v>208</v>
      </c>
      <c r="F5" s="3">
        <v>6</v>
      </c>
      <c r="G5" s="3">
        <v>7</v>
      </c>
      <c r="H5" s="3">
        <v>9</v>
      </c>
      <c r="I5" s="3">
        <v>22</v>
      </c>
      <c r="J5" s="3">
        <v>10</v>
      </c>
      <c r="K5" s="3" t="s">
        <v>206</v>
      </c>
      <c r="L5" s="3" t="s">
        <v>207</v>
      </c>
    </row>
    <row r="6" spans="1:12" ht="15" thickBot="1" x14ac:dyDescent="0.4">
      <c r="A6" s="3" t="s">
        <v>24</v>
      </c>
      <c r="B6" s="3" t="s">
        <v>23</v>
      </c>
      <c r="C6" s="3" t="s">
        <v>22</v>
      </c>
      <c r="D6" s="3" t="s">
        <v>40</v>
      </c>
      <c r="E6" s="3" t="s">
        <v>205</v>
      </c>
      <c r="F6" s="3">
        <v>8</v>
      </c>
      <c r="G6" s="3">
        <v>6</v>
      </c>
      <c r="H6" s="3">
        <v>7</v>
      </c>
      <c r="I6" s="3">
        <v>21</v>
      </c>
      <c r="J6" s="3">
        <v>15</v>
      </c>
      <c r="K6" s="3" t="s">
        <v>206</v>
      </c>
      <c r="L6" s="3" t="s">
        <v>209</v>
      </c>
    </row>
    <row r="7" spans="1:12" ht="15" thickBot="1" x14ac:dyDescent="0.4">
      <c r="A7" s="3" t="s">
        <v>25</v>
      </c>
      <c r="B7" s="3" t="s">
        <v>26</v>
      </c>
      <c r="C7" s="3" t="s">
        <v>27</v>
      </c>
      <c r="D7" s="3" t="s">
        <v>5</v>
      </c>
      <c r="E7" s="3" t="s">
        <v>205</v>
      </c>
      <c r="F7" s="3">
        <v>9</v>
      </c>
      <c r="G7" s="3">
        <v>7</v>
      </c>
      <c r="H7" s="3">
        <v>8</v>
      </c>
      <c r="I7" s="3">
        <v>24</v>
      </c>
      <c r="J7" s="3">
        <v>13</v>
      </c>
      <c r="K7" s="3" t="s">
        <v>206</v>
      </c>
      <c r="L7" s="3" t="s">
        <v>209</v>
      </c>
    </row>
    <row r="8" spans="1:12" ht="15" thickBot="1" x14ac:dyDescent="0.4">
      <c r="A8" s="3" t="s">
        <v>30</v>
      </c>
      <c r="B8" s="3" t="s">
        <v>29</v>
      </c>
      <c r="C8" s="3" t="s">
        <v>28</v>
      </c>
      <c r="D8" s="3" t="s">
        <v>38</v>
      </c>
      <c r="E8" s="3" t="s">
        <v>208</v>
      </c>
      <c r="F8" s="3">
        <v>9</v>
      </c>
      <c r="G8" s="3">
        <v>9</v>
      </c>
      <c r="H8" s="3">
        <v>9</v>
      </c>
      <c r="I8" s="3">
        <v>27</v>
      </c>
      <c r="J8" s="3">
        <v>10</v>
      </c>
      <c r="K8" s="3" t="s">
        <v>206</v>
      </c>
      <c r="L8" s="3" t="s">
        <v>209</v>
      </c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" thickBot="1" x14ac:dyDescent="0.4">
      <c r="A10" s="1" t="s">
        <v>31</v>
      </c>
      <c r="B10" s="1"/>
      <c r="C10" s="1"/>
      <c r="D10" s="1"/>
      <c r="E10" s="1"/>
      <c r="F10" s="1"/>
      <c r="G10" s="1"/>
      <c r="H10" s="1" t="s">
        <v>41</v>
      </c>
      <c r="I10" s="1"/>
      <c r="J10" s="1"/>
      <c r="K10" s="1"/>
      <c r="L10" s="1"/>
    </row>
    <row r="11" spans="1:12" ht="15" thickBot="1" x14ac:dyDescent="0.4">
      <c r="A11" s="41" t="s">
        <v>32</v>
      </c>
      <c r="B11" s="41" t="s">
        <v>33</v>
      </c>
      <c r="C11" s="33" t="s">
        <v>43</v>
      </c>
      <c r="D11" s="33" t="s">
        <v>43</v>
      </c>
      <c r="E11" s="31"/>
      <c r="F11" s="1"/>
      <c r="G11" s="1"/>
      <c r="H11" s="2" t="s">
        <v>32</v>
      </c>
      <c r="I11" s="2" t="s">
        <v>34</v>
      </c>
      <c r="J11" s="2" t="s">
        <v>36</v>
      </c>
      <c r="K11" s="2" t="s">
        <v>35</v>
      </c>
      <c r="L11" s="2" t="s">
        <v>37</v>
      </c>
    </row>
    <row r="12" spans="1:12" ht="15" thickBot="1" x14ac:dyDescent="0.4">
      <c r="A12" s="41"/>
      <c r="B12" s="41"/>
      <c r="C12" s="21" t="s">
        <v>44</v>
      </c>
      <c r="D12" s="21" t="s">
        <v>45</v>
      </c>
      <c r="E12" s="32"/>
      <c r="F12" s="1"/>
      <c r="G12" s="1"/>
      <c r="H12" s="2" t="s">
        <v>42</v>
      </c>
      <c r="I12" s="3">
        <v>25</v>
      </c>
      <c r="J12" s="3">
        <v>23</v>
      </c>
      <c r="K12" s="3">
        <v>21</v>
      </c>
      <c r="L12" s="3">
        <v>19</v>
      </c>
    </row>
    <row r="13" spans="1:12" ht="15" thickBot="1" x14ac:dyDescent="0.4">
      <c r="A13" s="2" t="s">
        <v>34</v>
      </c>
      <c r="B13" s="3" t="s">
        <v>38</v>
      </c>
      <c r="C13" s="3">
        <v>19</v>
      </c>
      <c r="D13" s="3">
        <v>10</v>
      </c>
      <c r="E13" s="1"/>
      <c r="F13" s="1"/>
      <c r="G13" s="1"/>
      <c r="H13" s="1"/>
      <c r="I13" s="1"/>
      <c r="J13" s="1"/>
      <c r="K13" s="1"/>
      <c r="L13" s="1"/>
    </row>
    <row r="14" spans="1:12" ht="15" thickBot="1" x14ac:dyDescent="0.4">
      <c r="A14" s="2" t="s">
        <v>36</v>
      </c>
      <c r="B14" s="3" t="s">
        <v>39</v>
      </c>
      <c r="C14" s="3">
        <v>17</v>
      </c>
      <c r="D14" s="3">
        <v>18</v>
      </c>
      <c r="E14" s="1"/>
      <c r="F14" s="1"/>
      <c r="G14" s="1"/>
      <c r="H14" s="1"/>
      <c r="I14" s="1"/>
      <c r="J14" s="1"/>
      <c r="K14" s="1"/>
      <c r="L14" s="1"/>
    </row>
    <row r="15" spans="1:12" ht="15" thickBot="1" x14ac:dyDescent="0.4">
      <c r="A15" s="2" t="s">
        <v>35</v>
      </c>
      <c r="B15" s="3" t="s">
        <v>40</v>
      </c>
      <c r="C15" s="3">
        <v>15</v>
      </c>
      <c r="D15" s="3">
        <v>16</v>
      </c>
      <c r="E15" s="1"/>
      <c r="F15" s="1"/>
      <c r="G15" s="1"/>
      <c r="H15" s="1"/>
      <c r="I15" s="1"/>
      <c r="J15" s="1"/>
      <c r="K15" s="1"/>
      <c r="L15" s="1"/>
    </row>
    <row r="16" spans="1:12" ht="15" thickBot="1" x14ac:dyDescent="0.4">
      <c r="A16" s="2" t="s">
        <v>37</v>
      </c>
      <c r="B16" s="3" t="s">
        <v>5</v>
      </c>
      <c r="C16" s="3">
        <v>13</v>
      </c>
      <c r="D16" s="3">
        <v>14</v>
      </c>
      <c r="E16" s="1"/>
      <c r="F16" s="1"/>
      <c r="G16" s="1"/>
      <c r="H16" s="1"/>
      <c r="I16" s="1"/>
      <c r="J16" s="1"/>
      <c r="K16" s="1"/>
      <c r="L16" s="1"/>
    </row>
    <row r="17" spans="13:13" x14ac:dyDescent="0.35">
      <c r="M17" s="1"/>
    </row>
    <row r="18" spans="13:13" x14ac:dyDescent="0.35">
      <c r="M18" s="32"/>
    </row>
    <row r="19" spans="13:13" x14ac:dyDescent="0.35">
      <c r="M19" s="32"/>
    </row>
    <row r="20" spans="13:13" x14ac:dyDescent="0.35">
      <c r="M20" s="32"/>
    </row>
  </sheetData>
  <mergeCells count="3">
    <mergeCell ref="A1:L1"/>
    <mergeCell ref="A11:A12"/>
    <mergeCell ref="B11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1F7B-79EE-4F39-BB12-DD20DA3EA033}">
  <sheetPr filterMode="1"/>
  <dimension ref="A1:J19"/>
  <sheetViews>
    <sheetView workbookViewId="0">
      <selection activeCell="K20" sqref="K20"/>
    </sheetView>
  </sheetViews>
  <sheetFormatPr defaultRowHeight="14" x14ac:dyDescent="0.3"/>
  <cols>
    <col min="1" max="1" width="11" style="1" customWidth="1"/>
    <col min="2" max="2" width="5.08984375" style="1" bestFit="1" customWidth="1"/>
    <col min="3" max="3" width="10.36328125" style="1" bestFit="1" customWidth="1"/>
    <col min="4" max="4" width="14.1796875" style="1" bestFit="1" customWidth="1"/>
    <col min="5" max="5" width="15.26953125" style="1" customWidth="1"/>
    <col min="6" max="6" width="11.36328125" style="1" customWidth="1"/>
    <col min="7" max="7" width="12.08984375" style="1" bestFit="1" customWidth="1"/>
    <col min="8" max="8" width="16.90625" style="1" customWidth="1"/>
    <col min="9" max="9" width="11" style="1" bestFit="1" customWidth="1"/>
    <col min="10" max="10" width="14.81640625" style="1" bestFit="1" customWidth="1"/>
    <col min="11" max="16384" width="8.7265625" style="1"/>
  </cols>
  <sheetData>
    <row r="1" spans="1:10" x14ac:dyDescent="0.3">
      <c r="A1" s="46" t="s">
        <v>68</v>
      </c>
      <c r="B1" s="46"/>
      <c r="C1" s="46"/>
      <c r="D1" s="46"/>
      <c r="E1" s="46"/>
      <c r="F1" s="46"/>
    </row>
    <row r="2" spans="1:10" ht="14.5" thickBot="1" x14ac:dyDescent="0.35">
      <c r="F2" s="1" t="s">
        <v>31</v>
      </c>
      <c r="I2" s="1" t="s">
        <v>61</v>
      </c>
      <c r="J2" s="4">
        <v>14000</v>
      </c>
    </row>
    <row r="3" spans="1:10" ht="14.5" thickBot="1" x14ac:dyDescent="0.35">
      <c r="A3" s="2" t="s">
        <v>46</v>
      </c>
      <c r="B3" s="2" t="s">
        <v>47</v>
      </c>
      <c r="C3" s="2" t="s">
        <v>48</v>
      </c>
      <c r="D3" s="2" t="s">
        <v>49</v>
      </c>
      <c r="F3" s="42" t="s">
        <v>60</v>
      </c>
      <c r="G3" s="42"/>
      <c r="H3" s="42"/>
      <c r="I3" s="42"/>
      <c r="J3" s="4">
        <v>63000000000</v>
      </c>
    </row>
    <row r="4" spans="1:10" ht="14.5" thickBot="1" x14ac:dyDescent="0.35">
      <c r="A4" s="3" t="s">
        <v>51</v>
      </c>
      <c r="B4" s="3" t="s">
        <v>17</v>
      </c>
      <c r="C4" s="3">
        <v>850</v>
      </c>
      <c r="D4" s="3">
        <v>960</v>
      </c>
      <c r="F4" s="2" t="s">
        <v>57</v>
      </c>
      <c r="G4" s="2" t="s">
        <v>58</v>
      </c>
      <c r="H4" s="2" t="s">
        <v>59</v>
      </c>
    </row>
    <row r="5" spans="1:10" ht="14.5" thickBot="1" x14ac:dyDescent="0.35">
      <c r="A5" s="3" t="s">
        <v>56</v>
      </c>
      <c r="B5" s="3" t="s">
        <v>17</v>
      </c>
      <c r="C5" s="3">
        <v>750</v>
      </c>
      <c r="D5" s="3">
        <v>750</v>
      </c>
      <c r="F5" s="3" t="s">
        <v>62</v>
      </c>
      <c r="G5" s="5">
        <v>0.08</v>
      </c>
      <c r="H5" s="34">
        <f>G5*$J$3/$J$2</f>
        <v>360000</v>
      </c>
    </row>
    <row r="6" spans="1:10" ht="14.5" thickBot="1" x14ac:dyDescent="0.35">
      <c r="A6" s="3" t="s">
        <v>53</v>
      </c>
      <c r="B6" s="3" t="s">
        <v>17</v>
      </c>
      <c r="C6" s="3">
        <v>150</v>
      </c>
      <c r="D6" s="3">
        <v>165</v>
      </c>
      <c r="F6" s="3" t="s">
        <v>56</v>
      </c>
      <c r="G6" s="5">
        <v>0.22</v>
      </c>
      <c r="H6" s="34">
        <f>G6*$J$3/$J$2</f>
        <v>990000</v>
      </c>
    </row>
    <row r="7" spans="1:10" ht="14.5" thickBot="1" x14ac:dyDescent="0.35">
      <c r="A7" s="3" t="s">
        <v>50</v>
      </c>
      <c r="B7" s="3" t="s">
        <v>17</v>
      </c>
      <c r="C7" s="3">
        <v>250</v>
      </c>
      <c r="D7" s="3">
        <v>260</v>
      </c>
      <c r="F7" s="3" t="s">
        <v>63</v>
      </c>
      <c r="G7" s="5">
        <v>0.18</v>
      </c>
      <c r="H7" s="34">
        <f>G7*$J$3/$J$2</f>
        <v>810000</v>
      </c>
    </row>
    <row r="8" spans="1:10" ht="14.5" thickBot="1" x14ac:dyDescent="0.35">
      <c r="A8" s="3" t="s">
        <v>55</v>
      </c>
      <c r="B8" s="3" t="s">
        <v>17</v>
      </c>
      <c r="C8" s="3">
        <v>900</v>
      </c>
      <c r="D8" s="3">
        <v>920</v>
      </c>
      <c r="F8" s="3" t="s">
        <v>50</v>
      </c>
      <c r="G8" s="5">
        <v>0.43</v>
      </c>
      <c r="H8" s="34">
        <f>G8*$J$3/$J$2</f>
        <v>1935000</v>
      </c>
    </row>
    <row r="9" spans="1:10" ht="14.5" thickBot="1" x14ac:dyDescent="0.35">
      <c r="A9" s="3" t="s">
        <v>52</v>
      </c>
      <c r="B9" s="3" t="s">
        <v>17</v>
      </c>
      <c r="C9" s="3">
        <v>320</v>
      </c>
      <c r="D9" s="3">
        <v>300</v>
      </c>
      <c r="F9" s="3" t="s">
        <v>64</v>
      </c>
      <c r="G9" s="5">
        <v>0.09</v>
      </c>
      <c r="H9" s="34">
        <f>G9*$J$3/$J$2</f>
        <v>405000</v>
      </c>
    </row>
    <row r="10" spans="1:10" ht="14.5" thickBot="1" x14ac:dyDescent="0.35">
      <c r="A10" s="3" t="s">
        <v>54</v>
      </c>
      <c r="B10" s="3" t="s">
        <v>17</v>
      </c>
      <c r="C10" s="3">
        <v>15000</v>
      </c>
      <c r="D10" s="3">
        <v>15000</v>
      </c>
    </row>
    <row r="12" spans="1:10" ht="14.5" thickBot="1" x14ac:dyDescent="0.35">
      <c r="C12" s="43" t="s">
        <v>65</v>
      </c>
      <c r="D12" s="43"/>
    </row>
    <row r="13" spans="1:10" ht="42" customHeight="1" thickTop="1" thickBot="1" x14ac:dyDescent="0.35">
      <c r="E13" s="44" t="s">
        <v>66</v>
      </c>
      <c r="F13" s="45"/>
    </row>
    <row r="14" spans="1:10" ht="15" thickTop="1" thickBot="1" x14ac:dyDescent="0.35">
      <c r="C14" s="2" t="s">
        <v>57</v>
      </c>
      <c r="D14" s="2" t="s">
        <v>59</v>
      </c>
      <c r="E14" s="21" t="s">
        <v>48</v>
      </c>
      <c r="F14" s="21" t="s">
        <v>49</v>
      </c>
      <c r="G14" s="2" t="s">
        <v>67</v>
      </c>
    </row>
    <row r="15" spans="1:10" ht="14.5" thickBot="1" x14ac:dyDescent="0.35">
      <c r="C15" s="3" t="s">
        <v>62</v>
      </c>
      <c r="D15" s="34">
        <f>G5*$J$3/$J$2</f>
        <v>360000</v>
      </c>
      <c r="E15" s="3">
        <f>INT(D15/C4)</f>
        <v>423</v>
      </c>
      <c r="F15" s="3">
        <f xml:space="preserve"> INT(D15/D4)</f>
        <v>375</v>
      </c>
      <c r="G15" s="3">
        <f>E15-F15</f>
        <v>48</v>
      </c>
    </row>
    <row r="16" spans="1:10" ht="14.5" hidden="1" thickBot="1" x14ac:dyDescent="0.35">
      <c r="C16" s="3" t="s">
        <v>56</v>
      </c>
      <c r="D16" s="34">
        <f>G6*$J$3/$J$2</f>
        <v>990000</v>
      </c>
      <c r="E16" s="3">
        <f t="shared" ref="E16:E19" si="0">INT(D16/C5)</f>
        <v>1320</v>
      </c>
      <c r="F16" s="3">
        <f t="shared" ref="F16:F19" si="1" xml:space="preserve"> INT(D16/D5)</f>
        <v>1320</v>
      </c>
      <c r="G16" s="3">
        <f t="shared" ref="G16:G19" si="2">E16-F16</f>
        <v>0</v>
      </c>
    </row>
    <row r="17" spans="3:7" ht="14.5" thickBot="1" x14ac:dyDescent="0.35">
      <c r="C17" s="3" t="s">
        <v>63</v>
      </c>
      <c r="D17" s="34">
        <f>G7*$J$3/$J$2</f>
        <v>810000</v>
      </c>
      <c r="E17" s="3">
        <f t="shared" si="0"/>
        <v>5400</v>
      </c>
      <c r="F17" s="3">
        <f t="shared" si="1"/>
        <v>4909</v>
      </c>
      <c r="G17" s="3">
        <f t="shared" si="2"/>
        <v>491</v>
      </c>
    </row>
    <row r="18" spans="3:7" ht="14.5" thickBot="1" x14ac:dyDescent="0.35">
      <c r="C18" s="3" t="s">
        <v>50</v>
      </c>
      <c r="D18" s="34">
        <f>G8*$J$3/$J$2</f>
        <v>1935000</v>
      </c>
      <c r="E18" s="3">
        <f t="shared" si="0"/>
        <v>7740</v>
      </c>
      <c r="F18" s="3">
        <f t="shared" si="1"/>
        <v>7442</v>
      </c>
      <c r="G18" s="3">
        <f t="shared" si="2"/>
        <v>298</v>
      </c>
    </row>
    <row r="19" spans="3:7" ht="14.5" thickBot="1" x14ac:dyDescent="0.35">
      <c r="C19" s="3" t="s">
        <v>64</v>
      </c>
      <c r="D19" s="34">
        <f>G9*$J$3/$J$2</f>
        <v>405000</v>
      </c>
      <c r="E19" s="3">
        <f t="shared" si="0"/>
        <v>450</v>
      </c>
      <c r="F19" s="3">
        <f t="shared" si="1"/>
        <v>440</v>
      </c>
      <c r="G19" s="3">
        <f t="shared" si="2"/>
        <v>10</v>
      </c>
    </row>
  </sheetData>
  <autoFilter ref="C14:G19" xr:uid="{42E61F7B-79EE-4F39-BB12-DD20DA3EA033}">
    <filterColumn colId="4">
      <customFilters>
        <customFilter operator="greaterThan" val="0"/>
      </customFilters>
    </filterColumn>
  </autoFilter>
  <sortState xmlns:xlrd2="http://schemas.microsoft.com/office/spreadsheetml/2017/richdata2" ref="C15:G19">
    <sortCondition ref="C15:C19"/>
  </sortState>
  <mergeCells count="4">
    <mergeCell ref="F3:I3"/>
    <mergeCell ref="C12:D12"/>
    <mergeCell ref="E13:F13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529B-F586-4AF6-96A7-F37A57C8AF8F}">
  <dimension ref="A1:N27"/>
  <sheetViews>
    <sheetView workbookViewId="0">
      <selection activeCell="O17" sqref="O17"/>
    </sheetView>
  </sheetViews>
  <sheetFormatPr defaultRowHeight="14" x14ac:dyDescent="0.3"/>
  <cols>
    <col min="1" max="1" width="8.7265625" style="1"/>
    <col min="2" max="2" width="9.54296875" style="1" bestFit="1" customWidth="1"/>
    <col min="3" max="3" width="11.7265625" style="1" bestFit="1" customWidth="1"/>
    <col min="4" max="5" width="8.7265625" style="1"/>
    <col min="6" max="6" width="8.90625" style="1" customWidth="1"/>
    <col min="7" max="7" width="11.7265625" style="1" bestFit="1" customWidth="1"/>
    <col min="8" max="13" width="8.7265625" style="1"/>
    <col min="14" max="14" width="9.7265625" style="1" customWidth="1"/>
    <col min="15" max="16384" width="8.7265625" style="1"/>
  </cols>
  <sheetData>
    <row r="1" spans="1:14" ht="16" thickBot="1" x14ac:dyDescent="0.4">
      <c r="A1" s="47" t="s">
        <v>116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28.5" thickBot="1" x14ac:dyDescent="0.35">
      <c r="A2" s="6" t="s">
        <v>69</v>
      </c>
      <c r="B2" s="6" t="s">
        <v>70</v>
      </c>
      <c r="C2" s="6" t="s">
        <v>71</v>
      </c>
      <c r="D2" s="6" t="s">
        <v>72</v>
      </c>
      <c r="E2" s="6" t="s">
        <v>73</v>
      </c>
      <c r="F2" s="7" t="s">
        <v>77</v>
      </c>
      <c r="G2" s="6" t="s">
        <v>74</v>
      </c>
      <c r="H2" s="6" t="s">
        <v>75</v>
      </c>
      <c r="I2" s="6" t="s">
        <v>76</v>
      </c>
      <c r="J2" s="6" t="s">
        <v>78</v>
      </c>
      <c r="K2" s="6" t="s">
        <v>79</v>
      </c>
      <c r="L2" s="7" t="s">
        <v>80</v>
      </c>
      <c r="M2" s="7" t="s">
        <v>81</v>
      </c>
      <c r="N2" s="6" t="s">
        <v>82</v>
      </c>
    </row>
    <row r="3" spans="1:14" ht="14.5" thickBot="1" x14ac:dyDescent="0.35">
      <c r="A3" s="3">
        <v>2</v>
      </c>
      <c r="B3" s="3" t="s">
        <v>84</v>
      </c>
      <c r="C3" s="3" t="s">
        <v>92</v>
      </c>
      <c r="D3" s="3" t="s">
        <v>99</v>
      </c>
      <c r="E3" s="3">
        <v>50</v>
      </c>
      <c r="F3" s="3" t="s">
        <v>103</v>
      </c>
      <c r="G3" s="3" t="str">
        <f t="shared" ref="G3:G17" si="0">VLOOKUP(F3,$B$19:$C$27,2,0)</f>
        <v>TG</v>
      </c>
      <c r="H3" s="9">
        <v>60</v>
      </c>
      <c r="I3" s="3">
        <f t="shared" ref="I3:I17" si="1">IF(E3&lt;=80,1,IF(E3&lt;=200,1.2,1.5))</f>
        <v>1</v>
      </c>
      <c r="J3" s="3">
        <f t="shared" ref="J3:J17" si="2">IF(LEFT(D3,1)="D",1.5,1)</f>
        <v>1</v>
      </c>
      <c r="K3" s="3">
        <f t="shared" ref="K3:K17" si="3">IF(MID(D3,2,1)="X",1.4,1)</f>
        <v>1</v>
      </c>
      <c r="L3" s="3">
        <f t="shared" ref="L3:L17" si="4">IF(RIGHT(D3,1)="C",1.5,1)</f>
        <v>1</v>
      </c>
      <c r="M3" s="3">
        <f t="shared" ref="M3:M17" si="5">H3*(SUM(I3:L3)-3)</f>
        <v>60</v>
      </c>
      <c r="N3" s="3">
        <f t="shared" ref="N3:N17" si="6">M3*VLOOKUP(G3,$G$19:$H$23,2,0)</f>
        <v>1080000</v>
      </c>
    </row>
    <row r="4" spans="1:14" ht="14.5" thickBot="1" x14ac:dyDescent="0.35">
      <c r="A4" s="3">
        <v>1</v>
      </c>
      <c r="B4" s="3" t="s">
        <v>83</v>
      </c>
      <c r="C4" s="3" t="s">
        <v>91</v>
      </c>
      <c r="D4" s="3" t="s">
        <v>98</v>
      </c>
      <c r="E4" s="3">
        <v>120</v>
      </c>
      <c r="F4" s="3" t="s">
        <v>103</v>
      </c>
      <c r="G4" s="3" t="str">
        <f t="shared" si="0"/>
        <v>TG</v>
      </c>
      <c r="H4" s="9">
        <v>60</v>
      </c>
      <c r="I4" s="3">
        <f t="shared" si="1"/>
        <v>1.2</v>
      </c>
      <c r="J4" s="3">
        <f t="shared" si="2"/>
        <v>1.5</v>
      </c>
      <c r="K4" s="3">
        <f t="shared" si="3"/>
        <v>1</v>
      </c>
      <c r="L4" s="3">
        <f t="shared" si="4"/>
        <v>1</v>
      </c>
      <c r="M4" s="3">
        <f t="shared" si="5"/>
        <v>102.00000000000001</v>
      </c>
      <c r="N4" s="3">
        <f t="shared" si="6"/>
        <v>1836000.0000000002</v>
      </c>
    </row>
    <row r="5" spans="1:14" ht="14.5" thickBot="1" x14ac:dyDescent="0.35">
      <c r="A5" s="3">
        <v>5</v>
      </c>
      <c r="B5" s="3" t="s">
        <v>85</v>
      </c>
      <c r="C5" s="3" t="s">
        <v>94</v>
      </c>
      <c r="D5" s="3" t="s">
        <v>99</v>
      </c>
      <c r="E5" s="3">
        <v>30</v>
      </c>
      <c r="F5" s="3" t="s">
        <v>106</v>
      </c>
      <c r="G5" s="3" t="str">
        <f t="shared" si="0"/>
        <v>PTS</v>
      </c>
      <c r="H5" s="9">
        <v>90</v>
      </c>
      <c r="I5" s="3">
        <f t="shared" si="1"/>
        <v>1</v>
      </c>
      <c r="J5" s="3">
        <f t="shared" si="2"/>
        <v>1</v>
      </c>
      <c r="K5" s="3">
        <f t="shared" si="3"/>
        <v>1</v>
      </c>
      <c r="L5" s="3">
        <f t="shared" si="4"/>
        <v>1</v>
      </c>
      <c r="M5" s="3">
        <f t="shared" si="5"/>
        <v>90</v>
      </c>
      <c r="N5" s="3">
        <f t="shared" si="6"/>
        <v>2700000</v>
      </c>
    </row>
    <row r="6" spans="1:14" ht="14.5" thickBot="1" x14ac:dyDescent="0.35">
      <c r="A6" s="3">
        <v>14</v>
      </c>
      <c r="B6" s="3" t="s">
        <v>90</v>
      </c>
      <c r="C6" s="3" t="s">
        <v>96</v>
      </c>
      <c r="D6" s="3" t="s">
        <v>101</v>
      </c>
      <c r="E6" s="3">
        <v>82</v>
      </c>
      <c r="F6" s="3" t="s">
        <v>106</v>
      </c>
      <c r="G6" s="3" t="str">
        <f t="shared" si="0"/>
        <v>PTS</v>
      </c>
      <c r="H6" s="9">
        <v>60</v>
      </c>
      <c r="I6" s="3">
        <f t="shared" si="1"/>
        <v>1.2</v>
      </c>
      <c r="J6" s="3">
        <f t="shared" si="2"/>
        <v>1</v>
      </c>
      <c r="K6" s="3">
        <f t="shared" si="3"/>
        <v>1.4</v>
      </c>
      <c r="L6" s="3">
        <f t="shared" si="4"/>
        <v>1.5</v>
      </c>
      <c r="M6" s="3">
        <f t="shared" si="5"/>
        <v>125.99999999999997</v>
      </c>
      <c r="N6" s="3">
        <f t="shared" si="6"/>
        <v>3779999.9999999991</v>
      </c>
    </row>
    <row r="7" spans="1:14" ht="14.5" thickBot="1" x14ac:dyDescent="0.35">
      <c r="A7" s="3">
        <v>4</v>
      </c>
      <c r="B7" s="3" t="s">
        <v>83</v>
      </c>
      <c r="C7" s="3" t="s">
        <v>93</v>
      </c>
      <c r="D7" s="3" t="s">
        <v>100</v>
      </c>
      <c r="E7" s="3">
        <v>125</v>
      </c>
      <c r="F7" s="3" t="s">
        <v>105</v>
      </c>
      <c r="G7" s="3" t="str">
        <f t="shared" si="0"/>
        <v>GVC</v>
      </c>
      <c r="H7" s="9">
        <v>60</v>
      </c>
      <c r="I7" s="3">
        <f t="shared" si="1"/>
        <v>1.2</v>
      </c>
      <c r="J7" s="3">
        <f t="shared" si="2"/>
        <v>1</v>
      </c>
      <c r="K7" s="3">
        <f t="shared" si="3"/>
        <v>1.4</v>
      </c>
      <c r="L7" s="3">
        <f t="shared" si="4"/>
        <v>1</v>
      </c>
      <c r="M7" s="3">
        <f t="shared" si="5"/>
        <v>95.999999999999972</v>
      </c>
      <c r="N7" s="3">
        <f t="shared" si="6"/>
        <v>2495999.9999999991</v>
      </c>
    </row>
    <row r="8" spans="1:14" ht="14.5" thickBot="1" x14ac:dyDescent="0.35">
      <c r="A8" s="3">
        <v>12</v>
      </c>
      <c r="B8" s="3" t="s">
        <v>89</v>
      </c>
      <c r="C8" s="3" t="s">
        <v>94</v>
      </c>
      <c r="D8" s="3" t="s">
        <v>99</v>
      </c>
      <c r="E8" s="3">
        <v>30</v>
      </c>
      <c r="F8" s="3" t="s">
        <v>110</v>
      </c>
      <c r="G8" s="3" t="str">
        <f t="shared" si="0"/>
        <v>GV</v>
      </c>
      <c r="H8" s="9">
        <v>75</v>
      </c>
      <c r="I8" s="3">
        <f t="shared" si="1"/>
        <v>1</v>
      </c>
      <c r="J8" s="3">
        <f t="shared" si="2"/>
        <v>1</v>
      </c>
      <c r="K8" s="3">
        <f t="shared" si="3"/>
        <v>1</v>
      </c>
      <c r="L8" s="3">
        <f t="shared" si="4"/>
        <v>1</v>
      </c>
      <c r="M8" s="3">
        <f t="shared" si="5"/>
        <v>75</v>
      </c>
      <c r="N8" s="3">
        <f t="shared" si="6"/>
        <v>1650000</v>
      </c>
    </row>
    <row r="9" spans="1:14" ht="14.5" thickBot="1" x14ac:dyDescent="0.35">
      <c r="A9" s="3">
        <v>13</v>
      </c>
      <c r="B9" s="3" t="s">
        <v>84</v>
      </c>
      <c r="C9" s="3" t="s">
        <v>94</v>
      </c>
      <c r="D9" s="3" t="s">
        <v>99</v>
      </c>
      <c r="E9" s="3">
        <v>30</v>
      </c>
      <c r="F9" s="3" t="s">
        <v>110</v>
      </c>
      <c r="G9" s="3" t="str">
        <f t="shared" si="0"/>
        <v>GV</v>
      </c>
      <c r="H9" s="9">
        <v>75</v>
      </c>
      <c r="I9" s="3">
        <f t="shared" si="1"/>
        <v>1</v>
      </c>
      <c r="J9" s="3">
        <f t="shared" si="2"/>
        <v>1</v>
      </c>
      <c r="K9" s="3">
        <f t="shared" si="3"/>
        <v>1</v>
      </c>
      <c r="L9" s="3">
        <f t="shared" si="4"/>
        <v>1</v>
      </c>
      <c r="M9" s="3">
        <f t="shared" si="5"/>
        <v>75</v>
      </c>
      <c r="N9" s="3">
        <f t="shared" si="6"/>
        <v>1650000</v>
      </c>
    </row>
    <row r="10" spans="1:14" ht="14.5" thickBot="1" x14ac:dyDescent="0.35">
      <c r="A10" s="3">
        <v>6</v>
      </c>
      <c r="B10" s="3" t="s">
        <v>86</v>
      </c>
      <c r="C10" s="3" t="s">
        <v>94</v>
      </c>
      <c r="D10" s="3" t="s">
        <v>99</v>
      </c>
      <c r="E10" s="3">
        <v>30</v>
      </c>
      <c r="F10" s="3" t="s">
        <v>107</v>
      </c>
      <c r="G10" s="3" t="str">
        <f t="shared" si="0"/>
        <v>TG</v>
      </c>
      <c r="H10" s="9">
        <v>30</v>
      </c>
      <c r="I10" s="3">
        <f t="shared" si="1"/>
        <v>1</v>
      </c>
      <c r="J10" s="3">
        <f t="shared" si="2"/>
        <v>1</v>
      </c>
      <c r="K10" s="3">
        <f t="shared" si="3"/>
        <v>1</v>
      </c>
      <c r="L10" s="3">
        <f t="shared" si="4"/>
        <v>1</v>
      </c>
      <c r="M10" s="3">
        <f t="shared" si="5"/>
        <v>30</v>
      </c>
      <c r="N10" s="3">
        <f t="shared" si="6"/>
        <v>540000</v>
      </c>
    </row>
    <row r="11" spans="1:14" ht="14.5" thickBot="1" x14ac:dyDescent="0.35">
      <c r="A11" s="3">
        <v>9</v>
      </c>
      <c r="B11" s="3" t="s">
        <v>84</v>
      </c>
      <c r="C11" s="3" t="s">
        <v>95</v>
      </c>
      <c r="D11" s="3" t="s">
        <v>99</v>
      </c>
      <c r="E11" s="3">
        <v>60</v>
      </c>
      <c r="F11" s="3" t="s">
        <v>108</v>
      </c>
      <c r="G11" s="3" t="str">
        <f t="shared" si="0"/>
        <v>GV</v>
      </c>
      <c r="H11" s="9">
        <v>45</v>
      </c>
      <c r="I11" s="3">
        <f t="shared" si="1"/>
        <v>1</v>
      </c>
      <c r="J11" s="3">
        <f t="shared" si="2"/>
        <v>1</v>
      </c>
      <c r="K11" s="3">
        <f t="shared" si="3"/>
        <v>1</v>
      </c>
      <c r="L11" s="3">
        <f t="shared" si="4"/>
        <v>1</v>
      </c>
      <c r="M11" s="3">
        <f t="shared" si="5"/>
        <v>45</v>
      </c>
      <c r="N11" s="3">
        <f t="shared" si="6"/>
        <v>990000</v>
      </c>
    </row>
    <row r="12" spans="1:14" ht="14.5" thickBot="1" x14ac:dyDescent="0.35">
      <c r="A12" s="3">
        <v>15</v>
      </c>
      <c r="B12" s="3" t="s">
        <v>84</v>
      </c>
      <c r="C12" s="3" t="s">
        <v>97</v>
      </c>
      <c r="D12" s="3" t="s">
        <v>102</v>
      </c>
      <c r="E12" s="3">
        <v>160</v>
      </c>
      <c r="F12" s="3" t="s">
        <v>108</v>
      </c>
      <c r="G12" s="3" t="str">
        <f t="shared" si="0"/>
        <v>GV</v>
      </c>
      <c r="H12" s="9">
        <v>45</v>
      </c>
      <c r="I12" s="3">
        <f t="shared" si="1"/>
        <v>1.2</v>
      </c>
      <c r="J12" s="3">
        <f t="shared" si="2"/>
        <v>1</v>
      </c>
      <c r="K12" s="3">
        <f t="shared" si="3"/>
        <v>1</v>
      </c>
      <c r="L12" s="3">
        <f t="shared" si="4"/>
        <v>1.5</v>
      </c>
      <c r="M12" s="3">
        <f t="shared" si="5"/>
        <v>76.500000000000014</v>
      </c>
      <c r="N12" s="3">
        <f t="shared" si="6"/>
        <v>1683000.0000000002</v>
      </c>
    </row>
    <row r="13" spans="1:14" ht="14.5" thickBot="1" x14ac:dyDescent="0.35">
      <c r="A13" s="3">
        <v>8</v>
      </c>
      <c r="B13" s="3" t="s">
        <v>83</v>
      </c>
      <c r="C13" s="3" t="s">
        <v>91</v>
      </c>
      <c r="D13" s="3" t="s">
        <v>98</v>
      </c>
      <c r="E13" s="3">
        <v>89</v>
      </c>
      <c r="F13" s="3" t="s">
        <v>108</v>
      </c>
      <c r="G13" s="3" t="str">
        <f t="shared" si="0"/>
        <v>GV</v>
      </c>
      <c r="H13" s="9">
        <v>60</v>
      </c>
      <c r="I13" s="3">
        <f t="shared" si="1"/>
        <v>1.2</v>
      </c>
      <c r="J13" s="3">
        <f t="shared" si="2"/>
        <v>1.5</v>
      </c>
      <c r="K13" s="3">
        <f t="shared" si="3"/>
        <v>1</v>
      </c>
      <c r="L13" s="3">
        <f t="shared" si="4"/>
        <v>1</v>
      </c>
      <c r="M13" s="3">
        <f t="shared" si="5"/>
        <v>102.00000000000001</v>
      </c>
      <c r="N13" s="3">
        <f t="shared" si="6"/>
        <v>2244000.0000000005</v>
      </c>
    </row>
    <row r="14" spans="1:14" ht="14.5" thickBot="1" x14ac:dyDescent="0.35">
      <c r="A14" s="3">
        <v>10</v>
      </c>
      <c r="B14" s="3" t="s">
        <v>83</v>
      </c>
      <c r="C14" s="3" t="s">
        <v>93</v>
      </c>
      <c r="D14" s="3" t="s">
        <v>99</v>
      </c>
      <c r="E14" s="3">
        <v>126</v>
      </c>
      <c r="F14" s="3" t="s">
        <v>109</v>
      </c>
      <c r="G14" s="3" t="str">
        <f t="shared" si="0"/>
        <v>TG</v>
      </c>
      <c r="H14" s="9">
        <v>60</v>
      </c>
      <c r="I14" s="3">
        <f t="shared" si="1"/>
        <v>1.2</v>
      </c>
      <c r="J14" s="3">
        <f t="shared" si="2"/>
        <v>1</v>
      </c>
      <c r="K14" s="3">
        <f t="shared" si="3"/>
        <v>1</v>
      </c>
      <c r="L14" s="3">
        <f t="shared" si="4"/>
        <v>1</v>
      </c>
      <c r="M14" s="3">
        <f t="shared" si="5"/>
        <v>72.000000000000014</v>
      </c>
      <c r="N14" s="3">
        <f t="shared" si="6"/>
        <v>1296000.0000000002</v>
      </c>
    </row>
    <row r="15" spans="1:14" ht="14.5" thickBot="1" x14ac:dyDescent="0.35">
      <c r="A15" s="3">
        <v>11</v>
      </c>
      <c r="B15" s="3" t="s">
        <v>88</v>
      </c>
      <c r="C15" s="3" t="s">
        <v>94</v>
      </c>
      <c r="D15" s="3" t="s">
        <v>99</v>
      </c>
      <c r="E15" s="3">
        <v>30</v>
      </c>
      <c r="F15" s="3" t="s">
        <v>109</v>
      </c>
      <c r="G15" s="3" t="str">
        <f t="shared" si="0"/>
        <v>TG</v>
      </c>
      <c r="H15" s="9">
        <v>90</v>
      </c>
      <c r="I15" s="3">
        <f t="shared" si="1"/>
        <v>1</v>
      </c>
      <c r="J15" s="3">
        <f t="shared" si="2"/>
        <v>1</v>
      </c>
      <c r="K15" s="3">
        <f t="shared" si="3"/>
        <v>1</v>
      </c>
      <c r="L15" s="3">
        <f t="shared" si="4"/>
        <v>1</v>
      </c>
      <c r="M15" s="3">
        <f t="shared" si="5"/>
        <v>90</v>
      </c>
      <c r="N15" s="3">
        <f t="shared" si="6"/>
        <v>1620000</v>
      </c>
    </row>
    <row r="16" spans="1:14" ht="14.5" thickBot="1" x14ac:dyDescent="0.35">
      <c r="A16" s="3">
        <v>7</v>
      </c>
      <c r="B16" s="3" t="s">
        <v>87</v>
      </c>
      <c r="C16" s="3" t="s">
        <v>94</v>
      </c>
      <c r="D16" s="3" t="s">
        <v>99</v>
      </c>
      <c r="E16" s="3">
        <v>30</v>
      </c>
      <c r="F16" s="3" t="s">
        <v>104</v>
      </c>
      <c r="G16" s="3" t="str">
        <f t="shared" si="0"/>
        <v>TG</v>
      </c>
      <c r="H16" s="9">
        <v>45</v>
      </c>
      <c r="I16" s="3">
        <f t="shared" si="1"/>
        <v>1</v>
      </c>
      <c r="J16" s="3">
        <f t="shared" si="2"/>
        <v>1</v>
      </c>
      <c r="K16" s="3">
        <f t="shared" si="3"/>
        <v>1</v>
      </c>
      <c r="L16" s="3">
        <f t="shared" si="4"/>
        <v>1</v>
      </c>
      <c r="M16" s="3">
        <f t="shared" si="5"/>
        <v>45</v>
      </c>
      <c r="N16" s="3">
        <f t="shared" si="6"/>
        <v>810000</v>
      </c>
    </row>
    <row r="17" spans="1:14" ht="14.5" thickBot="1" x14ac:dyDescent="0.35">
      <c r="A17" s="3">
        <v>3</v>
      </c>
      <c r="B17" s="3" t="s">
        <v>83</v>
      </c>
      <c r="C17" s="3" t="s">
        <v>91</v>
      </c>
      <c r="D17" s="3" t="s">
        <v>98</v>
      </c>
      <c r="E17" s="3">
        <v>145</v>
      </c>
      <c r="F17" s="3" t="s">
        <v>104</v>
      </c>
      <c r="G17" s="3" t="str">
        <f t="shared" si="0"/>
        <v>TG</v>
      </c>
      <c r="H17" s="9">
        <v>60</v>
      </c>
      <c r="I17" s="3">
        <f t="shared" si="1"/>
        <v>1.2</v>
      </c>
      <c r="J17" s="3">
        <f t="shared" si="2"/>
        <v>1.5</v>
      </c>
      <c r="K17" s="3">
        <f t="shared" si="3"/>
        <v>1</v>
      </c>
      <c r="L17" s="3">
        <f t="shared" si="4"/>
        <v>1</v>
      </c>
      <c r="M17" s="3">
        <f t="shared" si="5"/>
        <v>102.00000000000001</v>
      </c>
      <c r="N17" s="3">
        <f t="shared" si="6"/>
        <v>1836000.0000000002</v>
      </c>
    </row>
    <row r="18" spans="1:14" ht="14.5" thickBot="1" x14ac:dyDescent="0.35"/>
    <row r="19" spans="1:14" ht="14.5" thickBot="1" x14ac:dyDescent="0.35">
      <c r="B19" s="8" t="s">
        <v>2</v>
      </c>
      <c r="C19" s="8" t="s">
        <v>74</v>
      </c>
      <c r="G19" s="8" t="s">
        <v>74</v>
      </c>
      <c r="H19" s="8" t="s">
        <v>111</v>
      </c>
    </row>
    <row r="20" spans="1:14" ht="14.5" thickBot="1" x14ac:dyDescent="0.35">
      <c r="B20" s="3" t="s">
        <v>103</v>
      </c>
      <c r="C20" s="3" t="s">
        <v>115</v>
      </c>
      <c r="G20" s="3" t="s">
        <v>112</v>
      </c>
      <c r="H20" s="3">
        <v>22000</v>
      </c>
    </row>
    <row r="21" spans="1:14" ht="14.5" thickBot="1" x14ac:dyDescent="0.35">
      <c r="B21" s="3" t="s">
        <v>106</v>
      </c>
      <c r="C21" s="3" t="s">
        <v>114</v>
      </c>
      <c r="G21" s="3" t="s">
        <v>113</v>
      </c>
      <c r="H21" s="3">
        <v>26000</v>
      </c>
    </row>
    <row r="22" spans="1:14" ht="14.5" thickBot="1" x14ac:dyDescent="0.35">
      <c r="B22" s="3" t="s">
        <v>105</v>
      </c>
      <c r="C22" s="3" t="s">
        <v>113</v>
      </c>
      <c r="G22" s="3" t="s">
        <v>114</v>
      </c>
      <c r="H22" s="3">
        <v>30000</v>
      </c>
    </row>
    <row r="23" spans="1:14" ht="14.5" thickBot="1" x14ac:dyDescent="0.35">
      <c r="B23" s="3" t="s">
        <v>110</v>
      </c>
      <c r="C23" s="3" t="s">
        <v>112</v>
      </c>
      <c r="G23" s="3" t="s">
        <v>115</v>
      </c>
      <c r="H23" s="3">
        <v>18000</v>
      </c>
    </row>
    <row r="24" spans="1:14" ht="14.5" thickBot="1" x14ac:dyDescent="0.35">
      <c r="B24" s="3" t="s">
        <v>107</v>
      </c>
      <c r="C24" s="3" t="s">
        <v>115</v>
      </c>
    </row>
    <row r="25" spans="1:14" ht="14.5" thickBot="1" x14ac:dyDescent="0.35">
      <c r="B25" s="3" t="s">
        <v>108</v>
      </c>
      <c r="C25" s="3" t="s">
        <v>112</v>
      </c>
    </row>
    <row r="26" spans="1:14" ht="14.5" thickBot="1" x14ac:dyDescent="0.35">
      <c r="B26" s="3" t="s">
        <v>109</v>
      </c>
      <c r="C26" s="3" t="s">
        <v>115</v>
      </c>
    </row>
    <row r="27" spans="1:14" ht="14.5" thickBot="1" x14ac:dyDescent="0.35">
      <c r="B27" s="3" t="s">
        <v>104</v>
      </c>
      <c r="C27" s="3" t="s">
        <v>115</v>
      </c>
    </row>
  </sheetData>
  <sortState xmlns:xlrd2="http://schemas.microsoft.com/office/spreadsheetml/2017/richdata2" ref="A3:N17">
    <sortCondition ref="F3:F17"/>
    <sortCondition ref="M3:M17"/>
  </sortState>
  <mergeCells count="1">
    <mergeCell ref="A1:N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B01A-EC31-4F8D-BB29-DF62D49A2619}">
  <dimension ref="A1:L22"/>
  <sheetViews>
    <sheetView topLeftCell="A2" workbookViewId="0">
      <selection activeCell="F19" sqref="F19"/>
    </sheetView>
  </sheetViews>
  <sheetFormatPr defaultRowHeight="14" x14ac:dyDescent="0.3"/>
  <cols>
    <col min="1" max="1" width="8.7265625" style="1"/>
    <col min="2" max="2" width="18.1796875" style="1" bestFit="1" customWidth="1"/>
    <col min="3" max="3" width="8.7265625" style="1"/>
    <col min="4" max="4" width="10.453125" style="1" bestFit="1" customWidth="1"/>
    <col min="5" max="5" width="9" style="1" bestFit="1" customWidth="1"/>
    <col min="6" max="6" width="9.81640625" style="1" bestFit="1" customWidth="1"/>
    <col min="7" max="7" width="8.7265625" style="1"/>
    <col min="8" max="8" width="9.54296875" style="1" bestFit="1" customWidth="1"/>
    <col min="9" max="9" width="9.54296875" style="1" customWidth="1"/>
    <col min="10" max="16384" width="8.7265625" style="1"/>
  </cols>
  <sheetData>
    <row r="1" spans="1:12" ht="15.5" customHeight="1" x14ac:dyDescent="0.3">
      <c r="A1" s="48" t="s">
        <v>138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7.5" customHeight="1" x14ac:dyDescent="0.3">
      <c r="A2" s="48" t="s">
        <v>139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4.5" customHeight="1" x14ac:dyDescent="0.3">
      <c r="A3" s="49" t="s">
        <v>138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14.5" thickBot="1" x14ac:dyDescent="0.35"/>
    <row r="5" spans="1:12" ht="15" thickTop="1" thickBot="1" x14ac:dyDescent="0.35">
      <c r="A5" s="11" t="s">
        <v>69</v>
      </c>
      <c r="B5" s="10" t="s">
        <v>117</v>
      </c>
      <c r="C5" s="10" t="s">
        <v>118</v>
      </c>
      <c r="D5" s="11" t="s">
        <v>119</v>
      </c>
      <c r="E5" s="11" t="s">
        <v>120</v>
      </c>
      <c r="F5" s="11" t="s">
        <v>121</v>
      </c>
      <c r="G5" s="11" t="s">
        <v>122</v>
      </c>
      <c r="H5" s="11" t="s">
        <v>137</v>
      </c>
      <c r="I5" s="11" t="s">
        <v>123</v>
      </c>
      <c r="J5" s="11" t="s">
        <v>124</v>
      </c>
      <c r="K5" s="11" t="s">
        <v>125</v>
      </c>
    </row>
    <row r="6" spans="1:12" ht="14.5" thickTop="1" x14ac:dyDescent="0.3">
      <c r="A6" s="20">
        <v>1</v>
      </c>
      <c r="B6" s="18" t="s">
        <v>126</v>
      </c>
      <c r="C6" s="18" t="s">
        <v>34</v>
      </c>
      <c r="D6" s="16">
        <f t="shared" ref="D6:D15" si="0">VLOOKUP(C6,$C$18:$D$21,2,0)</f>
        <v>100</v>
      </c>
      <c r="E6" s="16">
        <v>1200</v>
      </c>
      <c r="F6" s="16">
        <v>1645</v>
      </c>
      <c r="G6" s="16">
        <f t="shared" ref="G6:G15" si="1">F6-E6</f>
        <v>445</v>
      </c>
      <c r="H6" s="16">
        <f t="shared" ref="H6:H15" si="2">VLOOKUP(C6,$C$18:$E$21,3,0)</f>
        <v>1000</v>
      </c>
      <c r="I6" s="16">
        <f t="shared" ref="I6:I15" si="3">IF(G6&gt;D6,D6*H6,G6*H6)</f>
        <v>100000</v>
      </c>
      <c r="J6" s="16">
        <f t="shared" ref="J6:J15" si="4">IF(G6&gt;D6,(G6-D6)*2*H6,"")</f>
        <v>690000</v>
      </c>
      <c r="K6" s="16">
        <f t="shared" ref="K6:K15" si="5">SUM(I6:J6)</f>
        <v>790000</v>
      </c>
    </row>
    <row r="7" spans="1:12" x14ac:dyDescent="0.3">
      <c r="A7" s="16">
        <v>2</v>
      </c>
      <c r="B7" s="18" t="s">
        <v>127</v>
      </c>
      <c r="C7" s="18" t="s">
        <v>34</v>
      </c>
      <c r="D7" s="16">
        <f t="shared" si="0"/>
        <v>100</v>
      </c>
      <c r="E7" s="16">
        <v>2400</v>
      </c>
      <c r="F7" s="16">
        <v>2541</v>
      </c>
      <c r="G7" s="16">
        <f t="shared" si="1"/>
        <v>141</v>
      </c>
      <c r="H7" s="16">
        <f t="shared" si="2"/>
        <v>1000</v>
      </c>
      <c r="I7" s="16">
        <f t="shared" si="3"/>
        <v>100000</v>
      </c>
      <c r="J7" s="16">
        <f t="shared" si="4"/>
        <v>82000</v>
      </c>
      <c r="K7" s="16">
        <f t="shared" si="5"/>
        <v>182000</v>
      </c>
    </row>
    <row r="8" spans="1:12" x14ac:dyDescent="0.3">
      <c r="A8" s="16">
        <v>6</v>
      </c>
      <c r="B8" s="18" t="s">
        <v>131</v>
      </c>
      <c r="C8" s="18" t="s">
        <v>34</v>
      </c>
      <c r="D8" s="16">
        <f t="shared" si="0"/>
        <v>100</v>
      </c>
      <c r="E8" s="16">
        <v>7894</v>
      </c>
      <c r="F8" s="16">
        <v>8100</v>
      </c>
      <c r="G8" s="16">
        <f t="shared" si="1"/>
        <v>206</v>
      </c>
      <c r="H8" s="16">
        <f t="shared" si="2"/>
        <v>1000</v>
      </c>
      <c r="I8" s="16">
        <f t="shared" si="3"/>
        <v>100000</v>
      </c>
      <c r="J8" s="16">
        <f t="shared" si="4"/>
        <v>212000</v>
      </c>
      <c r="K8" s="16">
        <f t="shared" si="5"/>
        <v>312000</v>
      </c>
    </row>
    <row r="9" spans="1:12" x14ac:dyDescent="0.3">
      <c r="A9" s="16">
        <v>9</v>
      </c>
      <c r="B9" s="18" t="s">
        <v>134</v>
      </c>
      <c r="C9" s="18" t="s">
        <v>34</v>
      </c>
      <c r="D9" s="16">
        <f t="shared" si="0"/>
        <v>100</v>
      </c>
      <c r="E9" s="16">
        <v>2345</v>
      </c>
      <c r="F9" s="16">
        <v>2500</v>
      </c>
      <c r="G9" s="16">
        <f t="shared" si="1"/>
        <v>155</v>
      </c>
      <c r="H9" s="16">
        <f t="shared" si="2"/>
        <v>1000</v>
      </c>
      <c r="I9" s="16">
        <f t="shared" si="3"/>
        <v>100000</v>
      </c>
      <c r="J9" s="16">
        <f t="shared" si="4"/>
        <v>110000</v>
      </c>
      <c r="K9" s="16">
        <f t="shared" si="5"/>
        <v>210000</v>
      </c>
    </row>
    <row r="10" spans="1:12" x14ac:dyDescent="0.3">
      <c r="A10" s="16">
        <v>3</v>
      </c>
      <c r="B10" s="18" t="s">
        <v>128</v>
      </c>
      <c r="C10" s="18" t="s">
        <v>36</v>
      </c>
      <c r="D10" s="16">
        <f t="shared" si="0"/>
        <v>500</v>
      </c>
      <c r="E10" s="16">
        <v>2561</v>
      </c>
      <c r="F10" s="16">
        <v>2746</v>
      </c>
      <c r="G10" s="16">
        <f t="shared" si="1"/>
        <v>185</v>
      </c>
      <c r="H10" s="16">
        <f t="shared" si="2"/>
        <v>1200</v>
      </c>
      <c r="I10" s="16">
        <f t="shared" si="3"/>
        <v>222000</v>
      </c>
      <c r="J10" s="16" t="str">
        <f t="shared" si="4"/>
        <v/>
      </c>
      <c r="K10" s="16">
        <f t="shared" si="5"/>
        <v>222000</v>
      </c>
    </row>
    <row r="11" spans="1:12" x14ac:dyDescent="0.3">
      <c r="A11" s="16">
        <v>4</v>
      </c>
      <c r="B11" s="18" t="s">
        <v>129</v>
      </c>
      <c r="C11" s="18" t="s">
        <v>36</v>
      </c>
      <c r="D11" s="16">
        <f t="shared" si="0"/>
        <v>500</v>
      </c>
      <c r="E11" s="16">
        <v>2478</v>
      </c>
      <c r="F11" s="16">
        <v>2600</v>
      </c>
      <c r="G11" s="16">
        <f t="shared" si="1"/>
        <v>122</v>
      </c>
      <c r="H11" s="16">
        <f t="shared" si="2"/>
        <v>1200</v>
      </c>
      <c r="I11" s="16">
        <f t="shared" si="3"/>
        <v>146400</v>
      </c>
      <c r="J11" s="16" t="str">
        <f t="shared" si="4"/>
        <v/>
      </c>
      <c r="K11" s="16">
        <f t="shared" si="5"/>
        <v>146400</v>
      </c>
    </row>
    <row r="12" spans="1:12" x14ac:dyDescent="0.3">
      <c r="A12" s="16">
        <v>8</v>
      </c>
      <c r="B12" s="18" t="s">
        <v>133</v>
      </c>
      <c r="C12" s="18" t="s">
        <v>36</v>
      </c>
      <c r="D12" s="16">
        <f t="shared" si="0"/>
        <v>500</v>
      </c>
      <c r="E12" s="16">
        <v>5678</v>
      </c>
      <c r="F12" s="16">
        <v>5800</v>
      </c>
      <c r="G12" s="16">
        <f t="shared" si="1"/>
        <v>122</v>
      </c>
      <c r="H12" s="16">
        <f t="shared" si="2"/>
        <v>1200</v>
      </c>
      <c r="I12" s="16">
        <f t="shared" si="3"/>
        <v>146400</v>
      </c>
      <c r="J12" s="16" t="str">
        <f t="shared" si="4"/>
        <v/>
      </c>
      <c r="K12" s="16">
        <f t="shared" si="5"/>
        <v>146400</v>
      </c>
    </row>
    <row r="13" spans="1:12" x14ac:dyDescent="0.3">
      <c r="A13" s="16">
        <v>5</v>
      </c>
      <c r="B13" s="18" t="s">
        <v>130</v>
      </c>
      <c r="C13" s="18" t="s">
        <v>35</v>
      </c>
      <c r="D13" s="16">
        <f t="shared" si="0"/>
        <v>700</v>
      </c>
      <c r="E13" s="16">
        <v>1578</v>
      </c>
      <c r="F13" s="16">
        <v>1649</v>
      </c>
      <c r="G13" s="16">
        <f t="shared" si="1"/>
        <v>71</v>
      </c>
      <c r="H13" s="16">
        <f t="shared" si="2"/>
        <v>1500</v>
      </c>
      <c r="I13" s="16">
        <f t="shared" si="3"/>
        <v>106500</v>
      </c>
      <c r="J13" s="16" t="str">
        <f t="shared" si="4"/>
        <v/>
      </c>
      <c r="K13" s="16">
        <f t="shared" si="5"/>
        <v>106500</v>
      </c>
    </row>
    <row r="14" spans="1:12" x14ac:dyDescent="0.3">
      <c r="A14" s="16">
        <v>7</v>
      </c>
      <c r="B14" s="18" t="s">
        <v>132</v>
      </c>
      <c r="C14" s="18" t="s">
        <v>35</v>
      </c>
      <c r="D14" s="16">
        <f t="shared" si="0"/>
        <v>700</v>
      </c>
      <c r="E14" s="16">
        <v>1256</v>
      </c>
      <c r="F14" s="16">
        <v>1379</v>
      </c>
      <c r="G14" s="16">
        <f t="shared" si="1"/>
        <v>123</v>
      </c>
      <c r="H14" s="16">
        <f t="shared" si="2"/>
        <v>1500</v>
      </c>
      <c r="I14" s="16">
        <f t="shared" si="3"/>
        <v>184500</v>
      </c>
      <c r="J14" s="16" t="str">
        <f t="shared" si="4"/>
        <v/>
      </c>
      <c r="K14" s="16">
        <f t="shared" si="5"/>
        <v>184500</v>
      </c>
    </row>
    <row r="15" spans="1:12" ht="14.5" thickBot="1" x14ac:dyDescent="0.35">
      <c r="A15" s="15">
        <v>10</v>
      </c>
      <c r="B15" s="18" t="s">
        <v>135</v>
      </c>
      <c r="C15" s="18" t="s">
        <v>35</v>
      </c>
      <c r="D15" s="16">
        <f t="shared" si="0"/>
        <v>700</v>
      </c>
      <c r="E15" s="15">
        <v>3698</v>
      </c>
      <c r="F15" s="15">
        <v>3700</v>
      </c>
      <c r="G15" s="16">
        <f t="shared" si="1"/>
        <v>2</v>
      </c>
      <c r="H15" s="16">
        <f t="shared" si="2"/>
        <v>1500</v>
      </c>
      <c r="I15" s="16">
        <f t="shared" si="3"/>
        <v>3000</v>
      </c>
      <c r="J15" s="16" t="str">
        <f t="shared" si="4"/>
        <v/>
      </c>
      <c r="K15" s="16">
        <f t="shared" si="5"/>
        <v>3000</v>
      </c>
    </row>
    <row r="16" spans="1:12" ht="15" thickTop="1" thickBot="1" x14ac:dyDescent="0.35">
      <c r="A16" s="15"/>
      <c r="B16" s="19" t="s">
        <v>136</v>
      </c>
      <c r="C16" s="12"/>
      <c r="D16" s="13"/>
      <c r="E16" s="13"/>
      <c r="F16" s="17"/>
      <c r="G16" s="12">
        <f>SUM(G6:G15)</f>
        <v>1572</v>
      </c>
      <c r="H16" s="12">
        <f>SUM(H6:H15)</f>
        <v>12100</v>
      </c>
      <c r="I16" s="12">
        <f>SUM(I6:I15)</f>
        <v>1208800</v>
      </c>
      <c r="J16" s="12">
        <f>SUM(J6:J15)</f>
        <v>1094000</v>
      </c>
      <c r="K16" s="12">
        <f>SUM(K6:K15)</f>
        <v>2302800</v>
      </c>
    </row>
    <row r="17" spans="3:6" ht="15" thickTop="1" thickBot="1" x14ac:dyDescent="0.35"/>
    <row r="18" spans="3:6" ht="15" thickTop="1" thickBot="1" x14ac:dyDescent="0.35">
      <c r="C18" s="10" t="s">
        <v>118</v>
      </c>
      <c r="D18" s="10" t="s">
        <v>119</v>
      </c>
      <c r="E18" s="11" t="s">
        <v>137</v>
      </c>
      <c r="F18" s="11" t="s">
        <v>214</v>
      </c>
    </row>
    <row r="19" spans="3:6" ht="15" thickTop="1" thickBot="1" x14ac:dyDescent="0.35">
      <c r="C19" s="12" t="s">
        <v>34</v>
      </c>
      <c r="D19" s="12">
        <v>100</v>
      </c>
      <c r="E19" s="13">
        <v>1000</v>
      </c>
      <c r="F19" s="12">
        <f ca="1">SUMIF(C6:G15,"A",G6:G15)</f>
        <v>947</v>
      </c>
    </row>
    <row r="20" spans="3:6" ht="15" thickTop="1" thickBot="1" x14ac:dyDescent="0.35">
      <c r="C20" s="12" t="s">
        <v>36</v>
      </c>
      <c r="D20" s="12">
        <v>500</v>
      </c>
      <c r="E20" s="13">
        <v>1200</v>
      </c>
      <c r="F20" s="12">
        <f ca="1">SUMIF(C6:G15,"B",G6:G15)</f>
        <v>429</v>
      </c>
    </row>
    <row r="21" spans="3:6" ht="15" thickTop="1" thickBot="1" x14ac:dyDescent="0.35">
      <c r="C21" s="14" t="s">
        <v>35</v>
      </c>
      <c r="D21" s="14">
        <v>700</v>
      </c>
      <c r="E21" s="15">
        <v>1500</v>
      </c>
      <c r="F21" s="12">
        <f ca="1">SUMIF(C6:G15,"C",G6:G15)</f>
        <v>196</v>
      </c>
    </row>
    <row r="22" spans="3:6" ht="14.5" thickTop="1" x14ac:dyDescent="0.3"/>
  </sheetData>
  <sortState xmlns:xlrd2="http://schemas.microsoft.com/office/spreadsheetml/2017/richdata2" ref="A6:K16">
    <sortCondition ref="C6:C16"/>
  </sortState>
  <mergeCells count="3">
    <mergeCell ref="A1:L1"/>
    <mergeCell ref="A2:L2"/>
    <mergeCell ref="A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58C5-A47A-4F8C-9D1B-8669B2684AA9}">
  <dimension ref="A1:K19"/>
  <sheetViews>
    <sheetView tabSelected="1" topLeftCell="E1" workbookViewId="0">
      <selection activeCell="J7" sqref="J7"/>
    </sheetView>
  </sheetViews>
  <sheetFormatPr defaultRowHeight="14" x14ac:dyDescent="0.3"/>
  <cols>
    <col min="1" max="1" width="8.7265625" style="1"/>
    <col min="2" max="2" width="17.453125" style="1" bestFit="1" customWidth="1"/>
    <col min="3" max="3" width="8.7265625" style="1"/>
    <col min="4" max="4" width="10.6328125" style="1" bestFit="1" customWidth="1"/>
    <col min="5" max="5" width="11.08984375" style="1" customWidth="1"/>
    <col min="6" max="6" width="8.7265625" style="1"/>
    <col min="7" max="7" width="10.7265625" style="1" customWidth="1"/>
    <col min="8" max="8" width="15.26953125" style="1" bestFit="1" customWidth="1"/>
    <col min="9" max="9" width="9.81640625" style="1" bestFit="1" customWidth="1"/>
    <col min="10" max="11" width="10.6328125" style="1" bestFit="1" customWidth="1"/>
    <col min="12" max="16384" width="8.7265625" style="1"/>
  </cols>
  <sheetData>
    <row r="1" spans="1:11" ht="15.5" customHeight="1" thickBot="1" x14ac:dyDescent="0.35">
      <c r="A1" s="50" t="s">
        <v>154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" thickTop="1" thickBot="1" x14ac:dyDescent="0.35">
      <c r="B2" s="1" t="s">
        <v>151</v>
      </c>
      <c r="D2" s="22">
        <v>200000000</v>
      </c>
      <c r="F2" s="1" t="s">
        <v>152</v>
      </c>
      <c r="G2" s="22">
        <v>16036</v>
      </c>
      <c r="I2" s="1" t="s">
        <v>153</v>
      </c>
      <c r="J2" s="22">
        <v>0.3</v>
      </c>
    </row>
    <row r="3" spans="1:11" ht="15" thickTop="1" thickBot="1" x14ac:dyDescent="0.35"/>
    <row r="4" spans="1:11" ht="14.5" thickBot="1" x14ac:dyDescent="0.35">
      <c r="A4" s="52" t="s">
        <v>69</v>
      </c>
      <c r="B4" s="52" t="s">
        <v>1</v>
      </c>
      <c r="C4" s="52" t="s">
        <v>2</v>
      </c>
      <c r="D4" s="52" t="s">
        <v>140</v>
      </c>
      <c r="E4" s="23" t="s">
        <v>141</v>
      </c>
      <c r="F4" s="52" t="s">
        <v>143</v>
      </c>
      <c r="G4" s="23" t="s">
        <v>144</v>
      </c>
      <c r="H4" s="25" t="s">
        <v>145</v>
      </c>
      <c r="I4" s="52" t="s">
        <v>147</v>
      </c>
      <c r="J4" s="52" t="s">
        <v>148</v>
      </c>
      <c r="K4" s="25" t="s">
        <v>149</v>
      </c>
    </row>
    <row r="5" spans="1:11" ht="14.5" thickBot="1" x14ac:dyDescent="0.35">
      <c r="A5" s="52"/>
      <c r="B5" s="52"/>
      <c r="C5" s="52"/>
      <c r="D5" s="52"/>
      <c r="E5" s="23" t="s">
        <v>142</v>
      </c>
      <c r="F5" s="52"/>
      <c r="G5" s="23" t="s">
        <v>143</v>
      </c>
      <c r="H5" s="23" t="s">
        <v>146</v>
      </c>
      <c r="I5" s="52"/>
      <c r="J5" s="52"/>
      <c r="K5" s="25" t="s">
        <v>150</v>
      </c>
    </row>
    <row r="6" spans="1:11" ht="14.5" thickBot="1" x14ac:dyDescent="0.35">
      <c r="A6" s="24">
        <v>1</v>
      </c>
      <c r="B6" s="24" t="s">
        <v>155</v>
      </c>
      <c r="C6" s="24" t="s">
        <v>156</v>
      </c>
      <c r="D6" s="27" t="s">
        <v>157</v>
      </c>
      <c r="E6" s="35">
        <v>560</v>
      </c>
      <c r="F6" s="27" t="s">
        <v>34</v>
      </c>
      <c r="G6" s="24">
        <f>VLOOKUP(F6,$G$15:$H$19,2,0)</f>
        <v>2.5</v>
      </c>
      <c r="H6" s="24">
        <f t="shared" ref="H6:H12" si="0">VLOOKUP(LEFT(D6,1),$C$15:$E$19,IF(RIGHT(D6,2)="CB",2,3),0)</f>
        <v>50</v>
      </c>
      <c r="I6" s="24">
        <f>INT(E6*$J$2*$G$2)</f>
        <v>2694048</v>
      </c>
      <c r="J6" s="24">
        <f t="shared" ref="J6:J12" si="1">INT($D$2*G6/(SUM($G$6:$G$12)))</f>
        <v>43103448</v>
      </c>
      <c r="K6" s="24">
        <f t="shared" ref="K6:K12" si="2">(E6+H6)*$G$2+J6-I6</f>
        <v>50191360</v>
      </c>
    </row>
    <row r="7" spans="1:11" ht="14.5" thickBot="1" x14ac:dyDescent="0.35">
      <c r="A7" s="24">
        <v>2</v>
      </c>
      <c r="B7" s="24" t="s">
        <v>158</v>
      </c>
      <c r="C7" s="24" t="s">
        <v>159</v>
      </c>
      <c r="D7" s="27" t="s">
        <v>157</v>
      </c>
      <c r="E7" s="35">
        <v>560</v>
      </c>
      <c r="F7" s="27" t="s">
        <v>36</v>
      </c>
      <c r="G7" s="24">
        <f t="shared" ref="G6:G12" si="3">VLOOKUP(F7,$G$15:$H$19,2,0)</f>
        <v>2</v>
      </c>
      <c r="H7" s="24">
        <f t="shared" si="0"/>
        <v>50</v>
      </c>
      <c r="I7" s="24">
        <f t="shared" ref="I7:I13" si="4">INT(E7*$J$2*$G$2)</f>
        <v>2694048</v>
      </c>
      <c r="J7" s="24">
        <f t="shared" si="1"/>
        <v>34482758</v>
      </c>
      <c r="K7" s="24">
        <f t="shared" si="2"/>
        <v>41570670</v>
      </c>
    </row>
    <row r="8" spans="1:11" ht="14.5" thickBot="1" x14ac:dyDescent="0.35">
      <c r="A8" s="24">
        <v>3</v>
      </c>
      <c r="B8" s="24" t="s">
        <v>160</v>
      </c>
      <c r="C8" s="24" t="s">
        <v>161</v>
      </c>
      <c r="D8" s="27" t="s">
        <v>162</v>
      </c>
      <c r="E8" s="35">
        <v>560</v>
      </c>
      <c r="F8" s="27" t="s">
        <v>36</v>
      </c>
      <c r="G8" s="24">
        <f t="shared" si="3"/>
        <v>2</v>
      </c>
      <c r="H8" s="24">
        <f t="shared" si="0"/>
        <v>50</v>
      </c>
      <c r="I8" s="24">
        <f t="shared" si="4"/>
        <v>2694048</v>
      </c>
      <c r="J8" s="24">
        <f t="shared" si="1"/>
        <v>34482758</v>
      </c>
      <c r="K8" s="24">
        <f t="shared" si="2"/>
        <v>41570670</v>
      </c>
    </row>
    <row r="9" spans="1:11" ht="14.5" thickBot="1" x14ac:dyDescent="0.35">
      <c r="A9" s="24">
        <v>4</v>
      </c>
      <c r="B9" s="24" t="s">
        <v>163</v>
      </c>
      <c r="C9" s="24" t="s">
        <v>164</v>
      </c>
      <c r="D9" s="27" t="s">
        <v>165</v>
      </c>
      <c r="E9" s="35">
        <v>480</v>
      </c>
      <c r="F9" s="27" t="s">
        <v>35</v>
      </c>
      <c r="G9" s="24">
        <f t="shared" si="3"/>
        <v>1</v>
      </c>
      <c r="H9" s="24">
        <f t="shared" si="0"/>
        <v>30</v>
      </c>
      <c r="I9" s="24">
        <f t="shared" si="4"/>
        <v>2309184</v>
      </c>
      <c r="J9" s="24">
        <f t="shared" si="1"/>
        <v>17241379</v>
      </c>
      <c r="K9" s="24">
        <f t="shared" si="2"/>
        <v>23110555</v>
      </c>
    </row>
    <row r="10" spans="1:11" ht="14.5" thickBot="1" x14ac:dyDescent="0.35">
      <c r="A10" s="24">
        <v>5</v>
      </c>
      <c r="B10" s="24" t="s">
        <v>166</v>
      </c>
      <c r="C10" s="24" t="s">
        <v>167</v>
      </c>
      <c r="D10" s="27" t="s">
        <v>168</v>
      </c>
      <c r="E10" s="35">
        <v>333</v>
      </c>
      <c r="F10" s="27" t="s">
        <v>34</v>
      </c>
      <c r="G10" s="24">
        <f t="shared" si="3"/>
        <v>2.5</v>
      </c>
      <c r="H10" s="24">
        <f t="shared" si="0"/>
        <v>20</v>
      </c>
      <c r="I10" s="24">
        <f t="shared" si="4"/>
        <v>1601996</v>
      </c>
      <c r="J10" s="24">
        <f t="shared" si="1"/>
        <v>43103448</v>
      </c>
      <c r="K10" s="24">
        <f t="shared" si="2"/>
        <v>47162160</v>
      </c>
    </row>
    <row r="11" spans="1:11" ht="14.5" thickBot="1" x14ac:dyDescent="0.35">
      <c r="A11" s="24">
        <v>6</v>
      </c>
      <c r="B11" s="24" t="s">
        <v>169</v>
      </c>
      <c r="C11" s="24" t="s">
        <v>170</v>
      </c>
      <c r="D11" s="27" t="s">
        <v>168</v>
      </c>
      <c r="E11" s="35">
        <v>333</v>
      </c>
      <c r="F11" s="27" t="s">
        <v>37</v>
      </c>
      <c r="G11" s="24">
        <f t="shared" si="3"/>
        <v>0.8</v>
      </c>
      <c r="H11" s="24">
        <f t="shared" si="0"/>
        <v>20</v>
      </c>
      <c r="I11" s="24">
        <f t="shared" si="4"/>
        <v>1601996</v>
      </c>
      <c r="J11" s="24">
        <f t="shared" si="1"/>
        <v>13793103</v>
      </c>
      <c r="K11" s="24">
        <f t="shared" si="2"/>
        <v>17851815</v>
      </c>
    </row>
    <row r="12" spans="1:11" ht="14.5" thickBot="1" x14ac:dyDescent="0.35">
      <c r="A12" s="24">
        <v>7</v>
      </c>
      <c r="B12" s="24" t="s">
        <v>155</v>
      </c>
      <c r="C12" s="24" t="s">
        <v>171</v>
      </c>
      <c r="D12" s="27" t="s">
        <v>168</v>
      </c>
      <c r="E12" s="35">
        <v>333</v>
      </c>
      <c r="F12" s="27" t="s">
        <v>37</v>
      </c>
      <c r="G12" s="24">
        <f t="shared" si="3"/>
        <v>0.8</v>
      </c>
      <c r="H12" s="24">
        <f t="shared" si="0"/>
        <v>20</v>
      </c>
      <c r="I12" s="24">
        <f t="shared" si="4"/>
        <v>1601996</v>
      </c>
      <c r="J12" s="24">
        <f t="shared" si="1"/>
        <v>13793103</v>
      </c>
      <c r="K12" s="24">
        <f t="shared" si="2"/>
        <v>17851815</v>
      </c>
    </row>
    <row r="13" spans="1:11" ht="14.5" thickBot="1" x14ac:dyDescent="0.35">
      <c r="A13" s="24"/>
      <c r="B13" s="27" t="s">
        <v>172</v>
      </c>
      <c r="C13" s="24"/>
      <c r="D13" s="24"/>
      <c r="E13" s="36">
        <f>SUM(E6:E12)</f>
        <v>3159</v>
      </c>
      <c r="F13" s="24"/>
      <c r="G13" s="24">
        <f>SUM(G6:G12)</f>
        <v>11.600000000000001</v>
      </c>
      <c r="H13" s="24">
        <f t="shared" ref="H13:K13" si="5">SUM(H6:H12)</f>
        <v>240</v>
      </c>
      <c r="I13" s="24">
        <f t="shared" si="4"/>
        <v>15197317</v>
      </c>
      <c r="J13" s="24">
        <f t="shared" si="5"/>
        <v>199999997</v>
      </c>
      <c r="K13" s="24">
        <f t="shared" si="5"/>
        <v>239309045</v>
      </c>
    </row>
    <row r="14" spans="1:11" ht="14.5" thickBot="1" x14ac:dyDescent="0.35">
      <c r="C14" s="51" t="s">
        <v>173</v>
      </c>
      <c r="D14" s="51"/>
      <c r="E14" s="51"/>
      <c r="G14" s="51" t="s">
        <v>176</v>
      </c>
      <c r="H14" s="51"/>
    </row>
    <row r="15" spans="1:11" ht="14.5" thickBot="1" x14ac:dyDescent="0.35">
      <c r="C15" s="24"/>
      <c r="D15" s="29" t="s">
        <v>174</v>
      </c>
      <c r="E15" s="29" t="s">
        <v>175</v>
      </c>
      <c r="G15" s="26" t="s">
        <v>143</v>
      </c>
      <c r="H15" s="26" t="s">
        <v>177</v>
      </c>
    </row>
    <row r="16" spans="1:11" ht="14.5" thickBot="1" x14ac:dyDescent="0.35">
      <c r="C16" s="29" t="s">
        <v>34</v>
      </c>
      <c r="D16" s="28">
        <v>50</v>
      </c>
      <c r="E16" s="28">
        <v>40</v>
      </c>
      <c r="G16" s="29" t="s">
        <v>34</v>
      </c>
      <c r="H16" s="27">
        <v>2.5</v>
      </c>
    </row>
    <row r="17" spans="3:8" ht="14.5" thickBot="1" x14ac:dyDescent="0.35">
      <c r="C17" s="29" t="s">
        <v>36</v>
      </c>
      <c r="D17" s="28">
        <v>40</v>
      </c>
      <c r="E17" s="28">
        <v>30</v>
      </c>
      <c r="G17" s="29" t="s">
        <v>36</v>
      </c>
      <c r="H17" s="27">
        <v>2</v>
      </c>
    </row>
    <row r="18" spans="3:8" ht="14.5" thickBot="1" x14ac:dyDescent="0.35">
      <c r="C18" s="29" t="s">
        <v>35</v>
      </c>
      <c r="D18" s="28">
        <v>30</v>
      </c>
      <c r="E18" s="28">
        <v>20</v>
      </c>
      <c r="G18" s="29" t="s">
        <v>35</v>
      </c>
      <c r="H18" s="27">
        <v>1</v>
      </c>
    </row>
    <row r="19" spans="3:8" ht="14.5" thickBot="1" x14ac:dyDescent="0.35">
      <c r="C19" s="29" t="s">
        <v>37</v>
      </c>
      <c r="D19" s="28">
        <v>20</v>
      </c>
      <c r="E19" s="28">
        <v>0</v>
      </c>
      <c r="G19" s="29" t="s">
        <v>37</v>
      </c>
      <c r="H19" s="27">
        <v>0.8</v>
      </c>
    </row>
  </sheetData>
  <sortState xmlns:xlrd2="http://schemas.microsoft.com/office/spreadsheetml/2017/richdata2" ref="A7:K12">
    <sortCondition ref="D6:D12"/>
    <sortCondition descending="1" ref="E6:E12"/>
  </sortState>
  <mergeCells count="10">
    <mergeCell ref="A1:K1"/>
    <mergeCell ref="C14:E14"/>
    <mergeCell ref="G14:H14"/>
    <mergeCell ref="A4:A5"/>
    <mergeCell ref="B4:B5"/>
    <mergeCell ref="C4:C5"/>
    <mergeCell ref="D4:D5"/>
    <mergeCell ref="F4:F5"/>
    <mergeCell ref="I4:I5"/>
    <mergeCell ref="J4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00F5-5D78-4BD3-B365-48BD2A3148DF}">
  <dimension ref="A1:N25"/>
  <sheetViews>
    <sheetView workbookViewId="0">
      <selection activeCell="H5" sqref="H5"/>
    </sheetView>
  </sheetViews>
  <sheetFormatPr defaultRowHeight="14" x14ac:dyDescent="0.3"/>
  <cols>
    <col min="1" max="1" width="8.7265625" style="1"/>
    <col min="2" max="2" width="12.453125" style="1" bestFit="1" customWidth="1"/>
    <col min="3" max="3" width="10.26953125" style="1" bestFit="1" customWidth="1"/>
    <col min="4" max="6" width="8.7265625" style="1"/>
    <col min="7" max="7" width="10.81640625" style="1" customWidth="1"/>
    <col min="8" max="9" width="8.7265625" style="1"/>
    <col min="10" max="10" width="10.08984375" style="1" customWidth="1"/>
    <col min="11" max="16384" width="8.7265625" style="1"/>
  </cols>
  <sheetData>
    <row r="1" spans="1:10" ht="20.5" customHeight="1" x14ac:dyDescent="0.35">
      <c r="A1" s="53" t="s">
        <v>191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4.5" thickBot="1" x14ac:dyDescent="0.35"/>
    <row r="3" spans="1:10" ht="35.5" customHeight="1" thickBot="1" x14ac:dyDescent="0.35">
      <c r="A3" s="29" t="s">
        <v>69</v>
      </c>
      <c r="B3" s="29" t="s">
        <v>178</v>
      </c>
      <c r="C3" s="29" t="s">
        <v>179</v>
      </c>
      <c r="D3" s="29" t="s">
        <v>180</v>
      </c>
      <c r="E3" s="29" t="s">
        <v>181</v>
      </c>
      <c r="F3" s="29" t="s">
        <v>182</v>
      </c>
      <c r="G3" s="30" t="s">
        <v>183</v>
      </c>
      <c r="H3" s="29" t="s">
        <v>111</v>
      </c>
      <c r="I3" s="30" t="s">
        <v>184</v>
      </c>
      <c r="J3" s="30" t="s">
        <v>185</v>
      </c>
    </row>
    <row r="4" spans="1:10" ht="14.5" thickBot="1" x14ac:dyDescent="0.35">
      <c r="A4" s="24">
        <v>3</v>
      </c>
      <c r="B4" s="24" t="s">
        <v>187</v>
      </c>
      <c r="C4" s="24" t="str">
        <f t="shared" ref="C4:C15" si="0">IF(LEFT(B4,1)="0",VLOOKUP(MID(B4,2,2),$A$18:$B$25,2,0),"Thành phố")</f>
        <v>Hà Nội</v>
      </c>
      <c r="D4" s="24">
        <f t="shared" ref="D4:D15" si="1">IF(C4="Thành phố",3,VLOOKUP(MID(B4,2,2),$A$18:$C$25,3,0))</f>
        <v>1</v>
      </c>
      <c r="E4" s="38">
        <v>0.50277777777777777</v>
      </c>
      <c r="F4" s="38">
        <v>0.53888888888888886</v>
      </c>
      <c r="G4" s="37">
        <f t="shared" ref="G4:G15" si="2">(HOUR(F4)*60+MINUTE(F4)+IF(SECOND(F4)&gt;=1,1,0)) - (HOUR(E4)*60+MINUTE(E4)+IF(SECOND(E4)&gt;=1,1,0))</f>
        <v>52</v>
      </c>
      <c r="H4" s="24">
        <f t="shared" ref="H4:H15" si="3">IF(C4="Thành phố",800,VLOOKUP(VLOOKUP(MID(B4,2,2),$A$18:$C$25,3,0),$E$18:$F$21,2,0))</f>
        <v>3850</v>
      </c>
      <c r="I4" s="24">
        <f t="shared" ref="I4:I15" si="4">IF(C4="Thành phố",IF(G4&gt;3,INT(G4/3),1),G4)</f>
        <v>52</v>
      </c>
      <c r="J4" s="24">
        <f t="shared" ref="J4:J15" si="5">SUM(H4:I4)</f>
        <v>3902</v>
      </c>
    </row>
    <row r="5" spans="1:10" ht="14.5" thickBot="1" x14ac:dyDescent="0.35">
      <c r="A5" s="24">
        <v>1</v>
      </c>
      <c r="B5" s="24" t="s">
        <v>186</v>
      </c>
      <c r="C5" s="24" t="str">
        <f t="shared" si="0"/>
        <v>Bình Định</v>
      </c>
      <c r="D5" s="24">
        <f t="shared" si="1"/>
        <v>2</v>
      </c>
      <c r="E5" s="38">
        <v>0.34861111111111115</v>
      </c>
      <c r="F5" s="38">
        <v>0.35069444444444442</v>
      </c>
      <c r="G5" s="37">
        <f t="shared" si="2"/>
        <v>3</v>
      </c>
      <c r="H5" s="24">
        <f t="shared" si="3"/>
        <v>2380</v>
      </c>
      <c r="I5" s="24">
        <f t="shared" si="4"/>
        <v>3</v>
      </c>
      <c r="J5" s="24">
        <f t="shared" si="5"/>
        <v>2383</v>
      </c>
    </row>
    <row r="6" spans="1:10" ht="14.5" thickBot="1" x14ac:dyDescent="0.35">
      <c r="A6" s="24">
        <v>9</v>
      </c>
      <c r="B6" s="24" t="s">
        <v>189</v>
      </c>
      <c r="C6" s="24" t="str">
        <f t="shared" si="0"/>
        <v>Đồng Nai</v>
      </c>
      <c r="D6" s="24">
        <f t="shared" si="1"/>
        <v>3</v>
      </c>
      <c r="E6" s="38">
        <v>0.875</v>
      </c>
      <c r="F6" s="38">
        <v>0.9</v>
      </c>
      <c r="G6" s="37">
        <f t="shared" si="2"/>
        <v>36</v>
      </c>
      <c r="H6" s="24">
        <f t="shared" si="3"/>
        <v>1500</v>
      </c>
      <c r="I6" s="24">
        <f t="shared" si="4"/>
        <v>36</v>
      </c>
      <c r="J6" s="24">
        <f t="shared" si="5"/>
        <v>1536</v>
      </c>
    </row>
    <row r="7" spans="1:10" ht="14.5" thickBot="1" x14ac:dyDescent="0.35">
      <c r="A7" s="24">
        <v>12</v>
      </c>
      <c r="B7" s="24" t="s">
        <v>190</v>
      </c>
      <c r="C7" s="24" t="str">
        <f t="shared" si="0"/>
        <v>Lâm Đồng</v>
      </c>
      <c r="D7" s="24">
        <f t="shared" si="1"/>
        <v>3</v>
      </c>
      <c r="E7" s="38">
        <v>0.3354166666666667</v>
      </c>
      <c r="F7" s="38">
        <v>0.35069444444444442</v>
      </c>
      <c r="G7" s="37">
        <f t="shared" si="2"/>
        <v>22</v>
      </c>
      <c r="H7" s="24">
        <f t="shared" si="3"/>
        <v>1500</v>
      </c>
      <c r="I7" s="24">
        <f t="shared" si="4"/>
        <v>22</v>
      </c>
      <c r="J7" s="24">
        <f t="shared" si="5"/>
        <v>1522</v>
      </c>
    </row>
    <row r="8" spans="1:10" ht="14.5" thickBot="1" x14ac:dyDescent="0.35">
      <c r="A8" s="24">
        <v>2</v>
      </c>
      <c r="B8" s="24">
        <v>8434269</v>
      </c>
      <c r="C8" s="24" t="str">
        <f t="shared" si="0"/>
        <v>Thành phố</v>
      </c>
      <c r="D8" s="24">
        <f t="shared" si="1"/>
        <v>3</v>
      </c>
      <c r="E8" s="38">
        <v>0.42708333333333331</v>
      </c>
      <c r="F8" s="38">
        <v>0.44236111111111115</v>
      </c>
      <c r="G8" s="37">
        <f t="shared" si="2"/>
        <v>22</v>
      </c>
      <c r="H8" s="24">
        <f t="shared" si="3"/>
        <v>800</v>
      </c>
      <c r="I8" s="24">
        <f t="shared" si="4"/>
        <v>7</v>
      </c>
      <c r="J8" s="24">
        <f t="shared" si="5"/>
        <v>807</v>
      </c>
    </row>
    <row r="9" spans="1:10" ht="14.5" thickBot="1" x14ac:dyDescent="0.35">
      <c r="A9" s="24">
        <v>4</v>
      </c>
      <c r="B9" s="24">
        <v>8322883</v>
      </c>
      <c r="C9" s="24" t="str">
        <f t="shared" si="0"/>
        <v>Thành phố</v>
      </c>
      <c r="D9" s="24">
        <f t="shared" si="1"/>
        <v>3</v>
      </c>
      <c r="E9" s="38">
        <v>0.64583333333333337</v>
      </c>
      <c r="F9" s="38">
        <v>0.65625</v>
      </c>
      <c r="G9" s="37">
        <f t="shared" si="2"/>
        <v>15</v>
      </c>
      <c r="H9" s="24">
        <f t="shared" si="3"/>
        <v>800</v>
      </c>
      <c r="I9" s="24">
        <f t="shared" si="4"/>
        <v>5</v>
      </c>
      <c r="J9" s="24">
        <f t="shared" si="5"/>
        <v>805</v>
      </c>
    </row>
    <row r="10" spans="1:10" ht="14.5" thickBot="1" x14ac:dyDescent="0.35">
      <c r="A10" s="24">
        <v>5</v>
      </c>
      <c r="B10" s="24">
        <v>8399047</v>
      </c>
      <c r="C10" s="24" t="str">
        <f t="shared" si="0"/>
        <v>Thành phố</v>
      </c>
      <c r="D10" s="24">
        <f t="shared" si="1"/>
        <v>3</v>
      </c>
      <c r="E10" s="38">
        <v>0.66666666666666663</v>
      </c>
      <c r="F10" s="38">
        <v>0.71527777777777779</v>
      </c>
      <c r="G10" s="37">
        <f t="shared" si="2"/>
        <v>70</v>
      </c>
      <c r="H10" s="24">
        <f t="shared" si="3"/>
        <v>800</v>
      </c>
      <c r="I10" s="24">
        <f t="shared" si="4"/>
        <v>23</v>
      </c>
      <c r="J10" s="24">
        <f t="shared" si="5"/>
        <v>823</v>
      </c>
    </row>
    <row r="11" spans="1:10" ht="14.5" thickBot="1" x14ac:dyDescent="0.35">
      <c r="A11" s="24">
        <v>7</v>
      </c>
      <c r="B11" s="24">
        <v>8999675</v>
      </c>
      <c r="C11" s="24" t="str">
        <f t="shared" si="0"/>
        <v>Thành phố</v>
      </c>
      <c r="D11" s="24">
        <f t="shared" si="1"/>
        <v>3</v>
      </c>
      <c r="E11" s="38">
        <v>0.70000000000000007</v>
      </c>
      <c r="F11" s="38">
        <v>0.72916666666666663</v>
      </c>
      <c r="G11" s="37">
        <f t="shared" si="2"/>
        <v>42</v>
      </c>
      <c r="H11" s="24">
        <f t="shared" si="3"/>
        <v>800</v>
      </c>
      <c r="I11" s="24">
        <f t="shared" si="4"/>
        <v>14</v>
      </c>
      <c r="J11" s="24">
        <f t="shared" si="5"/>
        <v>814</v>
      </c>
    </row>
    <row r="12" spans="1:10" ht="14.5" thickBot="1" x14ac:dyDescent="0.35">
      <c r="A12" s="24">
        <v>8</v>
      </c>
      <c r="B12" s="24">
        <v>8438721</v>
      </c>
      <c r="C12" s="24" t="str">
        <f t="shared" si="0"/>
        <v>Thành phố</v>
      </c>
      <c r="D12" s="24">
        <f t="shared" si="1"/>
        <v>3</v>
      </c>
      <c r="E12" s="38">
        <v>0.86458333333333337</v>
      </c>
      <c r="F12" s="38">
        <v>0.875</v>
      </c>
      <c r="G12" s="37">
        <f t="shared" si="2"/>
        <v>15</v>
      </c>
      <c r="H12" s="24">
        <f t="shared" si="3"/>
        <v>800</v>
      </c>
      <c r="I12" s="24">
        <f t="shared" si="4"/>
        <v>5</v>
      </c>
      <c r="J12" s="24">
        <f t="shared" si="5"/>
        <v>805</v>
      </c>
    </row>
    <row r="13" spans="1:10" ht="14.5" thickBot="1" x14ac:dyDescent="0.35">
      <c r="A13" s="24">
        <v>10</v>
      </c>
      <c r="B13" s="24">
        <v>8391999</v>
      </c>
      <c r="C13" s="24" t="str">
        <f t="shared" si="0"/>
        <v>Thành phố</v>
      </c>
      <c r="D13" s="24">
        <f t="shared" si="1"/>
        <v>3</v>
      </c>
      <c r="E13" s="38">
        <v>0.30208333333333331</v>
      </c>
      <c r="F13" s="38">
        <v>0.30902777777777779</v>
      </c>
      <c r="G13" s="37">
        <f t="shared" si="2"/>
        <v>10</v>
      </c>
      <c r="H13" s="24">
        <f t="shared" si="3"/>
        <v>800</v>
      </c>
      <c r="I13" s="24">
        <f t="shared" si="4"/>
        <v>3</v>
      </c>
      <c r="J13" s="24">
        <f t="shared" si="5"/>
        <v>803</v>
      </c>
    </row>
    <row r="14" spans="1:10" ht="14.5" thickBot="1" x14ac:dyDescent="0.35">
      <c r="A14" s="24">
        <v>11</v>
      </c>
      <c r="B14" s="24">
        <v>8360182</v>
      </c>
      <c r="C14" s="24" t="str">
        <f t="shared" si="0"/>
        <v>Thành phố</v>
      </c>
      <c r="D14" s="24">
        <f t="shared" si="1"/>
        <v>3</v>
      </c>
      <c r="E14" s="38">
        <v>0.27083333333333331</v>
      </c>
      <c r="F14" s="38">
        <v>0.29236111111111113</v>
      </c>
      <c r="G14" s="37">
        <f t="shared" si="2"/>
        <v>31</v>
      </c>
      <c r="H14" s="24">
        <f t="shared" si="3"/>
        <v>800</v>
      </c>
      <c r="I14" s="24">
        <f t="shared" si="4"/>
        <v>10</v>
      </c>
      <c r="J14" s="24">
        <f t="shared" si="5"/>
        <v>810</v>
      </c>
    </row>
    <row r="15" spans="1:10" ht="14.5" thickBot="1" x14ac:dyDescent="0.35">
      <c r="A15" s="24">
        <v>6</v>
      </c>
      <c r="B15" s="24" t="s">
        <v>188</v>
      </c>
      <c r="C15" s="24" t="str">
        <f t="shared" si="0"/>
        <v>Vũng Tàu</v>
      </c>
      <c r="D15" s="24">
        <f t="shared" si="1"/>
        <v>3</v>
      </c>
      <c r="E15" s="38">
        <v>0.71875</v>
      </c>
      <c r="F15" s="38">
        <v>0.72916666666666663</v>
      </c>
      <c r="G15" s="37">
        <f t="shared" si="2"/>
        <v>15</v>
      </c>
      <c r="H15" s="24">
        <f t="shared" si="3"/>
        <v>1500</v>
      </c>
      <c r="I15" s="24">
        <f t="shared" si="4"/>
        <v>15</v>
      </c>
      <c r="J15" s="24">
        <f t="shared" si="5"/>
        <v>1515</v>
      </c>
    </row>
    <row r="16" spans="1:10" ht="14.5" thickBot="1" x14ac:dyDescent="0.35"/>
    <row r="17" spans="1:14" ht="14.5" thickBot="1" x14ac:dyDescent="0.35">
      <c r="A17" s="1" t="s">
        <v>31</v>
      </c>
      <c r="E17" s="1" t="s">
        <v>41</v>
      </c>
      <c r="K17" s="3" t="s">
        <v>180</v>
      </c>
      <c r="L17" s="3">
        <v>1</v>
      </c>
      <c r="M17" s="3">
        <v>2</v>
      </c>
      <c r="N17" s="3">
        <v>3</v>
      </c>
    </row>
    <row r="18" spans="1:14" ht="14.5" thickBot="1" x14ac:dyDescent="0.35">
      <c r="A18" s="26" t="s">
        <v>192</v>
      </c>
      <c r="B18" s="26" t="s">
        <v>179</v>
      </c>
      <c r="C18" s="26" t="s">
        <v>180</v>
      </c>
      <c r="E18" s="26" t="s">
        <v>180</v>
      </c>
      <c r="F18" s="26" t="s">
        <v>200</v>
      </c>
      <c r="K18" s="3" t="s">
        <v>215</v>
      </c>
      <c r="L18" s="3">
        <f ca="1">SUMIF(D4:J15,1,J4:J15)</f>
        <v>3902</v>
      </c>
      <c r="M18" s="3">
        <f ca="1">SUMIF(D4:J15,2,J4:J15)</f>
        <v>2383</v>
      </c>
      <c r="N18" s="3">
        <f ca="1">SUMIF(D4:J15,3,J4:J15)</f>
        <v>10240</v>
      </c>
    </row>
    <row r="19" spans="1:14" ht="14.5" thickBot="1" x14ac:dyDescent="0.35">
      <c r="A19" s="24" t="str">
        <f>"14"</f>
        <v>14</v>
      </c>
      <c r="B19" s="24" t="s">
        <v>193</v>
      </c>
      <c r="C19" s="24">
        <v>1</v>
      </c>
      <c r="E19" s="24">
        <v>1</v>
      </c>
      <c r="F19" s="24">
        <v>3850</v>
      </c>
    </row>
    <row r="20" spans="1:14" ht="14.5" thickBot="1" x14ac:dyDescent="0.35">
      <c r="A20" s="24" t="str">
        <f>"56"</f>
        <v>56</v>
      </c>
      <c r="B20" s="24" t="s">
        <v>194</v>
      </c>
      <c r="C20" s="24">
        <v>2</v>
      </c>
      <c r="E20" s="24">
        <v>2</v>
      </c>
      <c r="F20" s="24">
        <v>2380</v>
      </c>
    </row>
    <row r="21" spans="1:14" ht="14.5" thickBot="1" x14ac:dyDescent="0.35">
      <c r="A21" s="24" t="str">
        <f>"58"</f>
        <v>58</v>
      </c>
      <c r="B21" s="24" t="s">
        <v>195</v>
      </c>
      <c r="C21" s="24">
        <v>2</v>
      </c>
      <c r="E21" s="24">
        <v>3</v>
      </c>
      <c r="F21" s="24">
        <v>1500</v>
      </c>
    </row>
    <row r="22" spans="1:14" ht="14.5" thickBot="1" x14ac:dyDescent="0.35">
      <c r="A22" s="24" t="str">
        <f>"61"</f>
        <v>61</v>
      </c>
      <c r="B22" s="24" t="s">
        <v>196</v>
      </c>
      <c r="C22" s="24">
        <v>3</v>
      </c>
    </row>
    <row r="23" spans="1:14" ht="14.5" thickBot="1" x14ac:dyDescent="0.35">
      <c r="A23" s="24" t="str">
        <f>"63"</f>
        <v>63</v>
      </c>
      <c r="B23" s="24" t="s">
        <v>197</v>
      </c>
      <c r="C23" s="24">
        <v>3</v>
      </c>
    </row>
    <row r="24" spans="1:14" ht="14.5" thickBot="1" x14ac:dyDescent="0.35">
      <c r="A24" s="24" t="str">
        <f>"64"</f>
        <v>64</v>
      </c>
      <c r="B24" s="24" t="s">
        <v>198</v>
      </c>
      <c r="C24" s="24">
        <v>3</v>
      </c>
    </row>
    <row r="25" spans="1:14" ht="14.5" thickBot="1" x14ac:dyDescent="0.35">
      <c r="A25" s="24" t="str">
        <f>"65"</f>
        <v>65</v>
      </c>
      <c r="B25" s="24" t="s">
        <v>199</v>
      </c>
      <c r="C25" s="24">
        <v>3</v>
      </c>
    </row>
  </sheetData>
  <sortState xmlns:xlrd2="http://schemas.microsoft.com/office/spreadsheetml/2017/richdata2" ref="A4:J15">
    <sortCondition ref="D4:D15"/>
    <sortCondition ref="C4:C15"/>
  </sortState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BT1</vt:lpstr>
      <vt:lpstr>DS DAU</vt:lpstr>
      <vt:lpstr>BT2</vt:lpstr>
      <vt:lpstr>BT3</vt:lpstr>
      <vt:lpstr>BT4</vt:lpstr>
      <vt:lpstr>BT5</vt:lpstr>
      <vt:lpstr>BT6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2023-12-19T11:18:38Z</dcterms:created>
  <dcterms:modified xsi:type="dcterms:W3CDTF">2023-12-22T14:40:25Z</dcterms:modified>
</cp:coreProperties>
</file>