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3b601f073c4bb1/Tài liệu/Word - Powerpoint - Excel/"/>
    </mc:Choice>
  </mc:AlternateContent>
  <xr:revisionPtr revIDLastSave="41" documentId="8_{48C97E7E-263C-47A7-9ADE-BAB2F1E6FF4E}" xr6:coauthVersionLast="47" xr6:coauthVersionMax="47" xr10:uidLastSave="{53EA2A39-7EEC-4F61-BDED-C64E645741FB}"/>
  <bookViews>
    <workbookView xWindow="-110" yWindow="-110" windowWidth="19420" windowHeight="11500" activeTab="4" xr2:uid="{F36B46E1-E502-43DC-A828-1D2D35EF3EEE}"/>
  </bookViews>
  <sheets>
    <sheet name="BT1" sheetId="1" r:id="rId1"/>
    <sheet name="BT2" sheetId="2" r:id="rId2"/>
    <sheet name="BT3" sheetId="3" r:id="rId3"/>
    <sheet name="BT4" sheetId="4" r:id="rId4"/>
    <sheet name="BT5" sheetId="5" r:id="rId5"/>
  </sheets>
  <definedNames>
    <definedName name="_xlnm._FilterDatabase" localSheetId="1" hidden="1">'BT2'!$A$3:$V$14</definedName>
    <definedName name="_xlnm._FilterDatabase" localSheetId="4" hidden="1">'BT5'!$A$3:$K$18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7" i="2" l="1"/>
  <c r="Y17" i="2"/>
  <c r="X17" i="2"/>
  <c r="H5" i="1"/>
  <c r="D23" i="5"/>
  <c r="E23" i="5"/>
  <c r="F23" i="5"/>
  <c r="G23" i="5"/>
  <c r="H23" i="5"/>
  <c r="J7" i="5"/>
  <c r="K7" i="5" s="1"/>
  <c r="J8" i="5"/>
  <c r="K8" i="5" s="1"/>
  <c r="J9" i="5"/>
  <c r="K9" i="5" s="1"/>
  <c r="J10" i="5"/>
  <c r="K10" i="5" s="1"/>
  <c r="J13" i="5"/>
  <c r="K13" i="5" s="1"/>
  <c r="J15" i="5"/>
  <c r="K15" i="5" s="1"/>
  <c r="J16" i="5"/>
  <c r="K16" i="5" s="1"/>
  <c r="J17" i="5"/>
  <c r="K17" i="5" s="1"/>
  <c r="J6" i="5"/>
  <c r="K6" i="5" s="1"/>
  <c r="I6" i="5"/>
  <c r="I7" i="5"/>
  <c r="I8" i="5"/>
  <c r="I9" i="5"/>
  <c r="I10" i="5"/>
  <c r="I11" i="5"/>
  <c r="J11" i="5" s="1"/>
  <c r="K11" i="5" s="1"/>
  <c r="I12" i="5"/>
  <c r="J12" i="5" s="1"/>
  <c r="K12" i="5" s="1"/>
  <c r="I13" i="5"/>
  <c r="I14" i="5"/>
  <c r="J14" i="5" s="1"/>
  <c r="K14" i="5" s="1"/>
  <c r="I15" i="5"/>
  <c r="I16" i="5"/>
  <c r="I17" i="5"/>
  <c r="C23" i="5"/>
  <c r="D5" i="4"/>
  <c r="I18" i="4"/>
  <c r="I21" i="4"/>
  <c r="I20" i="4"/>
  <c r="I19" i="4"/>
  <c r="H5" i="4"/>
  <c r="I7" i="4"/>
  <c r="I8" i="4"/>
  <c r="I9" i="4"/>
  <c r="I10" i="4"/>
  <c r="I11" i="4"/>
  <c r="I12" i="4"/>
  <c r="I13" i="4"/>
  <c r="I14" i="4"/>
  <c r="H6" i="4"/>
  <c r="H7" i="4"/>
  <c r="H8" i="4"/>
  <c r="H9" i="4"/>
  <c r="H10" i="4"/>
  <c r="H11" i="4"/>
  <c r="H12" i="4"/>
  <c r="H13" i="4"/>
  <c r="H14" i="4"/>
  <c r="H2" i="4" a="1"/>
  <c r="H2" i="4" s="1"/>
  <c r="G7" i="4"/>
  <c r="G8" i="4"/>
  <c r="G9" i="4"/>
  <c r="G10" i="4"/>
  <c r="G11" i="4"/>
  <c r="G12" i="4"/>
  <c r="G13" i="4"/>
  <c r="G14" i="4"/>
  <c r="E6" i="4"/>
  <c r="G6" i="4" s="1"/>
  <c r="I6" i="4" s="1"/>
  <c r="E7" i="4"/>
  <c r="E8" i="4"/>
  <c r="E9" i="4"/>
  <c r="E10" i="4"/>
  <c r="E11" i="4"/>
  <c r="E12" i="4"/>
  <c r="E13" i="4"/>
  <c r="E14" i="4"/>
  <c r="E5" i="4"/>
  <c r="G5" i="4" s="1"/>
  <c r="I5" i="4" s="1"/>
  <c r="D6" i="4"/>
  <c r="D7" i="4"/>
  <c r="D8" i="4"/>
  <c r="D9" i="4"/>
  <c r="D10" i="4"/>
  <c r="D11" i="4"/>
  <c r="D12" i="4"/>
  <c r="D13" i="4"/>
  <c r="D14" i="4"/>
  <c r="M37" i="3"/>
  <c r="M36" i="3"/>
  <c r="M35" i="3"/>
  <c r="L37" i="3"/>
  <c r="L36" i="3"/>
  <c r="L35" i="3"/>
  <c r="H24" i="3"/>
  <c r="H25" i="3"/>
  <c r="H23" i="3"/>
  <c r="H6" i="3"/>
  <c r="H13" i="3"/>
  <c r="H14" i="3"/>
  <c r="H15" i="3"/>
  <c r="H16" i="3"/>
  <c r="H17" i="3"/>
  <c r="H18" i="3"/>
  <c r="H19" i="3"/>
  <c r="H20" i="3"/>
  <c r="H21" i="3"/>
  <c r="H12" i="3"/>
  <c r="H7" i="3"/>
  <c r="H8" i="3"/>
  <c r="H9" i="3"/>
  <c r="H10" i="3"/>
  <c r="G23" i="3"/>
  <c r="G24" i="3"/>
  <c r="G25" i="3"/>
  <c r="G13" i="3"/>
  <c r="G14" i="3"/>
  <c r="G15" i="3"/>
  <c r="G16" i="3"/>
  <c r="G17" i="3"/>
  <c r="G18" i="3"/>
  <c r="G19" i="3"/>
  <c r="G20" i="3"/>
  <c r="G21" i="3"/>
  <c r="G12" i="3"/>
  <c r="G7" i="3"/>
  <c r="G8" i="3"/>
  <c r="G9" i="3"/>
  <c r="G10" i="3"/>
  <c r="G6" i="3"/>
  <c r="F12" i="3"/>
  <c r="F13" i="3"/>
  <c r="F14" i="3"/>
  <c r="F15" i="3"/>
  <c r="F16" i="3"/>
  <c r="F17" i="3"/>
  <c r="F18" i="3"/>
  <c r="F19" i="3"/>
  <c r="F20" i="3"/>
  <c r="F21" i="3"/>
  <c r="F23" i="3"/>
  <c r="F24" i="3"/>
  <c r="F25" i="3"/>
  <c r="F7" i="3"/>
  <c r="F8" i="3"/>
  <c r="F9" i="3"/>
  <c r="F10" i="3"/>
  <c r="F6" i="3"/>
  <c r="T5" i="2" a="1"/>
  <c r="T5" i="2" s="1"/>
  <c r="H6" i="1"/>
  <c r="U6" i="2"/>
  <c r="U7" i="2"/>
  <c r="U8" i="2"/>
  <c r="V8" i="2" s="1"/>
  <c r="U9" i="2"/>
  <c r="V9" i="2" s="1"/>
  <c r="U10" i="2"/>
  <c r="U11" i="2"/>
  <c r="U12" i="2"/>
  <c r="U13" i="2"/>
  <c r="U14" i="2"/>
  <c r="S5" i="2" a="1"/>
  <c r="S5" i="2" s="1"/>
  <c r="T7" i="2" a="1"/>
  <c r="T7" i="2" s="1"/>
  <c r="T8" i="2" a="1"/>
  <c r="T8" i="2"/>
  <c r="T9" i="2" a="1"/>
  <c r="T9" i="2"/>
  <c r="T10" i="2" a="1"/>
  <c r="T10" i="2"/>
  <c r="T11" i="2" a="1"/>
  <c r="T11" i="2" s="1"/>
  <c r="T12" i="2" a="1"/>
  <c r="T12" i="2"/>
  <c r="T13" i="2" a="1"/>
  <c r="T13" i="2"/>
  <c r="T14" i="2" a="1"/>
  <c r="T14" i="2" s="1"/>
  <c r="T6" i="2" a="1"/>
  <c r="T6" i="2" s="1"/>
  <c r="S8" i="2" a="1"/>
  <c r="S8" i="2" s="1"/>
  <c r="S9" i="2" a="1"/>
  <c r="S9" i="2"/>
  <c r="S10" i="2" a="1"/>
  <c r="S10" i="2"/>
  <c r="S11" i="2" a="1"/>
  <c r="S11" i="2" s="1"/>
  <c r="S12" i="2" a="1"/>
  <c r="S12" i="2" s="1"/>
  <c r="S13" i="2" a="1"/>
  <c r="S13" i="2" s="1"/>
  <c r="S14" i="2" a="1"/>
  <c r="S14" i="2" s="1"/>
  <c r="S6" i="2" a="1"/>
  <c r="S6" i="2" s="1"/>
  <c r="S7" i="2" a="1"/>
  <c r="S7" i="2" s="1"/>
  <c r="R5" i="2"/>
  <c r="R6" i="2"/>
  <c r="R7" i="2"/>
  <c r="R8" i="2"/>
  <c r="R9" i="2"/>
  <c r="R10" i="2"/>
  <c r="R11" i="2"/>
  <c r="R12" i="2"/>
  <c r="R13" i="2"/>
  <c r="R14" i="2"/>
  <c r="J6" i="2"/>
  <c r="J7" i="2"/>
  <c r="J8" i="2"/>
  <c r="J9" i="2"/>
  <c r="J10" i="2"/>
  <c r="J11" i="2"/>
  <c r="J12" i="2"/>
  <c r="J13" i="2"/>
  <c r="J14" i="2"/>
  <c r="J5" i="2"/>
  <c r="K5" i="2"/>
  <c r="K6" i="2"/>
  <c r="K7" i="2"/>
  <c r="K8" i="2"/>
  <c r="K9" i="2"/>
  <c r="K10" i="2"/>
  <c r="K11" i="2"/>
  <c r="K12" i="2"/>
  <c r="K13" i="2"/>
  <c r="K14" i="2"/>
  <c r="I6" i="2"/>
  <c r="I7" i="2"/>
  <c r="I8" i="2"/>
  <c r="I9" i="2"/>
  <c r="I10" i="2"/>
  <c r="I11" i="2"/>
  <c r="I12" i="2"/>
  <c r="I13" i="2"/>
  <c r="I14" i="2"/>
  <c r="I5" i="2"/>
  <c r="H6" i="2"/>
  <c r="H7" i="2"/>
  <c r="H8" i="2"/>
  <c r="H9" i="2"/>
  <c r="H10" i="2"/>
  <c r="H11" i="2"/>
  <c r="H12" i="2"/>
  <c r="H13" i="2"/>
  <c r="H14" i="2"/>
  <c r="H5" i="2"/>
  <c r="G5" i="2"/>
  <c r="G6" i="2"/>
  <c r="G7" i="2"/>
  <c r="G8" i="2"/>
  <c r="G9" i="2"/>
  <c r="G10" i="2"/>
  <c r="G11" i="2"/>
  <c r="G12" i="2"/>
  <c r="G13" i="2"/>
  <c r="G14" i="2"/>
  <c r="F6" i="2"/>
  <c r="F7" i="2"/>
  <c r="F8" i="2"/>
  <c r="F9" i="2"/>
  <c r="F10" i="2"/>
  <c r="F11" i="2"/>
  <c r="F12" i="2"/>
  <c r="F13" i="2"/>
  <c r="F14" i="2"/>
  <c r="F5" i="2"/>
  <c r="M21" i="5" l="1"/>
  <c r="I23" i="5"/>
  <c r="U5" i="2"/>
  <c r="V10" i="2"/>
  <c r="V12" i="2"/>
  <c r="V11" i="2"/>
  <c r="V14" i="2"/>
  <c r="V7" i="2"/>
  <c r="V13" i="2"/>
  <c r="V6" i="2"/>
  <c r="L20" i="1"/>
  <c r="L19" i="1"/>
  <c r="L18" i="1"/>
  <c r="I6" i="1"/>
  <c r="I7" i="1"/>
  <c r="I8" i="1"/>
  <c r="I9" i="1"/>
  <c r="I10" i="1"/>
  <c r="I11" i="1"/>
  <c r="I12" i="1"/>
  <c r="I5" i="1"/>
  <c r="H7" i="1"/>
  <c r="H8" i="1"/>
  <c r="H9" i="1"/>
  <c r="H10" i="1"/>
  <c r="H11" i="1"/>
  <c r="H12" i="1"/>
  <c r="G6" i="1"/>
  <c r="G7" i="1"/>
  <c r="G8" i="1"/>
  <c r="G9" i="1"/>
  <c r="G10" i="1"/>
  <c r="G11" i="1"/>
  <c r="G12" i="1"/>
  <c r="G5" i="1"/>
  <c r="F6" i="1"/>
  <c r="F7" i="1"/>
  <c r="F8" i="1"/>
  <c r="F9" i="1"/>
  <c r="F10" i="1"/>
  <c r="F11" i="1"/>
  <c r="F12" i="1"/>
  <c r="F5" i="1"/>
  <c r="A18" i="1"/>
  <c r="A17" i="1"/>
  <c r="C6" i="1" s="1"/>
  <c r="A19" i="1"/>
  <c r="B6" i="1"/>
  <c r="B7" i="1"/>
  <c r="B8" i="1"/>
  <c r="B9" i="1"/>
  <c r="B10" i="1"/>
  <c r="B11" i="1"/>
  <c r="B12" i="1"/>
  <c r="B5" i="1"/>
  <c r="G20" i="1"/>
  <c r="G19" i="1"/>
  <c r="G18" i="1"/>
  <c r="G17" i="1"/>
  <c r="G16" i="1"/>
  <c r="L21" i="5" l="1"/>
  <c r="N21" i="5" s="1"/>
  <c r="AA17" i="2"/>
  <c r="AA18" i="2" s="1"/>
  <c r="V5" i="2"/>
  <c r="L17" i="1"/>
  <c r="L16" i="1"/>
  <c r="C11" i="1"/>
  <c r="C10" i="1"/>
  <c r="C9" i="1"/>
  <c r="C8" i="1"/>
  <c r="C5" i="1"/>
  <c r="C12" i="1"/>
  <c r="C7" i="1"/>
  <c r="Z18" i="2" l="1"/>
  <c r="X18" i="2"/>
  <c r="Y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<sst xmlns="http://schemas.openxmlformats.org/spreadsheetml/2006/main" count="338" uniqueCount="219">
  <si>
    <t>Mã</t>
  </si>
  <si>
    <t>lớp</t>
  </si>
  <si>
    <t>Họ tên</t>
  </si>
  <si>
    <t>Học phần</t>
  </si>
  <si>
    <t>Ca dạy</t>
  </si>
  <si>
    <t>Trong giờ</t>
  </si>
  <si>
    <t>Ngoài giờ</t>
  </si>
  <si>
    <t xml:space="preserve">Lý thuyết </t>
  </si>
  <si>
    <t>Số tiết</t>
  </si>
  <si>
    <t xml:space="preserve">Thực hành </t>
  </si>
  <si>
    <t>1 tiết</t>
  </si>
  <si>
    <t>Thù lao</t>
  </si>
  <si>
    <t>Tiền lãnh</t>
  </si>
  <si>
    <t>NL1-01</t>
  </si>
  <si>
    <t>NT1-01</t>
  </si>
  <si>
    <t>NT2-04</t>
  </si>
  <si>
    <t>CL2-09</t>
  </si>
  <si>
    <t>NL3-09</t>
  </si>
  <si>
    <t>CT3-05</t>
  </si>
  <si>
    <t>NL1-02</t>
  </si>
  <si>
    <t>x</t>
  </si>
  <si>
    <t>X</t>
  </si>
  <si>
    <t>Bảng 1</t>
  </si>
  <si>
    <t>Mã môn</t>
  </si>
  <si>
    <t>Tiền thù lao 1 tiết</t>
  </si>
  <si>
    <t>Lý thuyết</t>
  </si>
  <si>
    <t>Thực hành</t>
  </si>
  <si>
    <t xml:space="preserve">Lớp cơ sở </t>
  </si>
  <si>
    <t>Lớp chuyên đề</t>
  </si>
  <si>
    <t>Lớp lập trình</t>
  </si>
  <si>
    <t>Bảng 2</t>
  </si>
  <si>
    <t xml:space="preserve">Họ tên </t>
  </si>
  <si>
    <t>Nguyễn Văn Cao</t>
  </si>
  <si>
    <t>Phạm Ngọc Thịnh</t>
  </si>
  <si>
    <t>Nguyễn Bích Liên</t>
  </si>
  <si>
    <t>Võ Minh Thiện</t>
  </si>
  <si>
    <t>BẢNG TÍNH LƯƠNG GIÁO VIÊN</t>
  </si>
  <si>
    <t>Ma GV</t>
  </si>
  <si>
    <t>Tổng lãnh</t>
  </si>
  <si>
    <t>Mã số</t>
  </si>
  <si>
    <t>Họ</t>
  </si>
  <si>
    <t>Tên</t>
  </si>
  <si>
    <t>Ngày sinh</t>
  </si>
  <si>
    <t>Phái</t>
  </si>
  <si>
    <t>Giỏi</t>
  </si>
  <si>
    <t>TDTT</t>
  </si>
  <si>
    <t>VHNT</t>
  </si>
  <si>
    <t>Nghề</t>
  </si>
  <si>
    <t>Cộng</t>
  </si>
  <si>
    <t>Điểm thêm</t>
  </si>
  <si>
    <t>Điểm
KK</t>
  </si>
  <si>
    <t>Toán</t>
  </si>
  <si>
    <t>Văn</t>
  </si>
  <si>
    <t>Lý</t>
  </si>
  <si>
    <t>Hóa</t>
  </si>
  <si>
    <t>Anh</t>
  </si>
  <si>
    <t>Sử</t>
  </si>
  <si>
    <t>Điểm thi</t>
  </si>
  <si>
    <t>Tổng
Điểm</t>
  </si>
  <si>
    <t>Kết
Quả</t>
  </si>
  <si>
    <t>A</t>
  </si>
  <si>
    <t>B</t>
  </si>
  <si>
    <t>C</t>
  </si>
  <si>
    <t>Khối</t>
  </si>
  <si>
    <t>100TB</t>
  </si>
  <si>
    <t>220KH</t>
  </si>
  <si>
    <t>301GI</t>
  </si>
  <si>
    <t>201GI</t>
  </si>
  <si>
    <t>003KH</t>
  </si>
  <si>
    <t>000TB</t>
  </si>
  <si>
    <t>000XX</t>
  </si>
  <si>
    <t>011XX</t>
  </si>
  <si>
    <t>123KH</t>
  </si>
  <si>
    <t>030TB</t>
  </si>
  <si>
    <t>Lâm Đức</t>
  </si>
  <si>
    <t>Trí</t>
  </si>
  <si>
    <t>Nguyễn Thị</t>
  </si>
  <si>
    <t>Nghĩa</t>
  </si>
  <si>
    <t>Trần Hải</t>
  </si>
  <si>
    <t>Thanh</t>
  </si>
  <si>
    <t>Châu</t>
  </si>
  <si>
    <t>Nguyễn Thụy Ngọc</t>
  </si>
  <si>
    <t xml:space="preserve">Phan Thành </t>
  </si>
  <si>
    <t>Long</t>
  </si>
  <si>
    <t>Hải</t>
  </si>
  <si>
    <t>Võ Trường</t>
  </si>
  <si>
    <t>Nguyễn Ngọc</t>
  </si>
  <si>
    <t>Bích</t>
  </si>
  <si>
    <t>Thái Minh</t>
  </si>
  <si>
    <t>Lê Thu</t>
  </si>
  <si>
    <t>Trang</t>
  </si>
  <si>
    <t>Trần Chí</t>
  </si>
  <si>
    <t>Nam</t>
  </si>
  <si>
    <t>Nữ</t>
  </si>
  <si>
    <t>ĐIỂM THI</t>
  </si>
  <si>
    <t>KHỐI</t>
  </si>
  <si>
    <t>TỔNG
CỘNG</t>
  </si>
  <si>
    <t>TỶ LỆ (%)</t>
  </si>
  <si>
    <t>TỔNG SỐ HỌC
SINH</t>
  </si>
  <si>
    <t>STT</t>
  </si>
  <si>
    <t>TÊN</t>
  </si>
  <si>
    <t>CVỤ</t>
  </si>
  <si>
    <t>LCB</t>
  </si>
  <si>
    <t>NC</t>
  </si>
  <si>
    <t>LƯƠNG</t>
  </si>
  <si>
    <t>PHỤ CẤP</t>
  </si>
  <si>
    <t>THƯỞNG</t>
  </si>
  <si>
    <t>TẠM ỨNG</t>
  </si>
  <si>
    <t>CÒN LẠI</t>
  </si>
  <si>
    <t>TỔ BÁN HÀNG</t>
  </si>
  <si>
    <t>TỔ TIẾP THỊ</t>
  </si>
  <si>
    <t>TỔ THƯ KÝ</t>
  </si>
  <si>
    <t>TỔNG CỘNG</t>
  </si>
  <si>
    <t>HẠNH</t>
  </si>
  <si>
    <t>H.ANH</t>
  </si>
  <si>
    <t>THỦY</t>
  </si>
  <si>
    <t>HỒNG</t>
  </si>
  <si>
    <t>A.ĐÀO</t>
  </si>
  <si>
    <t>ĐỨC</t>
  </si>
  <si>
    <t>HIỆP</t>
  </si>
  <si>
    <t>LÂM</t>
  </si>
  <si>
    <t>CHI</t>
  </si>
  <si>
    <t>THẢO</t>
  </si>
  <si>
    <t>HÀO</t>
  </si>
  <si>
    <t>KIỆT</t>
  </si>
  <si>
    <t>TIẾN</t>
  </si>
  <si>
    <t>HOÀNG</t>
  </si>
  <si>
    <t>TRÍ</t>
  </si>
  <si>
    <t>VIÊN</t>
  </si>
  <si>
    <t>DUYÊN</t>
  </si>
  <si>
    <t>TRANG</t>
  </si>
  <si>
    <t>TT</t>
  </si>
  <si>
    <t>TP</t>
  </si>
  <si>
    <t>NV</t>
  </si>
  <si>
    <t>BH</t>
  </si>
  <si>
    <t>TK</t>
  </si>
  <si>
    <t>BẢNG LƯƠNG NHÂN VIÊN</t>
  </si>
  <si>
    <t>THÁNG 10/2013</t>
  </si>
  <si>
    <t>QUỸ LƯƠNG</t>
  </si>
  <si>
    <t>BẢNG HỆ SỐ</t>
  </si>
  <si>
    <t>TT/TP</t>
  </si>
  <si>
    <t>MA-NV</t>
  </si>
  <si>
    <t>Họ-tên</t>
  </si>
  <si>
    <t>Chức vụ</t>
  </si>
  <si>
    <t>L-NGÀY</t>
  </si>
  <si>
    <t>NG-CÔNG</t>
  </si>
  <si>
    <t>Thưởng</t>
  </si>
  <si>
    <t>Thực lĩnh</t>
  </si>
  <si>
    <t>BC01</t>
  </si>
  <si>
    <t>BP02</t>
  </si>
  <si>
    <t>FV03</t>
  </si>
  <si>
    <t>FC04</t>
  </si>
  <si>
    <t>FP05</t>
  </si>
  <si>
    <t>MC06</t>
  </si>
  <si>
    <t>MP07</t>
  </si>
  <si>
    <t>TV08</t>
  </si>
  <si>
    <t>TP09</t>
  </si>
  <si>
    <t>TC10</t>
  </si>
  <si>
    <t>Hà Xuân Trung</t>
  </si>
  <si>
    <t xml:space="preserve">Nguyễn Cao Phan </t>
  </si>
  <si>
    <t>Lê Ngọc Hân</t>
  </si>
  <si>
    <t>Mai Thị Hương</t>
  </si>
  <si>
    <t>Lý Duy Kỳ</t>
  </si>
  <si>
    <t>Trần Thành Long</t>
  </si>
  <si>
    <t xml:space="preserve">Hoảng Trọng Thi </t>
  </si>
  <si>
    <t xml:space="preserve">Cao Thành Tâm </t>
  </si>
  <si>
    <t>Nguyễn Nhân</t>
  </si>
  <si>
    <t>Bửu Lâm</t>
  </si>
  <si>
    <t>Tổng số ngày làm thêm:</t>
  </si>
  <si>
    <t>Tổng Quỹ thưởng :</t>
  </si>
  <si>
    <t>Phòng ban</t>
  </si>
  <si>
    <t>Mã P-Ban</t>
  </si>
  <si>
    <t>P-Ban</t>
  </si>
  <si>
    <t>F</t>
  </si>
  <si>
    <t>T</t>
  </si>
  <si>
    <t>M</t>
  </si>
  <si>
    <t>Kinh doanh</t>
  </si>
  <si>
    <t>Tài vụ</t>
  </si>
  <si>
    <t>Tiếp thị</t>
  </si>
  <si>
    <t>Kho vận</t>
  </si>
  <si>
    <t>Chức vụ &amp; Lương</t>
  </si>
  <si>
    <t>Mã Chức vụ</t>
  </si>
  <si>
    <t>L-ngày</t>
  </si>
  <si>
    <t>P</t>
  </si>
  <si>
    <t>V</t>
  </si>
  <si>
    <t>PP</t>
  </si>
  <si>
    <t>Phòng</t>
  </si>
  <si>
    <t>Tổng kết thưởng</t>
  </si>
  <si>
    <t>Stt</t>
  </si>
  <si>
    <t>Căn bản</t>
  </si>
  <si>
    <t>Windows</t>
  </si>
  <si>
    <t>Word</t>
  </si>
  <si>
    <t>Excel</t>
  </si>
  <si>
    <t>Access1</t>
  </si>
  <si>
    <t>Access2</t>
  </si>
  <si>
    <t>Ts tiết</t>
  </si>
  <si>
    <t>Học phí</t>
  </si>
  <si>
    <t>Giảm</t>
  </si>
  <si>
    <t>Học phí / Tiết</t>
  </si>
  <si>
    <t>Lê Đình Tuấn</t>
  </si>
  <si>
    <t>Hà Thúc Anh Hào</t>
  </si>
  <si>
    <t>Văn Thông Thái</t>
  </si>
  <si>
    <t>Nguyễn Thanh Xuân</t>
  </si>
  <si>
    <t>Võ Minh Thi</t>
  </si>
  <si>
    <t>Trương Văn Hinh</t>
  </si>
  <si>
    <t>Nguyễn Minh Khôi</t>
  </si>
  <si>
    <t>Lý Thanh Hoa</t>
  </si>
  <si>
    <t>Phan Quang Đức</t>
  </si>
  <si>
    <t>Quan Thục Phấn</t>
  </si>
  <si>
    <t>Doãn Chí Bình</t>
  </si>
  <si>
    <t>Tăng Chí Giang</t>
  </si>
  <si>
    <t>Tổng cộng</t>
  </si>
  <si>
    <t>Số tiền giảm</t>
  </si>
  <si>
    <t>Ts tiền HP</t>
  </si>
  <si>
    <t>Tỷ lệ</t>
  </si>
  <si>
    <t>Số học viên</t>
  </si>
  <si>
    <t>BẢNG HỌC PHÍ VÀ TIỀN GIẢM</t>
  </si>
  <si>
    <t>Nguyễn Mạnh Cường</t>
  </si>
  <si>
    <t>Được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</si>
</sst>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Arial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/>
    <xf numFmtId="14" fontId="1" fillId="0" borderId="5" xfId="0" applyNumberFormat="1" applyFont="1" applyBorder="1"/>
    <xf numFmtId="0" fontId="2" fillId="0" borderId="5" xfId="0" applyFon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/>
    </xf>
    <xf numFmtId="0" fontId="1" fillId="0" borderId="6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/>
    <xf numFmtId="0" fontId="1" fillId="0" borderId="16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17/10/relationships/person" Target="persons/person2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10/relationships/person" Target="persons/pers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'BT2'!$W$17</c:f>
              <c:strCache>
                <c:ptCount val="1"/>
                <c:pt idx="0">
                  <c:v>TỔNG SỐ HỌC
SINH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09B-4149-927A-C41823FE7A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9B-4149-927A-C41823FE7A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09B-4149-927A-C41823FE7A07}"/>
              </c:ext>
            </c:extLst>
          </c:dPt>
          <c:cat>
            <c:strRef>
              <c:f>'BT2'!$X$16:$Z$16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'BT2'!$X$17:$Z$17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02-4F5F-A646-FE7A4D716422}"/>
            </c:ext>
          </c:extLst>
        </c:ser>
        <c:ser>
          <c:idx val="1"/>
          <c:order val="1"/>
          <c:tx>
            <c:strRef>
              <c:f>'BT2'!$W$18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09B-4149-927A-C41823FE7A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09B-4149-927A-C41823FE7A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09B-4149-927A-C41823FE7A07}"/>
              </c:ext>
            </c:extLst>
          </c:dPt>
          <c:cat>
            <c:strRef>
              <c:f>'BT2'!$X$16:$Z$16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'BT2'!$X$18:$Z$18</c:f>
              <c:numCache>
                <c:formatCode>General</c:formatCode>
                <c:ptCount val="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02-4F5F-A646-FE7A4D716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384175</xdr:colOff>
      <xdr:row>15</xdr:row>
      <xdr:rowOff>31750</xdr:rowOff>
    </xdr:from>
    <xdr:to>
      <xdr:col>21</xdr:col>
      <xdr:colOff>79375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54B3B2-0979-15D7-5A47-E3532BF1C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57150</xdr:rowOff>
    </xdr:from>
    <xdr:to>
      <xdr:col>4</xdr:col>
      <xdr:colOff>177800</xdr:colOff>
      <xdr:row>2</xdr:row>
      <xdr:rowOff>12700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11FF843-5EFD-51BC-6623-AF6E97D661AC}"/>
            </a:ext>
          </a:extLst>
        </xdr:cNvPr>
        <xdr:cNvSpPr/>
      </xdr:nvSpPr>
      <xdr:spPr>
        <a:xfrm>
          <a:off x="165100" y="57150"/>
          <a:ext cx="3054350" cy="336550"/>
        </a:xfrm>
        <a:prstGeom prst="roundRect">
          <a:avLst/>
        </a:prstGeom>
        <a:solidFill>
          <a:sysClr val="window" lastClr="FFFFFF"/>
        </a:solidFill>
        <a:effectLst>
          <a:outerShdw dist="38100" dir="3600000" algn="tl" rotWithShape="0">
            <a:prstClr val="black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6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</a:t>
          </a:r>
          <a:r>
            <a:rPr lang="vi-VN" sz="16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BẢNG LƯƠNG THÁNG 11</a:t>
          </a:r>
        </a:p>
        <a:p>
          <a:pPr algn="l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FAA8-E4A3-4C95-9BF4-711C519252A2}">
  <dimension ref="A1:L21"/>
  <sheetViews>
    <sheetView workbookViewId="0">
      <selection activeCell="L19" sqref="L19"/>
    </sheetView>
  </sheetViews>
  <sheetFormatPr defaultRowHeight="14" x14ac:dyDescent="0.3"/>
  <cols>
    <col min="1" max="1" width="8.7265625" style="1"/>
    <col min="2" max="2" width="20.08984375" style="1" bestFit="1" customWidth="1"/>
    <col min="3" max="3" width="16.6328125" style="1" bestFit="1" customWidth="1"/>
    <col min="4" max="4" width="10.1796875" style="1" bestFit="1" customWidth="1"/>
    <col min="5" max="5" width="9.1796875" style="1" bestFit="1" customWidth="1"/>
    <col min="6" max="6" width="9.6328125" style="1" bestFit="1" customWidth="1"/>
    <col min="7" max="7" width="10.81640625" style="1" bestFit="1" customWidth="1"/>
    <col min="8" max="8" width="20.08984375" style="1" bestFit="1" customWidth="1"/>
    <col min="9" max="9" width="9" style="1" bestFit="1" customWidth="1"/>
    <col min="10" max="11" width="8.7265625" style="1"/>
    <col min="12" max="12" width="11.36328125" style="1" customWidth="1"/>
    <col min="13" max="16384" width="8.7265625" style="1"/>
  </cols>
  <sheetData>
    <row r="1" spans="1:12" ht="15.5" customHeight="1" x14ac:dyDescent="0.3">
      <c r="A1" s="32" t="s">
        <v>36</v>
      </c>
      <c r="B1" s="32"/>
      <c r="C1" s="32"/>
      <c r="D1" s="32"/>
      <c r="E1" s="32"/>
      <c r="F1" s="32"/>
      <c r="G1" s="32"/>
      <c r="H1" s="32"/>
      <c r="I1" s="32"/>
    </row>
    <row r="2" spans="1:12" ht="14.5" thickBot="1" x14ac:dyDescent="0.35"/>
    <row r="3" spans="1:12" ht="15" thickTop="1" thickBot="1" x14ac:dyDescent="0.35">
      <c r="A3" s="6" t="s">
        <v>0</v>
      </c>
      <c r="B3" s="6" t="s">
        <v>2</v>
      </c>
      <c r="C3" s="6" t="s">
        <v>3</v>
      </c>
      <c r="D3" s="7" t="s">
        <v>4</v>
      </c>
      <c r="E3" s="7"/>
      <c r="F3" s="7" t="s">
        <v>8</v>
      </c>
      <c r="G3" s="7"/>
      <c r="H3" s="6" t="s">
        <v>11</v>
      </c>
      <c r="I3" s="6" t="s">
        <v>12</v>
      </c>
    </row>
    <row r="4" spans="1:12" ht="15" thickTop="1" thickBot="1" x14ac:dyDescent="0.35">
      <c r="A4" s="8" t="s">
        <v>1</v>
      </c>
      <c r="B4" s="8"/>
      <c r="C4" s="8"/>
      <c r="D4" s="7" t="s">
        <v>5</v>
      </c>
      <c r="E4" s="7" t="s">
        <v>6</v>
      </c>
      <c r="F4" s="7" t="s">
        <v>7</v>
      </c>
      <c r="G4" s="7" t="s">
        <v>9</v>
      </c>
      <c r="H4" s="8" t="s">
        <v>10</v>
      </c>
      <c r="I4" s="8"/>
    </row>
    <row r="5" spans="1:12" ht="15" thickTop="1" thickBot="1" x14ac:dyDescent="0.35">
      <c r="A5" s="2" t="s">
        <v>13</v>
      </c>
      <c r="B5" s="2" t="str">
        <f>VLOOKUP(RIGHT(A5,1),$G$15:$I$20,2,0)</f>
        <v>Nguyễn Văn Cao</v>
      </c>
      <c r="C5" s="2" t="str">
        <f>VLOOKUP(MID(A5,3,1),$A$15:$B$19,2,0)</f>
        <v xml:space="preserve">Lớp cơ sở </v>
      </c>
      <c r="D5" s="2" t="s">
        <v>21</v>
      </c>
      <c r="E5" s="2"/>
      <c r="F5" s="2">
        <f>IF(MID(A5,2,1)="L",VLOOKUP(C5,$B$15:$E$19,4,0),"")</f>
        <v>48</v>
      </c>
      <c r="G5" s="2" t="str">
        <f>IF(AND(MID(A5,2,1)="T",MID(A5,3,1)="3"),40,IF(MID(A5,2,1)="T",VLOOKUP(C5,$B$15:$E$19,4,0),""))</f>
        <v/>
      </c>
      <c r="H5" s="2">
        <f>IF(COUNTA(D5)=1,VLOOKUP(MID(A5,3,1),$A$15:$D$19,IF(MID(A5,2,1)="L",3,4)),INT(VLOOKUP(MID(A5,3,1),$A$15:$D$19,IF(MID(A5,2,1)="L",3,4))*1.02))</f>
        <v>25000</v>
      </c>
      <c r="I5" s="2">
        <f>PRODUCT(F5,H5) + PRODUCT(G5,H5)</f>
        <v>1225000</v>
      </c>
    </row>
    <row r="6" spans="1:12" ht="15" thickTop="1" thickBot="1" x14ac:dyDescent="0.35">
      <c r="A6" s="2" t="s">
        <v>14</v>
      </c>
      <c r="B6" s="2" t="str">
        <f t="shared" ref="B6:B12" si="0">VLOOKUP(RIGHT(A6,1),$G$15:$I$20,2,0)</f>
        <v>Nguyễn Văn Cao</v>
      </c>
      <c r="C6" s="2" t="str">
        <f t="shared" ref="C6:C12" si="1">VLOOKUP(MID(A6,3,1),$A$15:$B$19,2,0)</f>
        <v xml:space="preserve">Lớp cơ sở </v>
      </c>
      <c r="D6" s="2"/>
      <c r="E6" s="2" t="s">
        <v>21</v>
      </c>
      <c r="F6" s="2" t="str">
        <f t="shared" ref="F6:F12" si="2">IF(MID(A6,2,1)="L",VLOOKUP(C6,$B$15:$E$19,4,0),"")</f>
        <v/>
      </c>
      <c r="G6" s="2">
        <f t="shared" ref="G6:G12" si="3">IF(AND(MID(A6,2,1)="T",MID(A6,3,1)="3"),40,IF(MID(A6,2,1)="T",VLOOKUP(C6,$B$15:$E$19,4,0),""))</f>
        <v>48</v>
      </c>
      <c r="H6" s="2">
        <f>IF(COUNTA(D6)=1,VLOOKUP(MID(A6,3,1),$A$15:$D$19,IF(MID(A6,2,1)="L",3,4)),INT(VLOOKUP(MID(A6,3,1),$A$15:$D$19,IF(MID(A6,2,1)="L",3,4))*1.02))</f>
        <v>20400</v>
      </c>
      <c r="I6" s="2">
        <f t="shared" ref="I6:I12" si="4">PRODUCT(F6,H6) + PRODUCT(G6,H6)</f>
        <v>999600</v>
      </c>
    </row>
    <row r="7" spans="1:12" ht="15" thickTop="1" thickBot="1" x14ac:dyDescent="0.35">
      <c r="A7" s="2" t="s">
        <v>15</v>
      </c>
      <c r="B7" s="2" t="str">
        <f t="shared" si="0"/>
        <v>Nguyễn Mạnh Cường</v>
      </c>
      <c r="C7" s="2" t="str">
        <f t="shared" si="1"/>
        <v>Lớp chuyên đề</v>
      </c>
      <c r="D7" s="2" t="s">
        <v>21</v>
      </c>
      <c r="E7" s="2"/>
      <c r="F7" s="2" t="str">
        <f t="shared" si="2"/>
        <v/>
      </c>
      <c r="G7" s="2">
        <f t="shared" si="3"/>
        <v>48</v>
      </c>
      <c r="H7" s="2">
        <f t="shared" ref="H7:H12" si="5">IF(COUNTA(D7)=1,VLOOKUP(MID(A7,3,1),$A$15:$D$19,IF(MID(A7,2,1)="L",3,4)),INT(VLOOKUP(MID(A7,3,1),$A$15:$D$19,IF(MID(A7,2,1)="L",3,4))*1.02))</f>
        <v>25000</v>
      </c>
      <c r="I7" s="2">
        <f t="shared" si="4"/>
        <v>1225000</v>
      </c>
    </row>
    <row r="8" spans="1:12" ht="15" thickTop="1" thickBot="1" x14ac:dyDescent="0.35">
      <c r="A8" s="2" t="s">
        <v>16</v>
      </c>
      <c r="B8" s="2" t="str">
        <f t="shared" si="0"/>
        <v>Võ Minh Thiện</v>
      </c>
      <c r="C8" s="2" t="str">
        <f t="shared" si="1"/>
        <v>Lớp chuyên đề</v>
      </c>
      <c r="D8" s="2" t="s">
        <v>21</v>
      </c>
      <c r="E8" s="2"/>
      <c r="F8" s="2">
        <f t="shared" si="2"/>
        <v>48</v>
      </c>
      <c r="G8" s="2" t="str">
        <f t="shared" si="3"/>
        <v/>
      </c>
      <c r="H8" s="2">
        <f t="shared" si="5"/>
        <v>45000</v>
      </c>
      <c r="I8" s="2">
        <f t="shared" si="4"/>
        <v>2205000</v>
      </c>
    </row>
    <row r="9" spans="1:12" ht="15" thickTop="1" thickBot="1" x14ac:dyDescent="0.35">
      <c r="A9" s="2" t="s">
        <v>17</v>
      </c>
      <c r="B9" s="2" t="str">
        <f t="shared" si="0"/>
        <v>Võ Minh Thiện</v>
      </c>
      <c r="C9" s="2" t="str">
        <f t="shared" si="1"/>
        <v>Lớp lập trình</v>
      </c>
      <c r="D9" s="2"/>
      <c r="E9" s="2" t="s">
        <v>21</v>
      </c>
      <c r="F9" s="2">
        <f t="shared" si="2"/>
        <v>50</v>
      </c>
      <c r="G9" s="2" t="str">
        <f t="shared" si="3"/>
        <v/>
      </c>
      <c r="H9" s="2">
        <f t="shared" si="5"/>
        <v>35700</v>
      </c>
      <c r="I9" s="2">
        <f t="shared" si="4"/>
        <v>1820700</v>
      </c>
    </row>
    <row r="10" spans="1:12" ht="15" thickTop="1" thickBot="1" x14ac:dyDescent="0.35">
      <c r="A10" s="2" t="s">
        <v>18</v>
      </c>
      <c r="B10" s="2" t="str">
        <f t="shared" si="0"/>
        <v>Nguyễn Bích Liên</v>
      </c>
      <c r="C10" s="2" t="str">
        <f t="shared" si="1"/>
        <v>Lớp lập trình</v>
      </c>
      <c r="D10" s="2" t="s">
        <v>21</v>
      </c>
      <c r="E10" s="2"/>
      <c r="F10" s="2" t="str">
        <f t="shared" si="2"/>
        <v/>
      </c>
      <c r="G10" s="2">
        <f t="shared" si="3"/>
        <v>40</v>
      </c>
      <c r="H10" s="2">
        <f t="shared" si="5"/>
        <v>20000</v>
      </c>
      <c r="I10" s="2">
        <f t="shared" si="4"/>
        <v>820000</v>
      </c>
    </row>
    <row r="11" spans="1:12" ht="15" thickTop="1" thickBot="1" x14ac:dyDescent="0.35">
      <c r="A11" s="2" t="s">
        <v>13</v>
      </c>
      <c r="B11" s="2" t="str">
        <f t="shared" si="0"/>
        <v>Nguyễn Văn Cao</v>
      </c>
      <c r="C11" s="2" t="str">
        <f t="shared" si="1"/>
        <v xml:space="preserve">Lớp cơ sở </v>
      </c>
      <c r="D11" s="2" t="s">
        <v>21</v>
      </c>
      <c r="E11" s="2"/>
      <c r="F11" s="2">
        <f t="shared" si="2"/>
        <v>48</v>
      </c>
      <c r="G11" s="2" t="str">
        <f t="shared" si="3"/>
        <v/>
      </c>
      <c r="H11" s="2">
        <f t="shared" si="5"/>
        <v>25000</v>
      </c>
      <c r="I11" s="2">
        <f t="shared" si="4"/>
        <v>1225000</v>
      </c>
    </row>
    <row r="12" spans="1:12" ht="15" thickTop="1" thickBot="1" x14ac:dyDescent="0.35">
      <c r="A12" s="2" t="s">
        <v>19</v>
      </c>
      <c r="B12" s="2" t="str">
        <f t="shared" si="0"/>
        <v>Phạm Ngọc Thịnh</v>
      </c>
      <c r="C12" s="2" t="str">
        <f t="shared" si="1"/>
        <v xml:space="preserve">Lớp cơ sở </v>
      </c>
      <c r="D12" s="2" t="s">
        <v>21</v>
      </c>
      <c r="E12" s="2"/>
      <c r="F12" s="2">
        <f t="shared" si="2"/>
        <v>48</v>
      </c>
      <c r="G12" s="2" t="str">
        <f t="shared" si="3"/>
        <v/>
      </c>
      <c r="H12" s="2">
        <f t="shared" si="5"/>
        <v>25000</v>
      </c>
      <c r="I12" s="2">
        <f t="shared" si="4"/>
        <v>1225000</v>
      </c>
    </row>
    <row r="13" spans="1:12" ht="14.5" thickTop="1" x14ac:dyDescent="0.3"/>
    <row r="14" spans="1:12" ht="14.5" thickBot="1" x14ac:dyDescent="0.35">
      <c r="A14" s="1" t="s">
        <v>22</v>
      </c>
      <c r="G14" s="1" t="s">
        <v>30</v>
      </c>
    </row>
    <row r="15" spans="1:12" ht="15" thickTop="1" thickBot="1" x14ac:dyDescent="0.35">
      <c r="A15" s="4" t="s">
        <v>23</v>
      </c>
      <c r="B15" s="4" t="s">
        <v>3</v>
      </c>
      <c r="C15" s="31" t="s">
        <v>24</v>
      </c>
      <c r="D15" s="31"/>
      <c r="E15" s="2" t="s">
        <v>8</v>
      </c>
      <c r="G15" s="2" t="s">
        <v>37</v>
      </c>
      <c r="H15" s="31" t="s">
        <v>31</v>
      </c>
      <c r="I15" s="31"/>
      <c r="K15" s="9" t="s">
        <v>37</v>
      </c>
      <c r="L15" s="9" t="s">
        <v>38</v>
      </c>
    </row>
    <row r="16" spans="1:12" ht="15" thickTop="1" thickBot="1" x14ac:dyDescent="0.35">
      <c r="A16" s="5"/>
      <c r="B16" s="5"/>
      <c r="C16" s="2" t="s">
        <v>25</v>
      </c>
      <c r="D16" s="2" t="s">
        <v>26</v>
      </c>
      <c r="E16" s="5"/>
      <c r="G16" s="30" t="str">
        <f>"1"</f>
        <v>1</v>
      </c>
      <c r="H16" s="31" t="s">
        <v>32</v>
      </c>
      <c r="I16" s="31"/>
      <c r="K16" s="9">
        <v>1</v>
      </c>
      <c r="L16" s="9">
        <f ca="1">SUMIF(B5:I12,"Nguyễn Văn Cao",I5:I12)</f>
        <v>3449600</v>
      </c>
    </row>
    <row r="17" spans="1:12" ht="15" thickTop="1" thickBot="1" x14ac:dyDescent="0.35">
      <c r="A17" s="30" t="str">
        <f>"1"</f>
        <v>1</v>
      </c>
      <c r="B17" s="2" t="s">
        <v>27</v>
      </c>
      <c r="C17" s="2">
        <v>25000</v>
      </c>
      <c r="D17" s="2">
        <v>20000</v>
      </c>
      <c r="E17" s="2">
        <v>48</v>
      </c>
      <c r="G17" s="30" t="str">
        <f>"2"</f>
        <v>2</v>
      </c>
      <c r="H17" s="31" t="s">
        <v>33</v>
      </c>
      <c r="I17" s="31"/>
      <c r="K17" s="9">
        <v>2</v>
      </c>
      <c r="L17" s="9">
        <f ca="1">SUMIF(B5:I12,"Phạm Ngọc Thịnh",I5:I12)</f>
        <v>1225000</v>
      </c>
    </row>
    <row r="18" spans="1:12" ht="15" thickTop="1" thickBot="1" x14ac:dyDescent="0.35">
      <c r="A18" s="30" t="str">
        <f>"2"</f>
        <v>2</v>
      </c>
      <c r="B18" s="2" t="s">
        <v>28</v>
      </c>
      <c r="C18" s="2">
        <v>45000</v>
      </c>
      <c r="D18" s="2">
        <v>25000</v>
      </c>
      <c r="E18" s="2">
        <v>48</v>
      </c>
      <c r="G18" s="30" t="str">
        <f>"4"</f>
        <v>4</v>
      </c>
      <c r="H18" s="31" t="s">
        <v>217</v>
      </c>
      <c r="I18" s="31"/>
      <c r="K18" s="9">
        <v>4</v>
      </c>
      <c r="L18" s="9">
        <f ca="1">SUMIF(B5:I12,"Nguyễn Mạnh Cường",I5:I12)</f>
        <v>1225000</v>
      </c>
    </row>
    <row r="19" spans="1:12" ht="15" thickTop="1" thickBot="1" x14ac:dyDescent="0.35">
      <c r="A19" s="30" t="str">
        <f>"3"</f>
        <v>3</v>
      </c>
      <c r="B19" s="2" t="s">
        <v>29</v>
      </c>
      <c r="C19" s="2">
        <v>35000</v>
      </c>
      <c r="D19" s="2">
        <v>20000</v>
      </c>
      <c r="E19" s="2">
        <v>50</v>
      </c>
      <c r="G19" s="30" t="str">
        <f>"5"</f>
        <v>5</v>
      </c>
      <c r="H19" s="31" t="s">
        <v>34</v>
      </c>
      <c r="I19" s="31"/>
      <c r="K19" s="9">
        <v>5</v>
      </c>
      <c r="L19" s="9">
        <f ca="1">SUMIF(B5:I12,"Nguyễn Bích Liên",I5:I12)</f>
        <v>820000</v>
      </c>
    </row>
    <row r="20" spans="1:12" ht="15" thickTop="1" thickBot="1" x14ac:dyDescent="0.35">
      <c r="G20" s="30" t="str">
        <f>"9"</f>
        <v>9</v>
      </c>
      <c r="H20" s="31" t="s">
        <v>35</v>
      </c>
      <c r="I20" s="31"/>
      <c r="K20" s="9">
        <v>9</v>
      </c>
      <c r="L20" s="9">
        <f ca="1">SUMIF(B5:I12,"Võ Minh Thiện",I5:I12)</f>
        <v>4025700</v>
      </c>
    </row>
    <row r="21" spans="1:12" ht="14.5" thickTop="1" x14ac:dyDescent="0.3"/>
  </sheetData>
  <mergeCells count="8">
    <mergeCell ref="H18:I18"/>
    <mergeCell ref="H19:I19"/>
    <mergeCell ref="H20:I20"/>
    <mergeCell ref="A1:I1"/>
    <mergeCell ref="C15:D15"/>
    <mergeCell ref="H15:I15"/>
    <mergeCell ref="H16:I16"/>
    <mergeCell ref="H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328D-DA37-4F40-8F58-0DF16370C938}">
  <dimension ref="A1:AA18"/>
  <sheetViews>
    <sheetView topLeftCell="F1" workbookViewId="0">
      <selection activeCell="X10" sqref="X10"/>
    </sheetView>
  </sheetViews>
  <sheetFormatPr defaultRowHeight="14" x14ac:dyDescent="0.3"/>
  <cols>
    <col min="1" max="1" width="8.7265625" style="1"/>
    <col min="2" max="2" width="17.81640625" style="1" bestFit="1" customWidth="1"/>
    <col min="3" max="3" width="6.36328125" style="1" bestFit="1" customWidth="1"/>
    <col min="4" max="4" width="11" style="1" bestFit="1" customWidth="1"/>
    <col min="5" max="5" width="4.90625" style="1" bestFit="1" customWidth="1"/>
    <col min="6" max="10" width="8.7265625" style="1"/>
    <col min="11" max="11" width="5.36328125" style="1" bestFit="1" customWidth="1"/>
    <col min="12" max="12" width="5.26953125" style="1" bestFit="1" customWidth="1"/>
    <col min="13" max="13" width="5.6328125" style="1" customWidth="1"/>
    <col min="14" max="14" width="5.08984375" style="1" customWidth="1"/>
    <col min="15" max="15" width="5.6328125" style="1" customWidth="1"/>
    <col min="16" max="16" width="5.36328125" style="1" customWidth="1"/>
    <col min="17" max="17" width="4.90625" style="1" customWidth="1"/>
    <col min="18" max="18" width="8.7265625" style="1"/>
    <col min="19" max="19" width="8.36328125" style="1" bestFit="1" customWidth="1"/>
    <col min="20" max="21" width="3.36328125" style="1" customWidth="1"/>
    <col min="22" max="22" width="3.26953125" style="1" customWidth="1"/>
    <col min="23" max="23" width="14.08984375" style="1" customWidth="1"/>
    <col min="24" max="16384" width="8.7265625" style="1"/>
  </cols>
  <sheetData>
    <row r="1" spans="1:27" ht="23" x14ac:dyDescent="0.5">
      <c r="G1" s="35" t="s">
        <v>94</v>
      </c>
      <c r="H1" s="36"/>
      <c r="I1" s="36"/>
    </row>
    <row r="2" spans="1:27" ht="14.5" thickBot="1" x14ac:dyDescent="0.35"/>
    <row r="3" spans="1:27" ht="14.5" thickBot="1" x14ac:dyDescent="0.35">
      <c r="A3" s="34" t="s">
        <v>39</v>
      </c>
      <c r="B3" s="34" t="s">
        <v>40</v>
      </c>
      <c r="C3" s="34" t="s">
        <v>41</v>
      </c>
      <c r="D3" s="34" t="s">
        <v>42</v>
      </c>
      <c r="E3" s="34" t="s">
        <v>43</v>
      </c>
      <c r="F3" s="34" t="s">
        <v>49</v>
      </c>
      <c r="G3" s="34"/>
      <c r="H3" s="34"/>
      <c r="I3" s="34"/>
      <c r="J3" s="34"/>
      <c r="K3" s="33" t="s">
        <v>50</v>
      </c>
      <c r="L3" s="34" t="s">
        <v>57</v>
      </c>
      <c r="M3" s="34"/>
      <c r="N3" s="34"/>
      <c r="O3" s="34"/>
      <c r="P3" s="34"/>
      <c r="Q3" s="34"/>
      <c r="R3" s="33" t="s">
        <v>58</v>
      </c>
      <c r="S3" s="33" t="s">
        <v>59</v>
      </c>
      <c r="T3" s="34" t="s">
        <v>63</v>
      </c>
      <c r="U3" s="34"/>
      <c r="V3" s="34"/>
    </row>
    <row r="4" spans="1:27" ht="17" customHeight="1" thickBot="1" x14ac:dyDescent="0.35">
      <c r="A4" s="34"/>
      <c r="B4" s="34"/>
      <c r="C4" s="34"/>
      <c r="D4" s="34"/>
      <c r="E4" s="34"/>
      <c r="F4" s="10" t="s">
        <v>44</v>
      </c>
      <c r="G4" s="10" t="s">
        <v>45</v>
      </c>
      <c r="H4" s="10" t="s">
        <v>46</v>
      </c>
      <c r="I4" s="10" t="s">
        <v>47</v>
      </c>
      <c r="J4" s="10" t="s">
        <v>48</v>
      </c>
      <c r="K4" s="34"/>
      <c r="L4" s="10" t="s">
        <v>51</v>
      </c>
      <c r="M4" s="10" t="s">
        <v>52</v>
      </c>
      <c r="N4" s="10" t="s">
        <v>53</v>
      </c>
      <c r="O4" s="10" t="s">
        <v>54</v>
      </c>
      <c r="P4" s="10" t="s">
        <v>55</v>
      </c>
      <c r="Q4" s="10" t="s">
        <v>56</v>
      </c>
      <c r="R4" s="34"/>
      <c r="S4" s="34"/>
      <c r="T4" s="10" t="s">
        <v>60</v>
      </c>
      <c r="U4" s="10" t="s">
        <v>61</v>
      </c>
      <c r="V4" s="10" t="s">
        <v>62</v>
      </c>
    </row>
    <row r="5" spans="1:27" ht="14.5" thickBot="1" x14ac:dyDescent="0.35">
      <c r="A5" s="12" t="s">
        <v>64</v>
      </c>
      <c r="B5" s="12" t="s">
        <v>74</v>
      </c>
      <c r="C5" s="12" t="s">
        <v>75</v>
      </c>
      <c r="D5" s="13">
        <v>33272</v>
      </c>
      <c r="E5" s="12" t="s">
        <v>92</v>
      </c>
      <c r="F5" s="12">
        <f t="shared" ref="F5:F14" si="0">IF(LEFT(A5,1)="1",2,IF(LEFT(A5,1)="2",1.5,IF(LEFT(A5,1)="3",1,0)))</f>
        <v>2</v>
      </c>
      <c r="G5" s="12">
        <f>IF(MID(A5,2,1)="1",2,IF(MID(A5,2,1)="2",1.5,IF(MID(A5,2,1)="3",1,0)))</f>
        <v>0</v>
      </c>
      <c r="H5" s="12">
        <f>IF(MID(A5,3,1)="1",2,IF(MID(A5,3,1)="2",1.5,IF(MID(A5,3,1)="3",1,0)))</f>
        <v>0</v>
      </c>
      <c r="I5" s="12">
        <f>IF(RIGHT(A5,2)="GI",2,IF(RIGHT(A5,2)="KH",1.5,IF(RIGHT(A5,2)="TB",1,0)))</f>
        <v>1</v>
      </c>
      <c r="J5" s="12">
        <f>IF(AND(F5&gt;0,G5&gt;0,H5&gt;0,I5&gt;0,SUM(F5:I5)&lt;5),SUM(F5:I5),IF(AND(F5&gt;0,G5&gt;0,H5&gt;0,I5&gt;0,SUM(F5:I5)&gt;5),5,0))</f>
        <v>0</v>
      </c>
      <c r="K5" s="12">
        <f>IF(AND(E5="Nữ",2004-YEAR(D5)&lt;15),1,0)</f>
        <v>0</v>
      </c>
      <c r="L5" s="12">
        <v>6</v>
      </c>
      <c r="M5" s="12">
        <v>7</v>
      </c>
      <c r="N5" s="12">
        <v>8</v>
      </c>
      <c r="O5" s="12">
        <v>5</v>
      </c>
      <c r="P5" s="12">
        <v>5</v>
      </c>
      <c r="Q5" s="12">
        <v>5</v>
      </c>
      <c r="R5" s="12">
        <f>SUM(J5:Q5)</f>
        <v>36</v>
      </c>
      <c r="S5" s="12" t="str" cm="1">
        <f t="array" ref="S5">IF(AND(R5&gt;=55,L5:Q5&gt;=7),"GIỎI",IF(AND(R5&gt;=45,R5&lt;55,L5:Q5&gt;=5),"KHÁ",IF(AND(R5&gt;=30,R5&lt;45,L5:Q5&gt;=3),"TBÌNH",IF(R5&gt;45,"TBÌNH","Hỏng"))))</f>
        <v>TBÌNH</v>
      </c>
      <c r="T5" s="12" t="str" cm="1">
        <f t="array" ref="T5">IF(AND(S5="GIỎI",L5&gt;8,N5:O5&gt;8,P5&gt;5),"X","")</f>
        <v/>
      </c>
      <c r="U5" s="12" t="str">
        <f>IF(AND(T5="",OR(S5="GIỎI",S5="KHÁ"),OR(M5&gt;=7,Q5&gt;=7),L5&gt;=5,N5&gt;=5,O5&gt;=5,P5&gt;=5),"X","")</f>
        <v/>
      </c>
      <c r="V5" s="12" t="str">
        <f>IF(AND(T5="",U5=""),"X","")</f>
        <v>X</v>
      </c>
    </row>
    <row r="6" spans="1:27" ht="14.5" thickBot="1" x14ac:dyDescent="0.35">
      <c r="A6" s="12" t="s">
        <v>65</v>
      </c>
      <c r="B6" s="12" t="s">
        <v>76</v>
      </c>
      <c r="C6" s="12" t="s">
        <v>77</v>
      </c>
      <c r="D6" s="13">
        <v>33976</v>
      </c>
      <c r="E6" s="12" t="s">
        <v>93</v>
      </c>
      <c r="F6" s="12">
        <f t="shared" si="0"/>
        <v>1.5</v>
      </c>
      <c r="G6" s="12">
        <f t="shared" ref="G6:G14" si="1">IF(MID(A6,2,1)="1",2,IF(MID(A6,2,1)="2",1.5,IF(MID(A6,2,1)="3",1,0)))</f>
        <v>1.5</v>
      </c>
      <c r="H6" s="12">
        <f t="shared" ref="H6:H14" si="2">IF(MID(A6,3,1)="1",2,IF(MID(A6,3,1)="2",1.5,IF(MID(A6,3,1)="3",1,0)))</f>
        <v>0</v>
      </c>
      <c r="I6" s="12">
        <f t="shared" ref="I6:I14" si="3">IF(RIGHT(A6,2)="GI",2,IF(RIGHT(A6,2)="KH",1.5,IF(RIGHT(A6,2)="TB",1,0)))</f>
        <v>1.5</v>
      </c>
      <c r="J6" s="12">
        <f t="shared" ref="J6:J14" si="4">IF(AND(F6&gt;0,G6&gt;0,H6&gt;0,I6&gt;0,SUM(F6:I6)&lt;5),SUM(F6:I6),IF(AND(F6&gt;0,G6&gt;0,H6&gt;0,I6&gt;0,SUM(F6:I6)&gt;5),5,0))</f>
        <v>0</v>
      </c>
      <c r="K6" s="12">
        <f>IF(AND(E6="Nữ",2004-YEAR(D6)&lt;15),1,0)</f>
        <v>1</v>
      </c>
      <c r="L6" s="12">
        <v>10</v>
      </c>
      <c r="M6" s="12">
        <v>8</v>
      </c>
      <c r="N6" s="12">
        <v>9</v>
      </c>
      <c r="O6" s="12">
        <v>10</v>
      </c>
      <c r="P6" s="12">
        <v>9</v>
      </c>
      <c r="Q6" s="12">
        <v>9</v>
      </c>
      <c r="R6" s="12">
        <f t="shared" ref="R6:R14" si="5">SUM(J6:Q6)</f>
        <v>56</v>
      </c>
      <c r="S6" s="12" t="str" cm="1">
        <f t="array" ref="S6">IF(AND(R6&gt;=55,L6:Q6&gt;=7),"GIỎI",IF(AND(R6&gt;=45,R6&lt;55,L6:Q6&gt;=5),"KHÁ",IF(AND(R6&gt;=30,R6&lt;45,L6:Q6&gt;=3),"TBÌNH",IF(R6&gt;45,"TBÌNH","Hỏng"))))</f>
        <v>GIỎI</v>
      </c>
      <c r="T6" s="12" t="str" cm="1">
        <f t="array" ref="T6">IF(AND(S6="GIỎI",L6&gt;8,N6:O6&gt;8,P6&gt;5),"X","")</f>
        <v>X</v>
      </c>
      <c r="U6" s="12" t="str">
        <f t="shared" ref="U6:U14" si="6">IF(AND(T6="",OR(S6="GIỎI",S6="KHÁ"),OR(M6&gt;=7,Q6&gt;=7),L6&gt;=5,N6&gt;=5,O6&gt;=5,P6&gt;=5),"X","")</f>
        <v/>
      </c>
      <c r="V6" s="12" t="str">
        <f t="shared" ref="V6:V14" si="7">IF(AND(T6="",U6=""),"X","")</f>
        <v/>
      </c>
    </row>
    <row r="7" spans="1:27" ht="14.5" thickBot="1" x14ac:dyDescent="0.35">
      <c r="A7" s="12" t="s">
        <v>66</v>
      </c>
      <c r="B7" s="12" t="s">
        <v>78</v>
      </c>
      <c r="C7" s="12" t="s">
        <v>79</v>
      </c>
      <c r="D7" s="13">
        <v>34071</v>
      </c>
      <c r="E7" s="12" t="s">
        <v>92</v>
      </c>
      <c r="F7" s="12">
        <f t="shared" si="0"/>
        <v>1</v>
      </c>
      <c r="G7" s="12">
        <f t="shared" si="1"/>
        <v>0</v>
      </c>
      <c r="H7" s="12">
        <f t="shared" si="2"/>
        <v>2</v>
      </c>
      <c r="I7" s="12">
        <f t="shared" si="3"/>
        <v>2</v>
      </c>
      <c r="J7" s="12">
        <f t="shared" si="4"/>
        <v>0</v>
      </c>
      <c r="K7" s="12">
        <f t="shared" ref="K7:K14" si="8">IF(AND(E7="Nữ",2004-YEAR(D7)&lt;15),1,0)</f>
        <v>0</v>
      </c>
      <c r="L7" s="12">
        <v>9</v>
      </c>
      <c r="M7" s="12">
        <v>8</v>
      </c>
      <c r="N7" s="12">
        <v>10</v>
      </c>
      <c r="O7" s="12">
        <v>9</v>
      </c>
      <c r="P7" s="12">
        <v>7</v>
      </c>
      <c r="Q7" s="12">
        <v>4</v>
      </c>
      <c r="R7" s="12">
        <f t="shared" si="5"/>
        <v>47</v>
      </c>
      <c r="S7" s="12" t="str" cm="1">
        <f t="array" ref="S7">IF(AND(R7&gt;=55,L7:Q7&gt;=7),"GIỎI",IF(AND(R7&gt;=45,R7&lt;55,L7:Q7&gt;=5),"KHÁ",IF(AND(R7&gt;=30,R7&lt;45,L7:Q7&gt;=3),"TBÌNH",IF(R7&gt;45,"TBÌNH","Hỏng"))))</f>
        <v>TBÌNH</v>
      </c>
      <c r="T7" s="12" t="str" cm="1">
        <f t="array" ref="T7">IF(AND(S7="GIỎI",L7&gt;8,N7:O7&gt;8,P7&gt;5),"X","")</f>
        <v/>
      </c>
      <c r="U7" s="12" t="str">
        <f t="shared" si="6"/>
        <v/>
      </c>
      <c r="V7" s="12" t="str">
        <f t="shared" si="7"/>
        <v>X</v>
      </c>
    </row>
    <row r="8" spans="1:27" ht="14.5" thickBot="1" x14ac:dyDescent="0.35">
      <c r="A8" s="12" t="s">
        <v>67</v>
      </c>
      <c r="B8" s="12" t="s">
        <v>81</v>
      </c>
      <c r="C8" s="12" t="s">
        <v>80</v>
      </c>
      <c r="D8" s="13">
        <v>33666</v>
      </c>
      <c r="E8" s="12" t="s">
        <v>93</v>
      </c>
      <c r="F8" s="12">
        <f t="shared" si="0"/>
        <v>1.5</v>
      </c>
      <c r="G8" s="12">
        <f t="shared" si="1"/>
        <v>0</v>
      </c>
      <c r="H8" s="12">
        <f t="shared" si="2"/>
        <v>2</v>
      </c>
      <c r="I8" s="12">
        <f t="shared" si="3"/>
        <v>2</v>
      </c>
      <c r="J8" s="12">
        <f t="shared" si="4"/>
        <v>0</v>
      </c>
      <c r="K8" s="12">
        <f t="shared" si="8"/>
        <v>1</v>
      </c>
      <c r="L8" s="12">
        <v>7</v>
      </c>
      <c r="M8" s="12">
        <v>6</v>
      </c>
      <c r="N8" s="12">
        <v>8</v>
      </c>
      <c r="O8" s="12">
        <v>5</v>
      </c>
      <c r="P8" s="12">
        <v>4</v>
      </c>
      <c r="Q8" s="12">
        <v>6</v>
      </c>
      <c r="R8" s="12">
        <f t="shared" si="5"/>
        <v>37</v>
      </c>
      <c r="S8" s="12" t="str" cm="1">
        <f t="array" ref="S8">IF(AND(R8&gt;=55,L8:Q8&gt;=7),"GIỎI",IF(AND(R8&gt;=45,R8&lt;55,L8:Q8&gt;=5),"KHÁ",IF(AND(R8&gt;=30,R8&lt;45,L8:Q8&gt;=3),"TBÌNH",IF(R8&gt;45,"TBÌNH","Hỏng"))))</f>
        <v>TBÌNH</v>
      </c>
      <c r="T8" s="12" t="str" cm="1">
        <f t="array" ref="T8">IF(AND(S8="GIỎI",L8&gt;8,N8:O8&gt;8,P8&gt;5),"X","")</f>
        <v/>
      </c>
      <c r="U8" s="12" t="str">
        <f t="shared" si="6"/>
        <v/>
      </c>
      <c r="V8" s="12" t="str">
        <f t="shared" si="7"/>
        <v>X</v>
      </c>
    </row>
    <row r="9" spans="1:27" ht="14.5" thickBot="1" x14ac:dyDescent="0.35">
      <c r="A9" s="12" t="s">
        <v>68</v>
      </c>
      <c r="B9" s="12" t="s">
        <v>82</v>
      </c>
      <c r="C9" s="12" t="s">
        <v>83</v>
      </c>
      <c r="D9" s="13">
        <v>34129</v>
      </c>
      <c r="E9" s="12" t="s">
        <v>92</v>
      </c>
      <c r="F9" s="12">
        <f t="shared" si="0"/>
        <v>0</v>
      </c>
      <c r="G9" s="12">
        <f t="shared" si="1"/>
        <v>0</v>
      </c>
      <c r="H9" s="12">
        <f t="shared" si="2"/>
        <v>1</v>
      </c>
      <c r="I9" s="12">
        <f t="shared" si="3"/>
        <v>1.5</v>
      </c>
      <c r="J9" s="12">
        <f t="shared" si="4"/>
        <v>0</v>
      </c>
      <c r="K9" s="12">
        <f t="shared" si="8"/>
        <v>0</v>
      </c>
      <c r="L9" s="12">
        <v>9</v>
      </c>
      <c r="M9" s="12">
        <v>9</v>
      </c>
      <c r="N9" s="12">
        <v>8</v>
      </c>
      <c r="O9" s="12">
        <v>8</v>
      </c>
      <c r="P9" s="12">
        <v>6</v>
      </c>
      <c r="Q9" s="12">
        <v>6</v>
      </c>
      <c r="R9" s="12">
        <f t="shared" si="5"/>
        <v>46</v>
      </c>
      <c r="S9" s="12" t="str" cm="1">
        <f t="array" ref="S9">IF(AND(R9&gt;=55,L9:Q9&gt;=7),"GIỎI",IF(AND(R9&gt;=45,R9&lt;55,L9:Q9&gt;=5),"KHÁ",IF(AND(R9&gt;=30,R9&lt;45,L9:Q9&gt;=3),"TBÌNH",IF(R9&gt;45,"TBÌNH","Hỏng"))))</f>
        <v>KHÁ</v>
      </c>
      <c r="T9" s="12" t="str" cm="1">
        <f t="array" ref="T9">IF(AND(S9="GIỎI",L9&gt;8,N9:O9&gt;8,P9&gt;5),"X","")</f>
        <v/>
      </c>
      <c r="U9" s="12" t="str">
        <f t="shared" si="6"/>
        <v>X</v>
      </c>
      <c r="V9" s="12" t="str">
        <f t="shared" si="7"/>
        <v/>
      </c>
    </row>
    <row r="10" spans="1:27" ht="14.5" thickBot="1" x14ac:dyDescent="0.35">
      <c r="A10" s="12" t="s">
        <v>69</v>
      </c>
      <c r="B10" s="12" t="s">
        <v>85</v>
      </c>
      <c r="C10" s="12" t="s">
        <v>84</v>
      </c>
      <c r="D10" s="13">
        <v>33394</v>
      </c>
      <c r="E10" s="12" t="s">
        <v>92</v>
      </c>
      <c r="F10" s="12">
        <f t="shared" si="0"/>
        <v>0</v>
      </c>
      <c r="G10" s="12">
        <f t="shared" si="1"/>
        <v>0</v>
      </c>
      <c r="H10" s="12">
        <f t="shared" si="2"/>
        <v>0</v>
      </c>
      <c r="I10" s="12">
        <f t="shared" si="3"/>
        <v>1</v>
      </c>
      <c r="J10" s="12">
        <f t="shared" si="4"/>
        <v>0</v>
      </c>
      <c r="K10" s="12">
        <f t="shared" si="8"/>
        <v>0</v>
      </c>
      <c r="L10" s="12">
        <v>6</v>
      </c>
      <c r="M10" s="12">
        <v>4</v>
      </c>
      <c r="N10" s="12">
        <v>7</v>
      </c>
      <c r="O10" s="12">
        <v>5</v>
      </c>
      <c r="P10" s="12">
        <v>8</v>
      </c>
      <c r="Q10" s="12">
        <v>8</v>
      </c>
      <c r="R10" s="12">
        <f t="shared" si="5"/>
        <v>38</v>
      </c>
      <c r="S10" s="12" t="str" cm="1">
        <f t="array" ref="S10">IF(AND(R10&gt;=55,L10:Q10&gt;=7),"GIỎI",IF(AND(R10&gt;=45,R10&lt;55,L10:Q10&gt;=5),"KHÁ",IF(AND(R10&gt;=30,R10&lt;45,L10:Q10&gt;=3),"TBÌNH",IF(R10&gt;45,"TBÌNH","Hỏng"))))</f>
        <v>TBÌNH</v>
      </c>
      <c r="T10" s="12" t="str" cm="1">
        <f t="array" ref="T10">IF(AND(S10="GIỎI",L10&gt;8,N10:O10&gt;8,P10&gt;5),"X","")</f>
        <v/>
      </c>
      <c r="U10" s="12" t="str">
        <f t="shared" si="6"/>
        <v/>
      </c>
      <c r="V10" s="12" t="str">
        <f t="shared" si="7"/>
        <v>X</v>
      </c>
    </row>
    <row r="11" spans="1:27" ht="14.5" thickBot="1" x14ac:dyDescent="0.35">
      <c r="A11" s="12" t="s">
        <v>70</v>
      </c>
      <c r="B11" s="12" t="s">
        <v>86</v>
      </c>
      <c r="C11" s="12" t="s">
        <v>87</v>
      </c>
      <c r="D11" s="13">
        <v>33587</v>
      </c>
      <c r="E11" s="12" t="s">
        <v>93</v>
      </c>
      <c r="F11" s="12">
        <f t="shared" si="0"/>
        <v>0</v>
      </c>
      <c r="G11" s="12">
        <f t="shared" si="1"/>
        <v>0</v>
      </c>
      <c r="H11" s="12">
        <f t="shared" si="2"/>
        <v>0</v>
      </c>
      <c r="I11" s="12">
        <f t="shared" si="3"/>
        <v>0</v>
      </c>
      <c r="J11" s="12">
        <f t="shared" si="4"/>
        <v>0</v>
      </c>
      <c r="K11" s="12">
        <f t="shared" si="8"/>
        <v>1</v>
      </c>
      <c r="L11" s="12">
        <v>8</v>
      </c>
      <c r="M11" s="12">
        <v>9</v>
      </c>
      <c r="N11" s="12">
        <v>6</v>
      </c>
      <c r="O11" s="12">
        <v>9</v>
      </c>
      <c r="P11" s="12">
        <v>10</v>
      </c>
      <c r="Q11" s="12">
        <v>8</v>
      </c>
      <c r="R11" s="12">
        <f t="shared" si="5"/>
        <v>51</v>
      </c>
      <c r="S11" s="12" t="str" cm="1">
        <f t="array" ref="S11">IF(AND(R11&gt;=55,L11:Q11&gt;=7),"GIỎI",IF(AND(R11&gt;=45,R11&lt;55,L11:Q11&gt;=5),"KHÁ",IF(AND(R11&gt;=30,R11&lt;45,L11:Q11&gt;=3),"TBÌNH",IF(R11&gt;45,"TBÌNH","Hỏng"))))</f>
        <v>KHÁ</v>
      </c>
      <c r="T11" s="12" t="str" cm="1">
        <f t="array" ref="T11">IF(AND(S11="GIỎI",L11&gt;8,N11:O11&gt;8,P11&gt;5),"X","")</f>
        <v/>
      </c>
      <c r="U11" s="12" t="str">
        <f t="shared" si="6"/>
        <v>X</v>
      </c>
      <c r="V11" s="12" t="str">
        <f t="shared" si="7"/>
        <v/>
      </c>
    </row>
    <row r="12" spans="1:27" ht="14.5" thickBot="1" x14ac:dyDescent="0.35">
      <c r="A12" s="12" t="s">
        <v>71</v>
      </c>
      <c r="B12" s="12" t="s">
        <v>88</v>
      </c>
      <c r="C12" s="12" t="s">
        <v>75</v>
      </c>
      <c r="D12" s="13">
        <v>33671</v>
      </c>
      <c r="E12" s="12" t="s">
        <v>92</v>
      </c>
      <c r="F12" s="12">
        <f t="shared" si="0"/>
        <v>0</v>
      </c>
      <c r="G12" s="12">
        <f t="shared" si="1"/>
        <v>2</v>
      </c>
      <c r="H12" s="12">
        <f t="shared" si="2"/>
        <v>2</v>
      </c>
      <c r="I12" s="12">
        <f t="shared" si="3"/>
        <v>0</v>
      </c>
      <c r="J12" s="12">
        <f t="shared" si="4"/>
        <v>0</v>
      </c>
      <c r="K12" s="12">
        <f t="shared" si="8"/>
        <v>0</v>
      </c>
      <c r="L12" s="12">
        <v>3</v>
      </c>
      <c r="M12" s="12">
        <v>4</v>
      </c>
      <c r="N12" s="12">
        <v>8</v>
      </c>
      <c r="O12" s="12">
        <v>5</v>
      </c>
      <c r="P12" s="12">
        <v>9</v>
      </c>
      <c r="Q12" s="12">
        <v>10</v>
      </c>
      <c r="R12" s="12">
        <f t="shared" si="5"/>
        <v>39</v>
      </c>
      <c r="S12" s="12" t="str" cm="1">
        <f t="array" ref="S12">IF(AND(R12&gt;=55,L12:Q12&gt;=7),"GIỎI",IF(AND(R12&gt;=45,R12&lt;55,L12:Q12&gt;=5),"KHÁ",IF(AND(R12&gt;=30,R12&lt;45,L12:Q12&gt;=3),"TBÌNH",IF(R12&gt;45,"TBÌNH","Hỏng"))))</f>
        <v>TBÌNH</v>
      </c>
      <c r="T12" s="12" t="str" cm="1">
        <f t="array" ref="T12">IF(AND(S12="GIỎI",L12&gt;8,N12:O12&gt;8,P12&gt;5),"X","")</f>
        <v/>
      </c>
      <c r="U12" s="12" t="str">
        <f t="shared" si="6"/>
        <v/>
      </c>
      <c r="V12" s="12" t="str">
        <f t="shared" si="7"/>
        <v>X</v>
      </c>
    </row>
    <row r="13" spans="1:27" ht="14.5" thickBot="1" x14ac:dyDescent="0.35">
      <c r="A13" s="12" t="s">
        <v>72</v>
      </c>
      <c r="B13" s="12" t="s">
        <v>89</v>
      </c>
      <c r="C13" s="12" t="s">
        <v>90</v>
      </c>
      <c r="D13" s="13">
        <v>33533</v>
      </c>
      <c r="E13" s="12" t="s">
        <v>93</v>
      </c>
      <c r="F13" s="12">
        <f t="shared" si="0"/>
        <v>2</v>
      </c>
      <c r="G13" s="12">
        <f t="shared" si="1"/>
        <v>1.5</v>
      </c>
      <c r="H13" s="12">
        <f t="shared" si="2"/>
        <v>1</v>
      </c>
      <c r="I13" s="12">
        <f t="shared" si="3"/>
        <v>1.5</v>
      </c>
      <c r="J13" s="12">
        <f t="shared" si="4"/>
        <v>5</v>
      </c>
      <c r="K13" s="12">
        <f t="shared" si="8"/>
        <v>1</v>
      </c>
      <c r="L13" s="12">
        <v>5</v>
      </c>
      <c r="M13" s="12">
        <v>4</v>
      </c>
      <c r="N13" s="12">
        <v>7</v>
      </c>
      <c r="O13" s="12">
        <v>9</v>
      </c>
      <c r="P13" s="12">
        <v>8</v>
      </c>
      <c r="Q13" s="12">
        <v>10</v>
      </c>
      <c r="R13" s="12">
        <f t="shared" si="5"/>
        <v>49</v>
      </c>
      <c r="S13" s="12" t="str" cm="1">
        <f t="array" ref="S13">IF(AND(R13&gt;=55,L13:Q13&gt;=7),"GIỎI",IF(AND(R13&gt;=45,R13&lt;55,L13:Q13&gt;=5),"KHÁ",IF(AND(R13&gt;=30,R13&lt;45,L13:Q13&gt;=3),"TBÌNH",IF(R13&gt;45,"TBÌNH","Hỏng"))))</f>
        <v>TBÌNH</v>
      </c>
      <c r="T13" s="12" t="str" cm="1">
        <f t="array" ref="T13">IF(AND(S13="GIỎI",L13&gt;8,N13:O13&gt;8,P13&gt;5),"X","")</f>
        <v/>
      </c>
      <c r="U13" s="12" t="str">
        <f t="shared" si="6"/>
        <v/>
      </c>
      <c r="V13" s="12" t="str">
        <f t="shared" si="7"/>
        <v>X</v>
      </c>
    </row>
    <row r="14" spans="1:27" ht="14.5" thickBot="1" x14ac:dyDescent="0.35">
      <c r="A14" s="12" t="s">
        <v>73</v>
      </c>
      <c r="B14" s="12" t="s">
        <v>91</v>
      </c>
      <c r="C14" s="12" t="s">
        <v>84</v>
      </c>
      <c r="D14" s="13">
        <v>33553</v>
      </c>
      <c r="E14" s="12" t="s">
        <v>92</v>
      </c>
      <c r="F14" s="12">
        <f t="shared" si="0"/>
        <v>0</v>
      </c>
      <c r="G14" s="12">
        <f t="shared" si="1"/>
        <v>1</v>
      </c>
      <c r="H14" s="12">
        <f t="shared" si="2"/>
        <v>0</v>
      </c>
      <c r="I14" s="12">
        <f t="shared" si="3"/>
        <v>1</v>
      </c>
      <c r="J14" s="12">
        <f t="shared" si="4"/>
        <v>0</v>
      </c>
      <c r="K14" s="12">
        <f t="shared" si="8"/>
        <v>0</v>
      </c>
      <c r="L14" s="12">
        <v>10</v>
      </c>
      <c r="M14" s="12">
        <v>7</v>
      </c>
      <c r="N14" s="12">
        <v>8</v>
      </c>
      <c r="O14" s="12">
        <v>8</v>
      </c>
      <c r="P14" s="12">
        <v>10</v>
      </c>
      <c r="Q14" s="12">
        <v>7</v>
      </c>
      <c r="R14" s="12">
        <f t="shared" si="5"/>
        <v>50</v>
      </c>
      <c r="S14" s="12" t="str" cm="1">
        <f t="array" ref="S14">IF(AND(R14&gt;=55,L14:Q14&gt;=7),"GIỎI",IF(AND(R14&gt;=45,R14&lt;55,L14:Q14&gt;=5),"KHÁ",IF(AND(R14&gt;=30,R14&lt;45,L14:Q14&gt;=3),"TBÌNH",IF(R14&gt;45,"TBÌNH","Hỏng"))))</f>
        <v>KHÁ</v>
      </c>
      <c r="T14" s="12" t="str" cm="1">
        <f t="array" ref="T14">IF(AND(S14="GIỎI",L14&gt;8,N14:O14&gt;8,P14&gt;5),"X","")</f>
        <v/>
      </c>
      <c r="U14" s="12" t="str">
        <f t="shared" si="6"/>
        <v>X</v>
      </c>
      <c r="V14" s="12" t="str">
        <f t="shared" si="7"/>
        <v/>
      </c>
    </row>
    <row r="15" spans="1:27" ht="14.5" thickBot="1" x14ac:dyDescent="0.35"/>
    <row r="16" spans="1:27" ht="28.5" thickBot="1" x14ac:dyDescent="0.35">
      <c r="W16" s="10" t="s">
        <v>95</v>
      </c>
      <c r="X16" s="10" t="s">
        <v>60</v>
      </c>
      <c r="Y16" s="10" t="s">
        <v>61</v>
      </c>
      <c r="Z16" s="10" t="s">
        <v>62</v>
      </c>
      <c r="AA16" s="11" t="s">
        <v>96</v>
      </c>
    </row>
    <row r="17" spans="23:27" ht="28.5" thickBot="1" x14ac:dyDescent="0.35">
      <c r="W17" s="11" t="s">
        <v>98</v>
      </c>
      <c r="X17" s="10">
        <f>COUNTIF(T5:T14,"X")</f>
        <v>1</v>
      </c>
      <c r="Y17" s="10">
        <f>COUNTIF(U5:U14,"X")</f>
        <v>3</v>
      </c>
      <c r="Z17" s="10">
        <f>COUNTIF(V5:V14,"X")</f>
        <v>6</v>
      </c>
      <c r="AA17" s="10">
        <f>SUM(X17:Z17)</f>
        <v>10</v>
      </c>
    </row>
    <row r="18" spans="23:27" ht="14.5" thickBot="1" x14ac:dyDescent="0.35">
      <c r="W18" s="10" t="s">
        <v>97</v>
      </c>
      <c r="X18" s="10">
        <f>X17*100/$AA$17</f>
        <v>10</v>
      </c>
      <c r="Y18" s="10">
        <f t="shared" ref="Y18:AA18" si="9">Y17*100/$AA$17</f>
        <v>30</v>
      </c>
      <c r="Z18" s="10">
        <f t="shared" si="9"/>
        <v>60</v>
      </c>
      <c r="AA18" s="10">
        <f t="shared" si="9"/>
        <v>100</v>
      </c>
    </row>
  </sheetData>
  <mergeCells count="12">
    <mergeCell ref="G1:I1"/>
    <mergeCell ref="A3:A4"/>
    <mergeCell ref="B3:B4"/>
    <mergeCell ref="C3:C4"/>
    <mergeCell ref="D3:D4"/>
    <mergeCell ref="E3:E4"/>
    <mergeCell ref="F3:J3"/>
    <mergeCell ref="K3:K4"/>
    <mergeCell ref="L3:Q3"/>
    <mergeCell ref="R3:R4"/>
    <mergeCell ref="S3:S4"/>
    <mergeCell ref="T3:V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02E5-B5F3-41CA-8B9D-881B72E47B55}">
  <dimension ref="A1:M37"/>
  <sheetViews>
    <sheetView topLeftCell="A17" workbookViewId="0">
      <selection activeCell="M36" sqref="M36"/>
    </sheetView>
  </sheetViews>
  <sheetFormatPr defaultRowHeight="14" x14ac:dyDescent="0.3"/>
  <cols>
    <col min="1" max="1" width="13.81640625" style="1" bestFit="1" customWidth="1"/>
    <col min="2" max="2" width="10.81640625" style="1" bestFit="1" customWidth="1"/>
    <col min="3" max="6" width="8.7265625" style="1"/>
    <col min="7" max="7" width="12.26953125" style="1" customWidth="1"/>
    <col min="8" max="8" width="11.1796875" style="1" customWidth="1"/>
    <col min="9" max="9" width="9.54296875" style="1" bestFit="1" customWidth="1"/>
    <col min="10" max="16384" width="8.7265625" style="1"/>
  </cols>
  <sheetData>
    <row r="1" spans="1:10" x14ac:dyDescent="0.3">
      <c r="A1" s="32" t="s">
        <v>136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3">
      <c r="A2" s="32" t="s">
        <v>137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14.5" thickBot="1" x14ac:dyDescent="0.35"/>
    <row r="4" spans="1:10" ht="14.5" thickBot="1" x14ac:dyDescent="0.35">
      <c r="A4" s="10" t="s">
        <v>99</v>
      </c>
      <c r="B4" s="10" t="s">
        <v>100</v>
      </c>
      <c r="C4" s="10" t="s">
        <v>101</v>
      </c>
      <c r="D4" s="10" t="s">
        <v>102</v>
      </c>
      <c r="E4" s="10" t="s">
        <v>103</v>
      </c>
      <c r="F4" s="10" t="s">
        <v>104</v>
      </c>
      <c r="G4" s="10" t="s">
        <v>105</v>
      </c>
      <c r="H4" s="10" t="s">
        <v>106</v>
      </c>
      <c r="I4" s="10" t="s">
        <v>107</v>
      </c>
      <c r="J4" s="10" t="s">
        <v>108</v>
      </c>
    </row>
    <row r="5" spans="1:10" ht="14.5" thickBot="1" x14ac:dyDescent="0.35">
      <c r="A5" s="10" t="s">
        <v>109</v>
      </c>
      <c r="B5" s="12"/>
      <c r="C5" s="12"/>
      <c r="D5" s="12" t="s">
        <v>134</v>
      </c>
      <c r="E5" s="12"/>
      <c r="F5" s="12"/>
      <c r="G5" s="12"/>
      <c r="H5" s="12"/>
      <c r="I5" s="12"/>
      <c r="J5" s="12"/>
    </row>
    <row r="6" spans="1:10" ht="14.5" thickBot="1" x14ac:dyDescent="0.35">
      <c r="A6" s="12">
        <v>1</v>
      </c>
      <c r="B6" s="12" t="s">
        <v>113</v>
      </c>
      <c r="C6" s="12" t="s">
        <v>131</v>
      </c>
      <c r="D6" s="12">
        <v>160</v>
      </c>
      <c r="E6" s="12">
        <v>24</v>
      </c>
      <c r="F6" s="12">
        <f>PRODUCT(D6,E6)</f>
        <v>3840</v>
      </c>
      <c r="G6" s="12">
        <f>5000*VLOOKUP($D$5,$B$30:$D$33,IF(OR(C6="TT",C6="TP"),2,3),0)</f>
        <v>125000</v>
      </c>
      <c r="H6" s="12" t="str">
        <f>IF(E6&gt;24,(E6-24)*15000,"")</f>
        <v/>
      </c>
      <c r="I6" s="12">
        <v>100000</v>
      </c>
      <c r="J6" s="12"/>
    </row>
    <row r="7" spans="1:10" ht="14.5" thickBot="1" x14ac:dyDescent="0.35">
      <c r="A7" s="12">
        <v>2</v>
      </c>
      <c r="B7" s="12" t="s">
        <v>114</v>
      </c>
      <c r="C7" s="12" t="s">
        <v>132</v>
      </c>
      <c r="D7" s="12">
        <v>165</v>
      </c>
      <c r="E7" s="12">
        <v>22</v>
      </c>
      <c r="F7" s="12">
        <f t="shared" ref="F7:F25" si="0">PRODUCT(D7,E7)</f>
        <v>3630</v>
      </c>
      <c r="G7" s="12">
        <f t="shared" ref="G7:G10" si="1">5000*VLOOKUP($D$5,$B$30:$D$33,IF(OR(C7="TT",C7="TP"),2,3),0)</f>
        <v>125000</v>
      </c>
      <c r="H7" s="12" t="str">
        <f t="shared" ref="H7:H10" si="2">IF(E7&gt;24,(E7-24)*15000,"")</f>
        <v/>
      </c>
      <c r="I7" s="12">
        <v>100000</v>
      </c>
      <c r="J7" s="12"/>
    </row>
    <row r="8" spans="1:10" ht="14.5" thickBot="1" x14ac:dyDescent="0.35">
      <c r="A8" s="12">
        <v>3</v>
      </c>
      <c r="B8" s="12" t="s">
        <v>115</v>
      </c>
      <c r="C8" s="12" t="s">
        <v>133</v>
      </c>
      <c r="D8" s="12">
        <v>160</v>
      </c>
      <c r="E8" s="12">
        <v>24</v>
      </c>
      <c r="F8" s="12">
        <f t="shared" si="0"/>
        <v>3840</v>
      </c>
      <c r="G8" s="12">
        <f t="shared" si="1"/>
        <v>115000</v>
      </c>
      <c r="H8" s="12" t="str">
        <f t="shared" si="2"/>
        <v/>
      </c>
      <c r="I8" s="12"/>
      <c r="J8" s="12"/>
    </row>
    <row r="9" spans="1:10" ht="14.5" thickBot="1" x14ac:dyDescent="0.35">
      <c r="A9" s="12">
        <v>4</v>
      </c>
      <c r="B9" s="12" t="s">
        <v>116</v>
      </c>
      <c r="C9" s="12" t="s">
        <v>133</v>
      </c>
      <c r="D9" s="12">
        <v>170</v>
      </c>
      <c r="E9" s="12">
        <v>23</v>
      </c>
      <c r="F9" s="12">
        <f t="shared" si="0"/>
        <v>3910</v>
      </c>
      <c r="G9" s="12">
        <f t="shared" si="1"/>
        <v>115000</v>
      </c>
      <c r="H9" s="12" t="str">
        <f t="shared" si="2"/>
        <v/>
      </c>
      <c r="I9" s="12">
        <v>100000</v>
      </c>
      <c r="J9" s="12"/>
    </row>
    <row r="10" spans="1:10" ht="14.5" thickBot="1" x14ac:dyDescent="0.35">
      <c r="A10" s="12">
        <v>5</v>
      </c>
      <c r="B10" s="12" t="s">
        <v>117</v>
      </c>
      <c r="C10" s="12" t="s">
        <v>133</v>
      </c>
      <c r="D10" s="12">
        <v>150</v>
      </c>
      <c r="E10" s="12">
        <v>24</v>
      </c>
      <c r="F10" s="12">
        <f t="shared" si="0"/>
        <v>3600</v>
      </c>
      <c r="G10" s="12">
        <f t="shared" si="1"/>
        <v>115000</v>
      </c>
      <c r="H10" s="12" t="str">
        <f t="shared" si="2"/>
        <v/>
      </c>
      <c r="I10" s="12"/>
      <c r="J10" s="12"/>
    </row>
    <row r="11" spans="1:10" ht="14.5" thickBot="1" x14ac:dyDescent="0.35">
      <c r="A11" s="10" t="s">
        <v>110</v>
      </c>
      <c r="B11" s="12"/>
      <c r="C11" s="12"/>
      <c r="D11" s="12" t="s">
        <v>131</v>
      </c>
      <c r="E11" s="12"/>
      <c r="F11" s="12"/>
      <c r="G11" s="12"/>
      <c r="H11" s="12"/>
      <c r="I11" s="12"/>
      <c r="J11" s="12"/>
    </row>
    <row r="12" spans="1:10" ht="14.5" thickBot="1" x14ac:dyDescent="0.35">
      <c r="A12" s="12">
        <v>1</v>
      </c>
      <c r="B12" s="12" t="s">
        <v>118</v>
      </c>
      <c r="C12" s="12" t="s">
        <v>131</v>
      </c>
      <c r="D12" s="12">
        <v>190</v>
      </c>
      <c r="E12" s="12">
        <v>26</v>
      </c>
      <c r="F12" s="12">
        <f t="shared" si="0"/>
        <v>4940</v>
      </c>
      <c r="G12" s="12">
        <f>5000*VLOOKUP($D$11,$B$30:$D$33,IF(OR(C12="TT",C12="TP"),2,3),0)</f>
        <v>100000</v>
      </c>
      <c r="H12" s="12">
        <f>IF(E12&gt;24,(E12-24)*15000,"")</f>
        <v>30000</v>
      </c>
      <c r="I12" s="12">
        <v>100000</v>
      </c>
      <c r="J12" s="12"/>
    </row>
    <row r="13" spans="1:10" ht="14.5" thickBot="1" x14ac:dyDescent="0.35">
      <c r="A13" s="12">
        <v>2</v>
      </c>
      <c r="B13" s="12" t="s">
        <v>119</v>
      </c>
      <c r="C13" s="12" t="s">
        <v>132</v>
      </c>
      <c r="D13" s="12">
        <v>190</v>
      </c>
      <c r="E13" s="12">
        <v>27</v>
      </c>
      <c r="F13" s="12">
        <f t="shared" si="0"/>
        <v>5130</v>
      </c>
      <c r="G13" s="12">
        <f t="shared" ref="G13:G21" si="3">5000*VLOOKUP($D$11,$B$30:$D$33,IF(OR(C13="TT",C13="TP"),2,3),0)</f>
        <v>100000</v>
      </c>
      <c r="H13" s="12">
        <f t="shared" ref="H13:H21" si="4">IF(E13&gt;24,(E13-24)*15000,"")</f>
        <v>45000</v>
      </c>
      <c r="I13" s="12">
        <v>100000</v>
      </c>
      <c r="J13" s="12"/>
    </row>
    <row r="14" spans="1:10" ht="14.5" thickBot="1" x14ac:dyDescent="0.35">
      <c r="A14" s="12">
        <v>3</v>
      </c>
      <c r="B14" s="12" t="s">
        <v>120</v>
      </c>
      <c r="C14" s="12" t="s">
        <v>133</v>
      </c>
      <c r="D14" s="12">
        <v>200</v>
      </c>
      <c r="E14" s="12">
        <v>25</v>
      </c>
      <c r="F14" s="12">
        <f t="shared" si="0"/>
        <v>5000</v>
      </c>
      <c r="G14" s="12">
        <f t="shared" si="3"/>
        <v>105000</v>
      </c>
      <c r="H14" s="12">
        <f t="shared" si="4"/>
        <v>15000</v>
      </c>
      <c r="I14" s="12"/>
      <c r="J14" s="12"/>
    </row>
    <row r="15" spans="1:10" ht="14.5" thickBot="1" x14ac:dyDescent="0.35">
      <c r="A15" s="12">
        <v>4</v>
      </c>
      <c r="B15" s="12" t="s">
        <v>121</v>
      </c>
      <c r="C15" s="12" t="s">
        <v>133</v>
      </c>
      <c r="D15" s="12">
        <v>210</v>
      </c>
      <c r="E15" s="12">
        <v>26</v>
      </c>
      <c r="F15" s="12">
        <f t="shared" si="0"/>
        <v>5460</v>
      </c>
      <c r="G15" s="12">
        <f t="shared" si="3"/>
        <v>105000</v>
      </c>
      <c r="H15" s="12">
        <f t="shared" si="4"/>
        <v>30000</v>
      </c>
      <c r="I15" s="12">
        <v>100000</v>
      </c>
      <c r="J15" s="12"/>
    </row>
    <row r="16" spans="1:10" ht="14.5" thickBot="1" x14ac:dyDescent="0.35">
      <c r="A16" s="12">
        <v>5</v>
      </c>
      <c r="B16" s="12" t="s">
        <v>122</v>
      </c>
      <c r="C16" s="12" t="s">
        <v>133</v>
      </c>
      <c r="D16" s="12">
        <v>190</v>
      </c>
      <c r="E16" s="12">
        <v>24</v>
      </c>
      <c r="F16" s="12">
        <f t="shared" si="0"/>
        <v>4560</v>
      </c>
      <c r="G16" s="12">
        <f t="shared" si="3"/>
        <v>105000</v>
      </c>
      <c r="H16" s="12" t="str">
        <f t="shared" si="4"/>
        <v/>
      </c>
      <c r="I16" s="12">
        <v>100000</v>
      </c>
      <c r="J16" s="12"/>
    </row>
    <row r="17" spans="1:10" ht="14.5" thickBot="1" x14ac:dyDescent="0.35">
      <c r="A17" s="12">
        <v>6</v>
      </c>
      <c r="B17" s="12" t="s">
        <v>123</v>
      </c>
      <c r="C17" s="12" t="s">
        <v>133</v>
      </c>
      <c r="D17" s="12">
        <v>185</v>
      </c>
      <c r="E17" s="12">
        <v>24</v>
      </c>
      <c r="F17" s="12">
        <f t="shared" si="0"/>
        <v>4440</v>
      </c>
      <c r="G17" s="12">
        <f t="shared" si="3"/>
        <v>105000</v>
      </c>
      <c r="H17" s="12" t="str">
        <f t="shared" si="4"/>
        <v/>
      </c>
      <c r="I17" s="12">
        <v>100000</v>
      </c>
      <c r="J17" s="12"/>
    </row>
    <row r="18" spans="1:10" ht="14.5" thickBot="1" x14ac:dyDescent="0.35">
      <c r="A18" s="12">
        <v>7</v>
      </c>
      <c r="B18" s="12" t="s">
        <v>124</v>
      </c>
      <c r="C18" s="12" t="s">
        <v>133</v>
      </c>
      <c r="D18" s="12">
        <v>190</v>
      </c>
      <c r="E18" s="12">
        <v>25</v>
      </c>
      <c r="F18" s="12">
        <f t="shared" si="0"/>
        <v>4750</v>
      </c>
      <c r="G18" s="12">
        <f t="shared" si="3"/>
        <v>105000</v>
      </c>
      <c r="H18" s="12">
        <f t="shared" si="4"/>
        <v>15000</v>
      </c>
      <c r="I18" s="12"/>
      <c r="J18" s="12"/>
    </row>
    <row r="19" spans="1:10" ht="14.5" thickBot="1" x14ac:dyDescent="0.35">
      <c r="A19" s="12">
        <v>8</v>
      </c>
      <c r="B19" s="12" t="s">
        <v>125</v>
      </c>
      <c r="C19" s="12" t="s">
        <v>133</v>
      </c>
      <c r="D19" s="12">
        <v>200</v>
      </c>
      <c r="E19" s="12">
        <v>26</v>
      </c>
      <c r="F19" s="12">
        <f t="shared" si="0"/>
        <v>5200</v>
      </c>
      <c r="G19" s="12">
        <f t="shared" si="3"/>
        <v>105000</v>
      </c>
      <c r="H19" s="12">
        <f t="shared" si="4"/>
        <v>30000</v>
      </c>
      <c r="I19" s="12"/>
      <c r="J19" s="12"/>
    </row>
    <row r="20" spans="1:10" ht="14.5" thickBot="1" x14ac:dyDescent="0.35">
      <c r="A20" s="12">
        <v>9</v>
      </c>
      <c r="B20" s="12" t="s">
        <v>126</v>
      </c>
      <c r="C20" s="12" t="s">
        <v>133</v>
      </c>
      <c r="D20" s="12">
        <v>210</v>
      </c>
      <c r="E20" s="12">
        <v>28</v>
      </c>
      <c r="F20" s="12">
        <f t="shared" si="0"/>
        <v>5880</v>
      </c>
      <c r="G20" s="12">
        <f t="shared" si="3"/>
        <v>105000</v>
      </c>
      <c r="H20" s="12">
        <f t="shared" si="4"/>
        <v>60000</v>
      </c>
      <c r="I20" s="12"/>
      <c r="J20" s="12"/>
    </row>
    <row r="21" spans="1:10" ht="14.5" thickBot="1" x14ac:dyDescent="0.35">
      <c r="A21" s="12">
        <v>10</v>
      </c>
      <c r="B21" s="12" t="s">
        <v>127</v>
      </c>
      <c r="C21" s="12" t="s">
        <v>133</v>
      </c>
      <c r="D21" s="12">
        <v>220</v>
      </c>
      <c r="E21" s="12">
        <v>28</v>
      </c>
      <c r="F21" s="12">
        <f t="shared" si="0"/>
        <v>6160</v>
      </c>
      <c r="G21" s="12">
        <f t="shared" si="3"/>
        <v>105000</v>
      </c>
      <c r="H21" s="12">
        <f t="shared" si="4"/>
        <v>60000</v>
      </c>
      <c r="I21" s="12">
        <v>100000</v>
      </c>
      <c r="J21" s="12"/>
    </row>
    <row r="22" spans="1:10" ht="14.5" thickBot="1" x14ac:dyDescent="0.35">
      <c r="A22" s="10" t="s">
        <v>111</v>
      </c>
      <c r="B22" s="12"/>
      <c r="C22" s="12"/>
      <c r="D22" s="12" t="s">
        <v>135</v>
      </c>
      <c r="E22" s="12"/>
      <c r="F22" s="12"/>
      <c r="G22" s="12"/>
      <c r="H22" s="12"/>
      <c r="I22" s="12"/>
      <c r="J22" s="12"/>
    </row>
    <row r="23" spans="1:10" ht="14.5" thickBot="1" x14ac:dyDescent="0.35">
      <c r="A23" s="12">
        <v>1</v>
      </c>
      <c r="B23" s="12" t="s">
        <v>128</v>
      </c>
      <c r="C23" s="12" t="s">
        <v>133</v>
      </c>
      <c r="D23" s="12">
        <v>175</v>
      </c>
      <c r="E23" s="12">
        <v>24</v>
      </c>
      <c r="F23" s="12">
        <f t="shared" si="0"/>
        <v>4200</v>
      </c>
      <c r="G23" s="12">
        <f>5000*VLOOKUP($D$22,$B$30:$D$33,IF(OR(C23="TT",C23="TP"),2,3),0)</f>
        <v>135000</v>
      </c>
      <c r="H23" s="12" t="str">
        <f>IF(E23&gt;24,(E23-24)*15000,"")</f>
        <v/>
      </c>
      <c r="I23" s="12"/>
      <c r="J23" s="12"/>
    </row>
    <row r="24" spans="1:10" ht="14.5" thickBot="1" x14ac:dyDescent="0.35">
      <c r="A24" s="12">
        <v>2</v>
      </c>
      <c r="B24" s="12" t="s">
        <v>129</v>
      </c>
      <c r="C24" s="12" t="s">
        <v>133</v>
      </c>
      <c r="D24" s="12">
        <v>170</v>
      </c>
      <c r="E24" s="12">
        <v>24</v>
      </c>
      <c r="F24" s="12">
        <f t="shared" si="0"/>
        <v>4080</v>
      </c>
      <c r="G24" s="12">
        <f t="shared" ref="G24:G25" si="5">5000*VLOOKUP($D$22,$B$30:$D$33,IF(OR(C24="TT",C24="TP"),2,3),0)</f>
        <v>135000</v>
      </c>
      <c r="H24" s="12" t="str">
        <f t="shared" ref="H24:H25" si="6">IF(E24&gt;24,(E24-24)*15000,"")</f>
        <v/>
      </c>
      <c r="I24" s="12"/>
      <c r="J24" s="12"/>
    </row>
    <row r="25" spans="1:10" ht="14.5" thickBot="1" x14ac:dyDescent="0.35">
      <c r="A25" s="12">
        <v>3</v>
      </c>
      <c r="B25" s="12" t="s">
        <v>130</v>
      </c>
      <c r="C25" s="12" t="s">
        <v>133</v>
      </c>
      <c r="D25" s="12">
        <v>170</v>
      </c>
      <c r="E25" s="12">
        <v>23</v>
      </c>
      <c r="F25" s="12">
        <f t="shared" si="0"/>
        <v>3910</v>
      </c>
      <c r="G25" s="12">
        <f t="shared" si="5"/>
        <v>135000</v>
      </c>
      <c r="H25" s="12" t="str">
        <f t="shared" si="6"/>
        <v/>
      </c>
      <c r="I25" s="12"/>
      <c r="J25" s="12"/>
    </row>
    <row r="26" spans="1:10" ht="14.5" thickBot="1" x14ac:dyDescent="0.35">
      <c r="A26" s="14" t="s">
        <v>112</v>
      </c>
      <c r="B26" s="12"/>
      <c r="C26" s="12"/>
      <c r="D26" s="12"/>
      <c r="E26" s="12"/>
      <c r="F26" s="12"/>
      <c r="G26" s="12"/>
      <c r="H26" s="12"/>
      <c r="I26" s="12"/>
      <c r="J26" s="12"/>
    </row>
    <row r="28" spans="1:10" x14ac:dyDescent="0.3">
      <c r="A28" s="1" t="s">
        <v>138</v>
      </c>
      <c r="B28" s="15">
        <v>10000000</v>
      </c>
    </row>
    <row r="29" spans="1:10" ht="14.5" thickBot="1" x14ac:dyDescent="0.35">
      <c r="B29" s="32" t="s">
        <v>139</v>
      </c>
      <c r="C29" s="32"/>
      <c r="D29" s="32"/>
    </row>
    <row r="30" spans="1:10" ht="15" thickTop="1" thickBot="1" x14ac:dyDescent="0.35">
      <c r="B30" s="3"/>
      <c r="C30" s="3" t="s">
        <v>140</v>
      </c>
      <c r="D30" s="3" t="s">
        <v>133</v>
      </c>
    </row>
    <row r="31" spans="1:10" ht="15" thickTop="1" thickBot="1" x14ac:dyDescent="0.35">
      <c r="B31" s="3" t="s">
        <v>135</v>
      </c>
      <c r="C31" s="3">
        <v>30</v>
      </c>
      <c r="D31" s="3">
        <v>27</v>
      </c>
    </row>
    <row r="32" spans="1:10" ht="15" thickTop="1" thickBot="1" x14ac:dyDescent="0.35">
      <c r="B32" s="3" t="s">
        <v>134</v>
      </c>
      <c r="C32" s="3">
        <v>25</v>
      </c>
      <c r="D32" s="3">
        <v>23</v>
      </c>
    </row>
    <row r="33" spans="2:13" ht="15" thickTop="1" thickBot="1" x14ac:dyDescent="0.35">
      <c r="B33" s="3" t="s">
        <v>131</v>
      </c>
      <c r="C33" s="3">
        <v>20</v>
      </c>
      <c r="D33" s="3">
        <v>21</v>
      </c>
    </row>
    <row r="34" spans="2:13" ht="15" thickTop="1" thickBot="1" x14ac:dyDescent="0.35">
      <c r="K34" s="12"/>
      <c r="L34" s="12" t="s">
        <v>104</v>
      </c>
      <c r="M34" s="12" t="s">
        <v>106</v>
      </c>
    </row>
    <row r="35" spans="2:13" ht="14.5" thickBot="1" x14ac:dyDescent="0.35">
      <c r="K35" s="12" t="s">
        <v>134</v>
      </c>
      <c r="L35" s="12">
        <f>SUM(F6:F10)</f>
        <v>18820</v>
      </c>
      <c r="M35" s="12">
        <f>SUM(H6:H10)</f>
        <v>0</v>
      </c>
    </row>
    <row r="36" spans="2:13" ht="14.5" thickBot="1" x14ac:dyDescent="0.35">
      <c r="K36" s="12" t="s">
        <v>131</v>
      </c>
      <c r="L36" s="12">
        <f>SUM(F12:F21)</f>
        <v>51520</v>
      </c>
      <c r="M36" s="12">
        <f>SUM(G12:G21)</f>
        <v>1040000</v>
      </c>
    </row>
    <row r="37" spans="2:13" ht="14.5" thickBot="1" x14ac:dyDescent="0.35">
      <c r="K37" s="12" t="s">
        <v>135</v>
      </c>
      <c r="L37" s="12">
        <f>SUM(F23:F25)</f>
        <v>12190</v>
      </c>
      <c r="M37" s="12">
        <f>SUM(G23:G25)</f>
        <v>405000</v>
      </c>
    </row>
  </sheetData>
  <mergeCells count="3">
    <mergeCell ref="A1:J1"/>
    <mergeCell ref="A2:J2"/>
    <mergeCell ref="B29:D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585B-6CAF-49DB-B9AF-6E0152EDA573}">
  <dimension ref="A1:I22"/>
  <sheetViews>
    <sheetView workbookViewId="0">
      <selection activeCell="I18" sqref="I18"/>
    </sheetView>
  </sheetViews>
  <sheetFormatPr defaultRowHeight="14" x14ac:dyDescent="0.3"/>
  <cols>
    <col min="1" max="1" width="9.26953125" style="1" bestFit="1" customWidth="1"/>
    <col min="2" max="2" width="10.7265625" style="1" bestFit="1" customWidth="1"/>
    <col min="3" max="3" width="17.36328125" style="1" bestFit="1" customWidth="1"/>
    <col min="4" max="4" width="13.7265625" style="1" bestFit="1" customWidth="1"/>
    <col min="5" max="5" width="8.7265625" style="1"/>
    <col min="6" max="6" width="9.6328125" style="1" bestFit="1" customWidth="1"/>
    <col min="7" max="7" width="9.26953125" style="1" bestFit="1" customWidth="1"/>
    <col min="8" max="8" width="10.7265625" style="1" bestFit="1" customWidth="1"/>
    <col min="9" max="9" width="8.90625" style="1" bestFit="1" customWidth="1"/>
    <col min="10" max="16384" width="8.7265625" style="1"/>
  </cols>
  <sheetData>
    <row r="1" spans="1:9" ht="15" thickTop="1" thickBot="1" x14ac:dyDescent="0.35">
      <c r="F1" s="37" t="s">
        <v>169</v>
      </c>
      <c r="G1" s="37"/>
      <c r="H1" s="17">
        <v>1500000</v>
      </c>
    </row>
    <row r="2" spans="1:9" ht="15" thickTop="1" thickBot="1" x14ac:dyDescent="0.35">
      <c r="E2" s="37" t="s">
        <v>168</v>
      </c>
      <c r="F2" s="37"/>
      <c r="G2" s="37"/>
      <c r="H2" s="2" cm="1">
        <f t="array" ref="H2">SUM(IF(F5:F14&gt;22,F5:F14-22,0))</f>
        <v>16</v>
      </c>
    </row>
    <row r="3" spans="1:9" ht="15" thickTop="1" thickBot="1" x14ac:dyDescent="0.35"/>
    <row r="4" spans="1:9" ht="15" thickTop="1" thickBot="1" x14ac:dyDescent="0.35">
      <c r="A4" s="20" t="s">
        <v>99</v>
      </c>
      <c r="B4" s="21" t="s">
        <v>141</v>
      </c>
      <c r="C4" s="21" t="s">
        <v>142</v>
      </c>
      <c r="D4" s="21" t="s">
        <v>143</v>
      </c>
      <c r="E4" s="21" t="s">
        <v>144</v>
      </c>
      <c r="F4" s="21" t="s">
        <v>145</v>
      </c>
      <c r="G4" s="21" t="s">
        <v>104</v>
      </c>
      <c r="H4" s="21" t="s">
        <v>146</v>
      </c>
      <c r="I4" s="22" t="s">
        <v>147</v>
      </c>
    </row>
    <row r="5" spans="1:9" ht="15" thickTop="1" thickBot="1" x14ac:dyDescent="0.35">
      <c r="A5" s="23">
        <v>1</v>
      </c>
      <c r="B5" s="7" t="s">
        <v>148</v>
      </c>
      <c r="C5" s="2" t="s">
        <v>158</v>
      </c>
      <c r="D5" s="7" t="str">
        <f>_xlfn.CONCAT(HLOOKUP(MID(B5,2,1),$D$17:$F$18,2,0)," ",VLOOKUP(LEFT(B5,1),$A$17:$B$21,2,0))</f>
        <v>TP Kinh doanh</v>
      </c>
      <c r="E5" s="7">
        <f>HLOOKUP(MID(B5,2,1),$D$17:$F$19,3,0)</f>
        <v>50000</v>
      </c>
      <c r="F5" s="7">
        <v>24</v>
      </c>
      <c r="G5" s="7">
        <f>PRODUCT(E5,F5)</f>
        <v>1200000</v>
      </c>
      <c r="H5" s="7">
        <f>IF(F5&gt;22,(F5-22)*$H$1/$H$2,"")</f>
        <v>187500</v>
      </c>
      <c r="I5" s="24">
        <f>SUM(G5,H5)</f>
        <v>1387500</v>
      </c>
    </row>
    <row r="6" spans="1:9" ht="15" thickTop="1" thickBot="1" x14ac:dyDescent="0.35">
      <c r="A6" s="23">
        <v>2</v>
      </c>
      <c r="B6" s="7" t="s">
        <v>149</v>
      </c>
      <c r="C6" s="2" t="s">
        <v>159</v>
      </c>
      <c r="D6" s="7" t="str">
        <f t="shared" ref="D6:D14" si="0">_xlfn.CONCAT(HLOOKUP(MID(B6,2,1),$D$17:$F$18,2,0)," ",VLOOKUP(LEFT(B6,1),$A$17:$B$21,2,0))</f>
        <v>NV Kinh doanh</v>
      </c>
      <c r="E6" s="7">
        <f t="shared" ref="E6:E14" si="1">HLOOKUP(MID(B6,2,1),$D$17:$F$19,3,0)</f>
        <v>35000</v>
      </c>
      <c r="F6" s="7">
        <v>26</v>
      </c>
      <c r="G6" s="7">
        <f t="shared" ref="G6:G14" si="2">PRODUCT(E6,F6)</f>
        <v>910000</v>
      </c>
      <c r="H6" s="7">
        <f t="shared" ref="H6:H14" si="3">IF(F6&gt;22,(F6-22)*$H$1/$H$2,"")</f>
        <v>375000</v>
      </c>
      <c r="I6" s="24">
        <f t="shared" ref="I6:I14" si="4">SUM(G6,H6)</f>
        <v>1285000</v>
      </c>
    </row>
    <row r="7" spans="1:9" ht="15" thickTop="1" thickBot="1" x14ac:dyDescent="0.35">
      <c r="A7" s="23">
        <v>3</v>
      </c>
      <c r="B7" s="7" t="s">
        <v>150</v>
      </c>
      <c r="C7" s="2" t="s">
        <v>160</v>
      </c>
      <c r="D7" s="7" t="str">
        <f t="shared" si="0"/>
        <v>PP Tài vụ</v>
      </c>
      <c r="E7" s="7">
        <f t="shared" si="1"/>
        <v>40000</v>
      </c>
      <c r="F7" s="7">
        <v>22</v>
      </c>
      <c r="G7" s="7">
        <f t="shared" si="2"/>
        <v>880000</v>
      </c>
      <c r="H7" s="7" t="str">
        <f t="shared" si="3"/>
        <v/>
      </c>
      <c r="I7" s="24">
        <f t="shared" si="4"/>
        <v>880000</v>
      </c>
    </row>
    <row r="8" spans="1:9" ht="15" thickTop="1" thickBot="1" x14ac:dyDescent="0.35">
      <c r="A8" s="23">
        <v>4</v>
      </c>
      <c r="B8" s="7" t="s">
        <v>151</v>
      </c>
      <c r="C8" s="2" t="s">
        <v>161</v>
      </c>
      <c r="D8" s="7" t="str">
        <f t="shared" si="0"/>
        <v>TP Tài vụ</v>
      </c>
      <c r="E8" s="7">
        <f t="shared" si="1"/>
        <v>50000</v>
      </c>
      <c r="F8" s="7">
        <v>26</v>
      </c>
      <c r="G8" s="7">
        <f t="shared" si="2"/>
        <v>1300000</v>
      </c>
      <c r="H8" s="7">
        <f t="shared" si="3"/>
        <v>375000</v>
      </c>
      <c r="I8" s="24">
        <f t="shared" si="4"/>
        <v>1675000</v>
      </c>
    </row>
    <row r="9" spans="1:9" ht="15" thickTop="1" thickBot="1" x14ac:dyDescent="0.35">
      <c r="A9" s="23">
        <v>5</v>
      </c>
      <c r="B9" s="7" t="s">
        <v>152</v>
      </c>
      <c r="C9" s="2" t="s">
        <v>162</v>
      </c>
      <c r="D9" s="7" t="str">
        <f t="shared" si="0"/>
        <v>NV Tài vụ</v>
      </c>
      <c r="E9" s="7">
        <f t="shared" si="1"/>
        <v>35000</v>
      </c>
      <c r="F9" s="7">
        <v>25</v>
      </c>
      <c r="G9" s="7">
        <f t="shared" si="2"/>
        <v>875000</v>
      </c>
      <c r="H9" s="7">
        <f t="shared" si="3"/>
        <v>281250</v>
      </c>
      <c r="I9" s="24">
        <f t="shared" si="4"/>
        <v>1156250</v>
      </c>
    </row>
    <row r="10" spans="1:9" ht="15" thickTop="1" thickBot="1" x14ac:dyDescent="0.35">
      <c r="A10" s="23">
        <v>6</v>
      </c>
      <c r="B10" s="7" t="s">
        <v>153</v>
      </c>
      <c r="C10" s="2" t="s">
        <v>163</v>
      </c>
      <c r="D10" s="7" t="str">
        <f t="shared" si="0"/>
        <v>TP Tiếp thị</v>
      </c>
      <c r="E10" s="7">
        <f t="shared" si="1"/>
        <v>50000</v>
      </c>
      <c r="F10" s="7">
        <v>21</v>
      </c>
      <c r="G10" s="7">
        <f t="shared" si="2"/>
        <v>1050000</v>
      </c>
      <c r="H10" s="7" t="str">
        <f t="shared" si="3"/>
        <v/>
      </c>
      <c r="I10" s="24">
        <f t="shared" si="4"/>
        <v>1050000</v>
      </c>
    </row>
    <row r="11" spans="1:9" ht="15" thickTop="1" thickBot="1" x14ac:dyDescent="0.35">
      <c r="A11" s="23">
        <v>7</v>
      </c>
      <c r="B11" s="7" t="s">
        <v>154</v>
      </c>
      <c r="C11" s="2" t="s">
        <v>164</v>
      </c>
      <c r="D11" s="7" t="str">
        <f t="shared" si="0"/>
        <v>NV Tiếp thị</v>
      </c>
      <c r="E11" s="7">
        <f t="shared" si="1"/>
        <v>35000</v>
      </c>
      <c r="F11" s="7">
        <v>24</v>
      </c>
      <c r="G11" s="7">
        <f t="shared" si="2"/>
        <v>840000</v>
      </c>
      <c r="H11" s="7">
        <f t="shared" si="3"/>
        <v>187500</v>
      </c>
      <c r="I11" s="24">
        <f t="shared" si="4"/>
        <v>1027500</v>
      </c>
    </row>
    <row r="12" spans="1:9" ht="15" thickTop="1" thickBot="1" x14ac:dyDescent="0.35">
      <c r="A12" s="23">
        <v>8</v>
      </c>
      <c r="B12" s="7" t="s">
        <v>155</v>
      </c>
      <c r="C12" s="2" t="s">
        <v>165</v>
      </c>
      <c r="D12" s="7" t="str">
        <f t="shared" si="0"/>
        <v>PP Kho vận</v>
      </c>
      <c r="E12" s="7">
        <f t="shared" si="1"/>
        <v>40000</v>
      </c>
      <c r="F12" s="7">
        <v>23</v>
      </c>
      <c r="G12" s="7">
        <f t="shared" si="2"/>
        <v>920000</v>
      </c>
      <c r="H12" s="7">
        <f t="shared" si="3"/>
        <v>93750</v>
      </c>
      <c r="I12" s="24">
        <f t="shared" si="4"/>
        <v>1013750</v>
      </c>
    </row>
    <row r="13" spans="1:9" ht="15" thickTop="1" thickBot="1" x14ac:dyDescent="0.35">
      <c r="A13" s="23">
        <v>9</v>
      </c>
      <c r="B13" s="7" t="s">
        <v>156</v>
      </c>
      <c r="C13" s="2" t="s">
        <v>166</v>
      </c>
      <c r="D13" s="7" t="str">
        <f t="shared" si="0"/>
        <v>NV Kho vận</v>
      </c>
      <c r="E13" s="7">
        <f t="shared" si="1"/>
        <v>35000</v>
      </c>
      <c r="F13" s="7">
        <v>18</v>
      </c>
      <c r="G13" s="7">
        <f t="shared" si="2"/>
        <v>630000</v>
      </c>
      <c r="H13" s="7" t="str">
        <f t="shared" si="3"/>
        <v/>
      </c>
      <c r="I13" s="24">
        <f t="shared" si="4"/>
        <v>630000</v>
      </c>
    </row>
    <row r="14" spans="1:9" ht="15" thickTop="1" thickBot="1" x14ac:dyDescent="0.35">
      <c r="A14" s="25">
        <v>10</v>
      </c>
      <c r="B14" s="26" t="s">
        <v>157</v>
      </c>
      <c r="C14" s="27" t="s">
        <v>167</v>
      </c>
      <c r="D14" s="7" t="str">
        <f t="shared" si="0"/>
        <v>TP Kho vận</v>
      </c>
      <c r="E14" s="7">
        <f t="shared" si="1"/>
        <v>50000</v>
      </c>
      <c r="F14" s="26">
        <v>18</v>
      </c>
      <c r="G14" s="7">
        <f t="shared" si="2"/>
        <v>900000</v>
      </c>
      <c r="H14" s="7" t="str">
        <f t="shared" si="3"/>
        <v/>
      </c>
      <c r="I14" s="24">
        <f t="shared" si="4"/>
        <v>900000</v>
      </c>
    </row>
    <row r="15" spans="1:9" ht="14.5" thickTop="1" x14ac:dyDescent="0.3"/>
    <row r="16" spans="1:9" ht="14.5" thickBot="1" x14ac:dyDescent="0.35">
      <c r="A16" s="38" t="s">
        <v>170</v>
      </c>
      <c r="B16" s="38"/>
      <c r="D16" s="32" t="s">
        <v>180</v>
      </c>
      <c r="E16" s="32"/>
      <c r="F16" s="32"/>
      <c r="H16" s="39" t="s">
        <v>187</v>
      </c>
      <c r="I16" s="39"/>
    </row>
    <row r="17" spans="1:9" ht="15" thickTop="1" thickBot="1" x14ac:dyDescent="0.35">
      <c r="A17" s="7" t="s">
        <v>171</v>
      </c>
      <c r="B17" s="7" t="s">
        <v>172</v>
      </c>
      <c r="C17" s="16" t="s">
        <v>181</v>
      </c>
      <c r="D17" s="7" t="s">
        <v>62</v>
      </c>
      <c r="E17" s="7" t="s">
        <v>183</v>
      </c>
      <c r="F17" s="7" t="s">
        <v>184</v>
      </c>
      <c r="G17" s="7" t="s">
        <v>171</v>
      </c>
      <c r="H17" s="7" t="s">
        <v>186</v>
      </c>
      <c r="I17" s="7" t="s">
        <v>146</v>
      </c>
    </row>
    <row r="18" spans="1:9" ht="15.5" customHeight="1" thickTop="1" thickBot="1" x14ac:dyDescent="0.35">
      <c r="A18" s="7" t="s">
        <v>61</v>
      </c>
      <c r="B18" s="2" t="s">
        <v>176</v>
      </c>
      <c r="C18" s="16" t="s">
        <v>143</v>
      </c>
      <c r="D18" s="7" t="s">
        <v>132</v>
      </c>
      <c r="E18" s="7" t="s">
        <v>133</v>
      </c>
      <c r="F18" s="7" t="s">
        <v>185</v>
      </c>
      <c r="G18" s="7" t="s">
        <v>61</v>
      </c>
      <c r="H18" s="19" t="s">
        <v>176</v>
      </c>
      <c r="I18" s="7">
        <f>SUMIF(B5:B14,"B*",H5:H14)</f>
        <v>562500</v>
      </c>
    </row>
    <row r="19" spans="1:9" ht="15" thickTop="1" thickBot="1" x14ac:dyDescent="0.35">
      <c r="A19" s="7" t="s">
        <v>173</v>
      </c>
      <c r="B19" s="2" t="s">
        <v>177</v>
      </c>
      <c r="C19" s="16" t="s">
        <v>182</v>
      </c>
      <c r="D19" s="18">
        <v>50000</v>
      </c>
      <c r="E19" s="18">
        <v>35000</v>
      </c>
      <c r="F19" s="18">
        <v>40000</v>
      </c>
      <c r="G19" s="7" t="s">
        <v>173</v>
      </c>
      <c r="H19" s="2" t="s">
        <v>177</v>
      </c>
      <c r="I19" s="7">
        <f>SUMIF(B5:B14,"F*",H5:H14)</f>
        <v>656250</v>
      </c>
    </row>
    <row r="20" spans="1:9" ht="15" thickTop="1" thickBot="1" x14ac:dyDescent="0.35">
      <c r="A20" s="7" t="s">
        <v>175</v>
      </c>
      <c r="B20" s="2" t="s">
        <v>178</v>
      </c>
      <c r="G20" s="7" t="s">
        <v>175</v>
      </c>
      <c r="H20" s="2" t="s">
        <v>178</v>
      </c>
      <c r="I20" s="7">
        <f>SUMIF(B5:B14,"M*",H5:H14)</f>
        <v>187500</v>
      </c>
    </row>
    <row r="21" spans="1:9" ht="15" thickTop="1" thickBot="1" x14ac:dyDescent="0.35">
      <c r="A21" s="7" t="s">
        <v>174</v>
      </c>
      <c r="B21" s="2" t="s">
        <v>179</v>
      </c>
      <c r="G21" s="7" t="s">
        <v>174</v>
      </c>
      <c r="H21" s="2" t="s">
        <v>179</v>
      </c>
      <c r="I21" s="7">
        <f>SUMIF(B5:B14,"T*",H5:H14)</f>
        <v>93750</v>
      </c>
    </row>
    <row r="22" spans="1:9" ht="14.5" thickTop="1" x14ac:dyDescent="0.3"/>
  </sheetData>
  <mergeCells count="5">
    <mergeCell ref="E2:G2"/>
    <mergeCell ref="F1:G1"/>
    <mergeCell ref="A16:B16"/>
    <mergeCell ref="D16:F16"/>
    <mergeCell ref="H16:I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A221-FAB9-4562-95F2-74A9D32995A2}">
  <dimension ref="A1:N24"/>
  <sheetViews>
    <sheetView tabSelected="1" workbookViewId="0">
      <selection activeCell="M17" sqref="M17"/>
    </sheetView>
  </sheetViews>
  <sheetFormatPr defaultRowHeight="14" x14ac:dyDescent="0.3"/>
  <cols>
    <col min="1" max="1" width="8.7265625" style="1"/>
    <col min="2" max="2" width="19" style="1" bestFit="1" customWidth="1"/>
    <col min="3" max="3" width="10.1796875" style="1" customWidth="1"/>
    <col min="4" max="8" width="8.7265625" style="1"/>
    <col min="9" max="9" width="10.26953125" style="1" bestFit="1" customWidth="1"/>
    <col min="10" max="11" width="8.7265625" style="1"/>
    <col min="12" max="12" width="11.81640625" style="1" bestFit="1" customWidth="1"/>
    <col min="13" max="13" width="9.90625" style="1" bestFit="1" customWidth="1"/>
    <col min="14" max="16384" width="8.7265625" style="1"/>
  </cols>
  <sheetData>
    <row r="1" spans="1:11" ht="15" x14ac:dyDescent="0.3">
      <c r="A1" s="40" t="s">
        <v>216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14.5" thickBot="1" x14ac:dyDescent="0.35"/>
    <row r="3" spans="1:11" ht="15" thickTop="1" thickBot="1" x14ac:dyDescent="0.35">
      <c r="B3" s="2" t="s">
        <v>198</v>
      </c>
      <c r="C3" s="2">
        <v>4000</v>
      </c>
    </row>
    <row r="4" spans="1:11" ht="15" thickTop="1" thickBot="1" x14ac:dyDescent="0.35">
      <c r="B4" s="2" t="s">
        <v>8</v>
      </c>
      <c r="C4" s="2">
        <v>48</v>
      </c>
      <c r="D4" s="2">
        <v>36</v>
      </c>
      <c r="E4" s="2">
        <v>48</v>
      </c>
      <c r="F4" s="2">
        <v>48</v>
      </c>
      <c r="G4" s="2">
        <v>60</v>
      </c>
      <c r="H4" s="2">
        <v>90</v>
      </c>
    </row>
    <row r="5" spans="1:11" ht="15" thickTop="1" thickBot="1" x14ac:dyDescent="0.35">
      <c r="A5" s="2" t="s">
        <v>188</v>
      </c>
      <c r="B5" s="2" t="s">
        <v>2</v>
      </c>
      <c r="C5" s="7" t="s">
        <v>189</v>
      </c>
      <c r="D5" s="7" t="s">
        <v>190</v>
      </c>
      <c r="E5" s="7" t="s">
        <v>191</v>
      </c>
      <c r="F5" s="7" t="s">
        <v>192</v>
      </c>
      <c r="G5" s="7" t="s">
        <v>193</v>
      </c>
      <c r="H5" s="7" t="s">
        <v>194</v>
      </c>
      <c r="I5" s="7" t="s">
        <v>195</v>
      </c>
      <c r="J5" s="7" t="s">
        <v>196</v>
      </c>
      <c r="K5" s="7" t="s">
        <v>197</v>
      </c>
    </row>
    <row r="6" spans="1:11" ht="15" thickTop="1" thickBot="1" x14ac:dyDescent="0.35">
      <c r="A6" s="2">
        <v>1</v>
      </c>
      <c r="B6" s="2" t="s">
        <v>199</v>
      </c>
      <c r="C6" s="7" t="s">
        <v>20</v>
      </c>
      <c r="D6" s="7" t="s">
        <v>20</v>
      </c>
      <c r="E6" s="7" t="s">
        <v>20</v>
      </c>
      <c r="F6" s="7" t="s">
        <v>20</v>
      </c>
      <c r="G6" s="7"/>
      <c r="H6" s="7"/>
      <c r="I6" s="2">
        <f>SUMIF(C6:H6,"x",$C$4:$H$4)</f>
        <v>180</v>
      </c>
      <c r="J6" s="2">
        <f>PRODUCT($C$3,I6)</f>
        <v>720000</v>
      </c>
      <c r="K6" s="2" t="str">
        <f>IF(J6&gt;1000000,IF(J6*90%&gt;1000000,J6-1000000,J6*90%),"")</f>
        <v/>
      </c>
    </row>
    <row r="7" spans="1:11" ht="15" thickTop="1" thickBot="1" x14ac:dyDescent="0.35">
      <c r="A7" s="2">
        <v>2</v>
      </c>
      <c r="B7" s="2" t="s">
        <v>200</v>
      </c>
      <c r="C7" s="7" t="s">
        <v>20</v>
      </c>
      <c r="D7" s="7" t="s">
        <v>20</v>
      </c>
      <c r="E7" s="7" t="s">
        <v>20</v>
      </c>
      <c r="F7" s="7" t="s">
        <v>20</v>
      </c>
      <c r="G7" s="7"/>
      <c r="H7" s="7"/>
      <c r="I7" s="2">
        <f t="shared" ref="I7:I17" si="0">SUMIF(C7:H7,"x",$C$4:$H$4)</f>
        <v>180</v>
      </c>
      <c r="J7" s="2">
        <f t="shared" ref="J7:J17" si="1">PRODUCT($C$3,I7)</f>
        <v>720000</v>
      </c>
      <c r="K7" s="2" t="str">
        <f t="shared" ref="K7:K17" si="2">IF(J7&gt;1000000,IF(J7*90%&gt;1000000,J7-1000000,J7*90%),"")</f>
        <v/>
      </c>
    </row>
    <row r="8" spans="1:11" ht="15" thickTop="1" thickBot="1" x14ac:dyDescent="0.35">
      <c r="A8" s="2">
        <v>3</v>
      </c>
      <c r="B8" s="2" t="s">
        <v>201</v>
      </c>
      <c r="C8" s="7"/>
      <c r="D8" s="7"/>
      <c r="E8" s="7"/>
      <c r="F8" s="7"/>
      <c r="G8" s="7" t="s">
        <v>20</v>
      </c>
      <c r="H8" s="7" t="s">
        <v>20</v>
      </c>
      <c r="I8" s="2">
        <f t="shared" si="0"/>
        <v>150</v>
      </c>
      <c r="J8" s="2">
        <f t="shared" si="1"/>
        <v>600000</v>
      </c>
      <c r="K8" s="2" t="str">
        <f t="shared" si="2"/>
        <v/>
      </c>
    </row>
    <row r="9" spans="1:11" ht="15" thickTop="1" thickBot="1" x14ac:dyDescent="0.35">
      <c r="A9" s="2">
        <v>4</v>
      </c>
      <c r="B9" s="2" t="s">
        <v>202</v>
      </c>
      <c r="C9" s="7"/>
      <c r="D9" s="7"/>
      <c r="E9" s="7"/>
      <c r="F9" s="7"/>
      <c r="G9" s="7" t="s">
        <v>20</v>
      </c>
      <c r="H9" s="7" t="s">
        <v>20</v>
      </c>
      <c r="I9" s="2">
        <f t="shared" si="0"/>
        <v>150</v>
      </c>
      <c r="J9" s="2">
        <f t="shared" si="1"/>
        <v>600000</v>
      </c>
      <c r="K9" s="2" t="str">
        <f t="shared" si="2"/>
        <v/>
      </c>
    </row>
    <row r="10" spans="1:11" ht="15" thickTop="1" thickBot="1" x14ac:dyDescent="0.35">
      <c r="A10" s="2">
        <v>5</v>
      </c>
      <c r="B10" s="2" t="s">
        <v>203</v>
      </c>
      <c r="C10" s="7"/>
      <c r="D10" s="7" t="s">
        <v>20</v>
      </c>
      <c r="E10" s="7" t="s">
        <v>20</v>
      </c>
      <c r="F10" s="7" t="s">
        <v>20</v>
      </c>
      <c r="G10" s="7"/>
      <c r="H10" s="7"/>
      <c r="I10" s="2">
        <f t="shared" si="0"/>
        <v>132</v>
      </c>
      <c r="J10" s="2">
        <f t="shared" si="1"/>
        <v>528000</v>
      </c>
      <c r="K10" s="2" t="str">
        <f t="shared" si="2"/>
        <v/>
      </c>
    </row>
    <row r="11" spans="1:11" ht="15" thickTop="1" thickBot="1" x14ac:dyDescent="0.35">
      <c r="A11" s="2">
        <v>6</v>
      </c>
      <c r="B11" s="2" t="s">
        <v>204</v>
      </c>
      <c r="C11" s="7"/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2">
        <f t="shared" si="0"/>
        <v>282</v>
      </c>
      <c r="J11" s="2">
        <f t="shared" si="1"/>
        <v>1128000</v>
      </c>
      <c r="K11" s="2">
        <f t="shared" si="2"/>
        <v>128000</v>
      </c>
    </row>
    <row r="12" spans="1:11" ht="15" thickTop="1" thickBot="1" x14ac:dyDescent="0.35">
      <c r="A12" s="2">
        <v>7</v>
      </c>
      <c r="B12" s="2" t="s">
        <v>205</v>
      </c>
      <c r="C12" s="7" t="s">
        <v>20</v>
      </c>
      <c r="D12" s="7" t="s">
        <v>20</v>
      </c>
      <c r="E12" s="7" t="s">
        <v>20</v>
      </c>
      <c r="F12" s="7" t="s">
        <v>20</v>
      </c>
      <c r="G12" s="7"/>
      <c r="H12" s="7"/>
      <c r="I12" s="2">
        <f t="shared" si="0"/>
        <v>180</v>
      </c>
      <c r="J12" s="2">
        <f t="shared" si="1"/>
        <v>720000</v>
      </c>
      <c r="K12" s="2" t="str">
        <f t="shared" si="2"/>
        <v/>
      </c>
    </row>
    <row r="13" spans="1:11" ht="15" thickTop="1" thickBot="1" x14ac:dyDescent="0.35">
      <c r="A13" s="2">
        <v>8</v>
      </c>
      <c r="B13" s="2" t="s">
        <v>206</v>
      </c>
      <c r="C13" s="7"/>
      <c r="D13" s="7"/>
      <c r="E13" s="7"/>
      <c r="F13" s="7"/>
      <c r="G13" s="7" t="s">
        <v>20</v>
      </c>
      <c r="H13" s="7" t="s">
        <v>20</v>
      </c>
      <c r="I13" s="2">
        <f t="shared" si="0"/>
        <v>150</v>
      </c>
      <c r="J13" s="2">
        <f t="shared" si="1"/>
        <v>600000</v>
      </c>
      <c r="K13" s="2" t="str">
        <f t="shared" si="2"/>
        <v/>
      </c>
    </row>
    <row r="14" spans="1:11" ht="15" thickTop="1" thickBot="1" x14ac:dyDescent="0.35">
      <c r="A14" s="2">
        <v>9</v>
      </c>
      <c r="B14" s="2" t="s">
        <v>207</v>
      </c>
      <c r="C14" s="7" t="s">
        <v>20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2">
        <f t="shared" si="0"/>
        <v>330</v>
      </c>
      <c r="J14" s="2">
        <f t="shared" si="1"/>
        <v>1320000</v>
      </c>
      <c r="K14" s="2">
        <f t="shared" si="2"/>
        <v>320000</v>
      </c>
    </row>
    <row r="15" spans="1:11" ht="15" thickTop="1" thickBot="1" x14ac:dyDescent="0.35">
      <c r="A15" s="2">
        <v>10</v>
      </c>
      <c r="B15" s="2" t="s">
        <v>208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2">
        <f t="shared" si="0"/>
        <v>330</v>
      </c>
      <c r="J15" s="2">
        <f t="shared" si="1"/>
        <v>1320000</v>
      </c>
      <c r="K15" s="2">
        <f>IF(J15&gt;1000000,IF(J15*90%&gt;1000000,J15-1000000,J15*90%),"")</f>
        <v>320000</v>
      </c>
    </row>
    <row r="16" spans="1:11" ht="15" thickTop="1" thickBot="1" x14ac:dyDescent="0.35">
      <c r="A16" s="2">
        <v>11</v>
      </c>
      <c r="B16" s="2" t="s">
        <v>209</v>
      </c>
      <c r="C16" s="7"/>
      <c r="D16" s="7" t="s">
        <v>20</v>
      </c>
      <c r="E16" s="7" t="s">
        <v>20</v>
      </c>
      <c r="F16" s="7" t="s">
        <v>20</v>
      </c>
      <c r="G16" s="7"/>
      <c r="H16" s="7"/>
      <c r="I16" s="2">
        <f t="shared" si="0"/>
        <v>132</v>
      </c>
      <c r="J16" s="2">
        <f t="shared" si="1"/>
        <v>528000</v>
      </c>
      <c r="K16" s="2" t="str">
        <f t="shared" si="2"/>
        <v/>
      </c>
    </row>
    <row r="17" spans="1:14" ht="15" thickTop="1" thickBot="1" x14ac:dyDescent="0.35">
      <c r="A17" s="2">
        <v>12</v>
      </c>
      <c r="B17" s="2" t="s">
        <v>210</v>
      </c>
      <c r="C17" s="7"/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2">
        <f t="shared" si="0"/>
        <v>282</v>
      </c>
      <c r="J17" s="2">
        <f t="shared" si="1"/>
        <v>1128000</v>
      </c>
      <c r="K17" s="2">
        <f t="shared" si="2"/>
        <v>128000</v>
      </c>
    </row>
    <row r="18" spans="1:14" ht="15" thickTop="1" thickBot="1" x14ac:dyDescent="0.35">
      <c r="B18" s="19" t="s">
        <v>211</v>
      </c>
      <c r="C18" s="28"/>
      <c r="D18" s="28"/>
      <c r="E18" s="28"/>
      <c r="F18" s="28"/>
      <c r="G18" s="28"/>
      <c r="H18" s="28"/>
      <c r="I18" s="29"/>
      <c r="J18" s="29"/>
      <c r="K18" s="29"/>
    </row>
    <row r="19" spans="1:14" ht="15" thickTop="1" thickBot="1" x14ac:dyDescent="0.35"/>
    <row r="20" spans="1:14" ht="15" thickTop="1" thickBot="1" x14ac:dyDescent="0.35">
      <c r="L20" s="2" t="s">
        <v>212</v>
      </c>
      <c r="M20" s="2" t="s">
        <v>213</v>
      </c>
      <c r="N20" s="2" t="s">
        <v>214</v>
      </c>
    </row>
    <row r="21" spans="1:14" ht="15" thickTop="1" thickBot="1" x14ac:dyDescent="0.35">
      <c r="L21" s="2">
        <f>SUM(K6:K17)</f>
        <v>896000</v>
      </c>
      <c r="M21" s="2">
        <f>SUM(J6:J17)</f>
        <v>9912000</v>
      </c>
      <c r="N21" s="2">
        <f>L21/M21</f>
        <v>9.03954802259887E-2</v>
      </c>
    </row>
    <row r="22" spans="1:14" ht="15" thickTop="1" thickBot="1" x14ac:dyDescent="0.35">
      <c r="C22" s="7" t="s">
        <v>189</v>
      </c>
      <c r="D22" s="7" t="s">
        <v>190</v>
      </c>
      <c r="E22" s="7" t="s">
        <v>191</v>
      </c>
      <c r="F22" s="7" t="s">
        <v>192</v>
      </c>
      <c r="G22" s="7" t="s">
        <v>193</v>
      </c>
      <c r="H22" s="7" t="s">
        <v>194</v>
      </c>
      <c r="I22" s="7" t="s">
        <v>218</v>
      </c>
    </row>
    <row r="23" spans="1:14" ht="15" thickTop="1" thickBot="1" x14ac:dyDescent="0.35">
      <c r="B23" s="2" t="s">
        <v>215</v>
      </c>
      <c r="C23" s="7">
        <f>COUNTA(C6:C17)</f>
        <v>5</v>
      </c>
      <c r="D23" s="7">
        <f t="shared" ref="D23:H23" si="3">COUNTA(D6:D17)</f>
        <v>9</v>
      </c>
      <c r="E23" s="7">
        <f t="shared" si="3"/>
        <v>9</v>
      </c>
      <c r="F23" s="7">
        <f t="shared" si="3"/>
        <v>9</v>
      </c>
      <c r="G23" s="7">
        <f t="shared" si="3"/>
        <v>7</v>
      </c>
      <c r="H23" s="7">
        <f t="shared" si="3"/>
        <v>7</v>
      </c>
      <c r="I23" s="7">
        <f>COUNT(K6:K17)</f>
        <v>4</v>
      </c>
    </row>
    <row r="24" spans="1:14" ht="14.5" thickTop="1" x14ac:dyDescent="0.3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BT1</vt:lpstr>
      <vt:lpstr>BT2</vt:lpstr>
      <vt:lpstr>BT3</vt:lpstr>
      <vt:lpstr>BT4</vt:lpstr>
      <vt:lpstr>BT5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Tạ Nguyên</dc:creator>
  <cp:lastModifiedBy>Tạ Nguyên</cp:lastModifiedBy>
  <dcterms:created xsi:type="dcterms:W3CDTF">2023-12-20T08:46:23Z</dcterms:created>
  <dcterms:modified xsi:type="dcterms:W3CDTF">2023-12-29T14:45:06Z</dcterms:modified>
</cp:coreProperties>
</file>